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2.xml" ContentType="application/vnd.openxmlformats-officedocument.spreadsheetml.table+xml"/>
  <Override PartName="/xl/comments2.xml" ContentType="application/vnd.openxmlformats-officedocument.spreadsheetml.comments+xml"/>
  <Override PartName="/xl/tables/table3.xml" ContentType="application/vnd.openxmlformats-officedocument.spreadsheetml.table+xml"/>
  <Override PartName="/xl/queryTables/queryTable1.xml" ContentType="application/vnd.openxmlformats-officedocument.spreadsheetml.queryTable+xml"/>
  <Override PartName="/xl/tables/table4.xml" ContentType="application/vnd.openxmlformats-officedocument.spreadsheetml.table+xml"/>
  <Override PartName="/xl/queryTables/queryTable2.xml" ContentType="application/vnd.openxmlformats-officedocument.spreadsheetml.queryTable+xml"/>
  <Override PartName="/xl/tables/table5.xml" ContentType="application/vnd.openxmlformats-officedocument.spreadsheetml.table+xml"/>
  <Override PartName="/xl/comments3.xml" ContentType="application/vnd.openxmlformats-officedocument.spreadsheetml.comments+xml"/>
  <Override PartName="/xl/tables/table6.xml" ContentType="application/vnd.openxmlformats-officedocument.spreadsheetml.table+xml"/>
  <Override PartName="/xl/comments4.xml" ContentType="application/vnd.openxmlformats-officedocument.spreadsheetml.comments+xml"/>
  <Override PartName="/xl/tables/table7.xml" ContentType="application/vnd.openxmlformats-officedocument.spreadsheetml.table+xml"/>
  <Override PartName="/xl/comments5.xml" ContentType="application/vnd.openxmlformats-officedocument.spreadsheetml.comments+xml"/>
  <Override PartName="/xl/tables/table8.xml" ContentType="application/vnd.openxmlformats-officedocument.spreadsheetml.table+xml"/>
  <Override PartName="/xl/comments6.xml" ContentType="application/vnd.openxmlformats-officedocument.spreadsheetml.comments+xml"/>
  <Override PartName="/xl/tables/table9.xml" ContentType="application/vnd.openxmlformats-officedocument.spreadsheetml.table+xml"/>
  <Override PartName="/xl/comments7.xml" ContentType="application/vnd.openxmlformats-officedocument.spreadsheetml.comments+xml"/>
  <Override PartName="/xl/tables/table10.xml" ContentType="application/vnd.openxmlformats-officedocument.spreadsheetml.table+xml"/>
  <Override PartName="/xl/comments8.xml" ContentType="application/vnd.openxmlformats-officedocument.spreadsheetml.comments+xml"/>
  <Override PartName="/xl/tables/table11.xml" ContentType="application/vnd.openxmlformats-officedocument.spreadsheetml.table+xml"/>
  <Override PartName="/xl/comments9.xml" ContentType="application/vnd.openxmlformats-officedocument.spreadsheetml.comments+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drawings/drawing2.xml" ContentType="application/vnd.openxmlformats-officedocument.drawing+xml"/>
  <Override PartName="/xl/comments10.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Mijn documenten\Margreeth\2026 EML\Aanbesteding ROK werken groot\Nota van Inlichtingen\"/>
    </mc:Choice>
  </mc:AlternateContent>
  <xr:revisionPtr revIDLastSave="0" documentId="13_ncr:1_{26DBC2D6-B17F-4C4D-870B-67F92C925C5C}" xr6:coauthVersionLast="47" xr6:coauthVersionMax="47" xr10:uidLastSave="{00000000-0000-0000-0000-000000000000}"/>
  <bookViews>
    <workbookView xWindow="-120" yWindow="-120" windowWidth="30960" windowHeight="16800" tabRatio="813" activeTab="12" xr2:uid="{A5704C44-3032-45EE-945B-128015EFAA86}"/>
  </bookViews>
  <sheets>
    <sheet name="Advies" sheetId="4" r:id="rId1"/>
    <sheet name="SCHOUW" sheetId="2" r:id="rId2"/>
    <sheet name="Inventarisatie (reserve)" sheetId="5" state="hidden" r:id="rId3"/>
    <sheet name="Beoordeling" sheetId="30" r:id="rId4"/>
    <sheet name="Inventarisatie Totaal" sheetId="28" r:id="rId5"/>
    <sheet name="Inspectie Totaal" sheetId="29" r:id="rId6"/>
    <sheet name="Inspectie (reserve)" sheetId="6" state="hidden" r:id="rId7"/>
    <sheet name="Inventarisatie B" sheetId="8" r:id="rId8"/>
    <sheet name="Inspectie B" sheetId="9" r:id="rId9"/>
    <sheet name="Inventarisatie E" sheetId="24" r:id="rId10"/>
    <sheet name="Inspectie E" sheetId="25" r:id="rId11"/>
    <sheet name="Inventarisatie W" sheetId="26" r:id="rId12"/>
    <sheet name="Inspectie W" sheetId="27" r:id="rId13"/>
    <sheet name="SBL-2024" sheetId="14" r:id="rId14"/>
    <sheet name="SBL-2024 (formules)" sheetId="23" state="hidden" r:id="rId15"/>
    <sheet name="Menu's" sheetId="3" state="hidden" r:id="rId16"/>
    <sheet name="FUTP's" sheetId="22" r:id="rId17"/>
    <sheet name="Overlast" sheetId="31" state="hidden" r:id="rId18"/>
    <sheet name="Prio" sheetId="18" state="hidden" r:id="rId19"/>
    <sheet name="Herstelmaatregelen" sheetId="15" state="hidden" r:id="rId20"/>
    <sheet name="Rekenblad" sheetId="7" state="hidden" r:id="rId21"/>
  </sheets>
  <externalReferences>
    <externalReference r:id="rId22"/>
  </externalReferences>
  <definedNames>
    <definedName name="_xlnm._FilterDatabase" localSheetId="1" hidden="1">SCHOUW!$B$42:$J$75</definedName>
    <definedName name="A">#REF!</definedName>
    <definedName name="B">#REF!</definedName>
    <definedName name="Bouwjaar">'Inventarisatie (reserve)'!$P$2</definedName>
    <definedName name="BVO" localSheetId="6">#REF!</definedName>
    <definedName name="BVO">'Inventarisatie (reserve)'!#REF!</definedName>
    <definedName name="comp">#REF!</definedName>
    <definedName name="Discipline" localSheetId="6">#REF!</definedName>
    <definedName name="Discipline">'Inventarisatie (reserve)'!$M$2</definedName>
    <definedName name="E">#REF!</definedName>
    <definedName name="ExternalData_1" localSheetId="5" hidden="1">'Inspectie Totaal'!$B$4:$AG$65</definedName>
    <definedName name="ExternalData_1" localSheetId="4" hidden="1">'Inventarisatie Totaal'!$B$4:$AM$23</definedName>
    <definedName name="Fotolocatie">'Inspectie (reserve)'!#REF!</definedName>
    <definedName name="G">#REF!</definedName>
    <definedName name="Gebouwid" localSheetId="6">#REF!</definedName>
    <definedName name="Gebouwid">'Inventarisatie (reserve)'!#REF!</definedName>
    <definedName name="KOSTVP">#REF!</definedName>
    <definedName name="labels">#REF!</definedName>
    <definedName name="T">#REF!</definedName>
    <definedName name="W">#REF!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9" i="30" l="1"/>
  <c r="G21" i="30"/>
  <c r="G22" i="30"/>
  <c r="G23" i="30"/>
  <c r="G24" i="30"/>
  <c r="G25" i="30"/>
  <c r="D8" i="30"/>
  <c r="D7" i="30"/>
  <c r="D6" i="30"/>
  <c r="D5" i="30"/>
  <c r="X196" i="27" l="1"/>
  <c r="X195" i="27"/>
  <c r="X194" i="27"/>
  <c r="X193" i="27"/>
  <c r="X192" i="27"/>
  <c r="X191" i="27"/>
  <c r="X190" i="27"/>
  <c r="X189" i="27"/>
  <c r="X188" i="27"/>
  <c r="X187" i="27"/>
  <c r="X186" i="27"/>
  <c r="X185" i="27"/>
  <c r="X184" i="27"/>
  <c r="X183" i="27"/>
  <c r="X182" i="27"/>
  <c r="X181" i="27"/>
  <c r="X180" i="27"/>
  <c r="X179" i="27"/>
  <c r="X178" i="27"/>
  <c r="X177" i="27"/>
  <c r="X176" i="27"/>
  <c r="X175" i="27"/>
  <c r="X174" i="27"/>
  <c r="X173" i="27"/>
  <c r="X172" i="27"/>
  <c r="X171" i="27"/>
  <c r="X170" i="27"/>
  <c r="X169" i="27"/>
  <c r="X168" i="27"/>
  <c r="X167" i="27"/>
  <c r="X166" i="27"/>
  <c r="X165" i="27"/>
  <c r="X164" i="27"/>
  <c r="X163" i="27"/>
  <c r="X162" i="27"/>
  <c r="X161" i="27"/>
  <c r="X160" i="27"/>
  <c r="X159" i="27"/>
  <c r="X158" i="27"/>
  <c r="X157" i="27"/>
  <c r="X156" i="27"/>
  <c r="X155" i="27"/>
  <c r="X154" i="27"/>
  <c r="X153" i="27"/>
  <c r="X152" i="27"/>
  <c r="X151" i="27"/>
  <c r="X150" i="27"/>
  <c r="X149" i="27"/>
  <c r="X148" i="27"/>
  <c r="X147" i="27"/>
  <c r="X146" i="27"/>
  <c r="X145" i="27"/>
  <c r="X144" i="27"/>
  <c r="X143" i="27"/>
  <c r="X142" i="27"/>
  <c r="X141" i="27"/>
  <c r="X140" i="27"/>
  <c r="X139" i="27"/>
  <c r="X138" i="27"/>
  <c r="X137" i="27"/>
  <c r="X136" i="27"/>
  <c r="X135" i="27"/>
  <c r="X134" i="27"/>
  <c r="X133" i="27"/>
  <c r="X132" i="27"/>
  <c r="X131" i="27"/>
  <c r="X130" i="27"/>
  <c r="X129" i="27"/>
  <c r="X128" i="27"/>
  <c r="X127" i="27"/>
  <c r="X126" i="27"/>
  <c r="X125" i="27"/>
  <c r="X124" i="27"/>
  <c r="X123" i="27"/>
  <c r="X122" i="27"/>
  <c r="X121" i="27"/>
  <c r="X120" i="27"/>
  <c r="X119" i="27"/>
  <c r="X118" i="27"/>
  <c r="X117" i="27"/>
  <c r="X116" i="27"/>
  <c r="X115" i="27"/>
  <c r="X114" i="27"/>
  <c r="X113" i="27"/>
  <c r="X112" i="27"/>
  <c r="X111" i="27"/>
  <c r="X110" i="27"/>
  <c r="X109" i="27"/>
  <c r="X108" i="27"/>
  <c r="X107" i="27"/>
  <c r="X106" i="27"/>
  <c r="X105" i="27"/>
  <c r="X104" i="27"/>
  <c r="X103" i="27"/>
  <c r="X102" i="27"/>
  <c r="X101" i="27"/>
  <c r="X100" i="27"/>
  <c r="X99" i="27"/>
  <c r="X98" i="27"/>
  <c r="X97" i="27"/>
  <c r="X96" i="27"/>
  <c r="X95" i="27"/>
  <c r="X94" i="27"/>
  <c r="X93" i="27"/>
  <c r="X92" i="27"/>
  <c r="X91" i="27"/>
  <c r="X90" i="27"/>
  <c r="X89" i="27"/>
  <c r="X88" i="27"/>
  <c r="X87" i="27"/>
  <c r="X86" i="27"/>
  <c r="X85" i="27"/>
  <c r="X84" i="27"/>
  <c r="X83" i="27"/>
  <c r="X82" i="27"/>
  <c r="X81" i="27"/>
  <c r="X80" i="27"/>
  <c r="X79" i="27"/>
  <c r="X78" i="27"/>
  <c r="X77" i="27"/>
  <c r="X76" i="27"/>
  <c r="X75" i="27"/>
  <c r="X74" i="27"/>
  <c r="X73" i="27"/>
  <c r="X72" i="27"/>
  <c r="X71" i="27"/>
  <c r="X70" i="27"/>
  <c r="X69" i="27"/>
  <c r="X68" i="27"/>
  <c r="X67" i="27"/>
  <c r="X66" i="27"/>
  <c r="X65" i="27"/>
  <c r="X64" i="27"/>
  <c r="X63" i="27"/>
  <c r="X62" i="27"/>
  <c r="X61" i="27"/>
  <c r="X60" i="27"/>
  <c r="X59" i="27"/>
  <c r="X58" i="27"/>
  <c r="X57" i="27"/>
  <c r="X56" i="27"/>
  <c r="X55" i="27"/>
  <c r="X38" i="27"/>
  <c r="X37" i="27"/>
  <c r="X19" i="27"/>
  <c r="X18" i="27"/>
  <c r="X16" i="27"/>
  <c r="X15" i="27"/>
  <c r="X11" i="27"/>
  <c r="B195" i="27"/>
  <c r="B196" i="27"/>
  <c r="C195" i="27"/>
  <c r="AA195" i="27" s="1"/>
  <c r="AB195" i="27" s="1"/>
  <c r="C196" i="27"/>
  <c r="AA196" i="27" s="1"/>
  <c r="AB196" i="27" s="1"/>
  <c r="D195" i="27"/>
  <c r="D196" i="27"/>
  <c r="G195" i="27"/>
  <c r="G196" i="27"/>
  <c r="H195" i="27"/>
  <c r="H196" i="27"/>
  <c r="I195" i="27"/>
  <c r="I196" i="27"/>
  <c r="K195" i="27"/>
  <c r="K196" i="27"/>
  <c r="M195" i="27"/>
  <c r="M196" i="27"/>
  <c r="Z195" i="27"/>
  <c r="Z196" i="27"/>
  <c r="B179" i="27"/>
  <c r="C180" i="27"/>
  <c r="B181" i="27"/>
  <c r="D182" i="27"/>
  <c r="B183" i="27"/>
  <c r="D184" i="27"/>
  <c r="B185" i="27"/>
  <c r="D186" i="27"/>
  <c r="B187" i="27"/>
  <c r="C188" i="27"/>
  <c r="B189" i="27"/>
  <c r="D190" i="27"/>
  <c r="B191" i="27"/>
  <c r="B192" i="27"/>
  <c r="B193" i="27"/>
  <c r="C194" i="27"/>
  <c r="C4" i="26"/>
  <c r="B4" i="26"/>
  <c r="R17" i="26"/>
  <c r="R8" i="26"/>
  <c r="A60" i="26"/>
  <c r="B60" i="26"/>
  <c r="E60" i="26"/>
  <c r="J60" i="26"/>
  <c r="K60" i="26"/>
  <c r="L60" i="26"/>
  <c r="Q60" i="26"/>
  <c r="W60" i="26"/>
  <c r="B164" i="27" l="1"/>
  <c r="C164" i="27"/>
  <c r="D164" i="27"/>
  <c r="D192" i="27"/>
  <c r="C192" i="27"/>
  <c r="C190" i="27"/>
  <c r="C186" i="27"/>
  <c r="C184" i="27"/>
  <c r="C182" i="27"/>
  <c r="B137" i="27"/>
  <c r="C137" i="27"/>
  <c r="D137" i="27"/>
  <c r="B194" i="27"/>
  <c r="B190" i="27"/>
  <c r="B188" i="27"/>
  <c r="B186" i="27"/>
  <c r="B184" i="27"/>
  <c r="B182" i="27"/>
  <c r="B180" i="27"/>
  <c r="B168" i="27"/>
  <c r="C168" i="27"/>
  <c r="D168" i="27"/>
  <c r="B136" i="27"/>
  <c r="C136" i="27"/>
  <c r="D136" i="27"/>
  <c r="B128" i="27"/>
  <c r="C128" i="27"/>
  <c r="D128" i="27"/>
  <c r="B120" i="27"/>
  <c r="C120" i="27"/>
  <c r="D120" i="27"/>
  <c r="B112" i="27"/>
  <c r="C112" i="27"/>
  <c r="D112" i="27"/>
  <c r="B104" i="27"/>
  <c r="C104" i="27"/>
  <c r="D104" i="27"/>
  <c r="B96" i="27"/>
  <c r="C96" i="27"/>
  <c r="D96" i="27"/>
  <c r="B88" i="27"/>
  <c r="C88" i="27"/>
  <c r="D88" i="27"/>
  <c r="B80" i="27"/>
  <c r="C80" i="27"/>
  <c r="D80" i="27"/>
  <c r="B72" i="27"/>
  <c r="C72" i="27"/>
  <c r="D72" i="27"/>
  <c r="B64" i="27"/>
  <c r="C64" i="27"/>
  <c r="D64" i="27"/>
  <c r="B56" i="27"/>
  <c r="C56" i="27"/>
  <c r="D56" i="27"/>
  <c r="B48" i="27"/>
  <c r="C48" i="27"/>
  <c r="D48" i="27"/>
  <c r="B40" i="27"/>
  <c r="C40" i="27"/>
  <c r="D40" i="27"/>
  <c r="B32" i="27"/>
  <c r="C32" i="27"/>
  <c r="D32" i="27"/>
  <c r="B24" i="27"/>
  <c r="C24" i="27"/>
  <c r="D24" i="27"/>
  <c r="B16" i="27"/>
  <c r="C16" i="27"/>
  <c r="D16" i="27"/>
  <c r="B143" i="27"/>
  <c r="C143" i="27"/>
  <c r="D143" i="27"/>
  <c r="B119" i="27"/>
  <c r="C119" i="27"/>
  <c r="D119" i="27"/>
  <c r="B111" i="27"/>
  <c r="C111" i="27"/>
  <c r="D111" i="27"/>
  <c r="B103" i="27"/>
  <c r="C103" i="27"/>
  <c r="D103" i="27"/>
  <c r="B87" i="27"/>
  <c r="C87" i="27"/>
  <c r="D87" i="27"/>
  <c r="B79" i="27"/>
  <c r="C79" i="27"/>
  <c r="D79" i="27"/>
  <c r="B71" i="27"/>
  <c r="C71" i="27"/>
  <c r="D71" i="27"/>
  <c r="B63" i="27"/>
  <c r="C63" i="27"/>
  <c r="D63" i="27"/>
  <c r="B55" i="27"/>
  <c r="C55" i="27"/>
  <c r="D55" i="27"/>
  <c r="B47" i="27"/>
  <c r="C47" i="27"/>
  <c r="D47" i="27"/>
  <c r="B39" i="27"/>
  <c r="C39" i="27"/>
  <c r="D39" i="27"/>
  <c r="B31" i="27"/>
  <c r="C31" i="27"/>
  <c r="D31" i="27"/>
  <c r="B23" i="27"/>
  <c r="C23" i="27"/>
  <c r="D23" i="27"/>
  <c r="B15" i="27"/>
  <c r="C15" i="27"/>
  <c r="D15" i="27"/>
  <c r="B144" i="27"/>
  <c r="C144" i="27"/>
  <c r="D144" i="27"/>
  <c r="B151" i="27"/>
  <c r="C151" i="27"/>
  <c r="D151" i="27"/>
  <c r="B135" i="27"/>
  <c r="C135" i="27"/>
  <c r="D135" i="27"/>
  <c r="B127" i="27"/>
  <c r="C127" i="27"/>
  <c r="D127" i="27"/>
  <c r="B95" i="27"/>
  <c r="C95" i="27"/>
  <c r="D95" i="27"/>
  <c r="B152" i="27"/>
  <c r="C152" i="27"/>
  <c r="D152" i="27"/>
  <c r="B167" i="27"/>
  <c r="C167" i="27"/>
  <c r="D167" i="27"/>
  <c r="D189" i="27"/>
  <c r="D187" i="27"/>
  <c r="D185" i="27"/>
  <c r="D183" i="27"/>
  <c r="D181" i="27"/>
  <c r="D179" i="27"/>
  <c r="B174" i="27"/>
  <c r="C174" i="27"/>
  <c r="D174" i="27"/>
  <c r="B166" i="27"/>
  <c r="C166" i="27"/>
  <c r="D166" i="27"/>
  <c r="B158" i="27"/>
  <c r="C158" i="27"/>
  <c r="D158" i="27"/>
  <c r="B150" i="27"/>
  <c r="C150" i="27"/>
  <c r="D150" i="27"/>
  <c r="B142" i="27"/>
  <c r="C142" i="27"/>
  <c r="D142" i="27"/>
  <c r="B134" i="27"/>
  <c r="C134" i="27"/>
  <c r="D134" i="27"/>
  <c r="B126" i="27"/>
  <c r="C126" i="27"/>
  <c r="D126" i="27"/>
  <c r="B118" i="27"/>
  <c r="C118" i="27"/>
  <c r="D118" i="27"/>
  <c r="B110" i="27"/>
  <c r="C110" i="27"/>
  <c r="D110" i="27"/>
  <c r="B102" i="27"/>
  <c r="C102" i="27"/>
  <c r="D102" i="27"/>
  <c r="B94" i="27"/>
  <c r="C94" i="27"/>
  <c r="D94" i="27"/>
  <c r="B86" i="27"/>
  <c r="C86" i="27"/>
  <c r="D86" i="27"/>
  <c r="B78" i="27"/>
  <c r="C78" i="27"/>
  <c r="D78" i="27"/>
  <c r="B70" i="27"/>
  <c r="C70" i="27"/>
  <c r="D70" i="27"/>
  <c r="B62" i="27"/>
  <c r="C62" i="27"/>
  <c r="D62" i="27"/>
  <c r="B54" i="27"/>
  <c r="C54" i="27"/>
  <c r="D54" i="27"/>
  <c r="B46" i="27"/>
  <c r="C46" i="27"/>
  <c r="D46" i="27"/>
  <c r="B38" i="27"/>
  <c r="C38" i="27"/>
  <c r="D38" i="27"/>
  <c r="B30" i="27"/>
  <c r="C30" i="27"/>
  <c r="D30" i="27"/>
  <c r="B22" i="27"/>
  <c r="C22" i="27"/>
  <c r="D22" i="27"/>
  <c r="B14" i="27"/>
  <c r="C14" i="27"/>
  <c r="D14" i="27"/>
  <c r="B176" i="27"/>
  <c r="C176" i="27"/>
  <c r="D176" i="27"/>
  <c r="B175" i="27"/>
  <c r="C175" i="27"/>
  <c r="D175" i="27"/>
  <c r="C193" i="27"/>
  <c r="C191" i="27"/>
  <c r="C187" i="27"/>
  <c r="C185" i="27"/>
  <c r="C183" i="27"/>
  <c r="C179" i="27"/>
  <c r="B173" i="27"/>
  <c r="C173" i="27"/>
  <c r="D173" i="27"/>
  <c r="B165" i="27"/>
  <c r="C165" i="27"/>
  <c r="D165" i="27"/>
  <c r="B157" i="27"/>
  <c r="C157" i="27"/>
  <c r="D157" i="27"/>
  <c r="B149" i="27"/>
  <c r="C149" i="27"/>
  <c r="D149" i="27"/>
  <c r="B133" i="27"/>
  <c r="C133" i="27"/>
  <c r="D133" i="27"/>
  <c r="B125" i="27"/>
  <c r="C125" i="27"/>
  <c r="D125" i="27"/>
  <c r="B117" i="27"/>
  <c r="C117" i="27"/>
  <c r="D117" i="27"/>
  <c r="B109" i="27"/>
  <c r="C109" i="27"/>
  <c r="D109" i="27"/>
  <c r="B101" i="27"/>
  <c r="C101" i="27"/>
  <c r="D101" i="27"/>
  <c r="B93" i="27"/>
  <c r="C93" i="27"/>
  <c r="D93" i="27"/>
  <c r="B85" i="27"/>
  <c r="C85" i="27"/>
  <c r="D85" i="27"/>
  <c r="B77" i="27"/>
  <c r="C77" i="27"/>
  <c r="D77" i="27"/>
  <c r="B69" i="27"/>
  <c r="C69" i="27"/>
  <c r="D69" i="27"/>
  <c r="B61" i="27"/>
  <c r="C61" i="27"/>
  <c r="D61" i="27"/>
  <c r="B53" i="27"/>
  <c r="C53" i="27"/>
  <c r="D53" i="27"/>
  <c r="B45" i="27"/>
  <c r="C45" i="27"/>
  <c r="D45" i="27"/>
  <c r="B37" i="27"/>
  <c r="C37" i="27"/>
  <c r="D37" i="27"/>
  <c r="B29" i="27"/>
  <c r="C29" i="27"/>
  <c r="D29" i="27"/>
  <c r="B21" i="27"/>
  <c r="C21" i="27"/>
  <c r="D21" i="27"/>
  <c r="B13" i="27"/>
  <c r="C13" i="27"/>
  <c r="D13" i="27"/>
  <c r="B160" i="27"/>
  <c r="C160" i="27"/>
  <c r="D160" i="27"/>
  <c r="B159" i="27"/>
  <c r="C159" i="27"/>
  <c r="D159" i="27"/>
  <c r="D193" i="27"/>
  <c r="D191" i="27"/>
  <c r="C189" i="27"/>
  <c r="C181" i="27"/>
  <c r="B141" i="27"/>
  <c r="C141" i="27"/>
  <c r="D141" i="27"/>
  <c r="B172" i="27"/>
  <c r="C172" i="27"/>
  <c r="D172" i="27"/>
  <c r="B132" i="27"/>
  <c r="C132" i="27"/>
  <c r="D132" i="27"/>
  <c r="B124" i="27"/>
  <c r="C124" i="27"/>
  <c r="D124" i="27"/>
  <c r="B116" i="27"/>
  <c r="C116" i="27"/>
  <c r="D116" i="27"/>
  <c r="B108" i="27"/>
  <c r="C108" i="27"/>
  <c r="D108" i="27"/>
  <c r="B100" i="27"/>
  <c r="C100" i="27"/>
  <c r="D100" i="27"/>
  <c r="B92" i="27"/>
  <c r="C92" i="27"/>
  <c r="D92" i="27"/>
  <c r="B84" i="27"/>
  <c r="C84" i="27"/>
  <c r="D84" i="27"/>
  <c r="B76" i="27"/>
  <c r="C76" i="27"/>
  <c r="D76" i="27"/>
  <c r="B68" i="27"/>
  <c r="C68" i="27"/>
  <c r="D68" i="27"/>
  <c r="B60" i="27"/>
  <c r="C60" i="27"/>
  <c r="D60" i="27"/>
  <c r="B52" i="27"/>
  <c r="C52" i="27"/>
  <c r="D52" i="27"/>
  <c r="B44" i="27"/>
  <c r="C44" i="27"/>
  <c r="D44" i="27"/>
  <c r="B36" i="27"/>
  <c r="C36" i="27"/>
  <c r="D36" i="27"/>
  <c r="B28" i="27"/>
  <c r="C28" i="27"/>
  <c r="D28" i="27"/>
  <c r="B20" i="27"/>
  <c r="C20" i="27"/>
  <c r="D20" i="27"/>
  <c r="B12" i="27"/>
  <c r="C12" i="27"/>
  <c r="D12" i="27"/>
  <c r="B155" i="27"/>
  <c r="C155" i="27"/>
  <c r="D155" i="27"/>
  <c r="B131" i="27"/>
  <c r="C131" i="27"/>
  <c r="D131" i="27"/>
  <c r="B115" i="27"/>
  <c r="C115" i="27"/>
  <c r="D115" i="27"/>
  <c r="B107" i="27"/>
  <c r="C107" i="27"/>
  <c r="D107" i="27"/>
  <c r="B99" i="27"/>
  <c r="C99" i="27"/>
  <c r="D99" i="27"/>
  <c r="B83" i="27"/>
  <c r="C83" i="27"/>
  <c r="D83" i="27"/>
  <c r="B75" i="27"/>
  <c r="C75" i="27"/>
  <c r="D75" i="27"/>
  <c r="B67" i="27"/>
  <c r="C67" i="27"/>
  <c r="D67" i="27"/>
  <c r="B59" i="27"/>
  <c r="C59" i="27"/>
  <c r="D59" i="27"/>
  <c r="B51" i="27"/>
  <c r="C51" i="27"/>
  <c r="D51" i="27"/>
  <c r="B43" i="27"/>
  <c r="C43" i="27"/>
  <c r="D43" i="27"/>
  <c r="B35" i="27"/>
  <c r="C35" i="27"/>
  <c r="D35" i="27"/>
  <c r="B27" i="27"/>
  <c r="C27" i="27"/>
  <c r="D27" i="27"/>
  <c r="B19" i="27"/>
  <c r="C19" i="27"/>
  <c r="D19" i="27"/>
  <c r="B11" i="27"/>
  <c r="C11" i="27"/>
  <c r="D11" i="27"/>
  <c r="B156" i="27"/>
  <c r="C156" i="27"/>
  <c r="D156" i="27"/>
  <c r="B163" i="27"/>
  <c r="C163" i="27"/>
  <c r="D163" i="27"/>
  <c r="B147" i="27"/>
  <c r="C147" i="27"/>
  <c r="D147" i="27"/>
  <c r="B139" i="27"/>
  <c r="C139" i="27"/>
  <c r="D139" i="27"/>
  <c r="B123" i="27"/>
  <c r="C123" i="27"/>
  <c r="D123" i="27"/>
  <c r="B91" i="27"/>
  <c r="C91" i="27"/>
  <c r="D91" i="27"/>
  <c r="B148" i="27"/>
  <c r="C148" i="27"/>
  <c r="D148" i="27"/>
  <c r="D194" i="27"/>
  <c r="D188" i="27"/>
  <c r="D180" i="27"/>
  <c r="B178" i="27"/>
  <c r="C178" i="27"/>
  <c r="D178" i="27"/>
  <c r="B170" i="27"/>
  <c r="C170" i="27"/>
  <c r="D170" i="27"/>
  <c r="B162" i="27"/>
  <c r="C162" i="27"/>
  <c r="D162" i="27"/>
  <c r="B154" i="27"/>
  <c r="C154" i="27"/>
  <c r="D154" i="27"/>
  <c r="B146" i="27"/>
  <c r="C146" i="27"/>
  <c r="D146" i="27"/>
  <c r="B138" i="27"/>
  <c r="C138" i="27"/>
  <c r="D138" i="27"/>
  <c r="B130" i="27"/>
  <c r="C130" i="27"/>
  <c r="D130" i="27"/>
  <c r="B122" i="27"/>
  <c r="C122" i="27"/>
  <c r="D122" i="27"/>
  <c r="B114" i="27"/>
  <c r="C114" i="27"/>
  <c r="D114" i="27"/>
  <c r="B106" i="27"/>
  <c r="C106" i="27"/>
  <c r="D106" i="27"/>
  <c r="B98" i="27"/>
  <c r="C98" i="27"/>
  <c r="D98" i="27"/>
  <c r="B90" i="27"/>
  <c r="C90" i="27"/>
  <c r="D90" i="27"/>
  <c r="B82" i="27"/>
  <c r="C82" i="27"/>
  <c r="D82" i="27"/>
  <c r="B74" i="27"/>
  <c r="C74" i="27"/>
  <c r="D74" i="27"/>
  <c r="B66" i="27"/>
  <c r="C66" i="27"/>
  <c r="D66" i="27"/>
  <c r="B58" i="27"/>
  <c r="C58" i="27"/>
  <c r="D58" i="27"/>
  <c r="B50" i="27"/>
  <c r="C50" i="27"/>
  <c r="D50" i="27"/>
  <c r="B42" i="27"/>
  <c r="C42" i="27"/>
  <c r="D42" i="27"/>
  <c r="B34" i="27"/>
  <c r="C34" i="27"/>
  <c r="D34" i="27"/>
  <c r="B26" i="27"/>
  <c r="C26" i="27"/>
  <c r="D26" i="27"/>
  <c r="B18" i="27"/>
  <c r="C18" i="27"/>
  <c r="D18" i="27"/>
  <c r="B10" i="27"/>
  <c r="C10" i="27"/>
  <c r="D10" i="27"/>
  <c r="B140" i="27"/>
  <c r="C140" i="27"/>
  <c r="D140" i="27"/>
  <c r="B171" i="27"/>
  <c r="C171" i="27"/>
  <c r="D171" i="27"/>
  <c r="B177" i="27"/>
  <c r="C177" i="27"/>
  <c r="D177" i="27"/>
  <c r="B169" i="27"/>
  <c r="C169" i="27"/>
  <c r="D169" i="27"/>
  <c r="B161" i="27"/>
  <c r="C161" i="27"/>
  <c r="D161" i="27"/>
  <c r="B153" i="27"/>
  <c r="C153" i="27"/>
  <c r="D153" i="27"/>
  <c r="B145" i="27"/>
  <c r="C145" i="27"/>
  <c r="D145" i="27"/>
  <c r="B129" i="27"/>
  <c r="C129" i="27"/>
  <c r="D129" i="27"/>
  <c r="B121" i="27"/>
  <c r="C121" i="27"/>
  <c r="D121" i="27"/>
  <c r="B113" i="27"/>
  <c r="C113" i="27"/>
  <c r="D113" i="27"/>
  <c r="B105" i="27"/>
  <c r="C105" i="27"/>
  <c r="D105" i="27"/>
  <c r="B97" i="27"/>
  <c r="C97" i="27"/>
  <c r="D97" i="27"/>
  <c r="B89" i="27"/>
  <c r="C89" i="27"/>
  <c r="D89" i="27"/>
  <c r="B81" i="27"/>
  <c r="C81" i="27"/>
  <c r="D81" i="27"/>
  <c r="B73" i="27"/>
  <c r="C73" i="27"/>
  <c r="D73" i="27"/>
  <c r="B65" i="27"/>
  <c r="C65" i="27"/>
  <c r="D65" i="27"/>
  <c r="B57" i="27"/>
  <c r="C57" i="27"/>
  <c r="D57" i="27"/>
  <c r="B49" i="27"/>
  <c r="C49" i="27"/>
  <c r="D49" i="27"/>
  <c r="B41" i="27"/>
  <c r="C41" i="27"/>
  <c r="D41" i="27"/>
  <c r="B33" i="27"/>
  <c r="C33" i="27"/>
  <c r="D33" i="27"/>
  <c r="B25" i="27"/>
  <c r="C25" i="27"/>
  <c r="D25" i="27"/>
  <c r="B17" i="27"/>
  <c r="C17" i="27"/>
  <c r="D17" i="27"/>
  <c r="B5" i="9" l="1"/>
  <c r="B5" i="25"/>
  <c r="C4" i="8"/>
  <c r="B4" i="24"/>
  <c r="C4" i="24"/>
  <c r="B4" i="8" l="1"/>
  <c r="D1" i="30" l="1"/>
  <c r="N2" i="26"/>
  <c r="N2" i="24"/>
  <c r="D4" i="30"/>
  <c r="D3" i="30"/>
  <c r="N2" i="8" l="1"/>
  <c r="D2" i="30"/>
  <c r="D9" i="30"/>
  <c r="K31" i="30"/>
  <c r="K32" i="30"/>
  <c r="K33" i="30"/>
  <c r="K34" i="30"/>
  <c r="K35" i="30"/>
  <c r="K36" i="30"/>
  <c r="K37" i="30"/>
  <c r="K38" i="30"/>
  <c r="K30" i="30"/>
  <c r="I31" i="30"/>
  <c r="I32" i="30"/>
  <c r="I33" i="30"/>
  <c r="I34" i="30"/>
  <c r="I35" i="30"/>
  <c r="I36" i="30"/>
  <c r="I37" i="30"/>
  <c r="I38" i="30"/>
  <c r="I30" i="30"/>
  <c r="K22" i="30"/>
  <c r="K23" i="30"/>
  <c r="K24" i="30"/>
  <c r="K25" i="30"/>
  <c r="K21" i="30"/>
  <c r="I22" i="30"/>
  <c r="I23" i="30"/>
  <c r="I24" i="30"/>
  <c r="I25" i="30"/>
  <c r="I21" i="30"/>
  <c r="E39" i="30"/>
  <c r="G38" i="30"/>
  <c r="G37" i="30"/>
  <c r="G36" i="30"/>
  <c r="G35" i="30"/>
  <c r="G34" i="30"/>
  <c r="G33" i="30"/>
  <c r="G32" i="30"/>
  <c r="G31" i="30"/>
  <c r="G30" i="30"/>
  <c r="E26" i="30"/>
  <c r="K39" i="30" l="1"/>
  <c r="G39" i="30"/>
  <c r="I39" i="30"/>
  <c r="K26" i="30"/>
  <c r="I26" i="30"/>
  <c r="G26" i="30"/>
  <c r="L26" i="30" l="1"/>
  <c r="H123" i="2"/>
  <c r="C73" i="4"/>
  <c r="C74" i="4"/>
  <c r="C75" i="4"/>
  <c r="C76" i="4"/>
  <c r="C77" i="4"/>
  <c r="C78" i="4"/>
  <c r="C79" i="4"/>
  <c r="C80" i="4"/>
  <c r="C81" i="4"/>
  <c r="C82" i="4"/>
  <c r="B74" i="4"/>
  <c r="B75" i="4"/>
  <c r="B76" i="4"/>
  <c r="B77" i="4"/>
  <c r="B78" i="4"/>
  <c r="B79" i="4"/>
  <c r="B80" i="4"/>
  <c r="K128" i="2"/>
  <c r="K66" i="2"/>
  <c r="B27" i="4"/>
  <c r="J123" i="2" l="1"/>
  <c r="N1" i="8" l="1"/>
  <c r="N1" i="24"/>
  <c r="N1" i="26"/>
  <c r="W9" i="26"/>
  <c r="W10" i="26"/>
  <c r="W11" i="26"/>
  <c r="W12" i="26"/>
  <c r="W13" i="26"/>
  <c r="W14" i="26"/>
  <c r="W15" i="26"/>
  <c r="W16" i="26"/>
  <c r="W17" i="26"/>
  <c r="W18" i="26"/>
  <c r="W19" i="26"/>
  <c r="W20" i="26"/>
  <c r="W21" i="26"/>
  <c r="W22" i="26"/>
  <c r="W23" i="26"/>
  <c r="W24" i="26"/>
  <c r="W25" i="26"/>
  <c r="W26" i="26"/>
  <c r="W27" i="26"/>
  <c r="W28" i="26"/>
  <c r="W29" i="26"/>
  <c r="W30" i="26"/>
  <c r="W31" i="26"/>
  <c r="W32" i="26"/>
  <c r="W33" i="26"/>
  <c r="W34" i="26"/>
  <c r="W35" i="26"/>
  <c r="W36" i="26"/>
  <c r="W37" i="26"/>
  <c r="W38" i="26"/>
  <c r="W39" i="26"/>
  <c r="W40" i="26"/>
  <c r="W41" i="26"/>
  <c r="W42" i="26"/>
  <c r="W43" i="26"/>
  <c r="W44" i="26"/>
  <c r="W45" i="26"/>
  <c r="W46" i="26"/>
  <c r="W47" i="26"/>
  <c r="W48" i="26"/>
  <c r="W49" i="26"/>
  <c r="W50" i="26"/>
  <c r="W51" i="26"/>
  <c r="W52" i="26"/>
  <c r="W53" i="26"/>
  <c r="W54" i="26"/>
  <c r="W55" i="26"/>
  <c r="W56" i="26"/>
  <c r="W57" i="26"/>
  <c r="W58" i="26"/>
  <c r="W59" i="26"/>
  <c r="W8" i="26"/>
  <c r="W8" i="24"/>
  <c r="W13" i="24"/>
  <c r="W14" i="24"/>
  <c r="W15" i="24"/>
  <c r="W16" i="24"/>
  <c r="W17" i="24"/>
  <c r="W18" i="24"/>
  <c r="W19" i="24"/>
  <c r="W20" i="24"/>
  <c r="W21" i="24"/>
  <c r="W22" i="24"/>
  <c r="W23" i="24"/>
  <c r="W24" i="24"/>
  <c r="W25" i="24"/>
  <c r="W26" i="24"/>
  <c r="W27" i="24"/>
  <c r="W28" i="24"/>
  <c r="W29" i="24"/>
  <c r="W30" i="24"/>
  <c r="W31" i="24"/>
  <c r="W32" i="24"/>
  <c r="W33" i="24"/>
  <c r="W34" i="24"/>
  <c r="W35" i="24"/>
  <c r="W36" i="24"/>
  <c r="W37" i="24"/>
  <c r="W38" i="24"/>
  <c r="W39" i="24"/>
  <c r="W40" i="24"/>
  <c r="W41" i="24"/>
  <c r="W42" i="24"/>
  <c r="W43" i="24"/>
  <c r="W44" i="24"/>
  <c r="W45" i="24"/>
  <c r="W46" i="24"/>
  <c r="W47" i="24"/>
  <c r="W48" i="24"/>
  <c r="W49" i="24"/>
  <c r="W50" i="24"/>
  <c r="W51" i="24"/>
  <c r="W52" i="24"/>
  <c r="W53" i="24"/>
  <c r="W54" i="24"/>
  <c r="W55" i="24"/>
  <c r="W56" i="24"/>
  <c r="W57" i="24"/>
  <c r="W58" i="24"/>
  <c r="W59" i="24"/>
  <c r="W12" i="24"/>
  <c r="W11" i="24"/>
  <c r="W10" i="24"/>
  <c r="W9" i="24"/>
  <c r="B8" i="24"/>
  <c r="A8" i="24" s="1"/>
  <c r="L8" i="8" l="1"/>
  <c r="L8" i="24"/>
  <c r="K7" i="27"/>
  <c r="K6" i="27"/>
  <c r="K5" i="27"/>
  <c r="K4" i="27"/>
  <c r="K3" i="27"/>
  <c r="K7" i="25"/>
  <c r="K6" i="25"/>
  <c r="K5" i="25"/>
  <c r="K4" i="25"/>
  <c r="K3" i="25"/>
  <c r="K7" i="9"/>
  <c r="K6" i="9"/>
  <c r="K5" i="9"/>
  <c r="K4" i="9"/>
  <c r="K3" i="9"/>
  <c r="L4" i="26"/>
  <c r="L4" i="24"/>
  <c r="L4" i="8"/>
  <c r="R10" i="25" l="1"/>
  <c r="R11" i="25"/>
  <c r="R12" i="25"/>
  <c r="R13" i="25"/>
  <c r="R14" i="25"/>
  <c r="R15" i="25"/>
  <c r="R16" i="25"/>
  <c r="R17" i="25"/>
  <c r="R18" i="25"/>
  <c r="R19" i="25"/>
  <c r="R20" i="25"/>
  <c r="R21" i="25"/>
  <c r="R22" i="25"/>
  <c r="R23" i="25"/>
  <c r="R24" i="25"/>
  <c r="R25" i="25"/>
  <c r="R26" i="25"/>
  <c r="R27" i="25"/>
  <c r="R28" i="25"/>
  <c r="R29" i="25"/>
  <c r="R30" i="25"/>
  <c r="R31" i="25"/>
  <c r="R32" i="25"/>
  <c r="R33" i="25"/>
  <c r="R34" i="25"/>
  <c r="R35" i="25"/>
  <c r="R36" i="25"/>
  <c r="R37" i="25"/>
  <c r="R38" i="25"/>
  <c r="R39" i="25"/>
  <c r="R40" i="25"/>
  <c r="R41" i="25"/>
  <c r="R42" i="25"/>
  <c r="R43" i="25"/>
  <c r="R44" i="25"/>
  <c r="R45" i="25"/>
  <c r="R46" i="25"/>
  <c r="R47" i="25"/>
  <c r="R48" i="25"/>
  <c r="R49" i="25"/>
  <c r="R50" i="25"/>
  <c r="R51" i="25"/>
  <c r="R52" i="25"/>
  <c r="R53" i="25"/>
  <c r="R54" i="25"/>
  <c r="R55" i="25"/>
  <c r="R56" i="25"/>
  <c r="R57" i="25"/>
  <c r="R58" i="25"/>
  <c r="R59" i="25"/>
  <c r="R60" i="25"/>
  <c r="R61" i="25"/>
  <c r="R62" i="25"/>
  <c r="R63" i="25"/>
  <c r="R64" i="25"/>
  <c r="R65" i="25"/>
  <c r="R66" i="25"/>
  <c r="R67" i="25"/>
  <c r="R68" i="25"/>
  <c r="R69" i="25"/>
  <c r="R70" i="25"/>
  <c r="R71" i="25"/>
  <c r="R72" i="25"/>
  <c r="R73" i="25"/>
  <c r="R74" i="25"/>
  <c r="R75" i="25"/>
  <c r="R76" i="25"/>
  <c r="R77" i="25"/>
  <c r="R78" i="25"/>
  <c r="R79" i="25"/>
  <c r="R80" i="25"/>
  <c r="R81" i="25"/>
  <c r="R82" i="25"/>
  <c r="R83" i="25"/>
  <c r="R84" i="25"/>
  <c r="R85" i="25"/>
  <c r="R86" i="25"/>
  <c r="R87" i="25"/>
  <c r="R88" i="25"/>
  <c r="R89" i="25"/>
  <c r="R90" i="25"/>
  <c r="R91" i="25"/>
  <c r="R92" i="25"/>
  <c r="R93" i="25"/>
  <c r="R94" i="25"/>
  <c r="R95" i="25"/>
  <c r="R96" i="25"/>
  <c r="R97" i="25"/>
  <c r="R98" i="25"/>
  <c r="R99" i="25"/>
  <c r="R100" i="25"/>
  <c r="R101" i="25"/>
  <c r="R102" i="25"/>
  <c r="R103" i="25"/>
  <c r="R104" i="25"/>
  <c r="R105" i="25"/>
  <c r="R106" i="25"/>
  <c r="R107" i="25"/>
  <c r="R108" i="25"/>
  <c r="R109" i="25"/>
  <c r="R110" i="25"/>
  <c r="R111" i="25"/>
  <c r="R112" i="25"/>
  <c r="R113" i="25"/>
  <c r="R114" i="25"/>
  <c r="R115" i="25"/>
  <c r="R116" i="25"/>
  <c r="R117" i="25"/>
  <c r="R118" i="25"/>
  <c r="R119" i="25"/>
  <c r="R120" i="25"/>
  <c r="R121" i="25"/>
  <c r="R122" i="25"/>
  <c r="R123" i="25"/>
  <c r="R124" i="25"/>
  <c r="R125" i="25"/>
  <c r="R126" i="25"/>
  <c r="R127" i="25"/>
  <c r="R128" i="25"/>
  <c r="R129" i="25"/>
  <c r="R130" i="25"/>
  <c r="R131" i="25"/>
  <c r="R132" i="25"/>
  <c r="R133" i="25"/>
  <c r="R134" i="25"/>
  <c r="R135" i="25"/>
  <c r="R136" i="25"/>
  <c r="R137" i="25"/>
  <c r="R138" i="25"/>
  <c r="R139" i="25"/>
  <c r="R140" i="25"/>
  <c r="R141" i="25"/>
  <c r="R142" i="25"/>
  <c r="R143" i="25"/>
  <c r="R144" i="25"/>
  <c r="R145" i="25"/>
  <c r="R146" i="25"/>
  <c r="R147" i="25"/>
  <c r="R148" i="25"/>
  <c r="R149" i="25"/>
  <c r="R150" i="25"/>
  <c r="R151" i="25"/>
  <c r="R152" i="25"/>
  <c r="R153" i="25"/>
  <c r="R154" i="25"/>
  <c r="R155" i="25"/>
  <c r="R156" i="25"/>
  <c r="R157" i="25"/>
  <c r="R158" i="25"/>
  <c r="R159" i="25"/>
  <c r="R160" i="25"/>
  <c r="R161" i="25"/>
  <c r="R162" i="25"/>
  <c r="R163" i="25"/>
  <c r="R164" i="25"/>
  <c r="R165" i="25"/>
  <c r="R166" i="25"/>
  <c r="R167" i="25"/>
  <c r="R168" i="25"/>
  <c r="R169" i="25"/>
  <c r="R170" i="25"/>
  <c r="R171" i="25"/>
  <c r="R172" i="25"/>
  <c r="R173" i="25"/>
  <c r="R174" i="25"/>
  <c r="R175" i="25"/>
  <c r="R176" i="25"/>
  <c r="R177" i="25"/>
  <c r="R178" i="25"/>
  <c r="R179" i="25"/>
  <c r="R180" i="25"/>
  <c r="R181" i="25"/>
  <c r="R182" i="25"/>
  <c r="R183" i="25"/>
  <c r="R184" i="25"/>
  <c r="R185" i="25"/>
  <c r="R186" i="25"/>
  <c r="R187" i="25"/>
  <c r="R188" i="25"/>
  <c r="R189" i="25"/>
  <c r="R190" i="25"/>
  <c r="R191" i="25"/>
  <c r="R192" i="25"/>
  <c r="R193" i="25"/>
  <c r="R194" i="25"/>
  <c r="R195" i="25"/>
  <c r="A114" i="25" l="1" a="1"/>
  <c r="A114" i="25" s="1"/>
  <c r="A115" i="25" a="1"/>
  <c r="A115" i="25" s="1"/>
  <c r="A116" i="25" a="1"/>
  <c r="A116" i="25" s="1"/>
  <c r="A117" i="25" a="1"/>
  <c r="A117" i="25" s="1"/>
  <c r="A118" i="25" a="1"/>
  <c r="A118" i="25" s="1"/>
  <c r="A119" i="25" a="1"/>
  <c r="A119" i="25" s="1"/>
  <c r="A120" i="25" a="1"/>
  <c r="A120" i="25" s="1"/>
  <c r="A121" i="25" a="1"/>
  <c r="A121" i="25" s="1"/>
  <c r="A122" i="25" a="1"/>
  <c r="A122" i="25" s="1"/>
  <c r="A123" i="25" a="1"/>
  <c r="A123" i="25" s="1"/>
  <c r="A124" i="25" a="1"/>
  <c r="A124" i="25" s="1"/>
  <c r="A125" i="25" a="1"/>
  <c r="A125" i="25" s="1"/>
  <c r="A126" i="25" a="1"/>
  <c r="A126" i="25" s="1"/>
  <c r="A127" i="25" a="1"/>
  <c r="A127" i="25" s="1"/>
  <c r="A128" i="25" a="1"/>
  <c r="A128" i="25" s="1"/>
  <c r="A129" i="25" a="1"/>
  <c r="A129" i="25" s="1"/>
  <c r="A130" i="25" a="1"/>
  <c r="A130" i="25" s="1"/>
  <c r="A131" i="25" a="1"/>
  <c r="A131" i="25" s="1"/>
  <c r="A132" i="25" a="1"/>
  <c r="A132" i="25" s="1"/>
  <c r="A133" i="25" a="1"/>
  <c r="A133" i="25" s="1"/>
  <c r="A134" i="25" a="1"/>
  <c r="A134" i="25" s="1"/>
  <c r="A135" i="25" a="1"/>
  <c r="A135" i="25" s="1"/>
  <c r="A136" i="25" a="1"/>
  <c r="A136" i="25" s="1"/>
  <c r="A137" i="25" a="1"/>
  <c r="A137" i="25" s="1"/>
  <c r="A138" i="25" a="1"/>
  <c r="A138" i="25" s="1"/>
  <c r="A139" i="25" a="1"/>
  <c r="A139" i="25" s="1"/>
  <c r="A140" i="25" a="1"/>
  <c r="A140" i="25" s="1"/>
  <c r="A141" i="25" a="1"/>
  <c r="A141" i="25" s="1"/>
  <c r="A142" i="25" a="1"/>
  <c r="A142" i="25" s="1"/>
  <c r="A143" i="25" a="1"/>
  <c r="A143" i="25" s="1"/>
  <c r="A144" i="25" a="1"/>
  <c r="A144" i="25" s="1"/>
  <c r="A145" i="25" a="1"/>
  <c r="A145" i="25" s="1"/>
  <c r="A146" i="25" a="1"/>
  <c r="A146" i="25" s="1"/>
  <c r="A147" i="25" a="1"/>
  <c r="A147" i="25" s="1"/>
  <c r="A148" i="25" a="1"/>
  <c r="A148" i="25" s="1"/>
  <c r="A149" i="25" a="1"/>
  <c r="A149" i="25" s="1"/>
  <c r="A150" i="25" a="1"/>
  <c r="A150" i="25" s="1"/>
  <c r="A151" i="25" a="1"/>
  <c r="A151" i="25" s="1"/>
  <c r="A152" i="25" a="1"/>
  <c r="A152" i="25" s="1"/>
  <c r="A153" i="25" a="1"/>
  <c r="A153" i="25" s="1"/>
  <c r="A154" i="25" a="1"/>
  <c r="A154" i="25" s="1"/>
  <c r="A155" i="25" a="1"/>
  <c r="A155" i="25" s="1"/>
  <c r="A156" i="25" a="1"/>
  <c r="A156" i="25" s="1"/>
  <c r="A157" i="25" a="1"/>
  <c r="A157" i="25" s="1"/>
  <c r="A158" i="25" a="1"/>
  <c r="A158" i="25" s="1"/>
  <c r="A159" i="25" a="1"/>
  <c r="A159" i="25" s="1"/>
  <c r="A160" i="25" a="1"/>
  <c r="A160" i="25" s="1"/>
  <c r="A161" i="25" a="1"/>
  <c r="A161" i="25" s="1"/>
  <c r="A162" i="25" a="1"/>
  <c r="A162" i="25" s="1"/>
  <c r="A163" i="25" a="1"/>
  <c r="A163" i="25" s="1"/>
  <c r="A164" i="25" a="1"/>
  <c r="A164" i="25" s="1"/>
  <c r="A165" i="25" a="1"/>
  <c r="A165" i="25" s="1"/>
  <c r="A166" i="25" a="1"/>
  <c r="A166" i="25" s="1"/>
  <c r="A167" i="25" a="1"/>
  <c r="A167" i="25" s="1"/>
  <c r="A168" i="25" a="1"/>
  <c r="A168" i="25" s="1"/>
  <c r="A169" i="25" a="1"/>
  <c r="A169" i="25" s="1"/>
  <c r="A170" i="25" a="1"/>
  <c r="A170" i="25" s="1"/>
  <c r="A171" i="25" a="1"/>
  <c r="A171" i="25" s="1"/>
  <c r="A172" i="25" a="1"/>
  <c r="A172" i="25" s="1"/>
  <c r="A173" i="25" a="1"/>
  <c r="A173" i="25" s="1"/>
  <c r="A174" i="25" a="1"/>
  <c r="A174" i="25" s="1"/>
  <c r="A175" i="25" a="1"/>
  <c r="A175" i="25" s="1"/>
  <c r="A176" i="25" a="1"/>
  <c r="A176" i="25" s="1"/>
  <c r="A177" i="25" a="1"/>
  <c r="A177" i="25" s="1"/>
  <c r="A178" i="25" a="1"/>
  <c r="A178" i="25" s="1"/>
  <c r="A179" i="25" a="1"/>
  <c r="A179" i="25" s="1"/>
  <c r="A180" i="25" a="1"/>
  <c r="A180" i="25" s="1"/>
  <c r="A181" i="25" a="1"/>
  <c r="A181" i="25" s="1"/>
  <c r="A182" i="25" a="1"/>
  <c r="A182" i="25" s="1"/>
  <c r="A183" i="25" a="1"/>
  <c r="A183" i="25" s="1"/>
  <c r="A184" i="25" a="1"/>
  <c r="A184" i="25" s="1"/>
  <c r="A185" i="25" a="1"/>
  <c r="A185" i="25" s="1"/>
  <c r="A186" i="25" a="1"/>
  <c r="A186" i="25" s="1"/>
  <c r="A187" i="25" a="1"/>
  <c r="A187" i="25" s="1"/>
  <c r="A188" i="25" a="1"/>
  <c r="A188" i="25" s="1"/>
  <c r="A189" i="25" a="1"/>
  <c r="A189" i="25" s="1"/>
  <c r="A190" i="25" a="1"/>
  <c r="A190" i="25" s="1"/>
  <c r="A191" i="25" a="1"/>
  <c r="A191" i="25" s="1"/>
  <c r="A192" i="25" a="1"/>
  <c r="A192" i="25" s="1"/>
  <c r="A193" i="25" a="1"/>
  <c r="A193" i="25" s="1"/>
  <c r="A194" i="25" a="1"/>
  <c r="A194" i="25" s="1"/>
  <c r="A195" i="25" a="1"/>
  <c r="A195" i="25" s="1"/>
  <c r="A113" i="9" l="1" a="1"/>
  <c r="A113" i="9" s="1"/>
  <c r="A114" i="9" a="1"/>
  <c r="A114" i="9" s="1"/>
  <c r="A115" i="9" a="1"/>
  <c r="A115" i="9" s="1"/>
  <c r="A116" i="9" a="1"/>
  <c r="A116" i="9" s="1"/>
  <c r="A117" i="9" a="1"/>
  <c r="A117" i="9" s="1"/>
  <c r="A118" i="9" a="1"/>
  <c r="A118" i="9" s="1"/>
  <c r="A119" i="9" a="1"/>
  <c r="A119" i="9" s="1"/>
  <c r="A120" i="9" a="1"/>
  <c r="A120" i="9" s="1"/>
  <c r="A121" i="9" a="1"/>
  <c r="A121" i="9" s="1"/>
  <c r="A122" i="9" a="1"/>
  <c r="A122" i="9" s="1"/>
  <c r="A123" i="9" a="1"/>
  <c r="A123" i="9" s="1"/>
  <c r="A124" i="9" a="1"/>
  <c r="A124" i="9" s="1"/>
  <c r="A125" i="9" a="1"/>
  <c r="A125" i="9" s="1"/>
  <c r="A126" i="9" a="1"/>
  <c r="A126" i="9" s="1"/>
  <c r="A127" i="9" a="1"/>
  <c r="A127" i="9" s="1"/>
  <c r="A128" i="9" a="1"/>
  <c r="A128" i="9" s="1"/>
  <c r="A129" i="9" a="1"/>
  <c r="A129" i="9" s="1"/>
  <c r="A130" i="9" a="1"/>
  <c r="A130" i="9" s="1"/>
  <c r="A131" i="9" a="1"/>
  <c r="A131" i="9" s="1"/>
  <c r="A132" i="9" a="1"/>
  <c r="A132" i="9" s="1"/>
  <c r="A133" i="9" a="1"/>
  <c r="A133" i="9" s="1"/>
  <c r="A134" i="9" a="1"/>
  <c r="A134" i="9" s="1"/>
  <c r="A135" i="9" a="1"/>
  <c r="A135" i="9" s="1"/>
  <c r="A136" i="9" a="1"/>
  <c r="A136" i="9" s="1"/>
  <c r="A137" i="9" a="1"/>
  <c r="A137" i="9" s="1"/>
  <c r="A138" i="9" a="1"/>
  <c r="A138" i="9" s="1"/>
  <c r="A139" i="9" a="1"/>
  <c r="A139" i="9" s="1"/>
  <c r="A140" i="9" a="1"/>
  <c r="A140" i="9" s="1"/>
  <c r="A141" i="9" a="1"/>
  <c r="A141" i="9" s="1"/>
  <c r="A142" i="9" a="1"/>
  <c r="A142" i="9" s="1"/>
  <c r="A143" i="9" a="1"/>
  <c r="A143" i="9" s="1"/>
  <c r="A144" i="9" a="1"/>
  <c r="A144" i="9" s="1"/>
  <c r="A145" i="9" a="1"/>
  <c r="A145" i="9" s="1"/>
  <c r="A146" i="9" a="1"/>
  <c r="A146" i="9" s="1"/>
  <c r="A147" i="9" a="1"/>
  <c r="A147" i="9" s="1"/>
  <c r="A148" i="9" a="1"/>
  <c r="A148" i="9" s="1"/>
  <c r="A149" i="9" a="1"/>
  <c r="A149" i="9" s="1"/>
  <c r="A150" i="9" a="1"/>
  <c r="A150" i="9" s="1"/>
  <c r="A151" i="9" a="1"/>
  <c r="A151" i="9" s="1"/>
  <c r="A152" i="9" a="1"/>
  <c r="A152" i="9" s="1"/>
  <c r="A153" i="9" a="1"/>
  <c r="A153" i="9" s="1"/>
  <c r="A154" i="9" a="1"/>
  <c r="A154" i="9" s="1"/>
  <c r="A155" i="9" a="1"/>
  <c r="A155" i="9" s="1"/>
  <c r="A156" i="9" a="1"/>
  <c r="A156" i="9" s="1"/>
  <c r="A157" i="9" a="1"/>
  <c r="A157" i="9" s="1"/>
  <c r="A158" i="9" a="1"/>
  <c r="A158" i="9" s="1"/>
  <c r="A159" i="9" a="1"/>
  <c r="A159" i="9" s="1"/>
  <c r="A160" i="9" a="1"/>
  <c r="A160" i="9" s="1"/>
  <c r="A161" i="9" a="1"/>
  <c r="A161" i="9" s="1"/>
  <c r="A162" i="9" a="1"/>
  <c r="A162" i="9" s="1"/>
  <c r="A163" i="9" a="1"/>
  <c r="A163" i="9" s="1"/>
  <c r="A164" i="9" a="1"/>
  <c r="A164" i="9" s="1"/>
  <c r="A165" i="9" a="1"/>
  <c r="A165" i="9" s="1"/>
  <c r="A166" i="9" a="1"/>
  <c r="A166" i="9" s="1"/>
  <c r="A167" i="9" a="1"/>
  <c r="A167" i="9" s="1"/>
  <c r="A168" i="9" a="1"/>
  <c r="A168" i="9" s="1"/>
  <c r="A169" i="9" a="1"/>
  <c r="A169" i="9" s="1"/>
  <c r="A170" i="9" a="1"/>
  <c r="A170" i="9" s="1"/>
  <c r="A171" i="9" a="1"/>
  <c r="A171" i="9" s="1"/>
  <c r="A172" i="9" a="1"/>
  <c r="A172" i="9" s="1"/>
  <c r="A173" i="9" a="1"/>
  <c r="A173" i="9" s="1"/>
  <c r="A174" i="9" a="1"/>
  <c r="A174" i="9" s="1"/>
  <c r="A175" i="9" a="1"/>
  <c r="A175" i="9" s="1"/>
  <c r="A176" i="9" a="1"/>
  <c r="A176" i="9" s="1"/>
  <c r="A177" i="9" a="1"/>
  <c r="A177" i="9" s="1"/>
  <c r="A178" i="9" a="1"/>
  <c r="A178" i="9" s="1"/>
  <c r="A179" i="9" a="1"/>
  <c r="A179" i="9" s="1"/>
  <c r="A180" i="9" a="1"/>
  <c r="A180" i="9" s="1"/>
  <c r="A181" i="9" a="1"/>
  <c r="A181" i="9" s="1"/>
  <c r="A182" i="9" a="1"/>
  <c r="A182" i="9" s="1"/>
  <c r="A183" i="9" a="1"/>
  <c r="A183" i="9" s="1"/>
  <c r="A184" i="9" a="1"/>
  <c r="A184" i="9" s="1"/>
  <c r="A185" i="9" a="1"/>
  <c r="A185" i="9" s="1"/>
  <c r="A186" i="9" a="1"/>
  <c r="A186" i="9" s="1"/>
  <c r="A187" i="9" a="1"/>
  <c r="A187" i="9" s="1"/>
  <c r="A188" i="9" a="1"/>
  <c r="A188" i="9" s="1"/>
  <c r="A189" i="9" a="1"/>
  <c r="A189" i="9" s="1"/>
  <c r="A190" i="9" a="1"/>
  <c r="A190" i="9" s="1"/>
  <c r="A191" i="9" a="1"/>
  <c r="A191" i="9" s="1"/>
  <c r="A192" i="9" a="1"/>
  <c r="A192" i="9" s="1"/>
  <c r="A193" i="9" a="1"/>
  <c r="A193" i="9" s="1"/>
  <c r="C92" i="4" l="1"/>
  <c r="C93" i="4"/>
  <c r="C94" i="4"/>
  <c r="C95" i="4"/>
  <c r="K126" i="2"/>
  <c r="K127" i="2"/>
  <c r="I123" i="2"/>
  <c r="I105" i="2"/>
  <c r="I106" i="2"/>
  <c r="I107" i="2"/>
  <c r="I108" i="2"/>
  <c r="I109" i="2"/>
  <c r="I111" i="2"/>
  <c r="I112" i="2"/>
  <c r="I113" i="2"/>
  <c r="I114" i="2"/>
  <c r="I115" i="2"/>
  <c r="I116" i="2"/>
  <c r="I118" i="2"/>
  <c r="I120" i="2"/>
  <c r="I134" i="2"/>
  <c r="I135" i="2"/>
  <c r="I136" i="2"/>
  <c r="I137" i="2"/>
  <c r="I138" i="2"/>
  <c r="I139" i="2"/>
  <c r="I140" i="2"/>
  <c r="I141" i="2"/>
  <c r="I143" i="2"/>
  <c r="I144" i="2"/>
  <c r="I145" i="2"/>
  <c r="I146" i="2"/>
  <c r="I147" i="2"/>
  <c r="I148" i="2"/>
  <c r="I149" i="2"/>
  <c r="I151" i="2"/>
  <c r="I152" i="2"/>
  <c r="I153" i="2"/>
  <c r="I155" i="2"/>
  <c r="I156" i="2"/>
  <c r="I157" i="2"/>
  <c r="I158" i="2"/>
  <c r="I159" i="2"/>
  <c r="I160" i="2"/>
  <c r="I161" i="2"/>
  <c r="I162" i="2"/>
  <c r="I163" i="2"/>
  <c r="I164" i="2"/>
  <c r="I165" i="2"/>
  <c r="I166" i="2"/>
  <c r="I167" i="2"/>
  <c r="I168" i="2"/>
  <c r="I169" i="2"/>
  <c r="I171" i="2"/>
  <c r="I172" i="2"/>
  <c r="I173" i="2"/>
  <c r="I174" i="2"/>
  <c r="I176" i="2"/>
  <c r="I104" i="2"/>
  <c r="I103" i="2"/>
  <c r="I102" i="2"/>
  <c r="I101" i="2"/>
  <c r="I99" i="2"/>
  <c r="I98" i="2"/>
  <c r="I97" i="2"/>
  <c r="I96" i="2"/>
  <c r="I95" i="2"/>
  <c r="I93" i="2"/>
  <c r="I92" i="2"/>
  <c r="I90" i="2"/>
  <c r="I89" i="2"/>
  <c r="I88" i="2"/>
  <c r="I87" i="2"/>
  <c r="I86" i="2"/>
  <c r="I85" i="2"/>
  <c r="I83" i="2"/>
  <c r="I82" i="2"/>
  <c r="I81" i="2"/>
  <c r="I80" i="2"/>
  <c r="I79" i="2"/>
  <c r="I78" i="2"/>
  <c r="I77" i="2"/>
  <c r="I76" i="2"/>
  <c r="I75" i="2"/>
  <c r="I74" i="2"/>
  <c r="I73" i="2"/>
  <c r="I72" i="2"/>
  <c r="I71" i="2"/>
  <c r="I70" i="2"/>
  <c r="I69" i="2"/>
  <c r="I67" i="2"/>
  <c r="I66" i="2"/>
  <c r="I65" i="2"/>
  <c r="I64" i="2"/>
  <c r="I63" i="2"/>
  <c r="I61" i="2"/>
  <c r="I60" i="2"/>
  <c r="I59" i="2"/>
  <c r="I58" i="2"/>
  <c r="I57" i="2"/>
  <c r="I56" i="2"/>
  <c r="I55" i="2"/>
  <c r="I54" i="2"/>
  <c r="I52" i="2"/>
  <c r="I51" i="2"/>
  <c r="I50" i="2"/>
  <c r="I49" i="2"/>
  <c r="I48" i="2"/>
  <c r="I47" i="2"/>
  <c r="I46" i="2"/>
  <c r="I45" i="2"/>
  <c r="K109" i="2"/>
  <c r="B92" i="4"/>
  <c r="B93" i="4"/>
  <c r="B94" i="4"/>
  <c r="B95" i="4"/>
  <c r="K82" i="2" l="1"/>
  <c r="K83" i="2"/>
  <c r="K47" i="2"/>
  <c r="K48" i="2"/>
  <c r="K46" i="2"/>
  <c r="K176" i="2" l="1"/>
  <c r="K174" i="2"/>
  <c r="K173" i="2"/>
  <c r="K172" i="2"/>
  <c r="K171" i="2"/>
  <c r="K169" i="2"/>
  <c r="K168" i="2"/>
  <c r="K167" i="2"/>
  <c r="K166" i="2"/>
  <c r="K165" i="2"/>
  <c r="K164" i="2"/>
  <c r="K163" i="2"/>
  <c r="K162" i="2"/>
  <c r="K161" i="2"/>
  <c r="K160" i="2"/>
  <c r="K159" i="2"/>
  <c r="K158" i="2"/>
  <c r="K157" i="2"/>
  <c r="K156" i="2"/>
  <c r="K155" i="2"/>
  <c r="K153" i="2"/>
  <c r="K152" i="2"/>
  <c r="K151" i="2"/>
  <c r="K149" i="2"/>
  <c r="K148" i="2"/>
  <c r="K147" i="2"/>
  <c r="K146" i="2"/>
  <c r="K145" i="2"/>
  <c r="K144" i="2"/>
  <c r="K143" i="2"/>
  <c r="K141" i="2"/>
  <c r="K140" i="2"/>
  <c r="K139" i="2"/>
  <c r="K138" i="2"/>
  <c r="K137" i="2"/>
  <c r="K136" i="2"/>
  <c r="K135" i="2"/>
  <c r="K134" i="2"/>
  <c r="K132" i="2"/>
  <c r="K131" i="2"/>
  <c r="K130" i="2"/>
  <c r="K129" i="2"/>
  <c r="K125" i="2"/>
  <c r="K123" i="2"/>
  <c r="K122" i="2"/>
  <c r="K120" i="2"/>
  <c r="K118" i="2"/>
  <c r="K115" i="2"/>
  <c r="K108" i="2"/>
  <c r="K107" i="2"/>
  <c r="K106" i="2"/>
  <c r="K105" i="2"/>
  <c r="K102" i="2"/>
  <c r="K101" i="2"/>
  <c r="K99" i="2"/>
  <c r="K98" i="2"/>
  <c r="K97" i="2"/>
  <c r="K96" i="2"/>
  <c r="K95" i="2"/>
  <c r="K88" i="2"/>
  <c r="K86" i="2"/>
  <c r="K80" i="2"/>
  <c r="K79" i="2"/>
  <c r="K78" i="2"/>
  <c r="K77" i="2"/>
  <c r="K76" i="2"/>
  <c r="K75" i="2"/>
  <c r="K74" i="2"/>
  <c r="K73" i="2"/>
  <c r="K65" i="2"/>
  <c r="K64" i="2"/>
  <c r="K61" i="2"/>
  <c r="K60" i="2"/>
  <c r="K59" i="2"/>
  <c r="K58" i="2"/>
  <c r="K57" i="2"/>
  <c r="K56" i="2"/>
  <c r="K55" i="2"/>
  <c r="K54" i="2"/>
  <c r="Q2" i="29"/>
  <c r="O2" i="29"/>
  <c r="D2" i="29"/>
  <c r="C2" i="29"/>
  <c r="O2" i="28"/>
  <c r="Q2" i="28"/>
  <c r="D2" i="28"/>
  <c r="C2" i="28"/>
  <c r="K8" i="26"/>
  <c r="K9" i="26"/>
  <c r="K10" i="26"/>
  <c r="K11" i="26"/>
  <c r="K12" i="26"/>
  <c r="K13" i="26"/>
  <c r="K14" i="26"/>
  <c r="K15" i="26"/>
  <c r="K16" i="26"/>
  <c r="K17" i="26"/>
  <c r="K18" i="26"/>
  <c r="K19" i="26"/>
  <c r="K20" i="26"/>
  <c r="K21" i="26"/>
  <c r="K22" i="26"/>
  <c r="K23" i="26"/>
  <c r="K24" i="26"/>
  <c r="K25" i="26"/>
  <c r="K26" i="26"/>
  <c r="K27" i="26"/>
  <c r="K28" i="26"/>
  <c r="K29" i="26"/>
  <c r="K30" i="26"/>
  <c r="K31" i="26"/>
  <c r="K32" i="26"/>
  <c r="K33" i="26"/>
  <c r="K34" i="26"/>
  <c r="K35" i="26"/>
  <c r="K36" i="26"/>
  <c r="K37" i="26"/>
  <c r="K38" i="26"/>
  <c r="K39" i="26"/>
  <c r="K40" i="26"/>
  <c r="K41" i="26"/>
  <c r="K42" i="26"/>
  <c r="K43" i="26"/>
  <c r="K44" i="26"/>
  <c r="K45" i="26"/>
  <c r="K46" i="26"/>
  <c r="K47" i="26"/>
  <c r="K48" i="26"/>
  <c r="K49" i="26"/>
  <c r="K50" i="26"/>
  <c r="K51" i="26"/>
  <c r="K52" i="26"/>
  <c r="K53" i="26"/>
  <c r="K54" i="26"/>
  <c r="K55" i="26"/>
  <c r="K56" i="26"/>
  <c r="K57" i="26"/>
  <c r="K58" i="26"/>
  <c r="K59" i="26"/>
  <c r="J8" i="26"/>
  <c r="J9" i="26"/>
  <c r="J10" i="26"/>
  <c r="J11" i="26"/>
  <c r="J12" i="26"/>
  <c r="J13" i="26"/>
  <c r="J14" i="26"/>
  <c r="J15" i="26"/>
  <c r="J16" i="26"/>
  <c r="J17" i="26"/>
  <c r="J18" i="26"/>
  <c r="J19" i="26"/>
  <c r="J20" i="26"/>
  <c r="J21" i="26"/>
  <c r="J22" i="26"/>
  <c r="J23" i="26"/>
  <c r="J24" i="26"/>
  <c r="J25" i="26"/>
  <c r="J26" i="26"/>
  <c r="J27" i="26"/>
  <c r="J28" i="26"/>
  <c r="J29" i="26"/>
  <c r="J30" i="26"/>
  <c r="J31" i="26"/>
  <c r="J32" i="26"/>
  <c r="J33" i="26"/>
  <c r="J34" i="26"/>
  <c r="J35" i="26"/>
  <c r="J36" i="26"/>
  <c r="J37" i="26"/>
  <c r="J38" i="26"/>
  <c r="J39" i="26"/>
  <c r="J40" i="26"/>
  <c r="J41" i="26"/>
  <c r="J42" i="26"/>
  <c r="J43" i="26"/>
  <c r="J44" i="26"/>
  <c r="J45" i="26"/>
  <c r="J46" i="26"/>
  <c r="J47" i="26"/>
  <c r="J48" i="26"/>
  <c r="J49" i="26"/>
  <c r="J50" i="26"/>
  <c r="J51" i="26"/>
  <c r="J52" i="26"/>
  <c r="J53" i="26"/>
  <c r="J54" i="26"/>
  <c r="J55" i="26"/>
  <c r="J56" i="26"/>
  <c r="J57" i="26"/>
  <c r="J58" i="26"/>
  <c r="J59" i="26"/>
  <c r="B8" i="26"/>
  <c r="B9" i="26"/>
  <c r="A9" i="26" s="1"/>
  <c r="B10" i="26"/>
  <c r="B11" i="26"/>
  <c r="B12" i="26"/>
  <c r="B13" i="26"/>
  <c r="B14" i="26"/>
  <c r="B15" i="26"/>
  <c r="B16" i="26"/>
  <c r="B17" i="26"/>
  <c r="B18" i="26"/>
  <c r="B19" i="26"/>
  <c r="B20" i="26"/>
  <c r="B21" i="26"/>
  <c r="B22" i="26"/>
  <c r="B23" i="26"/>
  <c r="B24" i="26"/>
  <c r="B25" i="26"/>
  <c r="B26" i="26"/>
  <c r="B27" i="26"/>
  <c r="B28" i="26"/>
  <c r="B29" i="26"/>
  <c r="B30" i="26"/>
  <c r="B31" i="26"/>
  <c r="B32" i="26"/>
  <c r="B33" i="26"/>
  <c r="B34" i="26"/>
  <c r="B35" i="26"/>
  <c r="B36" i="26"/>
  <c r="B37" i="26"/>
  <c r="B38" i="26"/>
  <c r="B39" i="26"/>
  <c r="B40" i="26"/>
  <c r="B41" i="26"/>
  <c r="B42" i="26"/>
  <c r="B43" i="26"/>
  <c r="B44" i="26"/>
  <c r="B45" i="26"/>
  <c r="B46" i="26"/>
  <c r="B47" i="26"/>
  <c r="B48" i="26"/>
  <c r="B49" i="26"/>
  <c r="B50" i="26"/>
  <c r="B51" i="26"/>
  <c r="B52" i="26"/>
  <c r="B53" i="26"/>
  <c r="B54" i="26"/>
  <c r="B55" i="26"/>
  <c r="B56" i="26"/>
  <c r="B57" i="26"/>
  <c r="B58" i="26"/>
  <c r="B59" i="26"/>
  <c r="Z194" i="27"/>
  <c r="M194" i="27"/>
  <c r="K194" i="27"/>
  <c r="I194" i="27"/>
  <c r="H194" i="27"/>
  <c r="G194" i="27"/>
  <c r="Z193" i="27"/>
  <c r="M193" i="27"/>
  <c r="K193" i="27"/>
  <c r="I193" i="27"/>
  <c r="H193" i="27"/>
  <c r="G193" i="27"/>
  <c r="Z192" i="27"/>
  <c r="M192" i="27"/>
  <c r="K192" i="27"/>
  <c r="I192" i="27"/>
  <c r="H192" i="27"/>
  <c r="G192" i="27"/>
  <c r="Z191" i="27"/>
  <c r="M191" i="27"/>
  <c r="K191" i="27"/>
  <c r="I191" i="27"/>
  <c r="H191" i="27"/>
  <c r="G191" i="27"/>
  <c r="Z190" i="27"/>
  <c r="M190" i="27"/>
  <c r="K190" i="27"/>
  <c r="I190" i="27"/>
  <c r="H190" i="27"/>
  <c r="G190" i="27"/>
  <c r="Z189" i="27"/>
  <c r="M189" i="27"/>
  <c r="K189" i="27"/>
  <c r="I189" i="27"/>
  <c r="H189" i="27"/>
  <c r="G189" i="27"/>
  <c r="Z188" i="27"/>
  <c r="M188" i="27"/>
  <c r="K188" i="27"/>
  <c r="I188" i="27"/>
  <c r="H188" i="27"/>
  <c r="G188" i="27"/>
  <c r="Z187" i="27"/>
  <c r="M187" i="27"/>
  <c r="K187" i="27"/>
  <c r="I187" i="27"/>
  <c r="H187" i="27"/>
  <c r="G187" i="27"/>
  <c r="Z186" i="27"/>
  <c r="M186" i="27"/>
  <c r="K186" i="27"/>
  <c r="I186" i="27"/>
  <c r="H186" i="27"/>
  <c r="G186" i="27"/>
  <c r="Z185" i="27"/>
  <c r="M185" i="27"/>
  <c r="K185" i="27"/>
  <c r="I185" i="27"/>
  <c r="H185" i="27"/>
  <c r="G185" i="27"/>
  <c r="Z184" i="27"/>
  <c r="M184" i="27"/>
  <c r="K184" i="27"/>
  <c r="I184" i="27"/>
  <c r="H184" i="27"/>
  <c r="G184" i="27"/>
  <c r="Z183" i="27"/>
  <c r="M183" i="27"/>
  <c r="K183" i="27"/>
  <c r="I183" i="27"/>
  <c r="H183" i="27"/>
  <c r="G183" i="27"/>
  <c r="Z182" i="27"/>
  <c r="M182" i="27"/>
  <c r="K182" i="27"/>
  <c r="I182" i="27"/>
  <c r="H182" i="27"/>
  <c r="G182" i="27"/>
  <c r="Z181" i="27"/>
  <c r="M181" i="27"/>
  <c r="K181" i="27"/>
  <c r="I181" i="27"/>
  <c r="H181" i="27"/>
  <c r="G181" i="27"/>
  <c r="Z180" i="27"/>
  <c r="M180" i="27"/>
  <c r="K180" i="27"/>
  <c r="I180" i="27"/>
  <c r="H180" i="27"/>
  <c r="G180" i="27"/>
  <c r="Z179" i="27"/>
  <c r="M179" i="27"/>
  <c r="K179" i="27"/>
  <c r="I179" i="27"/>
  <c r="H179" i="27"/>
  <c r="G179" i="27"/>
  <c r="Z178" i="27"/>
  <c r="M178" i="27"/>
  <c r="K178" i="27"/>
  <c r="I178" i="27"/>
  <c r="H178" i="27"/>
  <c r="G178" i="27"/>
  <c r="Z177" i="27"/>
  <c r="M177" i="27"/>
  <c r="K177" i="27"/>
  <c r="I177" i="27"/>
  <c r="H177" i="27"/>
  <c r="G177" i="27"/>
  <c r="Z176" i="27"/>
  <c r="M176" i="27"/>
  <c r="K176" i="27"/>
  <c r="I176" i="27"/>
  <c r="H176" i="27"/>
  <c r="G176" i="27"/>
  <c r="Z175" i="27"/>
  <c r="M175" i="27"/>
  <c r="K175" i="27"/>
  <c r="I175" i="27"/>
  <c r="H175" i="27"/>
  <c r="G175" i="27"/>
  <c r="Z174" i="27"/>
  <c r="M174" i="27"/>
  <c r="K174" i="27"/>
  <c r="I174" i="27"/>
  <c r="H174" i="27"/>
  <c r="G174" i="27"/>
  <c r="Z173" i="27"/>
  <c r="M173" i="27"/>
  <c r="K173" i="27"/>
  <c r="I173" i="27"/>
  <c r="H173" i="27"/>
  <c r="G173" i="27"/>
  <c r="Z172" i="27"/>
  <c r="M172" i="27"/>
  <c r="K172" i="27"/>
  <c r="I172" i="27"/>
  <c r="H172" i="27"/>
  <c r="G172" i="27"/>
  <c r="Z171" i="27"/>
  <c r="M171" i="27"/>
  <c r="K171" i="27"/>
  <c r="I171" i="27"/>
  <c r="H171" i="27"/>
  <c r="G171" i="27"/>
  <c r="Z170" i="27"/>
  <c r="M170" i="27"/>
  <c r="K170" i="27"/>
  <c r="I170" i="27"/>
  <c r="H170" i="27"/>
  <c r="G170" i="27"/>
  <c r="Z169" i="27"/>
  <c r="M169" i="27"/>
  <c r="K169" i="27"/>
  <c r="I169" i="27"/>
  <c r="H169" i="27"/>
  <c r="G169" i="27"/>
  <c r="Z168" i="27"/>
  <c r="M168" i="27"/>
  <c r="K168" i="27"/>
  <c r="I168" i="27"/>
  <c r="H168" i="27"/>
  <c r="G168" i="27"/>
  <c r="Z167" i="27"/>
  <c r="M167" i="27"/>
  <c r="K167" i="27"/>
  <c r="I167" i="27"/>
  <c r="H167" i="27"/>
  <c r="G167" i="27"/>
  <c r="Z166" i="27"/>
  <c r="M166" i="27"/>
  <c r="K166" i="27"/>
  <c r="I166" i="27"/>
  <c r="H166" i="27"/>
  <c r="G166" i="27"/>
  <c r="Z165" i="27"/>
  <c r="M165" i="27"/>
  <c r="K165" i="27"/>
  <c r="I165" i="27"/>
  <c r="H165" i="27"/>
  <c r="G165" i="27"/>
  <c r="Z164" i="27"/>
  <c r="M164" i="27"/>
  <c r="K164" i="27"/>
  <c r="I164" i="27"/>
  <c r="H164" i="27"/>
  <c r="G164" i="27"/>
  <c r="Z163" i="27"/>
  <c r="M163" i="27"/>
  <c r="K163" i="27"/>
  <c r="I163" i="27"/>
  <c r="H163" i="27"/>
  <c r="G163" i="27"/>
  <c r="Z162" i="27"/>
  <c r="M162" i="27"/>
  <c r="K162" i="27"/>
  <c r="I162" i="27"/>
  <c r="H162" i="27"/>
  <c r="G162" i="27"/>
  <c r="Z161" i="27"/>
  <c r="M161" i="27"/>
  <c r="K161" i="27"/>
  <c r="I161" i="27"/>
  <c r="H161" i="27"/>
  <c r="G161" i="27"/>
  <c r="Z160" i="27"/>
  <c r="M160" i="27"/>
  <c r="K160" i="27"/>
  <c r="I160" i="27"/>
  <c r="H160" i="27"/>
  <c r="G160" i="27"/>
  <c r="Z159" i="27"/>
  <c r="M159" i="27"/>
  <c r="K159" i="27"/>
  <c r="I159" i="27"/>
  <c r="H159" i="27"/>
  <c r="G159" i="27"/>
  <c r="Z158" i="27"/>
  <c r="M158" i="27"/>
  <c r="K158" i="27"/>
  <c r="I158" i="27"/>
  <c r="H158" i="27"/>
  <c r="G158" i="27"/>
  <c r="Z157" i="27"/>
  <c r="M157" i="27"/>
  <c r="K157" i="27"/>
  <c r="I157" i="27"/>
  <c r="H157" i="27"/>
  <c r="G157" i="27"/>
  <c r="Z156" i="27"/>
  <c r="M156" i="27"/>
  <c r="K156" i="27"/>
  <c r="I156" i="27"/>
  <c r="H156" i="27"/>
  <c r="G156" i="27"/>
  <c r="Z155" i="27"/>
  <c r="M155" i="27"/>
  <c r="K155" i="27"/>
  <c r="I155" i="27"/>
  <c r="H155" i="27"/>
  <c r="G155" i="27"/>
  <c r="Z154" i="27"/>
  <c r="M154" i="27"/>
  <c r="K154" i="27"/>
  <c r="I154" i="27"/>
  <c r="H154" i="27"/>
  <c r="G154" i="27"/>
  <c r="Z153" i="27"/>
  <c r="M153" i="27"/>
  <c r="K153" i="27"/>
  <c r="I153" i="27"/>
  <c r="H153" i="27"/>
  <c r="G153" i="27"/>
  <c r="Z152" i="27"/>
  <c r="M152" i="27"/>
  <c r="K152" i="27"/>
  <c r="I152" i="27"/>
  <c r="H152" i="27"/>
  <c r="G152" i="27"/>
  <c r="Z151" i="27"/>
  <c r="M151" i="27"/>
  <c r="K151" i="27"/>
  <c r="I151" i="27"/>
  <c r="H151" i="27"/>
  <c r="G151" i="27"/>
  <c r="Z150" i="27"/>
  <c r="M150" i="27"/>
  <c r="K150" i="27"/>
  <c r="I150" i="27"/>
  <c r="H150" i="27"/>
  <c r="G150" i="27"/>
  <c r="Z149" i="27"/>
  <c r="M149" i="27"/>
  <c r="K149" i="27"/>
  <c r="I149" i="27"/>
  <c r="H149" i="27"/>
  <c r="G149" i="27"/>
  <c r="Z148" i="27"/>
  <c r="M148" i="27"/>
  <c r="K148" i="27"/>
  <c r="I148" i="27"/>
  <c r="H148" i="27"/>
  <c r="G148" i="27"/>
  <c r="Z147" i="27"/>
  <c r="M147" i="27"/>
  <c r="K147" i="27"/>
  <c r="I147" i="27"/>
  <c r="H147" i="27"/>
  <c r="G147" i="27"/>
  <c r="Z146" i="27"/>
  <c r="M146" i="27"/>
  <c r="K146" i="27"/>
  <c r="I146" i="27"/>
  <c r="H146" i="27"/>
  <c r="G146" i="27"/>
  <c r="Z145" i="27"/>
  <c r="M145" i="27"/>
  <c r="K145" i="27"/>
  <c r="I145" i="27"/>
  <c r="H145" i="27"/>
  <c r="G145" i="27"/>
  <c r="Z144" i="27"/>
  <c r="M144" i="27"/>
  <c r="K144" i="27"/>
  <c r="I144" i="27"/>
  <c r="H144" i="27"/>
  <c r="G144" i="27"/>
  <c r="Z143" i="27"/>
  <c r="M143" i="27"/>
  <c r="K143" i="27"/>
  <c r="I143" i="27"/>
  <c r="H143" i="27"/>
  <c r="G143" i="27"/>
  <c r="Z142" i="27"/>
  <c r="M142" i="27"/>
  <c r="K142" i="27"/>
  <c r="I142" i="27"/>
  <c r="H142" i="27"/>
  <c r="G142" i="27"/>
  <c r="Z141" i="27"/>
  <c r="M141" i="27"/>
  <c r="K141" i="27"/>
  <c r="I141" i="27"/>
  <c r="H141" i="27"/>
  <c r="G141" i="27"/>
  <c r="Z140" i="27"/>
  <c r="M140" i="27"/>
  <c r="K140" i="27"/>
  <c r="I140" i="27"/>
  <c r="H140" i="27"/>
  <c r="G140" i="27"/>
  <c r="Z139" i="27"/>
  <c r="M139" i="27"/>
  <c r="K139" i="27"/>
  <c r="I139" i="27"/>
  <c r="H139" i="27"/>
  <c r="G139" i="27"/>
  <c r="Z138" i="27"/>
  <c r="M138" i="27"/>
  <c r="K138" i="27"/>
  <c r="I138" i="27"/>
  <c r="H138" i="27"/>
  <c r="G138" i="27"/>
  <c r="Z137" i="27"/>
  <c r="M137" i="27"/>
  <c r="K137" i="27"/>
  <c r="I137" i="27"/>
  <c r="H137" i="27"/>
  <c r="G137" i="27"/>
  <c r="Z136" i="27"/>
  <c r="M136" i="27"/>
  <c r="K136" i="27"/>
  <c r="I136" i="27"/>
  <c r="H136" i="27"/>
  <c r="G136" i="27"/>
  <c r="Z135" i="27"/>
  <c r="M135" i="27"/>
  <c r="K135" i="27"/>
  <c r="I135" i="27"/>
  <c r="H135" i="27"/>
  <c r="G135" i="27"/>
  <c r="Z134" i="27"/>
  <c r="M134" i="27"/>
  <c r="K134" i="27"/>
  <c r="I134" i="27"/>
  <c r="H134" i="27"/>
  <c r="G134" i="27"/>
  <c r="Z133" i="27"/>
  <c r="M133" i="27"/>
  <c r="K133" i="27"/>
  <c r="I133" i="27"/>
  <c r="H133" i="27"/>
  <c r="G133" i="27"/>
  <c r="Z132" i="27"/>
  <c r="M132" i="27"/>
  <c r="K132" i="27"/>
  <c r="I132" i="27"/>
  <c r="H132" i="27"/>
  <c r="G132" i="27"/>
  <c r="Z131" i="27"/>
  <c r="M131" i="27"/>
  <c r="K131" i="27"/>
  <c r="I131" i="27"/>
  <c r="H131" i="27"/>
  <c r="G131" i="27"/>
  <c r="Z130" i="27"/>
  <c r="M130" i="27"/>
  <c r="K130" i="27"/>
  <c r="I130" i="27"/>
  <c r="H130" i="27"/>
  <c r="G130" i="27"/>
  <c r="Z129" i="27"/>
  <c r="M129" i="27"/>
  <c r="K129" i="27"/>
  <c r="I129" i="27"/>
  <c r="H129" i="27"/>
  <c r="G129" i="27"/>
  <c r="Z128" i="27"/>
  <c r="M128" i="27"/>
  <c r="K128" i="27"/>
  <c r="I128" i="27"/>
  <c r="H128" i="27"/>
  <c r="G128" i="27"/>
  <c r="Z127" i="27"/>
  <c r="M127" i="27"/>
  <c r="K127" i="27"/>
  <c r="I127" i="27"/>
  <c r="H127" i="27"/>
  <c r="G127" i="27"/>
  <c r="Z126" i="27"/>
  <c r="M126" i="27"/>
  <c r="K126" i="27"/>
  <c r="I126" i="27"/>
  <c r="H126" i="27"/>
  <c r="G126" i="27"/>
  <c r="Z125" i="27"/>
  <c r="M125" i="27"/>
  <c r="K125" i="27"/>
  <c r="I125" i="27"/>
  <c r="H125" i="27"/>
  <c r="G125" i="27"/>
  <c r="Z124" i="27"/>
  <c r="M124" i="27"/>
  <c r="K124" i="27"/>
  <c r="I124" i="27"/>
  <c r="H124" i="27"/>
  <c r="G124" i="27"/>
  <c r="Z123" i="27"/>
  <c r="M123" i="27"/>
  <c r="K123" i="27"/>
  <c r="I123" i="27"/>
  <c r="H123" i="27"/>
  <c r="G123" i="27"/>
  <c r="Z122" i="27"/>
  <c r="M122" i="27"/>
  <c r="K122" i="27"/>
  <c r="I122" i="27"/>
  <c r="H122" i="27"/>
  <c r="G122" i="27"/>
  <c r="Z121" i="27"/>
  <c r="M121" i="27"/>
  <c r="K121" i="27"/>
  <c r="I121" i="27"/>
  <c r="H121" i="27"/>
  <c r="G121" i="27"/>
  <c r="Z120" i="27"/>
  <c r="M120" i="27"/>
  <c r="K120" i="27"/>
  <c r="I120" i="27"/>
  <c r="H120" i="27"/>
  <c r="G120" i="27"/>
  <c r="Z119" i="27"/>
  <c r="M119" i="27"/>
  <c r="K119" i="27"/>
  <c r="I119" i="27"/>
  <c r="H119" i="27"/>
  <c r="G119" i="27"/>
  <c r="Z118" i="27"/>
  <c r="M118" i="27"/>
  <c r="K118" i="27"/>
  <c r="I118" i="27"/>
  <c r="H118" i="27"/>
  <c r="G118" i="27"/>
  <c r="Z117" i="27"/>
  <c r="M117" i="27"/>
  <c r="K117" i="27"/>
  <c r="I117" i="27"/>
  <c r="H117" i="27"/>
  <c r="G117" i="27"/>
  <c r="Z116" i="27"/>
  <c r="M116" i="27"/>
  <c r="K116" i="27"/>
  <c r="I116" i="27"/>
  <c r="H116" i="27"/>
  <c r="G116" i="27"/>
  <c r="Z115" i="27"/>
  <c r="M115" i="27"/>
  <c r="K115" i="27"/>
  <c r="I115" i="27"/>
  <c r="H115" i="27"/>
  <c r="G115" i="27"/>
  <c r="Z114" i="27"/>
  <c r="M114" i="27"/>
  <c r="K114" i="27"/>
  <c r="I114" i="27"/>
  <c r="H114" i="27"/>
  <c r="G114" i="27"/>
  <c r="Z113" i="27"/>
  <c r="M113" i="27"/>
  <c r="K113" i="27"/>
  <c r="I113" i="27"/>
  <c r="H113" i="27"/>
  <c r="G113" i="27"/>
  <c r="Z112" i="27"/>
  <c r="M112" i="27"/>
  <c r="K112" i="27"/>
  <c r="I112" i="27"/>
  <c r="H112" i="27"/>
  <c r="G112" i="27"/>
  <c r="Z111" i="27"/>
  <c r="M111" i="27"/>
  <c r="K111" i="27"/>
  <c r="I111" i="27"/>
  <c r="H111" i="27"/>
  <c r="G111" i="27"/>
  <c r="Z110" i="27"/>
  <c r="M110" i="27"/>
  <c r="K110" i="27"/>
  <c r="I110" i="27"/>
  <c r="H110" i="27"/>
  <c r="G110" i="27"/>
  <c r="Z109" i="27"/>
  <c r="M109" i="27"/>
  <c r="K109" i="27"/>
  <c r="I109" i="27"/>
  <c r="H109" i="27"/>
  <c r="G109" i="27"/>
  <c r="Z108" i="27"/>
  <c r="M108" i="27"/>
  <c r="K108" i="27"/>
  <c r="I108" i="27"/>
  <c r="H108" i="27"/>
  <c r="G108" i="27"/>
  <c r="Z107" i="27"/>
  <c r="M107" i="27"/>
  <c r="K107" i="27"/>
  <c r="I107" i="27"/>
  <c r="H107" i="27"/>
  <c r="G107" i="27"/>
  <c r="Z106" i="27"/>
  <c r="M106" i="27"/>
  <c r="K106" i="27"/>
  <c r="I106" i="27"/>
  <c r="H106" i="27"/>
  <c r="G106" i="27"/>
  <c r="Z105" i="27"/>
  <c r="M105" i="27"/>
  <c r="K105" i="27"/>
  <c r="I105" i="27"/>
  <c r="H105" i="27"/>
  <c r="G105" i="27"/>
  <c r="Z104" i="27"/>
  <c r="M104" i="27"/>
  <c r="K104" i="27"/>
  <c r="I104" i="27"/>
  <c r="H104" i="27"/>
  <c r="G104" i="27"/>
  <c r="Z103" i="27"/>
  <c r="M103" i="27"/>
  <c r="K103" i="27"/>
  <c r="I103" i="27"/>
  <c r="H103" i="27"/>
  <c r="G103" i="27"/>
  <c r="Z102" i="27"/>
  <c r="M102" i="27"/>
  <c r="K102" i="27"/>
  <c r="I102" i="27"/>
  <c r="H102" i="27"/>
  <c r="G102" i="27"/>
  <c r="Z101" i="27"/>
  <c r="M101" i="27"/>
  <c r="K101" i="27"/>
  <c r="I101" i="27"/>
  <c r="H101" i="27"/>
  <c r="G101" i="27"/>
  <c r="Z100" i="27"/>
  <c r="M100" i="27"/>
  <c r="K100" i="27"/>
  <c r="I100" i="27"/>
  <c r="H100" i="27"/>
  <c r="G100" i="27"/>
  <c r="Z99" i="27"/>
  <c r="M99" i="27"/>
  <c r="K99" i="27"/>
  <c r="I99" i="27"/>
  <c r="H99" i="27"/>
  <c r="G99" i="27"/>
  <c r="Z98" i="27"/>
  <c r="M98" i="27"/>
  <c r="K98" i="27"/>
  <c r="I98" i="27"/>
  <c r="H98" i="27"/>
  <c r="G98" i="27"/>
  <c r="Z97" i="27"/>
  <c r="M97" i="27"/>
  <c r="K97" i="27"/>
  <c r="I97" i="27"/>
  <c r="H97" i="27"/>
  <c r="G97" i="27"/>
  <c r="Z96" i="27"/>
  <c r="M96" i="27"/>
  <c r="K96" i="27"/>
  <c r="I96" i="27"/>
  <c r="H96" i="27"/>
  <c r="G96" i="27"/>
  <c r="Z95" i="27"/>
  <c r="M95" i="27"/>
  <c r="K95" i="27"/>
  <c r="I95" i="27"/>
  <c r="H95" i="27"/>
  <c r="G95" i="27"/>
  <c r="Z94" i="27"/>
  <c r="M94" i="27"/>
  <c r="K94" i="27"/>
  <c r="I94" i="27"/>
  <c r="H94" i="27"/>
  <c r="G94" i="27"/>
  <c r="Z93" i="27"/>
  <c r="M93" i="27"/>
  <c r="K93" i="27"/>
  <c r="I93" i="27"/>
  <c r="H93" i="27"/>
  <c r="G93" i="27"/>
  <c r="Z92" i="27"/>
  <c r="M92" i="27"/>
  <c r="K92" i="27"/>
  <c r="I92" i="27"/>
  <c r="H92" i="27"/>
  <c r="G92" i="27"/>
  <c r="Z91" i="27"/>
  <c r="M91" i="27"/>
  <c r="K91" i="27"/>
  <c r="I91" i="27"/>
  <c r="H91" i="27"/>
  <c r="G91" i="27"/>
  <c r="Z90" i="27"/>
  <c r="M90" i="27"/>
  <c r="K90" i="27"/>
  <c r="I90" i="27"/>
  <c r="H90" i="27"/>
  <c r="G90" i="27"/>
  <c r="Z89" i="27"/>
  <c r="M89" i="27"/>
  <c r="K89" i="27"/>
  <c r="I89" i="27"/>
  <c r="H89" i="27"/>
  <c r="G89" i="27"/>
  <c r="Z88" i="27"/>
  <c r="M88" i="27"/>
  <c r="K88" i="27"/>
  <c r="I88" i="27"/>
  <c r="H88" i="27"/>
  <c r="G88" i="27"/>
  <c r="Z87" i="27"/>
  <c r="M87" i="27"/>
  <c r="K87" i="27"/>
  <c r="I87" i="27"/>
  <c r="H87" i="27"/>
  <c r="G87" i="27"/>
  <c r="Z86" i="27"/>
  <c r="M86" i="27"/>
  <c r="K86" i="27"/>
  <c r="I86" i="27"/>
  <c r="H86" i="27"/>
  <c r="G86" i="27"/>
  <c r="Z85" i="27"/>
  <c r="M85" i="27"/>
  <c r="K85" i="27"/>
  <c r="I85" i="27"/>
  <c r="H85" i="27"/>
  <c r="G85" i="27"/>
  <c r="Z84" i="27"/>
  <c r="M84" i="27"/>
  <c r="K84" i="27"/>
  <c r="I84" i="27"/>
  <c r="H84" i="27"/>
  <c r="G84" i="27"/>
  <c r="Z83" i="27"/>
  <c r="M83" i="27"/>
  <c r="K83" i="27"/>
  <c r="I83" i="27"/>
  <c r="H83" i="27"/>
  <c r="G83" i="27"/>
  <c r="Z82" i="27"/>
  <c r="M82" i="27"/>
  <c r="K82" i="27"/>
  <c r="I82" i="27"/>
  <c r="H82" i="27"/>
  <c r="G82" i="27"/>
  <c r="Z81" i="27"/>
  <c r="M81" i="27"/>
  <c r="K81" i="27"/>
  <c r="I81" i="27"/>
  <c r="H81" i="27"/>
  <c r="G81" i="27"/>
  <c r="Z80" i="27"/>
  <c r="M80" i="27"/>
  <c r="K80" i="27"/>
  <c r="I80" i="27"/>
  <c r="H80" i="27"/>
  <c r="G80" i="27"/>
  <c r="Z79" i="27"/>
  <c r="M79" i="27"/>
  <c r="K79" i="27"/>
  <c r="I79" i="27"/>
  <c r="H79" i="27"/>
  <c r="G79" i="27"/>
  <c r="Z78" i="27"/>
  <c r="M78" i="27"/>
  <c r="K78" i="27"/>
  <c r="I78" i="27"/>
  <c r="H78" i="27"/>
  <c r="G78" i="27"/>
  <c r="Z77" i="27"/>
  <c r="M77" i="27"/>
  <c r="K77" i="27"/>
  <c r="I77" i="27"/>
  <c r="H77" i="27"/>
  <c r="G77" i="27"/>
  <c r="Z76" i="27"/>
  <c r="M76" i="27"/>
  <c r="K76" i="27"/>
  <c r="I76" i="27"/>
  <c r="H76" i="27"/>
  <c r="G76" i="27"/>
  <c r="Z75" i="27"/>
  <c r="M75" i="27"/>
  <c r="K75" i="27"/>
  <c r="I75" i="27"/>
  <c r="H75" i="27"/>
  <c r="G75" i="27"/>
  <c r="Z74" i="27"/>
  <c r="M74" i="27"/>
  <c r="K74" i="27"/>
  <c r="I74" i="27"/>
  <c r="H74" i="27"/>
  <c r="G74" i="27"/>
  <c r="Z73" i="27"/>
  <c r="M73" i="27"/>
  <c r="K73" i="27"/>
  <c r="I73" i="27"/>
  <c r="H73" i="27"/>
  <c r="G73" i="27"/>
  <c r="Z72" i="27"/>
  <c r="M72" i="27"/>
  <c r="K72" i="27"/>
  <c r="I72" i="27"/>
  <c r="H72" i="27"/>
  <c r="G72" i="27"/>
  <c r="Z71" i="27"/>
  <c r="M71" i="27"/>
  <c r="K71" i="27"/>
  <c r="I71" i="27"/>
  <c r="H71" i="27"/>
  <c r="G71" i="27"/>
  <c r="Z70" i="27"/>
  <c r="M70" i="27"/>
  <c r="K70" i="27"/>
  <c r="I70" i="27"/>
  <c r="H70" i="27"/>
  <c r="G70" i="27"/>
  <c r="Z69" i="27"/>
  <c r="M69" i="27"/>
  <c r="K69" i="27"/>
  <c r="I69" i="27"/>
  <c r="H69" i="27"/>
  <c r="G69" i="27"/>
  <c r="Z68" i="27"/>
  <c r="M68" i="27"/>
  <c r="K68" i="27"/>
  <c r="I68" i="27"/>
  <c r="H68" i="27"/>
  <c r="G68" i="27"/>
  <c r="Z67" i="27"/>
  <c r="M67" i="27"/>
  <c r="K67" i="27"/>
  <c r="I67" i="27"/>
  <c r="H67" i="27"/>
  <c r="G67" i="27"/>
  <c r="Z66" i="27"/>
  <c r="M66" i="27"/>
  <c r="K66" i="27"/>
  <c r="I66" i="27"/>
  <c r="H66" i="27"/>
  <c r="G66" i="27"/>
  <c r="Z65" i="27"/>
  <c r="M65" i="27"/>
  <c r="K65" i="27"/>
  <c r="I65" i="27"/>
  <c r="H65" i="27"/>
  <c r="G65" i="27"/>
  <c r="Z64" i="27"/>
  <c r="M64" i="27"/>
  <c r="K64" i="27"/>
  <c r="I64" i="27"/>
  <c r="H64" i="27"/>
  <c r="G64" i="27"/>
  <c r="Z63" i="27"/>
  <c r="M63" i="27"/>
  <c r="K63" i="27"/>
  <c r="I63" i="27"/>
  <c r="H63" i="27"/>
  <c r="G63" i="27"/>
  <c r="Z62" i="27"/>
  <c r="M62" i="27"/>
  <c r="K62" i="27"/>
  <c r="I62" i="27"/>
  <c r="H62" i="27"/>
  <c r="G62" i="27"/>
  <c r="Z61" i="27"/>
  <c r="M61" i="27"/>
  <c r="K61" i="27"/>
  <c r="I61" i="27"/>
  <c r="H61" i="27"/>
  <c r="G61" i="27"/>
  <c r="Z60" i="27"/>
  <c r="M60" i="27"/>
  <c r="K60" i="27"/>
  <c r="I60" i="27"/>
  <c r="H60" i="27"/>
  <c r="G60" i="27"/>
  <c r="Z59" i="27"/>
  <c r="M59" i="27"/>
  <c r="K59" i="27"/>
  <c r="I59" i="27"/>
  <c r="H59" i="27"/>
  <c r="G59" i="27"/>
  <c r="Z58" i="27"/>
  <c r="M58" i="27"/>
  <c r="K58" i="27"/>
  <c r="I58" i="27"/>
  <c r="H58" i="27"/>
  <c r="G58" i="27"/>
  <c r="Z57" i="27"/>
  <c r="M57" i="27"/>
  <c r="K57" i="27"/>
  <c r="I57" i="27"/>
  <c r="H57" i="27"/>
  <c r="G57" i="27"/>
  <c r="Z56" i="27"/>
  <c r="M56" i="27"/>
  <c r="K56" i="27"/>
  <c r="I56" i="27"/>
  <c r="H56" i="27"/>
  <c r="G56" i="27"/>
  <c r="Z55" i="27"/>
  <c r="M55" i="27"/>
  <c r="K55" i="27"/>
  <c r="I55" i="27"/>
  <c r="H55" i="27"/>
  <c r="G55" i="27"/>
  <c r="Z54" i="27"/>
  <c r="M54" i="27"/>
  <c r="I54" i="27"/>
  <c r="H54" i="27"/>
  <c r="G54" i="27"/>
  <c r="Z53" i="27"/>
  <c r="M53" i="27"/>
  <c r="I53" i="27"/>
  <c r="H53" i="27"/>
  <c r="G53" i="27"/>
  <c r="Z52" i="27"/>
  <c r="M52" i="27"/>
  <c r="I52" i="27"/>
  <c r="H52" i="27"/>
  <c r="G52" i="27"/>
  <c r="Z51" i="27"/>
  <c r="M51" i="27"/>
  <c r="I51" i="27"/>
  <c r="H51" i="27"/>
  <c r="G51" i="27"/>
  <c r="Z50" i="27"/>
  <c r="M50" i="27"/>
  <c r="I50" i="27"/>
  <c r="H50" i="27"/>
  <c r="G50" i="27"/>
  <c r="Z49" i="27"/>
  <c r="M49" i="27"/>
  <c r="I49" i="27"/>
  <c r="H49" i="27"/>
  <c r="G49" i="27"/>
  <c r="Z48" i="27"/>
  <c r="M48" i="27"/>
  <c r="I48" i="27"/>
  <c r="H48" i="27"/>
  <c r="G48" i="27"/>
  <c r="Z47" i="27"/>
  <c r="M47" i="27"/>
  <c r="I47" i="27"/>
  <c r="H47" i="27"/>
  <c r="G47" i="27"/>
  <c r="Z46" i="27"/>
  <c r="M46" i="27"/>
  <c r="I46" i="27"/>
  <c r="H46" i="27"/>
  <c r="G46" i="27"/>
  <c r="Z45" i="27"/>
  <c r="M45" i="27"/>
  <c r="I45" i="27"/>
  <c r="H45" i="27"/>
  <c r="G45" i="27"/>
  <c r="Z44" i="27"/>
  <c r="M44" i="27"/>
  <c r="I44" i="27"/>
  <c r="H44" i="27"/>
  <c r="G44" i="27"/>
  <c r="Z43" i="27"/>
  <c r="M43" i="27"/>
  <c r="I43" i="27"/>
  <c r="H43" i="27"/>
  <c r="G43" i="27"/>
  <c r="Z42" i="27"/>
  <c r="M42" i="27"/>
  <c r="I42" i="27"/>
  <c r="H42" i="27"/>
  <c r="G42" i="27"/>
  <c r="Z41" i="27"/>
  <c r="M41" i="27"/>
  <c r="I41" i="27"/>
  <c r="H41" i="27"/>
  <c r="G41" i="27"/>
  <c r="Z40" i="27"/>
  <c r="M40" i="27"/>
  <c r="I40" i="27"/>
  <c r="H40" i="27"/>
  <c r="G40" i="27"/>
  <c r="Z39" i="27"/>
  <c r="M39" i="27"/>
  <c r="I39" i="27"/>
  <c r="H39" i="27"/>
  <c r="G39" i="27"/>
  <c r="Z38" i="27"/>
  <c r="M38" i="27"/>
  <c r="I38" i="27"/>
  <c r="H38" i="27"/>
  <c r="G38" i="27"/>
  <c r="Z37" i="27"/>
  <c r="M37" i="27"/>
  <c r="I37" i="27"/>
  <c r="H37" i="27"/>
  <c r="G37" i="27"/>
  <c r="Z36" i="27"/>
  <c r="M36" i="27"/>
  <c r="I36" i="27"/>
  <c r="H36" i="27"/>
  <c r="G36" i="27"/>
  <c r="Z35" i="27"/>
  <c r="M35" i="27"/>
  <c r="I35" i="27"/>
  <c r="H35" i="27"/>
  <c r="G35" i="27"/>
  <c r="Z34" i="27"/>
  <c r="M34" i="27"/>
  <c r="I34" i="27"/>
  <c r="H34" i="27"/>
  <c r="G34" i="27"/>
  <c r="Z33" i="27"/>
  <c r="M33" i="27"/>
  <c r="I33" i="27"/>
  <c r="H33" i="27"/>
  <c r="G33" i="27"/>
  <c r="Z32" i="27"/>
  <c r="M32" i="27"/>
  <c r="I32" i="27"/>
  <c r="H32" i="27"/>
  <c r="G32" i="27"/>
  <c r="Z31" i="27"/>
  <c r="M31" i="27"/>
  <c r="I31" i="27"/>
  <c r="H31" i="27"/>
  <c r="G31" i="27"/>
  <c r="Z30" i="27"/>
  <c r="M30" i="27"/>
  <c r="I30" i="27"/>
  <c r="H30" i="27"/>
  <c r="G30" i="27"/>
  <c r="Z29" i="27"/>
  <c r="M29" i="27"/>
  <c r="I29" i="27"/>
  <c r="H29" i="27"/>
  <c r="G29" i="27"/>
  <c r="Z28" i="27"/>
  <c r="M28" i="27"/>
  <c r="I28" i="27"/>
  <c r="H28" i="27"/>
  <c r="G28" i="27"/>
  <c r="Z27" i="27"/>
  <c r="M27" i="27"/>
  <c r="I27" i="27"/>
  <c r="H27" i="27"/>
  <c r="G27" i="27"/>
  <c r="Z26" i="27"/>
  <c r="M26" i="27"/>
  <c r="I26" i="27"/>
  <c r="H26" i="27"/>
  <c r="G26" i="27"/>
  <c r="Z25" i="27"/>
  <c r="M25" i="27"/>
  <c r="I25" i="27"/>
  <c r="H25" i="27"/>
  <c r="G25" i="27"/>
  <c r="Z24" i="27"/>
  <c r="M24" i="27"/>
  <c r="I24" i="27"/>
  <c r="H24" i="27"/>
  <c r="G24" i="27"/>
  <c r="Z23" i="27"/>
  <c r="M23" i="27"/>
  <c r="I23" i="27"/>
  <c r="H23" i="27"/>
  <c r="G23" i="27"/>
  <c r="Z22" i="27"/>
  <c r="M22" i="27"/>
  <c r="I22" i="27"/>
  <c r="H22" i="27"/>
  <c r="G22" i="27"/>
  <c r="Z21" i="27"/>
  <c r="M21" i="27"/>
  <c r="I21" i="27"/>
  <c r="H21" i="27"/>
  <c r="G21" i="27"/>
  <c r="Z20" i="27"/>
  <c r="M20" i="27"/>
  <c r="I20" i="27"/>
  <c r="H20" i="27"/>
  <c r="G20" i="27"/>
  <c r="Z19" i="27"/>
  <c r="M19" i="27"/>
  <c r="I19" i="27"/>
  <c r="H19" i="27"/>
  <c r="G19" i="27"/>
  <c r="Z18" i="27"/>
  <c r="M18" i="27"/>
  <c r="I18" i="27"/>
  <c r="H18" i="27"/>
  <c r="G18" i="27"/>
  <c r="Z17" i="27"/>
  <c r="M17" i="27"/>
  <c r="I17" i="27"/>
  <c r="H17" i="27"/>
  <c r="G17" i="27"/>
  <c r="Z16" i="27"/>
  <c r="M16" i="27"/>
  <c r="I16" i="27"/>
  <c r="H16" i="27"/>
  <c r="G16" i="27"/>
  <c r="Z15" i="27"/>
  <c r="M15" i="27"/>
  <c r="I15" i="27"/>
  <c r="H15" i="27"/>
  <c r="G15" i="27"/>
  <c r="Z14" i="27"/>
  <c r="M14" i="27"/>
  <c r="I14" i="27"/>
  <c r="H14" i="27"/>
  <c r="G14" i="27"/>
  <c r="Z13" i="27"/>
  <c r="M13" i="27"/>
  <c r="I13" i="27"/>
  <c r="H13" i="27"/>
  <c r="G13" i="27"/>
  <c r="Z12" i="27"/>
  <c r="M12" i="27"/>
  <c r="I12" i="27"/>
  <c r="H12" i="27"/>
  <c r="G12" i="27"/>
  <c r="Z11" i="27"/>
  <c r="M11" i="27"/>
  <c r="I11" i="27"/>
  <c r="H11" i="27"/>
  <c r="G11" i="27"/>
  <c r="Z10" i="27"/>
  <c r="M10" i="27"/>
  <c r="I10" i="27"/>
  <c r="H10" i="27"/>
  <c r="G10" i="27"/>
  <c r="B5" i="27"/>
  <c r="Q59" i="26"/>
  <c r="L59" i="26"/>
  <c r="E59" i="26"/>
  <c r="A59" i="26"/>
  <c r="Q58" i="26"/>
  <c r="L58" i="26"/>
  <c r="E58" i="26"/>
  <c r="A58" i="26"/>
  <c r="Q57" i="26"/>
  <c r="L57" i="26"/>
  <c r="E57" i="26"/>
  <c r="A57" i="26"/>
  <c r="Q56" i="26"/>
  <c r="L56" i="26"/>
  <c r="E56" i="26"/>
  <c r="A56" i="26"/>
  <c r="Q55" i="26"/>
  <c r="L55" i="26"/>
  <c r="E55" i="26"/>
  <c r="A55" i="26"/>
  <c r="Q54" i="26"/>
  <c r="L54" i="26"/>
  <c r="E54" i="26"/>
  <c r="A54" i="26"/>
  <c r="Q53" i="26"/>
  <c r="L53" i="26"/>
  <c r="E53" i="26"/>
  <c r="A53" i="26"/>
  <c r="Q52" i="26"/>
  <c r="L52" i="26"/>
  <c r="E52" i="26"/>
  <c r="A52" i="26"/>
  <c r="Q51" i="26"/>
  <c r="L51" i="26"/>
  <c r="E51" i="26"/>
  <c r="A51" i="26"/>
  <c r="Q50" i="26"/>
  <c r="L50" i="26"/>
  <c r="E50" i="26"/>
  <c r="A50" i="26"/>
  <c r="Q49" i="26"/>
  <c r="L49" i="26"/>
  <c r="E49" i="26"/>
  <c r="A49" i="26"/>
  <c r="Q48" i="26"/>
  <c r="L48" i="26"/>
  <c r="E48" i="26"/>
  <c r="A48" i="26"/>
  <c r="Q47" i="26"/>
  <c r="L47" i="26"/>
  <c r="E47" i="26"/>
  <c r="A47" i="26"/>
  <c r="Q46" i="26"/>
  <c r="L46" i="26"/>
  <c r="E46" i="26"/>
  <c r="A46" i="26"/>
  <c r="Q45" i="26"/>
  <c r="L45" i="26"/>
  <c r="E45" i="26"/>
  <c r="A45" i="26"/>
  <c r="Q44" i="26"/>
  <c r="L44" i="26"/>
  <c r="E44" i="26"/>
  <c r="A44" i="26"/>
  <c r="Q43" i="26"/>
  <c r="L43" i="26"/>
  <c r="E43" i="26"/>
  <c r="A43" i="26"/>
  <c r="Q42" i="26"/>
  <c r="L42" i="26"/>
  <c r="E42" i="26"/>
  <c r="A42" i="26"/>
  <c r="Q41" i="26"/>
  <c r="L41" i="26"/>
  <c r="E41" i="26"/>
  <c r="A41" i="26"/>
  <c r="Q40" i="26"/>
  <c r="L40" i="26"/>
  <c r="E40" i="26"/>
  <c r="A40" i="26"/>
  <c r="Q39" i="26"/>
  <c r="L39" i="26"/>
  <c r="E39" i="26"/>
  <c r="A39" i="26"/>
  <c r="Q38" i="26"/>
  <c r="L38" i="26"/>
  <c r="E38" i="26"/>
  <c r="A38" i="26"/>
  <c r="Q37" i="26"/>
  <c r="L37" i="26"/>
  <c r="E37" i="26"/>
  <c r="A37" i="26"/>
  <c r="Q36" i="26"/>
  <c r="L36" i="26"/>
  <c r="E36" i="26"/>
  <c r="A36" i="26"/>
  <c r="Q35" i="26"/>
  <c r="L35" i="26"/>
  <c r="E35" i="26"/>
  <c r="A35" i="26"/>
  <c r="Q34" i="26"/>
  <c r="L34" i="26"/>
  <c r="E34" i="26"/>
  <c r="A34" i="26"/>
  <c r="Q33" i="26"/>
  <c r="L33" i="26"/>
  <c r="E33" i="26"/>
  <c r="A33" i="26"/>
  <c r="Q32" i="26"/>
  <c r="L32" i="26"/>
  <c r="E32" i="26"/>
  <c r="A32" i="26"/>
  <c r="Q31" i="26"/>
  <c r="L31" i="26"/>
  <c r="E31" i="26"/>
  <c r="A31" i="26"/>
  <c r="Q30" i="26"/>
  <c r="L30" i="26"/>
  <c r="E30" i="26"/>
  <c r="A30" i="26"/>
  <c r="Q29" i="26"/>
  <c r="L29" i="26"/>
  <c r="E29" i="26"/>
  <c r="A29" i="26"/>
  <c r="Q28" i="26"/>
  <c r="L28" i="26"/>
  <c r="E28" i="26"/>
  <c r="A28" i="26"/>
  <c r="Q27" i="26"/>
  <c r="L27" i="26"/>
  <c r="E27" i="26"/>
  <c r="A27" i="26"/>
  <c r="Q26" i="26"/>
  <c r="L26" i="26"/>
  <c r="E26" i="26"/>
  <c r="A26" i="26"/>
  <c r="Q25" i="26"/>
  <c r="L25" i="26"/>
  <c r="E25" i="26"/>
  <c r="A25" i="26"/>
  <c r="Q24" i="26"/>
  <c r="L24" i="26"/>
  <c r="E24" i="26"/>
  <c r="A24" i="26"/>
  <c r="Q23" i="26"/>
  <c r="L23" i="26"/>
  <c r="E23" i="26"/>
  <c r="A23" i="26"/>
  <c r="Q22" i="26"/>
  <c r="L22" i="26"/>
  <c r="E22" i="26"/>
  <c r="A22" i="26"/>
  <c r="Q21" i="26"/>
  <c r="L21" i="26"/>
  <c r="E21" i="26"/>
  <c r="A21" i="26"/>
  <c r="Q20" i="26"/>
  <c r="L20" i="26"/>
  <c r="E20" i="26"/>
  <c r="A20" i="26"/>
  <c r="Q19" i="26"/>
  <c r="L19" i="26"/>
  <c r="E19" i="26"/>
  <c r="A19" i="26"/>
  <c r="Q18" i="26"/>
  <c r="L18" i="26"/>
  <c r="E18" i="26"/>
  <c r="A18" i="26"/>
  <c r="Q17" i="26"/>
  <c r="L17" i="26"/>
  <c r="E17" i="26"/>
  <c r="A17" i="26"/>
  <c r="Q16" i="26"/>
  <c r="L16" i="26"/>
  <c r="E16" i="26"/>
  <c r="A16" i="26"/>
  <c r="Q15" i="26"/>
  <c r="L15" i="26"/>
  <c r="E15" i="26"/>
  <c r="A15" i="26"/>
  <c r="Q14" i="26"/>
  <c r="L14" i="26"/>
  <c r="E14" i="26"/>
  <c r="A14" i="26"/>
  <c r="Q13" i="26"/>
  <c r="L13" i="26"/>
  <c r="E13" i="26"/>
  <c r="A13" i="26"/>
  <c r="Q12" i="26"/>
  <c r="L12" i="26"/>
  <c r="E12" i="26"/>
  <c r="A12" i="26"/>
  <c r="Q11" i="26"/>
  <c r="L11" i="26"/>
  <c r="E11" i="26"/>
  <c r="A11" i="26"/>
  <c r="Q10" i="26"/>
  <c r="L10" i="26"/>
  <c r="E10" i="26"/>
  <c r="A10" i="26"/>
  <c r="Q9" i="26"/>
  <c r="L9" i="26"/>
  <c r="E9" i="26"/>
  <c r="Q8" i="26"/>
  <c r="L8" i="26"/>
  <c r="E8" i="26"/>
  <c r="A8" i="26"/>
  <c r="Q4" i="26"/>
  <c r="N4" i="26"/>
  <c r="K8" i="24"/>
  <c r="K9" i="24"/>
  <c r="K10" i="24"/>
  <c r="K11" i="24"/>
  <c r="K12" i="24"/>
  <c r="K13" i="24"/>
  <c r="K14" i="24"/>
  <c r="K15" i="24"/>
  <c r="K16" i="24"/>
  <c r="K17" i="24"/>
  <c r="K18" i="24"/>
  <c r="K19" i="24"/>
  <c r="K20" i="24"/>
  <c r="K21" i="24"/>
  <c r="K22" i="24"/>
  <c r="K23" i="24"/>
  <c r="K24" i="24"/>
  <c r="K25" i="24"/>
  <c r="K26" i="24"/>
  <c r="K27" i="24"/>
  <c r="K28" i="24"/>
  <c r="K29" i="24"/>
  <c r="K30" i="24"/>
  <c r="K31" i="24"/>
  <c r="K32" i="24"/>
  <c r="K33" i="24"/>
  <c r="K34" i="24"/>
  <c r="K35" i="24"/>
  <c r="K36" i="24"/>
  <c r="K37" i="24"/>
  <c r="K38" i="24"/>
  <c r="K39" i="24"/>
  <c r="K40" i="24"/>
  <c r="K41" i="24"/>
  <c r="K42" i="24"/>
  <c r="K43" i="24"/>
  <c r="K44" i="24"/>
  <c r="K45" i="24"/>
  <c r="K46" i="24"/>
  <c r="K47" i="24"/>
  <c r="K48" i="24"/>
  <c r="K49" i="24"/>
  <c r="K50" i="24"/>
  <c r="K51" i="24"/>
  <c r="K52" i="24"/>
  <c r="K53" i="24"/>
  <c r="K54" i="24"/>
  <c r="K55" i="24"/>
  <c r="K56" i="24"/>
  <c r="K57" i="24"/>
  <c r="K58" i="24"/>
  <c r="K59" i="24"/>
  <c r="J8" i="24"/>
  <c r="J9" i="24"/>
  <c r="J10" i="24"/>
  <c r="J11" i="24"/>
  <c r="J12" i="24"/>
  <c r="J13" i="24"/>
  <c r="J14" i="24"/>
  <c r="J15" i="24"/>
  <c r="J16" i="24"/>
  <c r="J17" i="24"/>
  <c r="J18" i="24"/>
  <c r="J19" i="24"/>
  <c r="J20" i="24"/>
  <c r="J21" i="24"/>
  <c r="J22" i="24"/>
  <c r="J23" i="24"/>
  <c r="J24" i="24"/>
  <c r="J25" i="24"/>
  <c r="J26" i="24"/>
  <c r="J27" i="24"/>
  <c r="J28" i="24"/>
  <c r="J29" i="24"/>
  <c r="J30" i="24"/>
  <c r="J31" i="24"/>
  <c r="J32" i="24"/>
  <c r="J33" i="24"/>
  <c r="J34" i="24"/>
  <c r="J35" i="24"/>
  <c r="J36" i="24"/>
  <c r="J37" i="24"/>
  <c r="J38" i="24"/>
  <c r="J39" i="24"/>
  <c r="J40" i="24"/>
  <c r="J41" i="24"/>
  <c r="J42" i="24"/>
  <c r="J43" i="24"/>
  <c r="J44" i="24"/>
  <c r="J45" i="24"/>
  <c r="J46" i="24"/>
  <c r="J47" i="24"/>
  <c r="J48" i="24"/>
  <c r="J49" i="24"/>
  <c r="J50" i="24"/>
  <c r="J51" i="24"/>
  <c r="J52" i="24"/>
  <c r="J53" i="24"/>
  <c r="J54" i="24"/>
  <c r="J55" i="24"/>
  <c r="J56" i="24"/>
  <c r="J57" i="24"/>
  <c r="J58" i="24"/>
  <c r="J59" i="24"/>
  <c r="A10" i="25" a="1"/>
  <c r="A10" i="25" s="1"/>
  <c r="B9" i="24"/>
  <c r="A9" i="24" s="1"/>
  <c r="B10" i="24"/>
  <c r="A10" i="24" s="1"/>
  <c r="B11" i="24"/>
  <c r="B12" i="24"/>
  <c r="B13" i="24"/>
  <c r="B14" i="24"/>
  <c r="B15" i="24"/>
  <c r="B16" i="24"/>
  <c r="B17" i="24"/>
  <c r="B18" i="24"/>
  <c r="B19" i="24"/>
  <c r="B20" i="24"/>
  <c r="B21" i="24"/>
  <c r="B22" i="24"/>
  <c r="B23" i="24"/>
  <c r="B24" i="24"/>
  <c r="B25" i="24"/>
  <c r="B26" i="24"/>
  <c r="B27" i="24"/>
  <c r="B28" i="24"/>
  <c r="B29" i="24"/>
  <c r="B30" i="24"/>
  <c r="B31" i="24"/>
  <c r="B32" i="24"/>
  <c r="B33" i="24"/>
  <c r="B34" i="24"/>
  <c r="B35" i="24"/>
  <c r="B36" i="24"/>
  <c r="B37" i="24"/>
  <c r="B38" i="24"/>
  <c r="B39" i="24"/>
  <c r="B40" i="24"/>
  <c r="B41" i="24"/>
  <c r="B42" i="24"/>
  <c r="B43" i="24"/>
  <c r="B44" i="24"/>
  <c r="B45" i="24"/>
  <c r="B46" i="24"/>
  <c r="B47" i="24"/>
  <c r="B48" i="24"/>
  <c r="B49" i="24"/>
  <c r="A49" i="24" s="1"/>
  <c r="B50" i="24"/>
  <c r="B51" i="24"/>
  <c r="B52" i="24"/>
  <c r="B53" i="24"/>
  <c r="B54" i="24"/>
  <c r="B55" i="24"/>
  <c r="B56" i="24"/>
  <c r="B57" i="24"/>
  <c r="B58" i="24"/>
  <c r="B59" i="24"/>
  <c r="AA195" i="25"/>
  <c r="M195" i="25"/>
  <c r="K195" i="25"/>
  <c r="I195" i="25"/>
  <c r="H195" i="25"/>
  <c r="G195" i="25"/>
  <c r="AA194" i="25"/>
  <c r="M194" i="25"/>
  <c r="K194" i="25"/>
  <c r="I194" i="25"/>
  <c r="H194" i="25"/>
  <c r="G194" i="25"/>
  <c r="AA193" i="25"/>
  <c r="M193" i="25"/>
  <c r="K193" i="25"/>
  <c r="I193" i="25"/>
  <c r="H193" i="25"/>
  <c r="G193" i="25"/>
  <c r="AA192" i="25"/>
  <c r="M192" i="25"/>
  <c r="K192" i="25"/>
  <c r="I192" i="25"/>
  <c r="H192" i="25"/>
  <c r="G192" i="25"/>
  <c r="AA191" i="25"/>
  <c r="M191" i="25"/>
  <c r="K191" i="25"/>
  <c r="I191" i="25"/>
  <c r="H191" i="25"/>
  <c r="G191" i="25"/>
  <c r="AA190" i="25"/>
  <c r="M190" i="25"/>
  <c r="K190" i="25"/>
  <c r="I190" i="25"/>
  <c r="H190" i="25"/>
  <c r="G190" i="25"/>
  <c r="AA189" i="25"/>
  <c r="M189" i="25"/>
  <c r="K189" i="25"/>
  <c r="I189" i="25"/>
  <c r="H189" i="25"/>
  <c r="G189" i="25"/>
  <c r="AA188" i="25"/>
  <c r="M188" i="25"/>
  <c r="K188" i="25"/>
  <c r="I188" i="25"/>
  <c r="H188" i="25"/>
  <c r="G188" i="25"/>
  <c r="AA187" i="25"/>
  <c r="M187" i="25"/>
  <c r="K187" i="25"/>
  <c r="I187" i="25"/>
  <c r="H187" i="25"/>
  <c r="G187" i="25"/>
  <c r="AA186" i="25"/>
  <c r="M186" i="25"/>
  <c r="K186" i="25"/>
  <c r="I186" i="25"/>
  <c r="H186" i="25"/>
  <c r="G186" i="25"/>
  <c r="AA185" i="25"/>
  <c r="M185" i="25"/>
  <c r="K185" i="25"/>
  <c r="I185" i="25"/>
  <c r="H185" i="25"/>
  <c r="G185" i="25"/>
  <c r="AA184" i="25"/>
  <c r="M184" i="25"/>
  <c r="K184" i="25"/>
  <c r="I184" i="25"/>
  <c r="H184" i="25"/>
  <c r="G184" i="25"/>
  <c r="AA183" i="25"/>
  <c r="M183" i="25"/>
  <c r="K183" i="25"/>
  <c r="I183" i="25"/>
  <c r="H183" i="25"/>
  <c r="G183" i="25"/>
  <c r="AA182" i="25"/>
  <c r="M182" i="25"/>
  <c r="K182" i="25"/>
  <c r="I182" i="25"/>
  <c r="H182" i="25"/>
  <c r="G182" i="25"/>
  <c r="AA181" i="25"/>
  <c r="M181" i="25"/>
  <c r="K181" i="25"/>
  <c r="I181" i="25"/>
  <c r="H181" i="25"/>
  <c r="G181" i="25"/>
  <c r="AA180" i="25"/>
  <c r="M180" i="25"/>
  <c r="K180" i="25"/>
  <c r="I180" i="25"/>
  <c r="H180" i="25"/>
  <c r="G180" i="25"/>
  <c r="AA179" i="25"/>
  <c r="M179" i="25"/>
  <c r="K179" i="25"/>
  <c r="I179" i="25"/>
  <c r="H179" i="25"/>
  <c r="G179" i="25"/>
  <c r="AA178" i="25"/>
  <c r="M178" i="25"/>
  <c r="K178" i="25"/>
  <c r="I178" i="25"/>
  <c r="H178" i="25"/>
  <c r="G178" i="25"/>
  <c r="AA177" i="25"/>
  <c r="M177" i="25"/>
  <c r="K177" i="25"/>
  <c r="I177" i="25"/>
  <c r="H177" i="25"/>
  <c r="G177" i="25"/>
  <c r="AA176" i="25"/>
  <c r="M176" i="25"/>
  <c r="K176" i="25"/>
  <c r="I176" i="25"/>
  <c r="H176" i="25"/>
  <c r="G176" i="25"/>
  <c r="AA175" i="25"/>
  <c r="M175" i="25"/>
  <c r="K175" i="25"/>
  <c r="I175" i="25"/>
  <c r="H175" i="25"/>
  <c r="G175" i="25"/>
  <c r="AA174" i="25"/>
  <c r="M174" i="25"/>
  <c r="K174" i="25"/>
  <c r="I174" i="25"/>
  <c r="H174" i="25"/>
  <c r="G174" i="25"/>
  <c r="AA173" i="25"/>
  <c r="M173" i="25"/>
  <c r="K173" i="25"/>
  <c r="I173" i="25"/>
  <c r="H173" i="25"/>
  <c r="G173" i="25"/>
  <c r="AA172" i="25"/>
  <c r="M172" i="25"/>
  <c r="K172" i="25"/>
  <c r="I172" i="25"/>
  <c r="H172" i="25"/>
  <c r="G172" i="25"/>
  <c r="AA171" i="25"/>
  <c r="M171" i="25"/>
  <c r="K171" i="25"/>
  <c r="I171" i="25"/>
  <c r="H171" i="25"/>
  <c r="G171" i="25"/>
  <c r="AA170" i="25"/>
  <c r="M170" i="25"/>
  <c r="K170" i="25"/>
  <c r="I170" i="25"/>
  <c r="H170" i="25"/>
  <c r="G170" i="25"/>
  <c r="AA169" i="25"/>
  <c r="M169" i="25"/>
  <c r="K169" i="25"/>
  <c r="I169" i="25"/>
  <c r="H169" i="25"/>
  <c r="G169" i="25"/>
  <c r="AA168" i="25"/>
  <c r="M168" i="25"/>
  <c r="K168" i="25"/>
  <c r="I168" i="25"/>
  <c r="H168" i="25"/>
  <c r="G168" i="25"/>
  <c r="AA167" i="25"/>
  <c r="M167" i="25"/>
  <c r="K167" i="25"/>
  <c r="I167" i="25"/>
  <c r="H167" i="25"/>
  <c r="G167" i="25"/>
  <c r="AA166" i="25"/>
  <c r="M166" i="25"/>
  <c r="K166" i="25"/>
  <c r="I166" i="25"/>
  <c r="H166" i="25"/>
  <c r="G166" i="25"/>
  <c r="AA165" i="25"/>
  <c r="M165" i="25"/>
  <c r="K165" i="25"/>
  <c r="I165" i="25"/>
  <c r="H165" i="25"/>
  <c r="G165" i="25"/>
  <c r="AA164" i="25"/>
  <c r="M164" i="25"/>
  <c r="K164" i="25"/>
  <c r="I164" i="25"/>
  <c r="H164" i="25"/>
  <c r="G164" i="25"/>
  <c r="AA163" i="25"/>
  <c r="M163" i="25"/>
  <c r="K163" i="25"/>
  <c r="I163" i="25"/>
  <c r="H163" i="25"/>
  <c r="G163" i="25"/>
  <c r="AA162" i="25"/>
  <c r="M162" i="25"/>
  <c r="K162" i="25"/>
  <c r="I162" i="25"/>
  <c r="H162" i="25"/>
  <c r="G162" i="25"/>
  <c r="AA161" i="25"/>
  <c r="M161" i="25"/>
  <c r="K161" i="25"/>
  <c r="I161" i="25"/>
  <c r="H161" i="25"/>
  <c r="G161" i="25"/>
  <c r="AA160" i="25"/>
  <c r="M160" i="25"/>
  <c r="K160" i="25"/>
  <c r="I160" i="25"/>
  <c r="H160" i="25"/>
  <c r="G160" i="25"/>
  <c r="AA159" i="25"/>
  <c r="M159" i="25"/>
  <c r="K159" i="25"/>
  <c r="I159" i="25"/>
  <c r="H159" i="25"/>
  <c r="G159" i="25"/>
  <c r="AA158" i="25"/>
  <c r="M158" i="25"/>
  <c r="K158" i="25"/>
  <c r="I158" i="25"/>
  <c r="H158" i="25"/>
  <c r="G158" i="25"/>
  <c r="AA157" i="25"/>
  <c r="M157" i="25"/>
  <c r="K157" i="25"/>
  <c r="I157" i="25"/>
  <c r="H157" i="25"/>
  <c r="G157" i="25"/>
  <c r="AA156" i="25"/>
  <c r="M156" i="25"/>
  <c r="K156" i="25"/>
  <c r="I156" i="25"/>
  <c r="H156" i="25"/>
  <c r="G156" i="25"/>
  <c r="AA155" i="25"/>
  <c r="M155" i="25"/>
  <c r="K155" i="25"/>
  <c r="I155" i="25"/>
  <c r="H155" i="25"/>
  <c r="G155" i="25"/>
  <c r="AA154" i="25"/>
  <c r="M154" i="25"/>
  <c r="K154" i="25"/>
  <c r="I154" i="25"/>
  <c r="H154" i="25"/>
  <c r="G154" i="25"/>
  <c r="AA153" i="25"/>
  <c r="M153" i="25"/>
  <c r="K153" i="25"/>
  <c r="I153" i="25"/>
  <c r="H153" i="25"/>
  <c r="G153" i="25"/>
  <c r="AA152" i="25"/>
  <c r="M152" i="25"/>
  <c r="K152" i="25"/>
  <c r="I152" i="25"/>
  <c r="H152" i="25"/>
  <c r="G152" i="25"/>
  <c r="AA151" i="25"/>
  <c r="M151" i="25"/>
  <c r="K151" i="25"/>
  <c r="I151" i="25"/>
  <c r="H151" i="25"/>
  <c r="G151" i="25"/>
  <c r="AA150" i="25"/>
  <c r="M150" i="25"/>
  <c r="K150" i="25"/>
  <c r="I150" i="25"/>
  <c r="H150" i="25"/>
  <c r="G150" i="25"/>
  <c r="AA149" i="25"/>
  <c r="M149" i="25"/>
  <c r="K149" i="25"/>
  <c r="I149" i="25"/>
  <c r="H149" i="25"/>
  <c r="G149" i="25"/>
  <c r="AA148" i="25"/>
  <c r="M148" i="25"/>
  <c r="K148" i="25"/>
  <c r="I148" i="25"/>
  <c r="H148" i="25"/>
  <c r="G148" i="25"/>
  <c r="AA147" i="25"/>
  <c r="M147" i="25"/>
  <c r="K147" i="25"/>
  <c r="I147" i="25"/>
  <c r="H147" i="25"/>
  <c r="G147" i="25"/>
  <c r="AA146" i="25"/>
  <c r="M146" i="25"/>
  <c r="K146" i="25"/>
  <c r="I146" i="25"/>
  <c r="H146" i="25"/>
  <c r="G146" i="25"/>
  <c r="AA145" i="25"/>
  <c r="M145" i="25"/>
  <c r="K145" i="25"/>
  <c r="I145" i="25"/>
  <c r="H145" i="25"/>
  <c r="G145" i="25"/>
  <c r="AA144" i="25"/>
  <c r="M144" i="25"/>
  <c r="K144" i="25"/>
  <c r="I144" i="25"/>
  <c r="H144" i="25"/>
  <c r="G144" i="25"/>
  <c r="AA143" i="25"/>
  <c r="M143" i="25"/>
  <c r="K143" i="25"/>
  <c r="I143" i="25"/>
  <c r="H143" i="25"/>
  <c r="G143" i="25"/>
  <c r="AA142" i="25"/>
  <c r="M142" i="25"/>
  <c r="K142" i="25"/>
  <c r="I142" i="25"/>
  <c r="H142" i="25"/>
  <c r="G142" i="25"/>
  <c r="AA141" i="25"/>
  <c r="M141" i="25"/>
  <c r="K141" i="25"/>
  <c r="I141" i="25"/>
  <c r="H141" i="25"/>
  <c r="G141" i="25"/>
  <c r="AA140" i="25"/>
  <c r="M140" i="25"/>
  <c r="K140" i="25"/>
  <c r="I140" i="25"/>
  <c r="H140" i="25"/>
  <c r="G140" i="25"/>
  <c r="AA139" i="25"/>
  <c r="M139" i="25"/>
  <c r="K139" i="25"/>
  <c r="I139" i="25"/>
  <c r="H139" i="25"/>
  <c r="G139" i="25"/>
  <c r="AA138" i="25"/>
  <c r="M138" i="25"/>
  <c r="K138" i="25"/>
  <c r="I138" i="25"/>
  <c r="H138" i="25"/>
  <c r="G138" i="25"/>
  <c r="AA137" i="25"/>
  <c r="M137" i="25"/>
  <c r="K137" i="25"/>
  <c r="I137" i="25"/>
  <c r="H137" i="25"/>
  <c r="G137" i="25"/>
  <c r="AA136" i="25"/>
  <c r="M136" i="25"/>
  <c r="K136" i="25"/>
  <c r="I136" i="25"/>
  <c r="H136" i="25"/>
  <c r="G136" i="25"/>
  <c r="AA135" i="25"/>
  <c r="M135" i="25"/>
  <c r="K135" i="25"/>
  <c r="I135" i="25"/>
  <c r="H135" i="25"/>
  <c r="G135" i="25"/>
  <c r="AA134" i="25"/>
  <c r="M134" i="25"/>
  <c r="K134" i="25"/>
  <c r="I134" i="25"/>
  <c r="H134" i="25"/>
  <c r="G134" i="25"/>
  <c r="AA133" i="25"/>
  <c r="M133" i="25"/>
  <c r="K133" i="25"/>
  <c r="I133" i="25"/>
  <c r="H133" i="25"/>
  <c r="G133" i="25"/>
  <c r="AA132" i="25"/>
  <c r="M132" i="25"/>
  <c r="K132" i="25"/>
  <c r="I132" i="25"/>
  <c r="H132" i="25"/>
  <c r="G132" i="25"/>
  <c r="AA131" i="25"/>
  <c r="M131" i="25"/>
  <c r="K131" i="25"/>
  <c r="I131" i="25"/>
  <c r="H131" i="25"/>
  <c r="G131" i="25"/>
  <c r="AA130" i="25"/>
  <c r="M130" i="25"/>
  <c r="K130" i="25"/>
  <c r="I130" i="25"/>
  <c r="H130" i="25"/>
  <c r="G130" i="25"/>
  <c r="AA129" i="25"/>
  <c r="M129" i="25"/>
  <c r="K129" i="25"/>
  <c r="I129" i="25"/>
  <c r="H129" i="25"/>
  <c r="G129" i="25"/>
  <c r="AA128" i="25"/>
  <c r="M128" i="25"/>
  <c r="K128" i="25"/>
  <c r="I128" i="25"/>
  <c r="H128" i="25"/>
  <c r="G128" i="25"/>
  <c r="AA127" i="25"/>
  <c r="M127" i="25"/>
  <c r="K127" i="25"/>
  <c r="I127" i="25"/>
  <c r="H127" i="25"/>
  <c r="G127" i="25"/>
  <c r="AA126" i="25"/>
  <c r="M126" i="25"/>
  <c r="K126" i="25"/>
  <c r="I126" i="25"/>
  <c r="H126" i="25"/>
  <c r="G126" i="25"/>
  <c r="AA125" i="25"/>
  <c r="M125" i="25"/>
  <c r="K125" i="25"/>
  <c r="I125" i="25"/>
  <c r="H125" i="25"/>
  <c r="G125" i="25"/>
  <c r="AA124" i="25"/>
  <c r="M124" i="25"/>
  <c r="K124" i="25"/>
  <c r="I124" i="25"/>
  <c r="H124" i="25"/>
  <c r="G124" i="25"/>
  <c r="AA123" i="25"/>
  <c r="M123" i="25"/>
  <c r="K123" i="25"/>
  <c r="I123" i="25"/>
  <c r="H123" i="25"/>
  <c r="G123" i="25"/>
  <c r="AA122" i="25"/>
  <c r="M122" i="25"/>
  <c r="K122" i="25"/>
  <c r="I122" i="25"/>
  <c r="H122" i="25"/>
  <c r="G122" i="25"/>
  <c r="AA121" i="25"/>
  <c r="M121" i="25"/>
  <c r="K121" i="25"/>
  <c r="I121" i="25"/>
  <c r="H121" i="25"/>
  <c r="G121" i="25"/>
  <c r="AA120" i="25"/>
  <c r="M120" i="25"/>
  <c r="K120" i="25"/>
  <c r="I120" i="25"/>
  <c r="H120" i="25"/>
  <c r="G120" i="25"/>
  <c r="AA119" i="25"/>
  <c r="M119" i="25"/>
  <c r="K119" i="25"/>
  <c r="I119" i="25"/>
  <c r="H119" i="25"/>
  <c r="G119" i="25"/>
  <c r="AA118" i="25"/>
  <c r="M118" i="25"/>
  <c r="K118" i="25"/>
  <c r="I118" i="25"/>
  <c r="H118" i="25"/>
  <c r="G118" i="25"/>
  <c r="AA117" i="25"/>
  <c r="M117" i="25"/>
  <c r="K117" i="25"/>
  <c r="I117" i="25"/>
  <c r="H117" i="25"/>
  <c r="G117" i="25"/>
  <c r="AA116" i="25"/>
  <c r="M116" i="25"/>
  <c r="K116" i="25"/>
  <c r="I116" i="25"/>
  <c r="H116" i="25"/>
  <c r="G116" i="25"/>
  <c r="AA115" i="25"/>
  <c r="M115" i="25"/>
  <c r="K115" i="25"/>
  <c r="I115" i="25"/>
  <c r="H115" i="25"/>
  <c r="G115" i="25"/>
  <c r="AA114" i="25"/>
  <c r="M114" i="25"/>
  <c r="K114" i="25"/>
  <c r="I114" i="25"/>
  <c r="H114" i="25"/>
  <c r="G114" i="25"/>
  <c r="AA113" i="25"/>
  <c r="M113" i="25"/>
  <c r="K113" i="25"/>
  <c r="I113" i="25"/>
  <c r="H113" i="25"/>
  <c r="G113" i="25"/>
  <c r="AA112" i="25"/>
  <c r="M112" i="25"/>
  <c r="K112" i="25"/>
  <c r="I112" i="25"/>
  <c r="H112" i="25"/>
  <c r="G112" i="25"/>
  <c r="AA111" i="25"/>
  <c r="M111" i="25"/>
  <c r="K111" i="25"/>
  <c r="I111" i="25"/>
  <c r="H111" i="25"/>
  <c r="G111" i="25"/>
  <c r="AA110" i="25"/>
  <c r="M110" i="25"/>
  <c r="K110" i="25"/>
  <c r="I110" i="25"/>
  <c r="H110" i="25"/>
  <c r="G110" i="25"/>
  <c r="AA109" i="25"/>
  <c r="M109" i="25"/>
  <c r="K109" i="25"/>
  <c r="I109" i="25"/>
  <c r="H109" i="25"/>
  <c r="G109" i="25"/>
  <c r="AA108" i="25"/>
  <c r="M108" i="25"/>
  <c r="K108" i="25"/>
  <c r="I108" i="25"/>
  <c r="H108" i="25"/>
  <c r="G108" i="25"/>
  <c r="AA107" i="25"/>
  <c r="M107" i="25"/>
  <c r="K107" i="25"/>
  <c r="I107" i="25"/>
  <c r="H107" i="25"/>
  <c r="G107" i="25"/>
  <c r="AA106" i="25"/>
  <c r="M106" i="25"/>
  <c r="K106" i="25"/>
  <c r="I106" i="25"/>
  <c r="H106" i="25"/>
  <c r="G106" i="25"/>
  <c r="AA105" i="25"/>
  <c r="M105" i="25"/>
  <c r="K105" i="25"/>
  <c r="I105" i="25"/>
  <c r="H105" i="25"/>
  <c r="G105" i="25"/>
  <c r="AA104" i="25"/>
  <c r="M104" i="25"/>
  <c r="K104" i="25"/>
  <c r="I104" i="25"/>
  <c r="H104" i="25"/>
  <c r="G104" i="25"/>
  <c r="AA103" i="25"/>
  <c r="M103" i="25"/>
  <c r="K103" i="25"/>
  <c r="I103" i="25"/>
  <c r="H103" i="25"/>
  <c r="G103" i="25"/>
  <c r="AA102" i="25"/>
  <c r="M102" i="25"/>
  <c r="K102" i="25"/>
  <c r="I102" i="25"/>
  <c r="H102" i="25"/>
  <c r="G102" i="25"/>
  <c r="AA101" i="25"/>
  <c r="M101" i="25"/>
  <c r="K101" i="25"/>
  <c r="I101" i="25"/>
  <c r="H101" i="25"/>
  <c r="G101" i="25"/>
  <c r="AA100" i="25"/>
  <c r="M100" i="25"/>
  <c r="K100" i="25"/>
  <c r="I100" i="25"/>
  <c r="H100" i="25"/>
  <c r="G100" i="25"/>
  <c r="AA99" i="25"/>
  <c r="M99" i="25"/>
  <c r="K99" i="25"/>
  <c r="I99" i="25"/>
  <c r="H99" i="25"/>
  <c r="G99" i="25"/>
  <c r="AA98" i="25"/>
  <c r="M98" i="25"/>
  <c r="K98" i="25"/>
  <c r="I98" i="25"/>
  <c r="H98" i="25"/>
  <c r="G98" i="25"/>
  <c r="AA97" i="25"/>
  <c r="M97" i="25"/>
  <c r="K97" i="25"/>
  <c r="I97" i="25"/>
  <c r="H97" i="25"/>
  <c r="G97" i="25"/>
  <c r="AA96" i="25"/>
  <c r="M96" i="25"/>
  <c r="K96" i="25"/>
  <c r="I96" i="25"/>
  <c r="H96" i="25"/>
  <c r="G96" i="25"/>
  <c r="AA95" i="25"/>
  <c r="M95" i="25"/>
  <c r="K95" i="25"/>
  <c r="I95" i="25"/>
  <c r="H95" i="25"/>
  <c r="G95" i="25"/>
  <c r="AA94" i="25"/>
  <c r="M94" i="25"/>
  <c r="K94" i="25"/>
  <c r="I94" i="25"/>
  <c r="H94" i="25"/>
  <c r="G94" i="25"/>
  <c r="AA93" i="25"/>
  <c r="M93" i="25"/>
  <c r="K93" i="25"/>
  <c r="I93" i="25"/>
  <c r="H93" i="25"/>
  <c r="G93" i="25"/>
  <c r="AA92" i="25"/>
  <c r="M92" i="25"/>
  <c r="K92" i="25"/>
  <c r="I92" i="25"/>
  <c r="H92" i="25"/>
  <c r="G92" i="25"/>
  <c r="AA91" i="25"/>
  <c r="M91" i="25"/>
  <c r="K91" i="25"/>
  <c r="I91" i="25"/>
  <c r="H91" i="25"/>
  <c r="G91" i="25"/>
  <c r="AA90" i="25"/>
  <c r="M90" i="25"/>
  <c r="K90" i="25"/>
  <c r="I90" i="25"/>
  <c r="H90" i="25"/>
  <c r="G90" i="25"/>
  <c r="AA89" i="25"/>
  <c r="M89" i="25"/>
  <c r="K89" i="25"/>
  <c r="I89" i="25"/>
  <c r="H89" i="25"/>
  <c r="G89" i="25"/>
  <c r="AA88" i="25"/>
  <c r="M88" i="25"/>
  <c r="K88" i="25"/>
  <c r="I88" i="25"/>
  <c r="H88" i="25"/>
  <c r="G88" i="25"/>
  <c r="AA87" i="25"/>
  <c r="M87" i="25"/>
  <c r="K87" i="25"/>
  <c r="I87" i="25"/>
  <c r="H87" i="25"/>
  <c r="G87" i="25"/>
  <c r="AA86" i="25"/>
  <c r="M86" i="25"/>
  <c r="K86" i="25"/>
  <c r="I86" i="25"/>
  <c r="H86" i="25"/>
  <c r="G86" i="25"/>
  <c r="AA85" i="25"/>
  <c r="M85" i="25"/>
  <c r="K85" i="25"/>
  <c r="I85" i="25"/>
  <c r="H85" i="25"/>
  <c r="G85" i="25"/>
  <c r="AA84" i="25"/>
  <c r="M84" i="25"/>
  <c r="K84" i="25"/>
  <c r="I84" i="25"/>
  <c r="H84" i="25"/>
  <c r="G84" i="25"/>
  <c r="AA83" i="25"/>
  <c r="M83" i="25"/>
  <c r="K83" i="25"/>
  <c r="I83" i="25"/>
  <c r="H83" i="25"/>
  <c r="G83" i="25"/>
  <c r="AA82" i="25"/>
  <c r="M82" i="25"/>
  <c r="K82" i="25"/>
  <c r="I82" i="25"/>
  <c r="H82" i="25"/>
  <c r="G82" i="25"/>
  <c r="AA81" i="25"/>
  <c r="M81" i="25"/>
  <c r="K81" i="25"/>
  <c r="I81" i="25"/>
  <c r="H81" i="25"/>
  <c r="G81" i="25"/>
  <c r="AA80" i="25"/>
  <c r="M80" i="25"/>
  <c r="K80" i="25"/>
  <c r="I80" i="25"/>
  <c r="H80" i="25"/>
  <c r="G80" i="25"/>
  <c r="AA79" i="25"/>
  <c r="M79" i="25"/>
  <c r="K79" i="25"/>
  <c r="I79" i="25"/>
  <c r="H79" i="25"/>
  <c r="G79" i="25"/>
  <c r="AA78" i="25"/>
  <c r="M78" i="25"/>
  <c r="K78" i="25"/>
  <c r="I78" i="25"/>
  <c r="H78" i="25"/>
  <c r="G78" i="25"/>
  <c r="AA77" i="25"/>
  <c r="M77" i="25"/>
  <c r="K77" i="25"/>
  <c r="I77" i="25"/>
  <c r="H77" i="25"/>
  <c r="G77" i="25"/>
  <c r="AA76" i="25"/>
  <c r="M76" i="25"/>
  <c r="K76" i="25"/>
  <c r="I76" i="25"/>
  <c r="H76" i="25"/>
  <c r="G76" i="25"/>
  <c r="AA75" i="25"/>
  <c r="M75" i="25"/>
  <c r="K75" i="25"/>
  <c r="I75" i="25"/>
  <c r="H75" i="25"/>
  <c r="G75" i="25"/>
  <c r="AA74" i="25"/>
  <c r="M74" i="25"/>
  <c r="K74" i="25"/>
  <c r="I74" i="25"/>
  <c r="H74" i="25"/>
  <c r="G74" i="25"/>
  <c r="AA73" i="25"/>
  <c r="M73" i="25"/>
  <c r="K73" i="25"/>
  <c r="I73" i="25"/>
  <c r="H73" i="25"/>
  <c r="G73" i="25"/>
  <c r="AA72" i="25"/>
  <c r="M72" i="25"/>
  <c r="K72" i="25"/>
  <c r="I72" i="25"/>
  <c r="H72" i="25"/>
  <c r="G72" i="25"/>
  <c r="AA71" i="25"/>
  <c r="M71" i="25"/>
  <c r="K71" i="25"/>
  <c r="I71" i="25"/>
  <c r="H71" i="25"/>
  <c r="G71" i="25"/>
  <c r="AA70" i="25"/>
  <c r="M70" i="25"/>
  <c r="K70" i="25"/>
  <c r="I70" i="25"/>
  <c r="H70" i="25"/>
  <c r="G70" i="25"/>
  <c r="AA69" i="25"/>
  <c r="M69" i="25"/>
  <c r="K69" i="25"/>
  <c r="I69" i="25"/>
  <c r="H69" i="25"/>
  <c r="G69" i="25"/>
  <c r="AA68" i="25"/>
  <c r="M68" i="25"/>
  <c r="K68" i="25"/>
  <c r="I68" i="25"/>
  <c r="H68" i="25"/>
  <c r="G68" i="25"/>
  <c r="AA67" i="25"/>
  <c r="M67" i="25"/>
  <c r="K67" i="25"/>
  <c r="I67" i="25"/>
  <c r="H67" i="25"/>
  <c r="G67" i="25"/>
  <c r="AA66" i="25"/>
  <c r="M66" i="25"/>
  <c r="K66" i="25"/>
  <c r="I66" i="25"/>
  <c r="H66" i="25"/>
  <c r="G66" i="25"/>
  <c r="AA65" i="25"/>
  <c r="M65" i="25"/>
  <c r="K65" i="25"/>
  <c r="I65" i="25"/>
  <c r="H65" i="25"/>
  <c r="G65" i="25"/>
  <c r="AA64" i="25"/>
  <c r="M64" i="25"/>
  <c r="K64" i="25"/>
  <c r="I64" i="25"/>
  <c r="H64" i="25"/>
  <c r="G64" i="25"/>
  <c r="AA63" i="25"/>
  <c r="M63" i="25"/>
  <c r="K63" i="25"/>
  <c r="I63" i="25"/>
  <c r="H63" i="25"/>
  <c r="G63" i="25"/>
  <c r="AA62" i="25"/>
  <c r="M62" i="25"/>
  <c r="K62" i="25"/>
  <c r="I62" i="25"/>
  <c r="H62" i="25"/>
  <c r="G62" i="25"/>
  <c r="AA61" i="25"/>
  <c r="M61" i="25"/>
  <c r="K61" i="25"/>
  <c r="I61" i="25"/>
  <c r="H61" i="25"/>
  <c r="G61" i="25"/>
  <c r="AA60" i="25"/>
  <c r="M60" i="25"/>
  <c r="K60" i="25"/>
  <c r="I60" i="25"/>
  <c r="H60" i="25"/>
  <c r="G60" i="25"/>
  <c r="AA59" i="25"/>
  <c r="M59" i="25"/>
  <c r="K59" i="25"/>
  <c r="I59" i="25"/>
  <c r="H59" i="25"/>
  <c r="G59" i="25"/>
  <c r="AA58" i="25"/>
  <c r="M58" i="25"/>
  <c r="K58" i="25"/>
  <c r="I58" i="25"/>
  <c r="H58" i="25"/>
  <c r="G58" i="25"/>
  <c r="AA57" i="25"/>
  <c r="M57" i="25"/>
  <c r="K57" i="25"/>
  <c r="I57" i="25"/>
  <c r="H57" i="25"/>
  <c r="G57" i="25"/>
  <c r="AA56" i="25"/>
  <c r="M56" i="25"/>
  <c r="K56" i="25"/>
  <c r="I56" i="25"/>
  <c r="H56" i="25"/>
  <c r="G56" i="25"/>
  <c r="AA55" i="25"/>
  <c r="M55" i="25"/>
  <c r="K55" i="25"/>
  <c r="I55" i="25"/>
  <c r="H55" i="25"/>
  <c r="G55" i="25"/>
  <c r="AA54" i="25"/>
  <c r="M54" i="25"/>
  <c r="K54" i="25"/>
  <c r="I54" i="25"/>
  <c r="H54" i="25"/>
  <c r="G54" i="25"/>
  <c r="AA53" i="25"/>
  <c r="M53" i="25"/>
  <c r="K53" i="25"/>
  <c r="I53" i="25"/>
  <c r="H53" i="25"/>
  <c r="G53" i="25"/>
  <c r="AA52" i="25"/>
  <c r="M52" i="25"/>
  <c r="K52" i="25"/>
  <c r="I52" i="25"/>
  <c r="H52" i="25"/>
  <c r="G52" i="25"/>
  <c r="AA51" i="25"/>
  <c r="M51" i="25"/>
  <c r="K51" i="25"/>
  <c r="I51" i="25"/>
  <c r="H51" i="25"/>
  <c r="G51" i="25"/>
  <c r="AA50" i="25"/>
  <c r="M50" i="25"/>
  <c r="K50" i="25"/>
  <c r="I50" i="25"/>
  <c r="H50" i="25"/>
  <c r="G50" i="25"/>
  <c r="AA49" i="25"/>
  <c r="M49" i="25"/>
  <c r="K49" i="25"/>
  <c r="I49" i="25"/>
  <c r="H49" i="25"/>
  <c r="G49" i="25"/>
  <c r="AA48" i="25"/>
  <c r="M48" i="25"/>
  <c r="K48" i="25"/>
  <c r="I48" i="25"/>
  <c r="H48" i="25"/>
  <c r="G48" i="25"/>
  <c r="AA47" i="25"/>
  <c r="M47" i="25"/>
  <c r="K47" i="25"/>
  <c r="I47" i="25"/>
  <c r="H47" i="25"/>
  <c r="G47" i="25"/>
  <c r="AA46" i="25"/>
  <c r="M46" i="25"/>
  <c r="K46" i="25"/>
  <c r="I46" i="25"/>
  <c r="H46" i="25"/>
  <c r="G46" i="25"/>
  <c r="AA45" i="25"/>
  <c r="M45" i="25"/>
  <c r="K45" i="25"/>
  <c r="I45" i="25"/>
  <c r="H45" i="25"/>
  <c r="G45" i="25"/>
  <c r="AA44" i="25"/>
  <c r="M44" i="25"/>
  <c r="K44" i="25"/>
  <c r="I44" i="25"/>
  <c r="H44" i="25"/>
  <c r="G44" i="25"/>
  <c r="AA43" i="25"/>
  <c r="M43" i="25"/>
  <c r="K43" i="25"/>
  <c r="I43" i="25"/>
  <c r="H43" i="25"/>
  <c r="G43" i="25"/>
  <c r="AA42" i="25"/>
  <c r="M42" i="25"/>
  <c r="K42" i="25"/>
  <c r="I42" i="25"/>
  <c r="H42" i="25"/>
  <c r="G42" i="25"/>
  <c r="AA41" i="25"/>
  <c r="M41" i="25"/>
  <c r="K41" i="25"/>
  <c r="I41" i="25"/>
  <c r="H41" i="25"/>
  <c r="G41" i="25"/>
  <c r="AA40" i="25"/>
  <c r="M40" i="25"/>
  <c r="K40" i="25"/>
  <c r="I40" i="25"/>
  <c r="H40" i="25"/>
  <c r="G40" i="25"/>
  <c r="AA39" i="25"/>
  <c r="M39" i="25"/>
  <c r="K39" i="25"/>
  <c r="I39" i="25"/>
  <c r="H39" i="25"/>
  <c r="G39" i="25"/>
  <c r="AA38" i="25"/>
  <c r="M38" i="25"/>
  <c r="K38" i="25"/>
  <c r="I38" i="25"/>
  <c r="H38" i="25"/>
  <c r="G38" i="25"/>
  <c r="AA37" i="25"/>
  <c r="M37" i="25"/>
  <c r="K37" i="25"/>
  <c r="I37" i="25"/>
  <c r="H37" i="25"/>
  <c r="G37" i="25"/>
  <c r="AA36" i="25"/>
  <c r="M36" i="25"/>
  <c r="K36" i="25"/>
  <c r="I36" i="25"/>
  <c r="H36" i="25"/>
  <c r="G36" i="25"/>
  <c r="AA35" i="25"/>
  <c r="M35" i="25"/>
  <c r="K35" i="25"/>
  <c r="I35" i="25"/>
  <c r="H35" i="25"/>
  <c r="G35" i="25"/>
  <c r="AA34" i="25"/>
  <c r="M34" i="25"/>
  <c r="K34" i="25"/>
  <c r="I34" i="25"/>
  <c r="H34" i="25"/>
  <c r="G34" i="25"/>
  <c r="AA33" i="25"/>
  <c r="M33" i="25"/>
  <c r="K33" i="25"/>
  <c r="I33" i="25"/>
  <c r="H33" i="25"/>
  <c r="G33" i="25"/>
  <c r="AA32" i="25"/>
  <c r="M32" i="25"/>
  <c r="K32" i="25"/>
  <c r="I32" i="25"/>
  <c r="H32" i="25"/>
  <c r="G32" i="25"/>
  <c r="AA31" i="25"/>
  <c r="M31" i="25"/>
  <c r="K31" i="25"/>
  <c r="I31" i="25"/>
  <c r="H31" i="25"/>
  <c r="G31" i="25"/>
  <c r="AA30" i="25"/>
  <c r="M30" i="25"/>
  <c r="K30" i="25"/>
  <c r="I30" i="25"/>
  <c r="H30" i="25"/>
  <c r="G30" i="25"/>
  <c r="AA29" i="25"/>
  <c r="M29" i="25"/>
  <c r="K29" i="25"/>
  <c r="I29" i="25"/>
  <c r="H29" i="25"/>
  <c r="G29" i="25"/>
  <c r="AA28" i="25"/>
  <c r="M28" i="25"/>
  <c r="K28" i="25"/>
  <c r="I28" i="25"/>
  <c r="H28" i="25"/>
  <c r="G28" i="25"/>
  <c r="AA27" i="25"/>
  <c r="M27" i="25"/>
  <c r="K27" i="25"/>
  <c r="I27" i="25"/>
  <c r="H27" i="25"/>
  <c r="G27" i="25"/>
  <c r="AA26" i="25"/>
  <c r="M26" i="25"/>
  <c r="K26" i="25"/>
  <c r="I26" i="25"/>
  <c r="H26" i="25"/>
  <c r="G26" i="25"/>
  <c r="AA25" i="25"/>
  <c r="M25" i="25"/>
  <c r="K25" i="25"/>
  <c r="I25" i="25"/>
  <c r="H25" i="25"/>
  <c r="G25" i="25"/>
  <c r="AA24" i="25"/>
  <c r="M24" i="25"/>
  <c r="K24" i="25"/>
  <c r="I24" i="25"/>
  <c r="H24" i="25"/>
  <c r="G24" i="25"/>
  <c r="AA23" i="25"/>
  <c r="M23" i="25"/>
  <c r="K23" i="25"/>
  <c r="I23" i="25"/>
  <c r="H23" i="25"/>
  <c r="G23" i="25"/>
  <c r="AA22" i="25"/>
  <c r="M22" i="25"/>
  <c r="K22" i="25"/>
  <c r="I22" i="25"/>
  <c r="H22" i="25"/>
  <c r="G22" i="25"/>
  <c r="AA21" i="25"/>
  <c r="M21" i="25"/>
  <c r="K21" i="25"/>
  <c r="I21" i="25"/>
  <c r="H21" i="25"/>
  <c r="G21" i="25"/>
  <c r="AA20" i="25"/>
  <c r="M20" i="25"/>
  <c r="K20" i="25"/>
  <c r="I20" i="25"/>
  <c r="H20" i="25"/>
  <c r="G20" i="25"/>
  <c r="AA19" i="25"/>
  <c r="M19" i="25"/>
  <c r="K19" i="25"/>
  <c r="I19" i="25"/>
  <c r="H19" i="25"/>
  <c r="G19" i="25"/>
  <c r="AA18" i="25"/>
  <c r="M18" i="25"/>
  <c r="K18" i="25"/>
  <c r="I18" i="25"/>
  <c r="H18" i="25"/>
  <c r="G18" i="25"/>
  <c r="AA17" i="25"/>
  <c r="M17" i="25"/>
  <c r="K17" i="25"/>
  <c r="I17" i="25"/>
  <c r="H17" i="25"/>
  <c r="G17" i="25"/>
  <c r="AA16" i="25"/>
  <c r="M16" i="25"/>
  <c r="K16" i="25"/>
  <c r="I16" i="25"/>
  <c r="H16" i="25"/>
  <c r="G16" i="25"/>
  <c r="AA15" i="25"/>
  <c r="M15" i="25"/>
  <c r="I15" i="25"/>
  <c r="H15" i="25"/>
  <c r="G15" i="25"/>
  <c r="AA14" i="25"/>
  <c r="M14" i="25"/>
  <c r="I14" i="25"/>
  <c r="H14" i="25"/>
  <c r="G14" i="25"/>
  <c r="AA13" i="25"/>
  <c r="M13" i="25"/>
  <c r="I13" i="25"/>
  <c r="H13" i="25"/>
  <c r="G13" i="25"/>
  <c r="AA12" i="25"/>
  <c r="M12" i="25"/>
  <c r="I12" i="25"/>
  <c r="H12" i="25"/>
  <c r="G12" i="25"/>
  <c r="AA11" i="25"/>
  <c r="M11" i="25"/>
  <c r="I11" i="25"/>
  <c r="H11" i="25"/>
  <c r="G11" i="25"/>
  <c r="AA10" i="25"/>
  <c r="M10" i="25"/>
  <c r="I10" i="25"/>
  <c r="H10" i="25"/>
  <c r="G10" i="25"/>
  <c r="Q59" i="24"/>
  <c r="L59" i="24"/>
  <c r="E59" i="24"/>
  <c r="A59" i="24"/>
  <c r="Q58" i="24"/>
  <c r="L58" i="24"/>
  <c r="E58" i="24"/>
  <c r="A58" i="24"/>
  <c r="Q57" i="24"/>
  <c r="L57" i="24"/>
  <c r="E57" i="24"/>
  <c r="A57" i="24"/>
  <c r="Q56" i="24"/>
  <c r="L56" i="24"/>
  <c r="E56" i="24"/>
  <c r="A56" i="24"/>
  <c r="Q55" i="24"/>
  <c r="L55" i="24"/>
  <c r="E55" i="24"/>
  <c r="A55" i="24"/>
  <c r="Q54" i="24"/>
  <c r="L54" i="24"/>
  <c r="E54" i="24"/>
  <c r="A54" i="24"/>
  <c r="Q53" i="24"/>
  <c r="L53" i="24"/>
  <c r="E53" i="24"/>
  <c r="A53" i="24"/>
  <c r="Q52" i="24"/>
  <c r="L52" i="24"/>
  <c r="E52" i="24"/>
  <c r="A52" i="24"/>
  <c r="Q51" i="24"/>
  <c r="L51" i="24"/>
  <c r="E51" i="24"/>
  <c r="A51" i="24"/>
  <c r="Q50" i="24"/>
  <c r="L50" i="24"/>
  <c r="E50" i="24"/>
  <c r="A50" i="24"/>
  <c r="Q49" i="24"/>
  <c r="L49" i="24"/>
  <c r="E49" i="24"/>
  <c r="Q48" i="24"/>
  <c r="L48" i="24"/>
  <c r="E48" i="24"/>
  <c r="A48" i="24"/>
  <c r="Q47" i="24"/>
  <c r="L47" i="24"/>
  <c r="E47" i="24"/>
  <c r="A47" i="24"/>
  <c r="Q46" i="24"/>
  <c r="L46" i="24"/>
  <c r="E46" i="24"/>
  <c r="A46" i="24"/>
  <c r="Q45" i="24"/>
  <c r="L45" i="24"/>
  <c r="E45" i="24"/>
  <c r="A45" i="24"/>
  <c r="Q44" i="24"/>
  <c r="L44" i="24"/>
  <c r="E44" i="24"/>
  <c r="A44" i="24"/>
  <c r="Q43" i="24"/>
  <c r="L43" i="24"/>
  <c r="E43" i="24"/>
  <c r="A43" i="24"/>
  <c r="Q42" i="24"/>
  <c r="L42" i="24"/>
  <c r="E42" i="24"/>
  <c r="A42" i="24"/>
  <c r="Q41" i="24"/>
  <c r="L41" i="24"/>
  <c r="E41" i="24"/>
  <c r="A41" i="24"/>
  <c r="Q40" i="24"/>
  <c r="L40" i="24"/>
  <c r="E40" i="24"/>
  <c r="A40" i="24"/>
  <c r="Q39" i="24"/>
  <c r="L39" i="24"/>
  <c r="E39" i="24"/>
  <c r="A39" i="24"/>
  <c r="Q38" i="24"/>
  <c r="L38" i="24"/>
  <c r="E38" i="24"/>
  <c r="A38" i="24"/>
  <c r="Q37" i="24"/>
  <c r="L37" i="24"/>
  <c r="E37" i="24"/>
  <c r="A37" i="24"/>
  <c r="Q36" i="24"/>
  <c r="L36" i="24"/>
  <c r="E36" i="24"/>
  <c r="A36" i="24"/>
  <c r="Q35" i="24"/>
  <c r="L35" i="24"/>
  <c r="E35" i="24"/>
  <c r="A35" i="24"/>
  <c r="Q34" i="24"/>
  <c r="L34" i="24"/>
  <c r="E34" i="24"/>
  <c r="A34" i="24"/>
  <c r="Q33" i="24"/>
  <c r="L33" i="24"/>
  <c r="E33" i="24"/>
  <c r="A33" i="24"/>
  <c r="Q32" i="24"/>
  <c r="L32" i="24"/>
  <c r="E32" i="24"/>
  <c r="A32" i="24"/>
  <c r="Q31" i="24"/>
  <c r="L31" i="24"/>
  <c r="E31" i="24"/>
  <c r="A31" i="24"/>
  <c r="Q30" i="24"/>
  <c r="L30" i="24"/>
  <c r="E30" i="24"/>
  <c r="A30" i="24"/>
  <c r="Q29" i="24"/>
  <c r="L29" i="24"/>
  <c r="E29" i="24"/>
  <c r="A29" i="24"/>
  <c r="Q28" i="24"/>
  <c r="L28" i="24"/>
  <c r="E28" i="24"/>
  <c r="A28" i="24"/>
  <c r="Q27" i="24"/>
  <c r="L27" i="24"/>
  <c r="E27" i="24"/>
  <c r="A27" i="24"/>
  <c r="Q26" i="24"/>
  <c r="L26" i="24"/>
  <c r="E26" i="24"/>
  <c r="A26" i="24"/>
  <c r="Q25" i="24"/>
  <c r="L25" i="24"/>
  <c r="E25" i="24"/>
  <c r="A25" i="24"/>
  <c r="Q24" i="24"/>
  <c r="L24" i="24"/>
  <c r="E24" i="24"/>
  <c r="A24" i="24"/>
  <c r="Q23" i="24"/>
  <c r="L23" i="24"/>
  <c r="E23" i="24"/>
  <c r="A23" i="24"/>
  <c r="Q22" i="24"/>
  <c r="L22" i="24"/>
  <c r="E22" i="24"/>
  <c r="A22" i="24"/>
  <c r="Q21" i="24"/>
  <c r="L21" i="24"/>
  <c r="E21" i="24"/>
  <c r="A21" i="24"/>
  <c r="Q20" i="24"/>
  <c r="L20" i="24"/>
  <c r="E20" i="24"/>
  <c r="A20" i="24"/>
  <c r="Q19" i="24"/>
  <c r="L19" i="24"/>
  <c r="E19" i="24"/>
  <c r="A19" i="24"/>
  <c r="Q18" i="24"/>
  <c r="L18" i="24"/>
  <c r="E18" i="24"/>
  <c r="A18" i="24"/>
  <c r="Q17" i="24"/>
  <c r="L17" i="24"/>
  <c r="E17" i="24"/>
  <c r="A17" i="24"/>
  <c r="Q16" i="24"/>
  <c r="L16" i="24"/>
  <c r="E16" i="24"/>
  <c r="A16" i="24"/>
  <c r="Q15" i="24"/>
  <c r="L15" i="24"/>
  <c r="E15" i="24"/>
  <c r="A15" i="24"/>
  <c r="Q14" i="24"/>
  <c r="L14" i="24"/>
  <c r="E14" i="24"/>
  <c r="A14" i="24"/>
  <c r="Q13" i="24"/>
  <c r="L13" i="24"/>
  <c r="E13" i="24"/>
  <c r="A13" i="24"/>
  <c r="Q12" i="24"/>
  <c r="L12" i="24"/>
  <c r="E12" i="24"/>
  <c r="A12" i="24"/>
  <c r="Q11" i="24"/>
  <c r="L11" i="24"/>
  <c r="E11" i="24"/>
  <c r="A11" i="24"/>
  <c r="Q10" i="24"/>
  <c r="L10" i="24"/>
  <c r="E10" i="24"/>
  <c r="Q9" i="24"/>
  <c r="L9" i="24"/>
  <c r="E9" i="24"/>
  <c r="Q8" i="24"/>
  <c r="Q4" i="24"/>
  <c r="N4" i="24"/>
  <c r="E8" i="24"/>
  <c r="B69" i="4" l="1"/>
  <c r="AA30" i="27"/>
  <c r="AB30" i="27" s="1"/>
  <c r="K30" i="27" s="1"/>
  <c r="AA53" i="27"/>
  <c r="AB53" i="27" s="1"/>
  <c r="K53" i="27" s="1"/>
  <c r="AA77" i="27"/>
  <c r="AB77" i="27" s="1"/>
  <c r="AA78" i="27"/>
  <c r="AB78" i="27" s="1"/>
  <c r="AA102" i="27"/>
  <c r="AB102" i="27" s="1"/>
  <c r="AA67" i="27"/>
  <c r="AB67" i="27" s="1"/>
  <c r="AA40" i="27"/>
  <c r="AB40" i="27" s="1"/>
  <c r="K40" i="27" s="1"/>
  <c r="AA88" i="27"/>
  <c r="AB88" i="27" s="1"/>
  <c r="AA25" i="27"/>
  <c r="AB25" i="27" s="1"/>
  <c r="K25" i="27" s="1"/>
  <c r="AA35" i="27"/>
  <c r="AB35" i="27" s="1"/>
  <c r="K35" i="27" s="1"/>
  <c r="AA36" i="27"/>
  <c r="AB36" i="27" s="1"/>
  <c r="K36" i="27" s="1"/>
  <c r="AA15" i="27"/>
  <c r="AB15" i="27" s="1"/>
  <c r="K15" i="27" s="1"/>
  <c r="AA16" i="27"/>
  <c r="AB16" i="27" s="1"/>
  <c r="K16" i="27" s="1"/>
  <c r="AA111" i="27"/>
  <c r="AB111" i="27" s="1"/>
  <c r="AA112" i="27"/>
  <c r="AB112" i="27" s="1"/>
  <c r="AA50" i="27"/>
  <c r="AB50" i="27" s="1"/>
  <c r="K50" i="27" s="1"/>
  <c r="AA70" i="27"/>
  <c r="AB70" i="27" s="1"/>
  <c r="AA94" i="27"/>
  <c r="AB94" i="27" s="1"/>
  <c r="AA56" i="27"/>
  <c r="AB56" i="27" s="1"/>
  <c r="AA55" i="27"/>
  <c r="AB55" i="27" s="1"/>
  <c r="AA63" i="27"/>
  <c r="AB63" i="27" s="1"/>
  <c r="AA103" i="27"/>
  <c r="AB103" i="27" s="1"/>
  <c r="AA17" i="27"/>
  <c r="AB17" i="27" s="1"/>
  <c r="K17" i="27" s="1"/>
  <c r="AA41" i="27"/>
  <c r="AB41" i="27" s="1"/>
  <c r="K41" i="27" s="1"/>
  <c r="AA42" i="27"/>
  <c r="AB42" i="27" s="1"/>
  <c r="K42" i="27" s="1"/>
  <c r="AA90" i="27"/>
  <c r="AB90" i="27" s="1"/>
  <c r="AA28" i="27"/>
  <c r="AB28" i="27" s="1"/>
  <c r="K28" i="27" s="1"/>
  <c r="AA37" i="27"/>
  <c r="AB37" i="27" s="1"/>
  <c r="K37" i="27" s="1"/>
  <c r="AA38" i="27"/>
  <c r="AB38" i="27" s="1"/>
  <c r="K38" i="27" s="1"/>
  <c r="AA62" i="27"/>
  <c r="AB62" i="27" s="1"/>
  <c r="AA86" i="27"/>
  <c r="AB86" i="27" s="1"/>
  <c r="AA52" i="27"/>
  <c r="AB52" i="27" s="1"/>
  <c r="K52" i="27" s="1"/>
  <c r="AA24" i="27"/>
  <c r="AB24" i="27" s="1"/>
  <c r="K24" i="27" s="1"/>
  <c r="AA47" i="27"/>
  <c r="AB47" i="27" s="1"/>
  <c r="K47" i="27" s="1"/>
  <c r="AA71" i="27"/>
  <c r="AB71" i="27" s="1"/>
  <c r="AA95" i="27"/>
  <c r="AB95" i="27" s="1"/>
  <c r="AA11" i="27"/>
  <c r="AB11" i="27" s="1"/>
  <c r="K11" i="27" s="1"/>
  <c r="AA33" i="27"/>
  <c r="AB33" i="27" s="1"/>
  <c r="K33" i="27" s="1"/>
  <c r="AA82" i="27"/>
  <c r="AB82" i="27" s="1"/>
  <c r="AA106" i="27"/>
  <c r="AB106" i="27" s="1"/>
  <c r="A19" i="25" a="1"/>
  <c r="A19" i="25" s="1"/>
  <c r="A18" i="25" a="1"/>
  <c r="A18" i="25" s="1"/>
  <c r="A24" i="25" a="1"/>
  <c r="A24" i="25" s="1"/>
  <c r="A25" i="25" a="1"/>
  <c r="A25" i="25" s="1"/>
  <c r="A31" i="25" a="1"/>
  <c r="A31" i="25" s="1"/>
  <c r="D31" i="25" s="1"/>
  <c r="E31" i="25" s="1"/>
  <c r="A30" i="25" a="1"/>
  <c r="A30" i="25" s="1"/>
  <c r="A36" i="25" a="1"/>
  <c r="A36" i="25" s="1"/>
  <c r="A37" i="25" a="1"/>
  <c r="A37" i="25" s="1"/>
  <c r="A43" i="25" a="1"/>
  <c r="A43" i="25" s="1"/>
  <c r="D43" i="25" s="1"/>
  <c r="E43" i="25" s="1"/>
  <c r="A42" i="25" a="1"/>
  <c r="A42" i="25" s="1"/>
  <c r="D42" i="25" s="1"/>
  <c r="E42" i="25" s="1"/>
  <c r="A48" i="25" a="1"/>
  <c r="A48" i="25" s="1"/>
  <c r="D48" i="25" s="1"/>
  <c r="E48" i="25" s="1"/>
  <c r="A49" i="25" a="1"/>
  <c r="A49" i="25" s="1"/>
  <c r="D49" i="25" s="1"/>
  <c r="E49" i="25" s="1"/>
  <c r="A55" i="25" a="1"/>
  <c r="A55" i="25" s="1"/>
  <c r="B55" i="25" s="1"/>
  <c r="A54" i="25" a="1"/>
  <c r="A54" i="25" s="1"/>
  <c r="A60" i="25" a="1"/>
  <c r="A60" i="25" s="1"/>
  <c r="A61" i="25" a="1"/>
  <c r="A61" i="25" s="1"/>
  <c r="A67" i="25" a="1"/>
  <c r="A67" i="25" s="1"/>
  <c r="D67" i="25" s="1"/>
  <c r="E67" i="25" s="1"/>
  <c r="A66" i="25" a="1"/>
  <c r="A66" i="25" s="1"/>
  <c r="A72" i="25" a="1"/>
  <c r="A72" i="25" s="1"/>
  <c r="A73" i="25" a="1"/>
  <c r="A73" i="25" s="1"/>
  <c r="A79" i="25" a="1"/>
  <c r="A79" i="25" s="1"/>
  <c r="A78" i="25" a="1"/>
  <c r="A78" i="25" s="1"/>
  <c r="D78" i="25" s="1"/>
  <c r="E78" i="25" s="1"/>
  <c r="A84" i="25" a="1"/>
  <c r="A84" i="25" s="1"/>
  <c r="D84" i="25" s="1"/>
  <c r="E84" i="25" s="1"/>
  <c r="A85" i="25" a="1"/>
  <c r="A85" i="25" s="1"/>
  <c r="D85" i="25" s="1"/>
  <c r="E85" i="25" s="1"/>
  <c r="A91" i="25" a="1"/>
  <c r="A91" i="25" s="1"/>
  <c r="D91" i="25" s="1"/>
  <c r="E91" i="25" s="1"/>
  <c r="A90" i="25" a="1"/>
  <c r="A90" i="25" s="1"/>
  <c r="A96" i="25" a="1"/>
  <c r="A96" i="25" s="1"/>
  <c r="A97" i="25" a="1"/>
  <c r="A97" i="25" s="1"/>
  <c r="A102" i="25" a="1"/>
  <c r="A102" i="25" s="1"/>
  <c r="A103" i="25" a="1"/>
  <c r="A103" i="25" s="1"/>
  <c r="D103" i="25" s="1"/>
  <c r="E103" i="25" s="1"/>
  <c r="A108" i="25" a="1"/>
  <c r="A108" i="25" s="1"/>
  <c r="A109" i="25" a="1"/>
  <c r="A109" i="25" s="1"/>
  <c r="A12" i="25" a="1"/>
  <c r="A12" i="25" s="1"/>
  <c r="A13" i="25" a="1"/>
  <c r="A13" i="25" s="1"/>
  <c r="D13" i="25" s="1"/>
  <c r="E13" i="25" s="1"/>
  <c r="C14" i="25"/>
  <c r="A68" i="25" a="1"/>
  <c r="A68" i="25" s="1"/>
  <c r="A69" i="25" a="1"/>
  <c r="A69" i="25" s="1"/>
  <c r="A74" i="25" a="1"/>
  <c r="A74" i="25" s="1"/>
  <c r="C74" i="25" s="1"/>
  <c r="AB74" i="25" s="1"/>
  <c r="AC74" i="25" s="1"/>
  <c r="A75" i="25" a="1"/>
  <c r="A75" i="25" s="1"/>
  <c r="A98" i="25" a="1"/>
  <c r="A98" i="25" s="1"/>
  <c r="A99" i="25" a="1"/>
  <c r="A99" i="25" s="1"/>
  <c r="B99" i="25" s="1"/>
  <c r="A104" i="25" a="1"/>
  <c r="A104" i="25" s="1"/>
  <c r="A105" i="25" a="1"/>
  <c r="A105" i="25" s="1"/>
  <c r="B105" i="25" s="1"/>
  <c r="A110" i="25" a="1"/>
  <c r="A110" i="25" s="1"/>
  <c r="C110" i="25" s="1"/>
  <c r="A111" i="25" a="1"/>
  <c r="A111" i="25" s="1"/>
  <c r="A26" i="25" a="1"/>
  <c r="A26" i="25" s="1"/>
  <c r="C26" i="25" s="1"/>
  <c r="A27" i="25" a="1"/>
  <c r="A27" i="25" s="1"/>
  <c r="B27" i="25" s="1"/>
  <c r="A62" i="25" a="1"/>
  <c r="A62" i="25" s="1"/>
  <c r="A63" i="25" a="1"/>
  <c r="A63" i="25" s="1"/>
  <c r="A80" i="25" a="1"/>
  <c r="A80" i="25" s="1"/>
  <c r="A81" i="25" a="1"/>
  <c r="A81" i="25" s="1"/>
  <c r="B81" i="25" s="1"/>
  <c r="A38" i="25" a="1"/>
  <c r="A38" i="25" s="1"/>
  <c r="C38" i="25" s="1"/>
  <c r="AB38" i="25" s="1"/>
  <c r="AC38" i="25" s="1"/>
  <c r="A39" i="25" a="1"/>
  <c r="A39" i="25" s="1"/>
  <c r="A86" i="25" a="1"/>
  <c r="A86" i="25" s="1"/>
  <c r="C86" i="25" s="1"/>
  <c r="A87" i="25" a="1"/>
  <c r="A87" i="25" s="1"/>
  <c r="A20" i="25" a="1"/>
  <c r="A20" i="25" s="1"/>
  <c r="D20" i="25" s="1"/>
  <c r="E20" i="25" s="1"/>
  <c r="A21" i="25" a="1"/>
  <c r="A21" i="25" s="1"/>
  <c r="C21" i="25" s="1"/>
  <c r="AB21" i="25" s="1"/>
  <c r="AC21" i="25" s="1"/>
  <c r="A56" i="25" a="1"/>
  <c r="A56" i="25" s="1"/>
  <c r="D56" i="25" s="1"/>
  <c r="E56" i="25" s="1"/>
  <c r="A57" i="25" a="1"/>
  <c r="A57" i="25" s="1"/>
  <c r="C57" i="25" s="1"/>
  <c r="A92" i="25" a="1"/>
  <c r="A92" i="25" s="1"/>
  <c r="C92" i="25" s="1"/>
  <c r="A93" i="25" a="1"/>
  <c r="A93" i="25" s="1"/>
  <c r="B93" i="25" s="1"/>
  <c r="A50" i="25" a="1"/>
  <c r="A50" i="25" s="1"/>
  <c r="C50" i="25" s="1"/>
  <c r="AB50" i="25" s="1"/>
  <c r="AC50" i="25" s="1"/>
  <c r="A51" i="25" a="1"/>
  <c r="A51" i="25" s="1"/>
  <c r="A28" i="25" a="1"/>
  <c r="A28" i="25" s="1"/>
  <c r="C28" i="25" s="1"/>
  <c r="A29" i="25" a="1"/>
  <c r="A29" i="25" s="1"/>
  <c r="B29" i="25" s="1"/>
  <c r="A46" i="25" a="1"/>
  <c r="A46" i="25" s="1"/>
  <c r="A47" i="25" a="1"/>
  <c r="A47" i="25" s="1"/>
  <c r="A53" i="25" a="1"/>
  <c r="A53" i="25" s="1"/>
  <c r="A52" i="25" a="1"/>
  <c r="A52" i="25" s="1"/>
  <c r="D52" i="25" s="1"/>
  <c r="E52" i="25" s="1"/>
  <c r="A58" i="25" a="1"/>
  <c r="A58" i="25" s="1"/>
  <c r="A59" i="25" a="1"/>
  <c r="A59" i="25" s="1"/>
  <c r="A65" i="25" a="1"/>
  <c r="A65" i="25" s="1"/>
  <c r="B65" i="25" s="1"/>
  <c r="A64" i="25" a="1"/>
  <c r="A64" i="25" s="1"/>
  <c r="B64" i="25" s="1"/>
  <c r="A70" i="25" a="1"/>
  <c r="A70" i="25" s="1"/>
  <c r="A71" i="25" a="1"/>
  <c r="A71" i="25" s="1"/>
  <c r="B71" i="25" s="1"/>
  <c r="A76" i="25" a="1"/>
  <c r="A76" i="25" s="1"/>
  <c r="C76" i="25" s="1"/>
  <c r="A77" i="25" a="1"/>
  <c r="A77" i="25" s="1"/>
  <c r="B77" i="25" s="1"/>
  <c r="A82" i="25" a="1"/>
  <c r="A82" i="25" s="1"/>
  <c r="A83" i="25" a="1"/>
  <c r="A83" i="25" s="1"/>
  <c r="A88" i="25" a="1"/>
  <c r="A88" i="25" s="1"/>
  <c r="B88" i="25" s="1"/>
  <c r="A89" i="25" a="1"/>
  <c r="A89" i="25" s="1"/>
  <c r="A94" i="25" a="1"/>
  <c r="A94" i="25" s="1"/>
  <c r="A95" i="25" a="1"/>
  <c r="A95" i="25" s="1"/>
  <c r="A101" i="25" a="1"/>
  <c r="A101" i="25" s="1"/>
  <c r="B101" i="25" s="1"/>
  <c r="A100" i="25" a="1"/>
  <c r="A100" i="25" s="1"/>
  <c r="B100" i="25" s="1"/>
  <c r="A106" i="25" a="1"/>
  <c r="A106" i="25" s="1"/>
  <c r="B106" i="25" s="1"/>
  <c r="A107" i="25" a="1"/>
  <c r="A107" i="25" s="1"/>
  <c r="B107" i="25" s="1"/>
  <c r="A112" i="25" a="1"/>
  <c r="A112" i="25" s="1"/>
  <c r="A113" i="25" a="1"/>
  <c r="A113" i="25" s="1"/>
  <c r="B113" i="25" s="1"/>
  <c r="A32" i="25" a="1"/>
  <c r="A32" i="25" s="1"/>
  <c r="A33" i="25" a="1"/>
  <c r="A33" i="25" s="1"/>
  <c r="B33" i="25" s="1"/>
  <c r="A16" i="25" a="1"/>
  <c r="A16" i="25" s="1"/>
  <c r="B16" i="25" s="1"/>
  <c r="A17" i="25" a="1"/>
  <c r="A17" i="25" s="1"/>
  <c r="A41" i="25" a="1"/>
  <c r="A41" i="25" s="1"/>
  <c r="D41" i="25" s="1"/>
  <c r="E41" i="25" s="1"/>
  <c r="A40" i="25" a="1"/>
  <c r="A40" i="25" s="1"/>
  <c r="B40" i="25" s="1"/>
  <c r="A44" i="25" a="1"/>
  <c r="A44" i="25" s="1"/>
  <c r="A45" i="25" a="1"/>
  <c r="A45" i="25" s="1"/>
  <c r="A22" i="25" a="1"/>
  <c r="A22" i="25" s="1"/>
  <c r="A23" i="25" a="1"/>
  <c r="A23" i="25" s="1"/>
  <c r="A34" i="25" a="1"/>
  <c r="A34" i="25" s="1"/>
  <c r="A35" i="25" a="1"/>
  <c r="A35" i="25" s="1"/>
  <c r="A11" i="25" a="1"/>
  <c r="A11" i="25" s="1"/>
  <c r="A91" i="4" a="1"/>
  <c r="A91" i="4" s="1"/>
  <c r="AA80" i="27"/>
  <c r="AB80" i="27" s="1"/>
  <c r="AA161" i="27"/>
  <c r="AB161" i="27" s="1"/>
  <c r="C146" i="25"/>
  <c r="AB146" i="25" s="1"/>
  <c r="AC146" i="25" s="1"/>
  <c r="B79" i="25"/>
  <c r="B15" i="25"/>
  <c r="C158" i="25"/>
  <c r="AA152" i="27"/>
  <c r="AB152" i="27" s="1"/>
  <c r="AA188" i="27"/>
  <c r="AB188" i="27" s="1"/>
  <c r="AA126" i="27"/>
  <c r="AB126" i="27" s="1"/>
  <c r="AA169" i="27"/>
  <c r="AB169" i="27" s="1"/>
  <c r="AA125" i="27"/>
  <c r="AB125" i="27" s="1"/>
  <c r="AA176" i="27"/>
  <c r="AB176" i="27" s="1"/>
  <c r="AA58" i="27"/>
  <c r="AB58" i="27" s="1"/>
  <c r="AA193" i="27"/>
  <c r="AB193" i="27" s="1"/>
  <c r="AA185" i="27"/>
  <c r="AB185" i="27" s="1"/>
  <c r="AA175" i="27"/>
  <c r="AB175" i="27" s="1"/>
  <c r="AA139" i="27"/>
  <c r="AB139" i="27" s="1"/>
  <c r="AA121" i="27"/>
  <c r="AB121" i="27" s="1"/>
  <c r="AA13" i="27"/>
  <c r="AB13" i="27" s="1"/>
  <c r="K13" i="27" s="1"/>
  <c r="AA150" i="27"/>
  <c r="AB150" i="27" s="1"/>
  <c r="AA148" i="27"/>
  <c r="AB148" i="27" s="1"/>
  <c r="AA192" i="27"/>
  <c r="AB192" i="27" s="1"/>
  <c r="AA147" i="27"/>
  <c r="AB147" i="27" s="1"/>
  <c r="AA138" i="27"/>
  <c r="AB138" i="27" s="1"/>
  <c r="AA120" i="27"/>
  <c r="AB120" i="27" s="1"/>
  <c r="AA83" i="27"/>
  <c r="AB83" i="27" s="1"/>
  <c r="AA151" i="27"/>
  <c r="AB151" i="27" s="1"/>
  <c r="AA187" i="27"/>
  <c r="AB187" i="27" s="1"/>
  <c r="AA164" i="27"/>
  <c r="AB164" i="27" s="1"/>
  <c r="AA155" i="27"/>
  <c r="AB155" i="27" s="1"/>
  <c r="AA146" i="27"/>
  <c r="AB146" i="27" s="1"/>
  <c r="AA137" i="27"/>
  <c r="AB137" i="27" s="1"/>
  <c r="AA167" i="27"/>
  <c r="AB167" i="27" s="1"/>
  <c r="AA194" i="27"/>
  <c r="AB194" i="27" s="1"/>
  <c r="AA113" i="27"/>
  <c r="AB113" i="27" s="1"/>
  <c r="AA165" i="27"/>
  <c r="AB165" i="27" s="1"/>
  <c r="AA163" i="27"/>
  <c r="AB163" i="27" s="1"/>
  <c r="AA136" i="27"/>
  <c r="AB136" i="27" s="1"/>
  <c r="AA168" i="27"/>
  <c r="AB168" i="27" s="1"/>
  <c r="AA190" i="27"/>
  <c r="AB190" i="27" s="1"/>
  <c r="AA170" i="27"/>
  <c r="AB170" i="27" s="1"/>
  <c r="AA153" i="27"/>
  <c r="AB153" i="27" s="1"/>
  <c r="AA145" i="27"/>
  <c r="AB145" i="27" s="1"/>
  <c r="AA127" i="27"/>
  <c r="AB127" i="27" s="1"/>
  <c r="AA118" i="27"/>
  <c r="AB118" i="27" s="1"/>
  <c r="AA45" i="27"/>
  <c r="AB45" i="27" s="1"/>
  <c r="K45" i="27" s="1"/>
  <c r="AA124" i="27"/>
  <c r="AB124" i="27" s="1"/>
  <c r="AA87" i="27"/>
  <c r="AB87" i="27" s="1"/>
  <c r="AA117" i="27"/>
  <c r="AB117" i="27" s="1"/>
  <c r="B129" i="25"/>
  <c r="D128" i="25"/>
  <c r="E128" i="25" s="1"/>
  <c r="B187" i="25"/>
  <c r="D177" i="25"/>
  <c r="E177" i="25" s="1"/>
  <c r="D175" i="25"/>
  <c r="E175" i="25" s="1"/>
  <c r="D144" i="25"/>
  <c r="E144" i="25" s="1"/>
  <c r="B143" i="25"/>
  <c r="B189" i="25"/>
  <c r="D173" i="25"/>
  <c r="E173" i="25" s="1"/>
  <c r="B160" i="25"/>
  <c r="D186" i="25"/>
  <c r="E186" i="25" s="1"/>
  <c r="C141" i="25"/>
  <c r="AB141" i="25" s="1"/>
  <c r="AC141" i="25" s="1"/>
  <c r="B185" i="25"/>
  <c r="D139" i="25"/>
  <c r="E139" i="25" s="1"/>
  <c r="B184" i="25"/>
  <c r="D193" i="25"/>
  <c r="E193" i="25" s="1"/>
  <c r="C164" i="25"/>
  <c r="B135" i="25"/>
  <c r="B124" i="25"/>
  <c r="C63" i="25"/>
  <c r="AB63" i="25" s="1"/>
  <c r="AC63" i="25" s="1"/>
  <c r="B137" i="25"/>
  <c r="C194" i="25"/>
  <c r="D121" i="25"/>
  <c r="E121" i="25" s="1"/>
  <c r="C150" i="25"/>
  <c r="AB150" i="25" s="1"/>
  <c r="AC150" i="25" s="1"/>
  <c r="B149" i="25"/>
  <c r="C134" i="25"/>
  <c r="B115" i="25"/>
  <c r="B172" i="25"/>
  <c r="D158" i="25"/>
  <c r="E158" i="25" s="1"/>
  <c r="D157" i="25"/>
  <c r="E157" i="25" s="1"/>
  <c r="D108" i="25"/>
  <c r="E108" i="25" s="1"/>
  <c r="C171" i="25"/>
  <c r="C170" i="25"/>
  <c r="B136" i="25"/>
  <c r="B165" i="25"/>
  <c r="D72" i="25"/>
  <c r="E72" i="25" s="1"/>
  <c r="D192" i="25"/>
  <c r="E192" i="25" s="1"/>
  <c r="B190" i="25"/>
  <c r="C163" i="25"/>
  <c r="AB163" i="25" s="1"/>
  <c r="AC163" i="25" s="1"/>
  <c r="B114" i="25"/>
  <c r="C128" i="25"/>
  <c r="B128" i="25"/>
  <c r="B158" i="25"/>
  <c r="AA44" i="27" l="1"/>
  <c r="AB44" i="27" s="1"/>
  <c r="K44" i="27" s="1"/>
  <c r="AA32" i="27"/>
  <c r="AB32" i="27" s="1"/>
  <c r="K32" i="27" s="1"/>
  <c r="B70" i="4"/>
  <c r="C70" i="4"/>
  <c r="B71" i="4"/>
  <c r="C71" i="4"/>
  <c r="B72" i="4"/>
  <c r="C72" i="4"/>
  <c r="B73" i="4"/>
  <c r="B83" i="4"/>
  <c r="C83" i="4"/>
  <c r="B82" i="4"/>
  <c r="B81" i="4"/>
  <c r="C65" i="25"/>
  <c r="AB65" i="25" s="1"/>
  <c r="AC65" i="25" s="1"/>
  <c r="B67" i="25"/>
  <c r="C67" i="25"/>
  <c r="AB67" i="25" s="1"/>
  <c r="AC67" i="25" s="1"/>
  <c r="C81" i="25"/>
  <c r="AB81" i="25" s="1"/>
  <c r="AC81" i="25" s="1"/>
  <c r="D81" i="25"/>
  <c r="E81" i="25" s="1"/>
  <c r="AA60" i="27"/>
  <c r="AB60" i="27" s="1"/>
  <c r="D21" i="25"/>
  <c r="E21" i="25" s="1"/>
  <c r="D26" i="25"/>
  <c r="E26" i="25" s="1"/>
  <c r="B26" i="25"/>
  <c r="B146" i="25"/>
  <c r="D146" i="25"/>
  <c r="E146" i="25" s="1"/>
  <c r="B91" i="4"/>
  <c r="C91" i="4"/>
  <c r="AA12" i="27"/>
  <c r="AB12" i="27" s="1"/>
  <c r="K12" i="27" s="1"/>
  <c r="AA43" i="27"/>
  <c r="AB43" i="27" s="1"/>
  <c r="K43" i="27" s="1"/>
  <c r="AA130" i="27"/>
  <c r="AB130" i="27" s="1"/>
  <c r="AA85" i="27"/>
  <c r="AB85" i="27" s="1"/>
  <c r="C55" i="25"/>
  <c r="AB55" i="25" s="1"/>
  <c r="AC55" i="25" s="1"/>
  <c r="C77" i="25"/>
  <c r="AB77" i="25" s="1"/>
  <c r="AC77" i="25" s="1"/>
  <c r="D129" i="25"/>
  <c r="E129" i="25" s="1"/>
  <c r="C52" i="25"/>
  <c r="AB52" i="25" s="1"/>
  <c r="AC52" i="25" s="1"/>
  <c r="D65" i="25"/>
  <c r="E65" i="25" s="1"/>
  <c r="B50" i="25"/>
  <c r="B21" i="25"/>
  <c r="B36" i="25"/>
  <c r="C15" i="25"/>
  <c r="AB15" i="25" s="1"/>
  <c r="AC15" i="25" s="1"/>
  <c r="K15" i="25" s="1"/>
  <c r="D79" i="25"/>
  <c r="E79" i="25" s="1"/>
  <c r="C79" i="25"/>
  <c r="AB79" i="25" s="1"/>
  <c r="AC79" i="25" s="1"/>
  <c r="D15" i="25"/>
  <c r="E15" i="25" s="1"/>
  <c r="AA144" i="27"/>
  <c r="AB144" i="27" s="1"/>
  <c r="AA100" i="27"/>
  <c r="AB100" i="27" s="1"/>
  <c r="AA189" i="27"/>
  <c r="AB189" i="27" s="1"/>
  <c r="AA96" i="27"/>
  <c r="AB96" i="27" s="1"/>
  <c r="AA69" i="27"/>
  <c r="AB69" i="27" s="1"/>
  <c r="AA107" i="27"/>
  <c r="AB107" i="27" s="1"/>
  <c r="AA81" i="27"/>
  <c r="AB81" i="27" s="1"/>
  <c r="AA133" i="27"/>
  <c r="AB133" i="27" s="1"/>
  <c r="AA34" i="27"/>
  <c r="AB34" i="27" s="1"/>
  <c r="K34" i="27" s="1"/>
  <c r="AA178" i="27"/>
  <c r="AB178" i="27" s="1"/>
  <c r="AA162" i="27"/>
  <c r="AB162" i="27" s="1"/>
  <c r="B177" i="25"/>
  <c r="B173" i="25"/>
  <c r="B52" i="25"/>
  <c r="C177" i="25"/>
  <c r="AB177" i="25" s="1"/>
  <c r="AC177" i="25" s="1"/>
  <c r="D55" i="25"/>
  <c r="E55" i="25" s="1"/>
  <c r="D113" i="25"/>
  <c r="E113" i="25" s="1"/>
  <c r="B63" i="25"/>
  <c r="B76" i="25"/>
  <c r="C136" i="25"/>
  <c r="AB136" i="25" s="1"/>
  <c r="AC136" i="25" s="1"/>
  <c r="C149" i="25"/>
  <c r="AB149" i="25" s="1"/>
  <c r="AC149" i="25" s="1"/>
  <c r="B78" i="25"/>
  <c r="D136" i="25"/>
  <c r="E136" i="25" s="1"/>
  <c r="C107" i="25"/>
  <c r="AB107" i="25" s="1"/>
  <c r="AC107" i="25" s="1"/>
  <c r="D115" i="25"/>
  <c r="E115" i="25" s="1"/>
  <c r="AA131" i="27"/>
  <c r="AB131" i="27" s="1"/>
  <c r="AA10" i="27"/>
  <c r="AB10" i="27" s="1"/>
  <c r="K10" i="27" s="1"/>
  <c r="AA49" i="27"/>
  <c r="AB49" i="27" s="1"/>
  <c r="K49" i="27" s="1"/>
  <c r="AA186" i="27"/>
  <c r="AB186" i="27" s="1"/>
  <c r="AA174" i="27"/>
  <c r="AB174" i="27" s="1"/>
  <c r="AA46" i="27"/>
  <c r="AB46" i="27" s="1"/>
  <c r="K46" i="27" s="1"/>
  <c r="AA158" i="27"/>
  <c r="AB158" i="27" s="1"/>
  <c r="AA27" i="27"/>
  <c r="AB27" i="27" s="1"/>
  <c r="K27" i="27" s="1"/>
  <c r="AA54" i="27"/>
  <c r="AB54" i="27" s="1"/>
  <c r="K54" i="27" s="1"/>
  <c r="B171" i="25"/>
  <c r="C190" i="25"/>
  <c r="AB190" i="25" s="1"/>
  <c r="AC190" i="25" s="1"/>
  <c r="D110" i="25"/>
  <c r="E110" i="25" s="1"/>
  <c r="B85" i="25"/>
  <c r="C189" i="25"/>
  <c r="AB189" i="25" s="1"/>
  <c r="AC189" i="25" s="1"/>
  <c r="C69" i="25"/>
  <c r="AB69" i="25" s="1"/>
  <c r="AC69" i="25" s="1"/>
  <c r="D28" i="25"/>
  <c r="E28" i="25" s="1"/>
  <c r="B69" i="25"/>
  <c r="D189" i="25"/>
  <c r="E189" i="25" s="1"/>
  <c r="D69" i="25"/>
  <c r="E69" i="25" s="1"/>
  <c r="D64" i="25"/>
  <c r="E64" i="25" s="1"/>
  <c r="C64" i="25"/>
  <c r="AB64" i="25" s="1"/>
  <c r="AC64" i="25" s="1"/>
  <c r="D184" i="25"/>
  <c r="E184" i="25" s="1"/>
  <c r="B193" i="25"/>
  <c r="AA183" i="27"/>
  <c r="AB183" i="27" s="1"/>
  <c r="AA72" i="27"/>
  <c r="AB72" i="27" s="1"/>
  <c r="AA191" i="27"/>
  <c r="AB191" i="27" s="1"/>
  <c r="AA22" i="27"/>
  <c r="AB22" i="27" s="1"/>
  <c r="K22" i="27" s="1"/>
  <c r="AA110" i="27"/>
  <c r="AB110" i="27" s="1"/>
  <c r="AA97" i="27"/>
  <c r="AB97" i="27" s="1"/>
  <c r="AA92" i="27"/>
  <c r="AB92" i="27" s="1"/>
  <c r="AA166" i="27"/>
  <c r="AB166" i="27" s="1"/>
  <c r="AA179" i="27"/>
  <c r="AB179" i="27" s="1"/>
  <c r="AA61" i="27"/>
  <c r="AB61" i="27" s="1"/>
  <c r="AA122" i="27"/>
  <c r="AB122" i="27" s="1"/>
  <c r="AA23" i="27"/>
  <c r="AB23" i="27" s="1"/>
  <c r="K23" i="27" s="1"/>
  <c r="AA177" i="27"/>
  <c r="AB177" i="27" s="1"/>
  <c r="AA64" i="27"/>
  <c r="AB64" i="27" s="1"/>
  <c r="AA116" i="27"/>
  <c r="AB116" i="27" s="1"/>
  <c r="AA180" i="27"/>
  <c r="AB180" i="27" s="1"/>
  <c r="AA182" i="27"/>
  <c r="AB182" i="27" s="1"/>
  <c r="AA115" i="27"/>
  <c r="AB115" i="27" s="1"/>
  <c r="AA135" i="27"/>
  <c r="AB135" i="27" s="1"/>
  <c r="AA73" i="27"/>
  <c r="AB73" i="27" s="1"/>
  <c r="AA143" i="27"/>
  <c r="AB143" i="27" s="1"/>
  <c r="AA108" i="27"/>
  <c r="AB108" i="27" s="1"/>
  <c r="AA79" i="27"/>
  <c r="AB79" i="27" s="1"/>
  <c r="AA134" i="27"/>
  <c r="AB134" i="27" s="1"/>
  <c r="AA160" i="27"/>
  <c r="AB160" i="27" s="1"/>
  <c r="AA132" i="27"/>
  <c r="AB132" i="27" s="1"/>
  <c r="AA104" i="27"/>
  <c r="AB104" i="27" s="1"/>
  <c r="AA21" i="27"/>
  <c r="AB21" i="27" s="1"/>
  <c r="K21" i="27" s="1"/>
  <c r="AA74" i="27"/>
  <c r="AB74" i="27" s="1"/>
  <c r="AA105" i="27"/>
  <c r="AB105" i="27" s="1"/>
  <c r="AA184" i="27"/>
  <c r="AB184" i="27" s="1"/>
  <c r="AA129" i="27"/>
  <c r="AB129" i="27" s="1"/>
  <c r="AA59" i="27"/>
  <c r="AB59" i="27" s="1"/>
  <c r="AA157" i="27"/>
  <c r="AB157" i="27" s="1"/>
  <c r="AA48" i="27"/>
  <c r="AB48" i="27" s="1"/>
  <c r="K48" i="27" s="1"/>
  <c r="AA99" i="27"/>
  <c r="AB99" i="27" s="1"/>
  <c r="AA109" i="27"/>
  <c r="AB109" i="27" s="1"/>
  <c r="AA181" i="27"/>
  <c r="AB181" i="27" s="1"/>
  <c r="AA84" i="27"/>
  <c r="AB84" i="27" s="1"/>
  <c r="AA172" i="27"/>
  <c r="AB172" i="27" s="1"/>
  <c r="AA39" i="27"/>
  <c r="AB39" i="27" s="1"/>
  <c r="K39" i="27" s="1"/>
  <c r="AA19" i="27"/>
  <c r="AB19" i="27" s="1"/>
  <c r="K19" i="27" s="1"/>
  <c r="AA119" i="27"/>
  <c r="AB119" i="27" s="1"/>
  <c r="AA66" i="27"/>
  <c r="AB66" i="27" s="1"/>
  <c r="AA171" i="27"/>
  <c r="AB171" i="27" s="1"/>
  <c r="AA156" i="27"/>
  <c r="AB156" i="27" s="1"/>
  <c r="AA14" i="27"/>
  <c r="AB14" i="27" s="1"/>
  <c r="K14" i="27" s="1"/>
  <c r="AA93" i="27"/>
  <c r="AB93" i="27" s="1"/>
  <c r="AA159" i="27"/>
  <c r="AB159" i="27" s="1"/>
  <c r="AA91" i="27"/>
  <c r="AB91" i="27" s="1"/>
  <c r="AA20" i="27"/>
  <c r="AB20" i="27" s="1"/>
  <c r="K20" i="27" s="1"/>
  <c r="AA140" i="27"/>
  <c r="AB140" i="27" s="1"/>
  <c r="AA89" i="27"/>
  <c r="AB89" i="27" s="1"/>
  <c r="AA128" i="27"/>
  <c r="AB128" i="27" s="1"/>
  <c r="AA75" i="27"/>
  <c r="AB75" i="27" s="1"/>
  <c r="AA18" i="27"/>
  <c r="AB18" i="27" s="1"/>
  <c r="K18" i="27" s="1"/>
  <c r="AA26" i="27"/>
  <c r="AB26" i="27" s="1"/>
  <c r="K26" i="27" s="1"/>
  <c r="AA51" i="27"/>
  <c r="AB51" i="27" s="1"/>
  <c r="K51" i="27" s="1"/>
  <c r="AA142" i="27"/>
  <c r="AB142" i="27" s="1"/>
  <c r="AA149" i="27"/>
  <c r="AB149" i="27" s="1"/>
  <c r="AA76" i="27"/>
  <c r="AB76" i="27" s="1"/>
  <c r="AA57" i="27"/>
  <c r="AB57" i="27" s="1"/>
  <c r="AA123" i="27"/>
  <c r="AB123" i="27" s="1"/>
  <c r="AA154" i="27"/>
  <c r="AB154" i="27" s="1"/>
  <c r="AA65" i="27"/>
  <c r="AB65" i="27" s="1"/>
  <c r="AA141" i="27"/>
  <c r="AB141" i="27" s="1"/>
  <c r="AA29" i="27"/>
  <c r="AB29" i="27" s="1"/>
  <c r="K29" i="27" s="1"/>
  <c r="AA173" i="27"/>
  <c r="AB173" i="27" s="1"/>
  <c r="AA98" i="27"/>
  <c r="AB98" i="27" s="1"/>
  <c r="AA114" i="27"/>
  <c r="AB114" i="27" s="1"/>
  <c r="AA68" i="27"/>
  <c r="AB68" i="27" s="1"/>
  <c r="AA31" i="27"/>
  <c r="AB31" i="27" s="1"/>
  <c r="K31" i="27" s="1"/>
  <c r="AA101" i="27"/>
  <c r="AB101" i="27" s="1"/>
  <c r="D76" i="25"/>
  <c r="E76" i="25" s="1"/>
  <c r="B38" i="25"/>
  <c r="C160" i="25"/>
  <c r="AB160" i="25" s="1"/>
  <c r="AC160" i="25" s="1"/>
  <c r="B170" i="25"/>
  <c r="B175" i="25"/>
  <c r="B13" i="25"/>
  <c r="D163" i="25"/>
  <c r="E163" i="25" s="1"/>
  <c r="D148" i="25"/>
  <c r="E148" i="25" s="1"/>
  <c r="D170" i="25"/>
  <c r="E170" i="25" s="1"/>
  <c r="C187" i="25"/>
  <c r="AB187" i="25" s="1"/>
  <c r="AC187" i="25" s="1"/>
  <c r="B20" i="25"/>
  <c r="B84" i="25"/>
  <c r="C33" i="25"/>
  <c r="AB33" i="25" s="1"/>
  <c r="AC33" i="25" s="1"/>
  <c r="D194" i="25"/>
  <c r="E194" i="25" s="1"/>
  <c r="C173" i="25"/>
  <c r="AB173" i="25" s="1"/>
  <c r="AC173" i="25" s="1"/>
  <c r="C20" i="25"/>
  <c r="AB20" i="25" s="1"/>
  <c r="AC20" i="25" s="1"/>
  <c r="C148" i="25"/>
  <c r="AB148" i="25" s="1"/>
  <c r="AC148" i="25" s="1"/>
  <c r="D190" i="25"/>
  <c r="E190" i="25" s="1"/>
  <c r="B28" i="25"/>
  <c r="D29" i="25"/>
  <c r="E29" i="25" s="1"/>
  <c r="C184" i="25"/>
  <c r="AB184" i="25" s="1"/>
  <c r="AC184" i="25" s="1"/>
  <c r="B163" i="25"/>
  <c r="D112" i="25"/>
  <c r="E112" i="25" s="1"/>
  <c r="D160" i="25"/>
  <c r="E160" i="25" s="1"/>
  <c r="B148" i="25"/>
  <c r="C175" i="25"/>
  <c r="AB175" i="25" s="1"/>
  <c r="AC175" i="25" s="1"/>
  <c r="C112" i="25"/>
  <c r="AB112" i="25" s="1"/>
  <c r="AC112" i="25" s="1"/>
  <c r="D33" i="25"/>
  <c r="E33" i="25" s="1"/>
  <c r="D107" i="25"/>
  <c r="E107" i="25" s="1"/>
  <c r="C13" i="25"/>
  <c r="AB13" i="25" s="1"/>
  <c r="AC13" i="25" s="1"/>
  <c r="K13" i="25" s="1"/>
  <c r="D149" i="25"/>
  <c r="E149" i="25" s="1"/>
  <c r="C84" i="25"/>
  <c r="AB84" i="25" s="1"/>
  <c r="AC84" i="25" s="1"/>
  <c r="B157" i="25"/>
  <c r="D187" i="25"/>
  <c r="E187" i="25" s="1"/>
  <c r="C192" i="25"/>
  <c r="AB192" i="25" s="1"/>
  <c r="AC192" i="25" s="1"/>
  <c r="D36" i="25"/>
  <c r="E36" i="25" s="1"/>
  <c r="C36" i="25"/>
  <c r="AB36" i="25" s="1"/>
  <c r="AC36" i="25" s="1"/>
  <c r="B49" i="25"/>
  <c r="D100" i="25"/>
  <c r="E100" i="25" s="1"/>
  <c r="B150" i="25"/>
  <c r="C143" i="25"/>
  <c r="AB143" i="25" s="1"/>
  <c r="AC143" i="25" s="1"/>
  <c r="D45" i="25"/>
  <c r="E45" i="25" s="1"/>
  <c r="B72" i="25"/>
  <c r="C40" i="25"/>
  <c r="AB40" i="25" s="1"/>
  <c r="AC40" i="25" s="1"/>
  <c r="D150" i="25"/>
  <c r="E150" i="25" s="1"/>
  <c r="C113" i="25"/>
  <c r="AB113" i="25" s="1"/>
  <c r="AC113" i="25" s="1"/>
  <c r="C99" i="25"/>
  <c r="AB99" i="25" s="1"/>
  <c r="AC99" i="25" s="1"/>
  <c r="C103" i="25"/>
  <c r="AB103" i="25" s="1"/>
  <c r="AC103" i="25" s="1"/>
  <c r="B139" i="25"/>
  <c r="C127" i="25"/>
  <c r="AB127" i="25" s="1"/>
  <c r="AC127" i="25" s="1"/>
  <c r="C185" i="25"/>
  <c r="AB185" i="25" s="1"/>
  <c r="AC185" i="25" s="1"/>
  <c r="D172" i="25"/>
  <c r="E172" i="25" s="1"/>
  <c r="D143" i="25"/>
  <c r="E143" i="25" s="1"/>
  <c r="B192" i="25"/>
  <c r="C172" i="25"/>
  <c r="AB172" i="25" s="1"/>
  <c r="AC172" i="25" s="1"/>
  <c r="D137" i="25"/>
  <c r="E137" i="25" s="1"/>
  <c r="D88" i="25"/>
  <c r="E88" i="25" s="1"/>
  <c r="B103" i="25"/>
  <c r="D19" i="25"/>
  <c r="E19" i="25" s="1"/>
  <c r="C29" i="25"/>
  <c r="AB29" i="25" s="1"/>
  <c r="AC29" i="25" s="1"/>
  <c r="C31" i="25"/>
  <c r="AB31" i="25" s="1"/>
  <c r="AC31" i="25" s="1"/>
  <c r="C137" i="25"/>
  <c r="AB137" i="25" s="1"/>
  <c r="AC137" i="25" s="1"/>
  <c r="C43" i="25"/>
  <c r="AB43" i="25" s="1"/>
  <c r="AC43" i="25" s="1"/>
  <c r="C88" i="25"/>
  <c r="AB88" i="25" s="1"/>
  <c r="AC88" i="25" s="1"/>
  <c r="C144" i="25"/>
  <c r="AB144" i="25" s="1"/>
  <c r="AC144" i="25" s="1"/>
  <c r="B112" i="25"/>
  <c r="C19" i="25"/>
  <c r="AB19" i="25" s="1"/>
  <c r="AC19" i="25" s="1"/>
  <c r="C129" i="25"/>
  <c r="AB129" i="25" s="1"/>
  <c r="AC129" i="25" s="1"/>
  <c r="B127" i="25"/>
  <c r="B144" i="25"/>
  <c r="D38" i="25"/>
  <c r="E38" i="25" s="1"/>
  <c r="D185" i="25"/>
  <c r="E185" i="25" s="1"/>
  <c r="D127" i="25"/>
  <c r="E127" i="25" s="1"/>
  <c r="D40" i="25"/>
  <c r="E40" i="25" s="1"/>
  <c r="D99" i="25"/>
  <c r="E99" i="25" s="1"/>
  <c r="C100" i="25"/>
  <c r="AB100" i="25" s="1"/>
  <c r="AC100" i="25" s="1"/>
  <c r="C139" i="25"/>
  <c r="AB139" i="25" s="1"/>
  <c r="AC139" i="25" s="1"/>
  <c r="B31" i="25"/>
  <c r="B43" i="25"/>
  <c r="C72" i="25"/>
  <c r="AB72" i="25" s="1"/>
  <c r="AC72" i="25" s="1"/>
  <c r="C105" i="25"/>
  <c r="AB105" i="25" s="1"/>
  <c r="AC105" i="25" s="1"/>
  <c r="B121" i="25"/>
  <c r="C62" i="25"/>
  <c r="AB62" i="25" s="1"/>
  <c r="AC62" i="25" s="1"/>
  <c r="B62" i="25"/>
  <c r="C182" i="25"/>
  <c r="AB182" i="25" s="1"/>
  <c r="AC182" i="25" s="1"/>
  <c r="B182" i="25"/>
  <c r="D182" i="25"/>
  <c r="E182" i="25" s="1"/>
  <c r="D14" i="25"/>
  <c r="D156" i="25"/>
  <c r="E156" i="25" s="1"/>
  <c r="C156" i="25"/>
  <c r="AB156" i="25" s="1"/>
  <c r="AC156" i="25" s="1"/>
  <c r="B156" i="25"/>
  <c r="C49" i="25"/>
  <c r="AB49" i="25" s="1"/>
  <c r="AC49" i="25" s="1"/>
  <c r="C101" i="25"/>
  <c r="AB101" i="25" s="1"/>
  <c r="AC101" i="25" s="1"/>
  <c r="C115" i="25"/>
  <c r="AB115" i="25" s="1"/>
  <c r="AC115" i="25" s="1"/>
  <c r="C91" i="25"/>
  <c r="AB91" i="25" s="1"/>
  <c r="AC91" i="25" s="1"/>
  <c r="B142" i="25"/>
  <c r="D142" i="25"/>
  <c r="E142" i="25" s="1"/>
  <c r="C193" i="25"/>
  <c r="AB193" i="25" s="1"/>
  <c r="AC193" i="25" s="1"/>
  <c r="D77" i="25"/>
  <c r="E77" i="25" s="1"/>
  <c r="D106" i="25"/>
  <c r="E106" i="25" s="1"/>
  <c r="C108" i="25"/>
  <c r="AB108" i="25" s="1"/>
  <c r="AC108" i="25" s="1"/>
  <c r="C41" i="25"/>
  <c r="AB41" i="25" s="1"/>
  <c r="AC41" i="25" s="1"/>
  <c r="B151" i="25"/>
  <c r="B91" i="25"/>
  <c r="B141" i="25"/>
  <c r="B178" i="25"/>
  <c r="C178" i="25"/>
  <c r="AB178" i="25" s="1"/>
  <c r="AC178" i="25" s="1"/>
  <c r="D178" i="25"/>
  <c r="E178" i="25" s="1"/>
  <c r="D120" i="25"/>
  <c r="E120" i="25" s="1"/>
  <c r="C120" i="25"/>
  <c r="AB120" i="25" s="1"/>
  <c r="AC120" i="25" s="1"/>
  <c r="B120" i="25"/>
  <c r="B34" i="25"/>
  <c r="D34" i="25"/>
  <c r="E34" i="25" s="1"/>
  <c r="C34" i="25"/>
  <c r="AB34" i="25" s="1"/>
  <c r="AC34" i="25" s="1"/>
  <c r="C42" i="25"/>
  <c r="AB42" i="25" s="1"/>
  <c r="AC42" i="25" s="1"/>
  <c r="D171" i="25"/>
  <c r="E171" i="25" s="1"/>
  <c r="B35" i="25"/>
  <c r="D35" i="25"/>
  <c r="E35" i="25" s="1"/>
  <c r="C35" i="25"/>
  <c r="AB35" i="25" s="1"/>
  <c r="AC35" i="25" s="1"/>
  <c r="D101" i="25"/>
  <c r="E101" i="25" s="1"/>
  <c r="D114" i="25"/>
  <c r="E114" i="25" s="1"/>
  <c r="C135" i="25"/>
  <c r="AB135" i="25" s="1"/>
  <c r="AC135" i="25" s="1"/>
  <c r="C114" i="25"/>
  <c r="AB114" i="25" s="1"/>
  <c r="AC114" i="25" s="1"/>
  <c r="C16" i="25"/>
  <c r="AB16" i="25" s="1"/>
  <c r="AC16" i="25" s="1"/>
  <c r="B41" i="25"/>
  <c r="D151" i="25"/>
  <c r="E151" i="25" s="1"/>
  <c r="D141" i="25"/>
  <c r="E141" i="25" s="1"/>
  <c r="C122" i="25"/>
  <c r="AB122" i="25" s="1"/>
  <c r="AC122" i="25" s="1"/>
  <c r="B122" i="25"/>
  <c r="D122" i="25"/>
  <c r="E122" i="25" s="1"/>
  <c r="C85" i="25"/>
  <c r="AB85" i="25" s="1"/>
  <c r="AC85" i="25" s="1"/>
  <c r="C151" i="25"/>
  <c r="AB151" i="25" s="1"/>
  <c r="AC151" i="25" s="1"/>
  <c r="D50" i="25"/>
  <c r="E50" i="25" s="1"/>
  <c r="D180" i="25"/>
  <c r="E180" i="25" s="1"/>
  <c r="B180" i="25"/>
  <c r="C180" i="25"/>
  <c r="AB180" i="25" s="1"/>
  <c r="AC180" i="25" s="1"/>
  <c r="B86" i="25"/>
  <c r="C48" i="25"/>
  <c r="AB48" i="25" s="1"/>
  <c r="AC48" i="25" s="1"/>
  <c r="B56" i="25"/>
  <c r="C186" i="25"/>
  <c r="AB186" i="25" s="1"/>
  <c r="AC186" i="25" s="1"/>
  <c r="B74" i="25"/>
  <c r="C124" i="25"/>
  <c r="AB124" i="25" s="1"/>
  <c r="AC124" i="25" s="1"/>
  <c r="C157" i="25"/>
  <c r="AB157" i="25" s="1"/>
  <c r="AC157" i="25" s="1"/>
  <c r="D63" i="25"/>
  <c r="E63" i="25" s="1"/>
  <c r="B164" i="25"/>
  <c r="B134" i="25"/>
  <c r="D71" i="25"/>
  <c r="E71" i="25" s="1"/>
  <c r="B92" i="25"/>
  <c r="B153" i="25"/>
  <c r="C153" i="25"/>
  <c r="AB153" i="25" s="1"/>
  <c r="AC153" i="25" s="1"/>
  <c r="D153" i="25"/>
  <c r="E153" i="25" s="1"/>
  <c r="D105" i="25"/>
  <c r="E105" i="25" s="1"/>
  <c r="C121" i="25"/>
  <c r="AB121" i="25" s="1"/>
  <c r="AC121" i="25" s="1"/>
  <c r="D74" i="25"/>
  <c r="E74" i="25" s="1"/>
  <c r="B194" i="25"/>
  <c r="D27" i="25"/>
  <c r="E27" i="25" s="1"/>
  <c r="B19" i="25"/>
  <c r="D12" i="25"/>
  <c r="E12" i="25" s="1"/>
  <c r="B12" i="25"/>
  <c r="C12" i="25"/>
  <c r="AB12" i="25" s="1"/>
  <c r="AC12" i="25" s="1"/>
  <c r="K12" i="25" s="1"/>
  <c r="C27" i="25"/>
  <c r="AB27" i="25" s="1"/>
  <c r="AC27" i="25" s="1"/>
  <c r="D62" i="25"/>
  <c r="E62" i="25" s="1"/>
  <c r="D165" i="25"/>
  <c r="E165" i="25" s="1"/>
  <c r="D93" i="25"/>
  <c r="E93" i="25" s="1"/>
  <c r="B117" i="25"/>
  <c r="C117" i="25"/>
  <c r="AB117" i="25" s="1"/>
  <c r="AC117" i="25" s="1"/>
  <c r="D117" i="25"/>
  <c r="E117" i="25" s="1"/>
  <c r="C165" i="25"/>
  <c r="AB165" i="25" s="1"/>
  <c r="AC165" i="25" s="1"/>
  <c r="C93" i="25"/>
  <c r="AB93" i="25" s="1"/>
  <c r="AC93" i="25" s="1"/>
  <c r="B70" i="25"/>
  <c r="D70" i="25"/>
  <c r="E70" i="25" s="1"/>
  <c r="C70" i="25"/>
  <c r="AB70" i="25" s="1"/>
  <c r="AC70" i="25" s="1"/>
  <c r="B42" i="25"/>
  <c r="D135" i="25"/>
  <c r="E135" i="25" s="1"/>
  <c r="D16" i="25"/>
  <c r="E16" i="25" s="1"/>
  <c r="C98" i="25"/>
  <c r="AB98" i="25" s="1"/>
  <c r="AC98" i="25" s="1"/>
  <c r="B98" i="25"/>
  <c r="D98" i="25"/>
  <c r="E98" i="25" s="1"/>
  <c r="C106" i="25"/>
  <c r="AB106" i="25" s="1"/>
  <c r="AC106" i="25" s="1"/>
  <c r="D86" i="25"/>
  <c r="E86" i="25" s="1"/>
  <c r="B48" i="25"/>
  <c r="C56" i="25"/>
  <c r="AB56" i="25" s="1"/>
  <c r="AC56" i="25" s="1"/>
  <c r="C142" i="25"/>
  <c r="AB142" i="25" s="1"/>
  <c r="AC142" i="25" s="1"/>
  <c r="D124" i="25"/>
  <c r="E124" i="25" s="1"/>
  <c r="D164" i="25"/>
  <c r="E164" i="25" s="1"/>
  <c r="D134" i="25"/>
  <c r="E134" i="25" s="1"/>
  <c r="C71" i="25"/>
  <c r="AB71" i="25" s="1"/>
  <c r="AC71" i="25" s="1"/>
  <c r="D92" i="25"/>
  <c r="E92" i="25" s="1"/>
  <c r="B179" i="25"/>
  <c r="D179" i="25"/>
  <c r="E179" i="25" s="1"/>
  <c r="C179" i="25"/>
  <c r="AB179" i="25" s="1"/>
  <c r="AC179" i="25" s="1"/>
  <c r="B108" i="25"/>
  <c r="B110" i="25"/>
  <c r="B186" i="25"/>
  <c r="B14" i="25"/>
  <c r="C78" i="25"/>
  <c r="AB78" i="25" s="1"/>
  <c r="AC78" i="25" s="1"/>
  <c r="B45" i="25"/>
  <c r="C45" i="25"/>
  <c r="AB45" i="25" s="1"/>
  <c r="AC45" i="25" s="1"/>
  <c r="B57" i="25"/>
  <c r="D57" i="25"/>
  <c r="E57" i="25" s="1"/>
  <c r="C80" i="25"/>
  <c r="AB80" i="25" s="1"/>
  <c r="AC80" i="25" s="1"/>
  <c r="B80" i="25"/>
  <c r="D80" i="25"/>
  <c r="E80" i="25" s="1"/>
  <c r="B188" i="25"/>
  <c r="D188" i="25"/>
  <c r="E188" i="25" s="1"/>
  <c r="C188" i="25"/>
  <c r="AB188" i="25" s="1"/>
  <c r="AC188" i="25" s="1"/>
  <c r="C17" i="25"/>
  <c r="AB17" i="25" s="1"/>
  <c r="AC17" i="25" s="1"/>
  <c r="D17" i="25"/>
  <c r="E17" i="25" s="1"/>
  <c r="B17" i="25"/>
  <c r="B32" i="25"/>
  <c r="C32" i="25"/>
  <c r="AB32" i="25" s="1"/>
  <c r="AC32" i="25" s="1"/>
  <c r="D32" i="25"/>
  <c r="E32" i="25" s="1"/>
  <c r="C140" i="25"/>
  <c r="AB140" i="25" s="1"/>
  <c r="AC140" i="25" s="1"/>
  <c r="B140" i="25"/>
  <c r="D140" i="25"/>
  <c r="E140" i="25" s="1"/>
  <c r="B119" i="25"/>
  <c r="D119" i="25"/>
  <c r="E119" i="25" s="1"/>
  <c r="C119" i="25"/>
  <c r="AB119" i="25" s="1"/>
  <c r="AC119" i="25" s="1"/>
  <c r="B167" i="25"/>
  <c r="D167" i="25"/>
  <c r="E167" i="25" s="1"/>
  <c r="C167" i="25"/>
  <c r="AB167" i="25" s="1"/>
  <c r="AC167" i="25" s="1"/>
  <c r="B174" i="25"/>
  <c r="C174" i="25"/>
  <c r="AB174" i="25" s="1"/>
  <c r="AC174" i="25" s="1"/>
  <c r="D174" i="25"/>
  <c r="E174" i="25" s="1"/>
  <c r="C87" i="25"/>
  <c r="AB87" i="25" s="1"/>
  <c r="AC87" i="25" s="1"/>
  <c r="D87" i="25"/>
  <c r="E87" i="25" s="1"/>
  <c r="B87" i="25"/>
  <c r="B46" i="25"/>
  <c r="D46" i="25"/>
  <c r="E46" i="25" s="1"/>
  <c r="C46" i="25"/>
  <c r="AB46" i="25" s="1"/>
  <c r="AC46" i="25" s="1"/>
  <c r="D109" i="25"/>
  <c r="E109" i="25" s="1"/>
  <c r="B109" i="25"/>
  <c r="C109" i="25"/>
  <c r="AB109" i="25" s="1"/>
  <c r="AC109" i="25" s="1"/>
  <c r="B162" i="25"/>
  <c r="C162" i="25"/>
  <c r="AB162" i="25" s="1"/>
  <c r="AC162" i="25" s="1"/>
  <c r="D162" i="25"/>
  <c r="E162" i="25" s="1"/>
  <c r="C116" i="25"/>
  <c r="AB116" i="25" s="1"/>
  <c r="AC116" i="25" s="1"/>
  <c r="B116" i="25"/>
  <c r="D116" i="25"/>
  <c r="E116" i="25" s="1"/>
  <c r="B59" i="25"/>
  <c r="C59" i="25"/>
  <c r="AB59" i="25" s="1"/>
  <c r="AC59" i="25" s="1"/>
  <c r="D59" i="25"/>
  <c r="E59" i="25" s="1"/>
  <c r="C89" i="25"/>
  <c r="AB89" i="25" s="1"/>
  <c r="AC89" i="25" s="1"/>
  <c r="D89" i="25"/>
  <c r="E89" i="25" s="1"/>
  <c r="B89" i="25"/>
  <c r="C68" i="25"/>
  <c r="AB68" i="25" s="1"/>
  <c r="AC68" i="25" s="1"/>
  <c r="B68" i="25"/>
  <c r="D68" i="25"/>
  <c r="E68" i="25" s="1"/>
  <c r="C176" i="25"/>
  <c r="AB176" i="25" s="1"/>
  <c r="AC176" i="25" s="1"/>
  <c r="B176" i="25"/>
  <c r="D176" i="25"/>
  <c r="E176" i="25" s="1"/>
  <c r="B191" i="25"/>
  <c r="C191" i="25"/>
  <c r="AB191" i="25" s="1"/>
  <c r="AC191" i="25" s="1"/>
  <c r="D191" i="25"/>
  <c r="E191" i="25" s="1"/>
  <c r="D133" i="25"/>
  <c r="E133" i="25" s="1"/>
  <c r="C133" i="25"/>
  <c r="AB133" i="25" s="1"/>
  <c r="AC133" i="25" s="1"/>
  <c r="B133" i="25"/>
  <c r="B126" i="25"/>
  <c r="C126" i="25"/>
  <c r="AB126" i="25" s="1"/>
  <c r="AC126" i="25" s="1"/>
  <c r="D126" i="25"/>
  <c r="E126" i="25" s="1"/>
  <c r="B154" i="25"/>
  <c r="C154" i="25"/>
  <c r="AB154" i="25" s="1"/>
  <c r="AC154" i="25" s="1"/>
  <c r="D154" i="25"/>
  <c r="E154" i="25" s="1"/>
  <c r="D61" i="25"/>
  <c r="E61" i="25" s="1"/>
  <c r="C61" i="25"/>
  <c r="AB61" i="25" s="1"/>
  <c r="AC61" i="25" s="1"/>
  <c r="B61" i="25"/>
  <c r="C123" i="25"/>
  <c r="AB123" i="25" s="1"/>
  <c r="AC123" i="25" s="1"/>
  <c r="D123" i="25"/>
  <c r="E123" i="25" s="1"/>
  <c r="B123" i="25"/>
  <c r="B66" i="25"/>
  <c r="C66" i="25"/>
  <c r="AB66" i="25" s="1"/>
  <c r="AC66" i="25" s="1"/>
  <c r="D66" i="25"/>
  <c r="E66" i="25" s="1"/>
  <c r="D96" i="25"/>
  <c r="E96" i="25" s="1"/>
  <c r="C96" i="25"/>
  <c r="AB96" i="25" s="1"/>
  <c r="AC96" i="25" s="1"/>
  <c r="B96" i="25"/>
  <c r="C75" i="25"/>
  <c r="AB75" i="25" s="1"/>
  <c r="AC75" i="25" s="1"/>
  <c r="D75" i="25"/>
  <c r="E75" i="25" s="1"/>
  <c r="B75" i="25"/>
  <c r="C183" i="25"/>
  <c r="AB183" i="25" s="1"/>
  <c r="AC183" i="25" s="1"/>
  <c r="D183" i="25"/>
  <c r="E183" i="25" s="1"/>
  <c r="B183" i="25"/>
  <c r="B10" i="25"/>
  <c r="D10" i="25"/>
  <c r="E10" i="25" s="1"/>
  <c r="C10" i="25"/>
  <c r="AB10" i="25" s="1"/>
  <c r="AC10" i="25" s="1"/>
  <c r="K10" i="25" s="1"/>
  <c r="D25" i="25"/>
  <c r="E25" i="25" s="1"/>
  <c r="B25" i="25"/>
  <c r="C25" i="25"/>
  <c r="AB25" i="25" s="1"/>
  <c r="AC25" i="25" s="1"/>
  <c r="C195" i="25"/>
  <c r="AB195" i="25" s="1"/>
  <c r="AC195" i="25" s="1"/>
  <c r="D195" i="25"/>
  <c r="E195" i="25" s="1"/>
  <c r="B195" i="25"/>
  <c r="B94" i="25"/>
  <c r="C94" i="25"/>
  <c r="AB94" i="25" s="1"/>
  <c r="AC94" i="25" s="1"/>
  <c r="D94" i="25"/>
  <c r="E94" i="25" s="1"/>
  <c r="D60" i="25"/>
  <c r="E60" i="25" s="1"/>
  <c r="B60" i="25"/>
  <c r="C60" i="25"/>
  <c r="AB60" i="25" s="1"/>
  <c r="AC60" i="25" s="1"/>
  <c r="B22" i="25"/>
  <c r="D22" i="25"/>
  <c r="E22" i="25" s="1"/>
  <c r="C22" i="25"/>
  <c r="AB22" i="25" s="1"/>
  <c r="AC22" i="25" s="1"/>
  <c r="B130" i="25"/>
  <c r="D130" i="25"/>
  <c r="E130" i="25" s="1"/>
  <c r="C130" i="25"/>
  <c r="AB130" i="25" s="1"/>
  <c r="AC130" i="25" s="1"/>
  <c r="B95" i="25"/>
  <c r="C95" i="25"/>
  <c r="AB95" i="25" s="1"/>
  <c r="AC95" i="25" s="1"/>
  <c r="D95" i="25"/>
  <c r="E95" i="25" s="1"/>
  <c r="C125" i="25"/>
  <c r="AB125" i="25" s="1"/>
  <c r="AC125" i="25" s="1"/>
  <c r="D125" i="25"/>
  <c r="E125" i="25" s="1"/>
  <c r="B125" i="25"/>
  <c r="B82" i="25"/>
  <c r="C82" i="25"/>
  <c r="AB82" i="25" s="1"/>
  <c r="AC82" i="25" s="1"/>
  <c r="D82" i="25"/>
  <c r="E82" i="25" s="1"/>
  <c r="B11" i="25"/>
  <c r="C11" i="25"/>
  <c r="AB11" i="25" s="1"/>
  <c r="AC11" i="25" s="1"/>
  <c r="K11" i="25" s="1"/>
  <c r="D11" i="25"/>
  <c r="E11" i="25" s="1"/>
  <c r="B83" i="25"/>
  <c r="D83" i="25"/>
  <c r="E83" i="25" s="1"/>
  <c r="C83" i="25"/>
  <c r="AB83" i="25" s="1"/>
  <c r="AC83" i="25" s="1"/>
  <c r="D181" i="25"/>
  <c r="E181" i="25" s="1"/>
  <c r="C181" i="25"/>
  <c r="AB181" i="25" s="1"/>
  <c r="AC181" i="25" s="1"/>
  <c r="B181" i="25"/>
  <c r="C147" i="25"/>
  <c r="AB147" i="25" s="1"/>
  <c r="AC147" i="25" s="1"/>
  <c r="D147" i="25"/>
  <c r="E147" i="25" s="1"/>
  <c r="B147" i="25"/>
  <c r="B23" i="25"/>
  <c r="D23" i="25"/>
  <c r="E23" i="25" s="1"/>
  <c r="C23" i="25"/>
  <c r="AB23" i="25" s="1"/>
  <c r="AC23" i="25" s="1"/>
  <c r="B30" i="25"/>
  <c r="C30" i="25"/>
  <c r="AB30" i="25" s="1"/>
  <c r="AC30" i="25" s="1"/>
  <c r="D30" i="25"/>
  <c r="E30" i="25" s="1"/>
  <c r="D169" i="25"/>
  <c r="E169" i="25" s="1"/>
  <c r="B169" i="25"/>
  <c r="C169" i="25"/>
  <c r="AB169" i="25" s="1"/>
  <c r="AC169" i="25" s="1"/>
  <c r="D37" i="25"/>
  <c r="E37" i="25" s="1"/>
  <c r="B37" i="25"/>
  <c r="C37" i="25"/>
  <c r="AB37" i="25" s="1"/>
  <c r="AC37" i="25" s="1"/>
  <c r="D145" i="25"/>
  <c r="E145" i="25" s="1"/>
  <c r="B145" i="25"/>
  <c r="C145" i="25"/>
  <c r="AB145" i="25" s="1"/>
  <c r="AC145" i="25" s="1"/>
  <c r="B102" i="25"/>
  <c r="C102" i="25"/>
  <c r="AB102" i="25" s="1"/>
  <c r="AC102" i="25" s="1"/>
  <c r="D102" i="25"/>
  <c r="E102" i="25" s="1"/>
  <c r="D132" i="25"/>
  <c r="E132" i="25" s="1"/>
  <c r="C132" i="25"/>
  <c r="AB132" i="25" s="1"/>
  <c r="AC132" i="25" s="1"/>
  <c r="B132" i="25"/>
  <c r="D97" i="25"/>
  <c r="E97" i="25" s="1"/>
  <c r="C97" i="25"/>
  <c r="AB97" i="25" s="1"/>
  <c r="AC97" i="25" s="1"/>
  <c r="B97" i="25"/>
  <c r="B18" i="25"/>
  <c r="C18" i="25"/>
  <c r="AB18" i="25" s="1"/>
  <c r="AC18" i="25" s="1"/>
  <c r="D18" i="25"/>
  <c r="E18" i="25" s="1"/>
  <c r="B58" i="25"/>
  <c r="C58" i="25"/>
  <c r="AB58" i="25" s="1"/>
  <c r="AC58" i="25" s="1"/>
  <c r="D58" i="25"/>
  <c r="E58" i="25" s="1"/>
  <c r="B118" i="25"/>
  <c r="D118" i="25"/>
  <c r="E118" i="25" s="1"/>
  <c r="C118" i="25"/>
  <c r="AB118" i="25" s="1"/>
  <c r="AC118" i="25" s="1"/>
  <c r="B90" i="25"/>
  <c r="C90" i="25"/>
  <c r="AB90" i="25" s="1"/>
  <c r="AC90" i="25" s="1"/>
  <c r="D90" i="25"/>
  <c r="E90" i="25" s="1"/>
  <c r="D24" i="25"/>
  <c r="E24" i="25" s="1"/>
  <c r="B24" i="25"/>
  <c r="C24" i="25"/>
  <c r="AB24" i="25" s="1"/>
  <c r="AC24" i="25" s="1"/>
  <c r="B155" i="25"/>
  <c r="C155" i="25"/>
  <c r="AB155" i="25" s="1"/>
  <c r="AC155" i="25" s="1"/>
  <c r="D155" i="25"/>
  <c r="E155" i="25" s="1"/>
  <c r="C44" i="25"/>
  <c r="AB44" i="25" s="1"/>
  <c r="AC44" i="25" s="1"/>
  <c r="D44" i="25"/>
  <c r="E44" i="25" s="1"/>
  <c r="B44" i="25"/>
  <c r="C152" i="25"/>
  <c r="AB152" i="25" s="1"/>
  <c r="AC152" i="25" s="1"/>
  <c r="B152" i="25"/>
  <c r="D152" i="25"/>
  <c r="E152" i="25" s="1"/>
  <c r="B131" i="25"/>
  <c r="D131" i="25"/>
  <c r="E131" i="25" s="1"/>
  <c r="C131" i="25"/>
  <c r="AB131" i="25" s="1"/>
  <c r="AC131" i="25" s="1"/>
  <c r="C161" i="25"/>
  <c r="AB161" i="25" s="1"/>
  <c r="AC161" i="25" s="1"/>
  <c r="D161" i="25"/>
  <c r="E161" i="25" s="1"/>
  <c r="B161" i="25"/>
  <c r="C104" i="25"/>
  <c r="AB104" i="25" s="1"/>
  <c r="AC104" i="25" s="1"/>
  <c r="B104" i="25"/>
  <c r="D104" i="25"/>
  <c r="E104" i="25" s="1"/>
  <c r="B47" i="25"/>
  <c r="C47" i="25"/>
  <c r="AB47" i="25" s="1"/>
  <c r="AC47" i="25" s="1"/>
  <c r="D47" i="25"/>
  <c r="E47" i="25" s="1"/>
  <c r="B166" i="25"/>
  <c r="D166" i="25"/>
  <c r="E166" i="25" s="1"/>
  <c r="C166" i="25"/>
  <c r="AB166" i="25" s="1"/>
  <c r="AC166" i="25" s="1"/>
  <c r="D73" i="25"/>
  <c r="E73" i="25" s="1"/>
  <c r="C73" i="25"/>
  <c r="AB73" i="25" s="1"/>
  <c r="AC73" i="25" s="1"/>
  <c r="B73" i="25"/>
  <c r="C39" i="25"/>
  <c r="AB39" i="25" s="1"/>
  <c r="AC39" i="25" s="1"/>
  <c r="D39" i="25"/>
  <c r="E39" i="25" s="1"/>
  <c r="B39" i="25"/>
  <c r="C53" i="25"/>
  <c r="AB53" i="25" s="1"/>
  <c r="AC53" i="25" s="1"/>
  <c r="D53" i="25"/>
  <c r="E53" i="25" s="1"/>
  <c r="B53" i="25"/>
  <c r="C51" i="25"/>
  <c r="AB51" i="25" s="1"/>
  <c r="AC51" i="25" s="1"/>
  <c r="D51" i="25"/>
  <c r="E51" i="25" s="1"/>
  <c r="B51" i="25"/>
  <c r="C159" i="25"/>
  <c r="AB159" i="25" s="1"/>
  <c r="AC159" i="25" s="1"/>
  <c r="D159" i="25"/>
  <c r="E159" i="25" s="1"/>
  <c r="B159" i="25"/>
  <c r="B138" i="25"/>
  <c r="C138" i="25"/>
  <c r="AB138" i="25" s="1"/>
  <c r="AC138" i="25" s="1"/>
  <c r="D138" i="25"/>
  <c r="E138" i="25" s="1"/>
  <c r="D168" i="25"/>
  <c r="E168" i="25" s="1"/>
  <c r="C168" i="25"/>
  <c r="AB168" i="25" s="1"/>
  <c r="AC168" i="25" s="1"/>
  <c r="B168" i="25"/>
  <c r="C111" i="25"/>
  <c r="AB111" i="25" s="1"/>
  <c r="AC111" i="25" s="1"/>
  <c r="D111" i="25"/>
  <c r="E111" i="25" s="1"/>
  <c r="B111" i="25"/>
  <c r="B54" i="25"/>
  <c r="C54" i="25"/>
  <c r="AB54" i="25" s="1"/>
  <c r="AC54" i="25" s="1"/>
  <c r="D54" i="25"/>
  <c r="E54" i="25" s="1"/>
  <c r="AB171" i="25"/>
  <c r="AC171" i="25" s="1"/>
  <c r="AB86" i="25"/>
  <c r="AC86" i="25" s="1"/>
  <c r="AB26" i="25"/>
  <c r="AC26" i="25" s="1"/>
  <c r="AB57" i="25"/>
  <c r="AC57" i="25" s="1"/>
  <c r="AB170" i="25"/>
  <c r="AC170" i="25" s="1"/>
  <c r="AB92" i="25"/>
  <c r="AC92" i="25" s="1"/>
  <c r="AB76" i="25"/>
  <c r="AC76" i="25" s="1"/>
  <c r="AB158" i="25"/>
  <c r="AC158" i="25" s="1"/>
  <c r="AB14" i="25"/>
  <c r="AC14" i="25" s="1"/>
  <c r="K14" i="25" s="1"/>
  <c r="AB134" i="25"/>
  <c r="AC134" i="25" s="1"/>
  <c r="AB164" i="25"/>
  <c r="AC164" i="25" s="1"/>
  <c r="AB28" i="25"/>
  <c r="AC28" i="25" s="1"/>
  <c r="AB110" i="25"/>
  <c r="AC110" i="25" s="1"/>
  <c r="AB194" i="25"/>
  <c r="AC194" i="25" s="1"/>
  <c r="AB128" i="25"/>
  <c r="AC128" i="25" s="1"/>
  <c r="I193" i="9"/>
  <c r="I10" i="9"/>
  <c r="I11" i="9"/>
  <c r="I12" i="9"/>
  <c r="I13" i="9"/>
  <c r="I14" i="9"/>
  <c r="I15" i="9"/>
  <c r="I16" i="9"/>
  <c r="I17" i="9"/>
  <c r="I18" i="9"/>
  <c r="I19" i="9"/>
  <c r="I20" i="9"/>
  <c r="I21" i="9"/>
  <c r="I22" i="9"/>
  <c r="I23" i="9"/>
  <c r="I24" i="9"/>
  <c r="I25" i="9"/>
  <c r="I26" i="9"/>
  <c r="I27" i="9"/>
  <c r="I28" i="9"/>
  <c r="I29" i="9"/>
  <c r="I30" i="9"/>
  <c r="I31" i="9"/>
  <c r="I32" i="9"/>
  <c r="I33" i="9"/>
  <c r="I34"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I126" i="9"/>
  <c r="I127" i="9"/>
  <c r="I128" i="9"/>
  <c r="I129" i="9"/>
  <c r="I130" i="9"/>
  <c r="I131" i="9"/>
  <c r="I132" i="9"/>
  <c r="I133" i="9"/>
  <c r="I134" i="9"/>
  <c r="I135" i="9"/>
  <c r="I136" i="9"/>
  <c r="I137" i="9"/>
  <c r="I138" i="9"/>
  <c r="I139" i="9"/>
  <c r="I140" i="9"/>
  <c r="I141" i="9"/>
  <c r="I142" i="9"/>
  <c r="I143" i="9"/>
  <c r="I144" i="9"/>
  <c r="I145" i="9"/>
  <c r="I146" i="9"/>
  <c r="I147" i="9"/>
  <c r="I148" i="9"/>
  <c r="I149" i="9"/>
  <c r="I150" i="9"/>
  <c r="I151" i="9"/>
  <c r="I152" i="9"/>
  <c r="I153" i="9"/>
  <c r="I154" i="9"/>
  <c r="I155" i="9"/>
  <c r="I156" i="9"/>
  <c r="I157" i="9"/>
  <c r="I158" i="9"/>
  <c r="I159" i="9"/>
  <c r="I160" i="9"/>
  <c r="I161" i="9"/>
  <c r="I162" i="9"/>
  <c r="I163" i="9"/>
  <c r="I164" i="9"/>
  <c r="I165" i="9"/>
  <c r="I166" i="9"/>
  <c r="I167" i="9"/>
  <c r="I168" i="9"/>
  <c r="I169" i="9"/>
  <c r="I170" i="9"/>
  <c r="I171" i="9"/>
  <c r="I172" i="9"/>
  <c r="I173" i="9"/>
  <c r="I174" i="9"/>
  <c r="I175" i="9"/>
  <c r="I176" i="9"/>
  <c r="I177" i="9"/>
  <c r="I178" i="9"/>
  <c r="I179" i="9"/>
  <c r="I180" i="9"/>
  <c r="I181" i="9"/>
  <c r="I182" i="9"/>
  <c r="I183" i="9"/>
  <c r="I184" i="9"/>
  <c r="I185" i="9"/>
  <c r="I186" i="9"/>
  <c r="I187" i="9"/>
  <c r="I188" i="9"/>
  <c r="I189" i="9"/>
  <c r="I190" i="9"/>
  <c r="I191" i="9"/>
  <c r="I192" i="9"/>
  <c r="K193" i="9"/>
  <c r="K22" i="9"/>
  <c r="K23" i="9"/>
  <c r="K24" i="9"/>
  <c r="K25" i="9"/>
  <c r="K26" i="9"/>
  <c r="K27" i="9"/>
  <c r="K28" i="9"/>
  <c r="K29" i="9"/>
  <c r="K30" i="9"/>
  <c r="K31" i="9"/>
  <c r="K32" i="9"/>
  <c r="K33" i="9"/>
  <c r="K34" i="9"/>
  <c r="K35" i="9"/>
  <c r="K36" i="9"/>
  <c r="K37" i="9"/>
  <c r="K38" i="9"/>
  <c r="K39" i="9"/>
  <c r="K40" i="9"/>
  <c r="K41" i="9"/>
  <c r="K42" i="9"/>
  <c r="K43" i="9"/>
  <c r="K44" i="9"/>
  <c r="K45" i="9"/>
  <c r="K46" i="9"/>
  <c r="K47" i="9"/>
  <c r="K48" i="9"/>
  <c r="K49" i="9"/>
  <c r="K50" i="9"/>
  <c r="K51" i="9"/>
  <c r="K52" i="9"/>
  <c r="K53" i="9"/>
  <c r="K54" i="9"/>
  <c r="K55" i="9"/>
  <c r="K56" i="9"/>
  <c r="K57" i="9"/>
  <c r="K58" i="9"/>
  <c r="K59" i="9"/>
  <c r="K60" i="9"/>
  <c r="K61" i="9"/>
  <c r="K62" i="9"/>
  <c r="K63" i="9"/>
  <c r="K64" i="9"/>
  <c r="K65" i="9"/>
  <c r="K66" i="9"/>
  <c r="K67" i="9"/>
  <c r="K68" i="9"/>
  <c r="K69" i="9"/>
  <c r="K70" i="9"/>
  <c r="K71" i="9"/>
  <c r="K72" i="9"/>
  <c r="K73" i="9"/>
  <c r="K74" i="9"/>
  <c r="K75" i="9"/>
  <c r="K76" i="9"/>
  <c r="K77" i="9"/>
  <c r="K78" i="9"/>
  <c r="K79" i="9"/>
  <c r="K80" i="9"/>
  <c r="K81" i="9"/>
  <c r="K82" i="9"/>
  <c r="K83" i="9"/>
  <c r="K84" i="9"/>
  <c r="K85" i="9"/>
  <c r="K86" i="9"/>
  <c r="K87" i="9"/>
  <c r="K88" i="9"/>
  <c r="K89" i="9"/>
  <c r="K90" i="9"/>
  <c r="K91" i="9"/>
  <c r="K92" i="9"/>
  <c r="K93" i="9"/>
  <c r="K94" i="9"/>
  <c r="K95" i="9"/>
  <c r="K96" i="9"/>
  <c r="K97" i="9"/>
  <c r="K98" i="9"/>
  <c r="K99" i="9"/>
  <c r="K100" i="9"/>
  <c r="K101" i="9"/>
  <c r="K102" i="9"/>
  <c r="K103" i="9"/>
  <c r="K104" i="9"/>
  <c r="K105" i="9"/>
  <c r="K106" i="9"/>
  <c r="K107" i="9"/>
  <c r="K108" i="9"/>
  <c r="K109" i="9"/>
  <c r="K110" i="9"/>
  <c r="K111" i="9"/>
  <c r="K112" i="9"/>
  <c r="K113" i="9"/>
  <c r="K114" i="9"/>
  <c r="K115" i="9"/>
  <c r="K116" i="9"/>
  <c r="K117" i="9"/>
  <c r="K118" i="9"/>
  <c r="K119" i="9"/>
  <c r="K120" i="9"/>
  <c r="K121" i="9"/>
  <c r="K122" i="9"/>
  <c r="K123" i="9"/>
  <c r="K124" i="9"/>
  <c r="K125" i="9"/>
  <c r="K126" i="9"/>
  <c r="K127" i="9"/>
  <c r="K128" i="9"/>
  <c r="K129" i="9"/>
  <c r="K130" i="9"/>
  <c r="K131" i="9"/>
  <c r="K132" i="9"/>
  <c r="K133" i="9"/>
  <c r="K134" i="9"/>
  <c r="K135" i="9"/>
  <c r="K136" i="9"/>
  <c r="K137" i="9"/>
  <c r="K138" i="9"/>
  <c r="K139" i="9"/>
  <c r="K140" i="9"/>
  <c r="K141" i="9"/>
  <c r="K142" i="9"/>
  <c r="K143" i="9"/>
  <c r="K144" i="9"/>
  <c r="K145" i="9"/>
  <c r="K146" i="9"/>
  <c r="K147" i="9"/>
  <c r="K148" i="9"/>
  <c r="K149" i="9"/>
  <c r="K150" i="9"/>
  <c r="K151" i="9"/>
  <c r="K152" i="9"/>
  <c r="K153" i="9"/>
  <c r="K154" i="9"/>
  <c r="K155" i="9"/>
  <c r="K156" i="9"/>
  <c r="K157" i="9"/>
  <c r="K158" i="9"/>
  <c r="K159" i="9"/>
  <c r="K160" i="9"/>
  <c r="K161" i="9"/>
  <c r="K162" i="9"/>
  <c r="K163" i="9"/>
  <c r="K164" i="9"/>
  <c r="K165" i="9"/>
  <c r="K166" i="9"/>
  <c r="K167" i="9"/>
  <c r="K168" i="9"/>
  <c r="K169" i="9"/>
  <c r="K170" i="9"/>
  <c r="K171" i="9"/>
  <c r="K172" i="9"/>
  <c r="K173" i="9"/>
  <c r="K174" i="9"/>
  <c r="K175" i="9"/>
  <c r="K176" i="9"/>
  <c r="K177" i="9"/>
  <c r="K178" i="9"/>
  <c r="K179" i="9"/>
  <c r="K180" i="9"/>
  <c r="K181" i="9"/>
  <c r="K182" i="9"/>
  <c r="K183" i="9"/>
  <c r="K184" i="9"/>
  <c r="K185" i="9"/>
  <c r="K186" i="9"/>
  <c r="K187" i="9"/>
  <c r="K188" i="9"/>
  <c r="K189" i="9"/>
  <c r="K190" i="9"/>
  <c r="K191" i="9"/>
  <c r="K192" i="9"/>
  <c r="B98" i="18"/>
  <c r="B95" i="18"/>
  <c r="B94" i="18"/>
  <c r="B93" i="18"/>
  <c r="B92" i="18"/>
  <c r="B91" i="18"/>
  <c r="B90" i="18"/>
  <c r="B89" i="18"/>
  <c r="B88" i="18"/>
  <c r="B87" i="18"/>
  <c r="B86" i="18"/>
  <c r="B85" i="18"/>
  <c r="B84" i="18"/>
  <c r="B83" i="18"/>
  <c r="B82" i="18"/>
  <c r="B81" i="18"/>
  <c r="B80" i="18"/>
  <c r="B79" i="18"/>
  <c r="B76" i="18"/>
  <c r="B75" i="18"/>
  <c r="B74" i="18"/>
  <c r="B73" i="18"/>
  <c r="B72" i="18"/>
  <c r="B71" i="18"/>
  <c r="B70" i="18"/>
  <c r="B69" i="18"/>
  <c r="B68" i="18"/>
  <c r="B67" i="18"/>
  <c r="B66" i="18"/>
  <c r="B65" i="18"/>
  <c r="B64" i="18"/>
  <c r="B63" i="18"/>
  <c r="B62" i="18"/>
  <c r="B61" i="18"/>
  <c r="B60" i="18"/>
  <c r="B57" i="18"/>
  <c r="B56" i="18"/>
  <c r="B55" i="18"/>
  <c r="B54" i="18"/>
  <c r="B53" i="18"/>
  <c r="B52" i="18"/>
  <c r="B51" i="18"/>
  <c r="B50" i="18"/>
  <c r="B49" i="18"/>
  <c r="B48" i="18"/>
  <c r="B47" i="18"/>
  <c r="B46" i="18"/>
  <c r="B45" i="18"/>
  <c r="B44" i="18"/>
  <c r="B43" i="18"/>
  <c r="B42" i="18"/>
  <c r="B41" i="18"/>
  <c r="B38" i="18"/>
  <c r="B37" i="18"/>
  <c r="B36" i="18"/>
  <c r="B35" i="18"/>
  <c r="B34" i="18"/>
  <c r="B33" i="18"/>
  <c r="B32" i="18"/>
  <c r="B31" i="18"/>
  <c r="B30" i="18"/>
  <c r="B29" i="18"/>
  <c r="B28" i="18"/>
  <c r="B27" i="18"/>
  <c r="B26" i="18"/>
  <c r="B25" i="18"/>
  <c r="B24" i="18"/>
  <c r="B23" i="18"/>
  <c r="B22" i="18"/>
  <c r="B19" i="18"/>
  <c r="B18" i="18"/>
  <c r="B17" i="18"/>
  <c r="B16" i="18"/>
  <c r="B15" i="18"/>
  <c r="B14" i="18"/>
  <c r="B13" i="18"/>
  <c r="B12" i="18"/>
  <c r="B11" i="18"/>
  <c r="B10" i="18"/>
  <c r="B9" i="18"/>
  <c r="B8" i="18"/>
  <c r="B7" i="18"/>
  <c r="B6" i="18"/>
  <c r="B5" i="18"/>
  <c r="B4" i="18"/>
  <c r="H193" i="9"/>
  <c r="H10" i="9"/>
  <c r="H11" i="9"/>
  <c r="H12" i="9"/>
  <c r="H13" i="9"/>
  <c r="H14" i="9"/>
  <c r="H15" i="9"/>
  <c r="H16" i="9"/>
  <c r="H17" i="9"/>
  <c r="H18" i="9"/>
  <c r="H19" i="9"/>
  <c r="H20" i="9"/>
  <c r="H21" i="9"/>
  <c r="H22" i="9"/>
  <c r="H23" i="9"/>
  <c r="H24" i="9"/>
  <c r="H25" i="9"/>
  <c r="H26" i="9"/>
  <c r="H27" i="9"/>
  <c r="H28" i="9"/>
  <c r="H29" i="9"/>
  <c r="H30" i="9"/>
  <c r="H31" i="9"/>
  <c r="H32" i="9"/>
  <c r="H33" i="9"/>
  <c r="H34" i="9"/>
  <c r="H35" i="9"/>
  <c r="H36" i="9"/>
  <c r="H37" i="9"/>
  <c r="H38" i="9"/>
  <c r="H39" i="9"/>
  <c r="H40" i="9"/>
  <c r="H41" i="9"/>
  <c r="H42" i="9"/>
  <c r="H43" i="9"/>
  <c r="H44" i="9"/>
  <c r="H45" i="9"/>
  <c r="H46" i="9"/>
  <c r="H47" i="9"/>
  <c r="H48" i="9"/>
  <c r="H49" i="9"/>
  <c r="H50" i="9"/>
  <c r="H51" i="9"/>
  <c r="H52" i="9"/>
  <c r="H53" i="9"/>
  <c r="H54" i="9"/>
  <c r="H55" i="9"/>
  <c r="H56" i="9"/>
  <c r="H57" i="9"/>
  <c r="H58" i="9"/>
  <c r="H59" i="9"/>
  <c r="H60" i="9"/>
  <c r="H61" i="9"/>
  <c r="H62" i="9"/>
  <c r="H63" i="9"/>
  <c r="H64" i="9"/>
  <c r="H65" i="9"/>
  <c r="H66" i="9"/>
  <c r="H67" i="9"/>
  <c r="H68" i="9"/>
  <c r="H69" i="9"/>
  <c r="H70" i="9"/>
  <c r="H71" i="9"/>
  <c r="H72" i="9"/>
  <c r="H73" i="9"/>
  <c r="H74" i="9"/>
  <c r="H75" i="9"/>
  <c r="H76" i="9"/>
  <c r="H77" i="9"/>
  <c r="H78" i="9"/>
  <c r="H79" i="9"/>
  <c r="H80" i="9"/>
  <c r="H81" i="9"/>
  <c r="H82" i="9"/>
  <c r="H83" i="9"/>
  <c r="H84" i="9"/>
  <c r="H85" i="9"/>
  <c r="H86" i="9"/>
  <c r="H87" i="9"/>
  <c r="H88" i="9"/>
  <c r="H89" i="9"/>
  <c r="H90" i="9"/>
  <c r="H91" i="9"/>
  <c r="H92" i="9"/>
  <c r="H93" i="9"/>
  <c r="H94" i="9"/>
  <c r="H95" i="9"/>
  <c r="H96" i="9"/>
  <c r="H97" i="9"/>
  <c r="H98" i="9"/>
  <c r="H99" i="9"/>
  <c r="H100" i="9"/>
  <c r="H101" i="9"/>
  <c r="H102" i="9"/>
  <c r="H103" i="9"/>
  <c r="H104" i="9"/>
  <c r="H105" i="9"/>
  <c r="H106" i="9"/>
  <c r="H107" i="9"/>
  <c r="H108" i="9"/>
  <c r="H109" i="9"/>
  <c r="H110" i="9"/>
  <c r="H111" i="9"/>
  <c r="H112" i="9"/>
  <c r="H113" i="9"/>
  <c r="H114" i="9"/>
  <c r="H115" i="9"/>
  <c r="H116" i="9"/>
  <c r="H117" i="9"/>
  <c r="H118" i="9"/>
  <c r="H119" i="9"/>
  <c r="H120" i="9"/>
  <c r="H121" i="9"/>
  <c r="H122" i="9"/>
  <c r="H123" i="9"/>
  <c r="H124" i="9"/>
  <c r="H125" i="9"/>
  <c r="H126" i="9"/>
  <c r="H127" i="9"/>
  <c r="H128" i="9"/>
  <c r="H129" i="9"/>
  <c r="H130" i="9"/>
  <c r="H131" i="9"/>
  <c r="H132" i="9"/>
  <c r="H133" i="9"/>
  <c r="H134" i="9"/>
  <c r="H135" i="9"/>
  <c r="H136" i="9"/>
  <c r="H137" i="9"/>
  <c r="H138" i="9"/>
  <c r="H139" i="9"/>
  <c r="H140" i="9"/>
  <c r="H141" i="9"/>
  <c r="H142" i="9"/>
  <c r="H143" i="9"/>
  <c r="H144" i="9"/>
  <c r="H145" i="9"/>
  <c r="H146" i="9"/>
  <c r="H147" i="9"/>
  <c r="H148" i="9"/>
  <c r="H149" i="9"/>
  <c r="H150" i="9"/>
  <c r="H151" i="9"/>
  <c r="H152" i="9"/>
  <c r="H153" i="9"/>
  <c r="H154" i="9"/>
  <c r="H155" i="9"/>
  <c r="H156" i="9"/>
  <c r="H157" i="9"/>
  <c r="H158" i="9"/>
  <c r="H159" i="9"/>
  <c r="H160" i="9"/>
  <c r="H161" i="9"/>
  <c r="H162" i="9"/>
  <c r="H163" i="9"/>
  <c r="H164" i="9"/>
  <c r="H165" i="9"/>
  <c r="H166" i="9"/>
  <c r="H167" i="9"/>
  <c r="H168" i="9"/>
  <c r="H169" i="9"/>
  <c r="H170" i="9"/>
  <c r="H171" i="9"/>
  <c r="H172" i="9"/>
  <c r="H173" i="9"/>
  <c r="H174" i="9"/>
  <c r="H175" i="9"/>
  <c r="H176" i="9"/>
  <c r="H177" i="9"/>
  <c r="H178" i="9"/>
  <c r="H179" i="9"/>
  <c r="H180" i="9"/>
  <c r="H181" i="9"/>
  <c r="H182" i="9"/>
  <c r="H183" i="9"/>
  <c r="H184" i="9"/>
  <c r="H185" i="9"/>
  <c r="H186" i="9"/>
  <c r="H187" i="9"/>
  <c r="H188" i="9"/>
  <c r="H189" i="9"/>
  <c r="H190" i="9"/>
  <c r="H191" i="9"/>
  <c r="H192" i="9"/>
  <c r="K8" i="8"/>
  <c r="K9" i="8"/>
  <c r="K10" i="8"/>
  <c r="K11" i="8"/>
  <c r="K12" i="8"/>
  <c r="K13" i="8"/>
  <c r="K14" i="8"/>
  <c r="K15" i="8"/>
  <c r="K16" i="8"/>
  <c r="K17" i="8"/>
  <c r="K18" i="8"/>
  <c r="K19" i="8"/>
  <c r="K20" i="8"/>
  <c r="K21" i="8"/>
  <c r="K22" i="8"/>
  <c r="K23" i="8"/>
  <c r="K24" i="8"/>
  <c r="K25" i="8"/>
  <c r="K26" i="8"/>
  <c r="K27" i="8"/>
  <c r="K28" i="8"/>
  <c r="K29" i="8"/>
  <c r="K30" i="8"/>
  <c r="K31" i="8"/>
  <c r="K32" i="8"/>
  <c r="K33" i="8"/>
  <c r="K34" i="8"/>
  <c r="K35" i="8"/>
  <c r="K36" i="8"/>
  <c r="K37" i="8"/>
  <c r="K38" i="8"/>
  <c r="K39" i="8"/>
  <c r="K40" i="8"/>
  <c r="K41" i="8"/>
  <c r="K42" i="8"/>
  <c r="K43" i="8"/>
  <c r="K44" i="8"/>
  <c r="K45" i="8"/>
  <c r="K46" i="8"/>
  <c r="K47" i="8"/>
  <c r="K48" i="8"/>
  <c r="K49" i="8"/>
  <c r="K50" i="8"/>
  <c r="K51" i="8"/>
  <c r="K52" i="8"/>
  <c r="K53" i="8"/>
  <c r="K54" i="8"/>
  <c r="K55" i="8"/>
  <c r="K56" i="8"/>
  <c r="K57" i="8"/>
  <c r="K58" i="8"/>
  <c r="K59" i="8"/>
  <c r="J8" i="8"/>
  <c r="J9" i="8"/>
  <c r="J10" i="8"/>
  <c r="J11" i="8"/>
  <c r="J12" i="8"/>
  <c r="J13" i="8"/>
  <c r="J14" i="8"/>
  <c r="J15" i="8"/>
  <c r="J16" i="8"/>
  <c r="J17" i="8"/>
  <c r="J18" i="8"/>
  <c r="J19" i="8"/>
  <c r="J20" i="8"/>
  <c r="J21" i="8"/>
  <c r="J22" i="8"/>
  <c r="J23" i="8"/>
  <c r="J24" i="8"/>
  <c r="J25" i="8"/>
  <c r="J26" i="8"/>
  <c r="J27" i="8"/>
  <c r="J28" i="8"/>
  <c r="J29" i="8"/>
  <c r="J30" i="8"/>
  <c r="J31" i="8"/>
  <c r="J32" i="8"/>
  <c r="J33" i="8"/>
  <c r="J34" i="8"/>
  <c r="J35" i="8"/>
  <c r="J36" i="8"/>
  <c r="J37" i="8"/>
  <c r="J38" i="8"/>
  <c r="J39" i="8"/>
  <c r="J40" i="8"/>
  <c r="J41" i="8"/>
  <c r="J42" i="8"/>
  <c r="J43" i="8"/>
  <c r="J44" i="8"/>
  <c r="J45" i="8"/>
  <c r="J46" i="8"/>
  <c r="J47" i="8"/>
  <c r="J48" i="8"/>
  <c r="J49" i="8"/>
  <c r="J50" i="8"/>
  <c r="J51" i="8"/>
  <c r="J52" i="8"/>
  <c r="J53" i="8"/>
  <c r="J54" i="8"/>
  <c r="J55" i="8"/>
  <c r="J56" i="8"/>
  <c r="J57" i="8"/>
  <c r="J58" i="8"/>
  <c r="J59" i="8"/>
  <c r="B8" i="8"/>
  <c r="A8" i="8" s="1"/>
  <c r="B9" i="8"/>
  <c r="B10" i="8"/>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1" i="8"/>
  <c r="B52" i="8"/>
  <c r="B53" i="8"/>
  <c r="B54" i="8"/>
  <c r="B55" i="8"/>
  <c r="B56" i="8"/>
  <c r="B57" i="8"/>
  <c r="B58" i="8"/>
  <c r="B59" i="8"/>
  <c r="B48" i="4" l="1"/>
  <c r="A10" i="9" a="1"/>
  <c r="A10" i="9" s="1"/>
  <c r="A11" i="9" a="1"/>
  <c r="A11" i="9" s="1"/>
  <c r="M11" i="9" s="1"/>
  <c r="C69" i="4"/>
  <c r="G193" i="9"/>
  <c r="G10" i="9"/>
  <c r="G11" i="9"/>
  <c r="G12" i="9"/>
  <c r="G13" i="9"/>
  <c r="G14" i="9"/>
  <c r="G15" i="9"/>
  <c r="G16" i="9"/>
  <c r="G17" i="9"/>
  <c r="G18" i="9"/>
  <c r="G19" i="9"/>
  <c r="G20" i="9"/>
  <c r="G21" i="9"/>
  <c r="G22" i="9"/>
  <c r="G23" i="9"/>
  <c r="G24" i="9"/>
  <c r="G25" i="9"/>
  <c r="G26" i="9"/>
  <c r="G27" i="9"/>
  <c r="G28" i="9"/>
  <c r="G29" i="9"/>
  <c r="G30" i="9"/>
  <c r="G31" i="9"/>
  <c r="G32" i="9"/>
  <c r="G33" i="9"/>
  <c r="G34" i="9"/>
  <c r="G35" i="9"/>
  <c r="G36" i="9"/>
  <c r="G37" i="9"/>
  <c r="G38" i="9"/>
  <c r="G39" i="9"/>
  <c r="G40" i="9"/>
  <c r="G41" i="9"/>
  <c r="G42" i="9"/>
  <c r="G43" i="9"/>
  <c r="G44" i="9"/>
  <c r="G45" i="9"/>
  <c r="G46" i="9"/>
  <c r="G47" i="9"/>
  <c r="G48" i="9"/>
  <c r="G49" i="9"/>
  <c r="G50" i="9"/>
  <c r="G51" i="9"/>
  <c r="G52" i="9"/>
  <c r="G53" i="9"/>
  <c r="G54" i="9"/>
  <c r="G55" i="9"/>
  <c r="G56" i="9"/>
  <c r="G57" i="9"/>
  <c r="G58" i="9"/>
  <c r="G59" i="9"/>
  <c r="G60" i="9"/>
  <c r="G61" i="9"/>
  <c r="G62" i="9"/>
  <c r="G63" i="9"/>
  <c r="G64" i="9"/>
  <c r="G65" i="9"/>
  <c r="G66" i="9"/>
  <c r="G67" i="9"/>
  <c r="G68" i="9"/>
  <c r="G69" i="9"/>
  <c r="G70" i="9"/>
  <c r="G71" i="9"/>
  <c r="G72" i="9"/>
  <c r="G73" i="9"/>
  <c r="G74" i="9"/>
  <c r="G75" i="9"/>
  <c r="G76" i="9"/>
  <c r="G77" i="9"/>
  <c r="G78" i="9"/>
  <c r="G79" i="9"/>
  <c r="G80" i="9"/>
  <c r="G81" i="9"/>
  <c r="G82" i="9"/>
  <c r="G83" i="9"/>
  <c r="G84" i="9"/>
  <c r="G85" i="9"/>
  <c r="G86" i="9"/>
  <c r="G87" i="9"/>
  <c r="G88" i="9"/>
  <c r="G89" i="9"/>
  <c r="G90" i="9"/>
  <c r="G91" i="9"/>
  <c r="G92" i="9"/>
  <c r="G93" i="9"/>
  <c r="G94" i="9"/>
  <c r="G95" i="9"/>
  <c r="G96" i="9"/>
  <c r="G97" i="9"/>
  <c r="G98" i="9"/>
  <c r="G99" i="9"/>
  <c r="G100" i="9"/>
  <c r="G101" i="9"/>
  <c r="G102" i="9"/>
  <c r="G103" i="9"/>
  <c r="G104" i="9"/>
  <c r="G105" i="9"/>
  <c r="G106" i="9"/>
  <c r="G107" i="9"/>
  <c r="G108" i="9"/>
  <c r="G109" i="9"/>
  <c r="G110" i="9"/>
  <c r="G111" i="9"/>
  <c r="G112" i="9"/>
  <c r="G113" i="9"/>
  <c r="G114" i="9"/>
  <c r="G115" i="9"/>
  <c r="G116" i="9"/>
  <c r="G117" i="9"/>
  <c r="G118" i="9"/>
  <c r="G119" i="9"/>
  <c r="G120" i="9"/>
  <c r="G121" i="9"/>
  <c r="G122" i="9"/>
  <c r="G123" i="9"/>
  <c r="G124" i="9"/>
  <c r="G125" i="9"/>
  <c r="G126" i="9"/>
  <c r="G127" i="9"/>
  <c r="G128" i="9"/>
  <c r="G129" i="9"/>
  <c r="G130" i="9"/>
  <c r="G131" i="9"/>
  <c r="G132" i="9"/>
  <c r="G133" i="9"/>
  <c r="G134" i="9"/>
  <c r="G135" i="9"/>
  <c r="G136" i="9"/>
  <c r="G137" i="9"/>
  <c r="G138" i="9"/>
  <c r="G139" i="9"/>
  <c r="G140" i="9"/>
  <c r="G141" i="9"/>
  <c r="G142" i="9"/>
  <c r="G143" i="9"/>
  <c r="G144" i="9"/>
  <c r="G145" i="9"/>
  <c r="G146" i="9"/>
  <c r="G147" i="9"/>
  <c r="G148" i="9"/>
  <c r="G149" i="9"/>
  <c r="G150" i="9"/>
  <c r="G151" i="9"/>
  <c r="G152" i="9"/>
  <c r="G153" i="9"/>
  <c r="G154" i="9"/>
  <c r="G155" i="9"/>
  <c r="G156" i="9"/>
  <c r="G157" i="9"/>
  <c r="G158" i="9"/>
  <c r="G159" i="9"/>
  <c r="G160" i="9"/>
  <c r="G161" i="9"/>
  <c r="G162" i="9"/>
  <c r="G163" i="9"/>
  <c r="G164" i="9"/>
  <c r="G165" i="9"/>
  <c r="G166" i="9"/>
  <c r="G167" i="9"/>
  <c r="G168" i="9"/>
  <c r="G169" i="9"/>
  <c r="G170" i="9"/>
  <c r="G171" i="9"/>
  <c r="G172" i="9"/>
  <c r="G173" i="9"/>
  <c r="G174" i="9"/>
  <c r="G175" i="9"/>
  <c r="G176" i="9"/>
  <c r="G177" i="9"/>
  <c r="G178" i="9"/>
  <c r="G179" i="9"/>
  <c r="G180" i="9"/>
  <c r="G181" i="9"/>
  <c r="G182" i="9"/>
  <c r="G183" i="9"/>
  <c r="G184" i="9"/>
  <c r="G185" i="9"/>
  <c r="G186" i="9"/>
  <c r="G187" i="9"/>
  <c r="G188" i="9"/>
  <c r="G189" i="9"/>
  <c r="G190" i="9"/>
  <c r="G191" i="9"/>
  <c r="G192" i="9"/>
  <c r="M193" i="9"/>
  <c r="Z193" i="9"/>
  <c r="M10" i="9"/>
  <c r="Z10" i="9"/>
  <c r="Z11" i="9"/>
  <c r="Q4" i="8"/>
  <c r="N4" i="8"/>
  <c r="Q8" i="8"/>
  <c r="Z192" i="9"/>
  <c r="M192" i="9"/>
  <c r="Z191" i="9"/>
  <c r="M191" i="9"/>
  <c r="Z190" i="9"/>
  <c r="M190" i="9"/>
  <c r="Z189" i="9"/>
  <c r="M189" i="9"/>
  <c r="Z188" i="9"/>
  <c r="M188" i="9"/>
  <c r="Z187" i="9"/>
  <c r="M187" i="9"/>
  <c r="Z186" i="9"/>
  <c r="M186" i="9"/>
  <c r="Z185" i="9"/>
  <c r="M185" i="9"/>
  <c r="Z184" i="9"/>
  <c r="M184" i="9"/>
  <c r="Z183" i="9"/>
  <c r="M183" i="9"/>
  <c r="Z182" i="9"/>
  <c r="M182" i="9"/>
  <c r="Z181" i="9"/>
  <c r="M181" i="9"/>
  <c r="Z180" i="9"/>
  <c r="M180" i="9"/>
  <c r="Z179" i="9"/>
  <c r="M179" i="9"/>
  <c r="Z178" i="9"/>
  <c r="M178" i="9"/>
  <c r="Z177" i="9"/>
  <c r="M177" i="9"/>
  <c r="Z176" i="9"/>
  <c r="M176" i="9"/>
  <c r="Z175" i="9"/>
  <c r="M175" i="9"/>
  <c r="Z174" i="9"/>
  <c r="M174" i="9"/>
  <c r="Z173" i="9"/>
  <c r="M173" i="9"/>
  <c r="Z172" i="9"/>
  <c r="M172" i="9"/>
  <c r="Z171" i="9"/>
  <c r="M171" i="9"/>
  <c r="Z170" i="9"/>
  <c r="M170" i="9"/>
  <c r="Z169" i="9"/>
  <c r="M169" i="9"/>
  <c r="Z168" i="9"/>
  <c r="M168" i="9"/>
  <c r="Z167" i="9"/>
  <c r="M167" i="9"/>
  <c r="Z166" i="9"/>
  <c r="M166" i="9"/>
  <c r="Z165" i="9"/>
  <c r="M165" i="9"/>
  <c r="Z164" i="9"/>
  <c r="M164" i="9"/>
  <c r="Z163" i="9"/>
  <c r="M163" i="9"/>
  <c r="Z162" i="9"/>
  <c r="M162" i="9"/>
  <c r="Z161" i="9"/>
  <c r="M161" i="9"/>
  <c r="Z160" i="9"/>
  <c r="M160" i="9"/>
  <c r="Z159" i="9"/>
  <c r="M159" i="9"/>
  <c r="Z158" i="9"/>
  <c r="M158" i="9"/>
  <c r="Z157" i="9"/>
  <c r="M157" i="9"/>
  <c r="Z156" i="9"/>
  <c r="M156" i="9"/>
  <c r="Z155" i="9"/>
  <c r="M155" i="9"/>
  <c r="Z154" i="9"/>
  <c r="M154" i="9"/>
  <c r="Z153" i="9"/>
  <c r="M153" i="9"/>
  <c r="Z152" i="9"/>
  <c r="M152" i="9"/>
  <c r="Z151" i="9"/>
  <c r="M151" i="9"/>
  <c r="Z150" i="9"/>
  <c r="M150" i="9"/>
  <c r="Z149" i="9"/>
  <c r="M149" i="9"/>
  <c r="Z148" i="9"/>
  <c r="M148" i="9"/>
  <c r="Z147" i="9"/>
  <c r="M147" i="9"/>
  <c r="Z146" i="9"/>
  <c r="M146" i="9"/>
  <c r="Z145" i="9"/>
  <c r="M145" i="9"/>
  <c r="Z144" i="9"/>
  <c r="M144" i="9"/>
  <c r="Z143" i="9"/>
  <c r="M143" i="9"/>
  <c r="Z142" i="9"/>
  <c r="M142" i="9"/>
  <c r="Z141" i="9"/>
  <c r="M141" i="9"/>
  <c r="Z140" i="9"/>
  <c r="M140" i="9"/>
  <c r="Z139" i="9"/>
  <c r="M139" i="9"/>
  <c r="Z138" i="9"/>
  <c r="M138" i="9"/>
  <c r="Z137" i="9"/>
  <c r="M137" i="9"/>
  <c r="Z136" i="9"/>
  <c r="M136" i="9"/>
  <c r="Z135" i="9"/>
  <c r="M135" i="9"/>
  <c r="Z134" i="9"/>
  <c r="M134" i="9"/>
  <c r="Z133" i="9"/>
  <c r="M133" i="9"/>
  <c r="Z132" i="9"/>
  <c r="M132" i="9"/>
  <c r="Z131" i="9"/>
  <c r="M131" i="9"/>
  <c r="Z130" i="9"/>
  <c r="M130" i="9"/>
  <c r="Z129" i="9"/>
  <c r="M129" i="9"/>
  <c r="Z128" i="9"/>
  <c r="M128" i="9"/>
  <c r="Z127" i="9"/>
  <c r="M127" i="9"/>
  <c r="Z126" i="9"/>
  <c r="M126" i="9"/>
  <c r="Z125" i="9"/>
  <c r="M125" i="9"/>
  <c r="Z124" i="9"/>
  <c r="M124" i="9"/>
  <c r="Z123" i="9"/>
  <c r="M123" i="9"/>
  <c r="Z122" i="9"/>
  <c r="M122" i="9"/>
  <c r="Z121" i="9"/>
  <c r="M121" i="9"/>
  <c r="Z120" i="9"/>
  <c r="M120" i="9"/>
  <c r="Z119" i="9"/>
  <c r="M119" i="9"/>
  <c r="Z118" i="9"/>
  <c r="M118" i="9"/>
  <c r="Z117" i="9"/>
  <c r="M117" i="9"/>
  <c r="Z116" i="9"/>
  <c r="M116" i="9"/>
  <c r="Z115" i="9"/>
  <c r="M115" i="9"/>
  <c r="Z114" i="9"/>
  <c r="M114" i="9"/>
  <c r="Z113" i="9"/>
  <c r="M113" i="9"/>
  <c r="Z112" i="9"/>
  <c r="M112" i="9"/>
  <c r="Z111" i="9"/>
  <c r="M111" i="9"/>
  <c r="Z110" i="9"/>
  <c r="M110" i="9"/>
  <c r="Z109" i="9"/>
  <c r="M109" i="9"/>
  <c r="Z108" i="9"/>
  <c r="M108" i="9"/>
  <c r="Z107" i="9"/>
  <c r="M107" i="9"/>
  <c r="Z106" i="9"/>
  <c r="M106" i="9"/>
  <c r="Z105" i="9"/>
  <c r="M105" i="9"/>
  <c r="Z104" i="9"/>
  <c r="M104" i="9"/>
  <c r="Z103" i="9"/>
  <c r="M103" i="9"/>
  <c r="Z102" i="9"/>
  <c r="M102" i="9"/>
  <c r="Z101" i="9"/>
  <c r="M101" i="9"/>
  <c r="Z100" i="9"/>
  <c r="M100" i="9"/>
  <c r="Z99" i="9"/>
  <c r="M99" i="9"/>
  <c r="Z98" i="9"/>
  <c r="M98" i="9"/>
  <c r="Z97" i="9"/>
  <c r="M97" i="9"/>
  <c r="Z96" i="9"/>
  <c r="M96" i="9"/>
  <c r="Z95" i="9"/>
  <c r="M95" i="9"/>
  <c r="Z94" i="9"/>
  <c r="M94" i="9"/>
  <c r="Z93" i="9"/>
  <c r="M93" i="9"/>
  <c r="Z92" i="9"/>
  <c r="M92" i="9"/>
  <c r="Z91" i="9"/>
  <c r="M91" i="9"/>
  <c r="Z90" i="9"/>
  <c r="M90" i="9"/>
  <c r="Z89" i="9"/>
  <c r="M89" i="9"/>
  <c r="Z88" i="9"/>
  <c r="M88" i="9"/>
  <c r="Z87" i="9"/>
  <c r="M87" i="9"/>
  <c r="Z86" i="9"/>
  <c r="M86" i="9"/>
  <c r="Z85" i="9"/>
  <c r="M85" i="9"/>
  <c r="Z84" i="9"/>
  <c r="M84" i="9"/>
  <c r="Z83" i="9"/>
  <c r="M83" i="9"/>
  <c r="Z82" i="9"/>
  <c r="M82" i="9"/>
  <c r="Z81" i="9"/>
  <c r="M81" i="9"/>
  <c r="Z80" i="9"/>
  <c r="M80" i="9"/>
  <c r="Z79" i="9"/>
  <c r="M79" i="9"/>
  <c r="Z78" i="9"/>
  <c r="M78" i="9"/>
  <c r="Z77" i="9"/>
  <c r="M77" i="9"/>
  <c r="Z76" i="9"/>
  <c r="M76" i="9"/>
  <c r="Z75" i="9"/>
  <c r="M75" i="9"/>
  <c r="Z74" i="9"/>
  <c r="M74" i="9"/>
  <c r="Z73" i="9"/>
  <c r="M73" i="9"/>
  <c r="Z72" i="9"/>
  <c r="M72" i="9"/>
  <c r="Z71" i="9"/>
  <c r="M71" i="9"/>
  <c r="Z70" i="9"/>
  <c r="M70" i="9"/>
  <c r="Z69" i="9"/>
  <c r="M69" i="9"/>
  <c r="Z68" i="9"/>
  <c r="M68" i="9"/>
  <c r="Z67" i="9"/>
  <c r="M67" i="9"/>
  <c r="Z66" i="9"/>
  <c r="M66" i="9"/>
  <c r="Z65" i="9"/>
  <c r="M65" i="9"/>
  <c r="Z64" i="9"/>
  <c r="M64" i="9"/>
  <c r="Z63" i="9"/>
  <c r="M63" i="9"/>
  <c r="Z62" i="9"/>
  <c r="M62" i="9"/>
  <c r="Z61" i="9"/>
  <c r="M61" i="9"/>
  <c r="Z60" i="9"/>
  <c r="M60" i="9"/>
  <c r="Z59" i="9"/>
  <c r="M59" i="9"/>
  <c r="Z58" i="9"/>
  <c r="M58" i="9"/>
  <c r="Z57" i="9"/>
  <c r="M57" i="9"/>
  <c r="Z56" i="9"/>
  <c r="M56" i="9"/>
  <c r="Z55" i="9"/>
  <c r="M55" i="9"/>
  <c r="Z54" i="9"/>
  <c r="M54" i="9"/>
  <c r="Z53" i="9"/>
  <c r="M53" i="9"/>
  <c r="Z52" i="9"/>
  <c r="M52" i="9"/>
  <c r="Z51" i="9"/>
  <c r="M51" i="9"/>
  <c r="Z50" i="9"/>
  <c r="M50" i="9"/>
  <c r="Z49" i="9"/>
  <c r="M49" i="9"/>
  <c r="Z48" i="9"/>
  <c r="M48" i="9"/>
  <c r="Z47" i="9"/>
  <c r="M47" i="9"/>
  <c r="Z46" i="9"/>
  <c r="M46" i="9"/>
  <c r="Z45" i="9"/>
  <c r="M45" i="9"/>
  <c r="Z44" i="9"/>
  <c r="M44" i="9"/>
  <c r="Z43" i="9"/>
  <c r="M43" i="9"/>
  <c r="Z42" i="9"/>
  <c r="M42" i="9"/>
  <c r="Z41" i="9"/>
  <c r="M41" i="9"/>
  <c r="Z40" i="9"/>
  <c r="M40" i="9"/>
  <c r="Z39" i="9"/>
  <c r="M39" i="9"/>
  <c r="Z38" i="9"/>
  <c r="M38" i="9"/>
  <c r="Z37" i="9"/>
  <c r="M37" i="9"/>
  <c r="Z36" i="9"/>
  <c r="M36" i="9"/>
  <c r="Z35" i="9"/>
  <c r="M35" i="9"/>
  <c r="Z34" i="9"/>
  <c r="M34" i="9"/>
  <c r="Z33" i="9"/>
  <c r="M33" i="9"/>
  <c r="Z32" i="9"/>
  <c r="M32" i="9"/>
  <c r="Z31" i="9"/>
  <c r="M31" i="9"/>
  <c r="Z30" i="9"/>
  <c r="M30" i="9"/>
  <c r="Z29" i="9"/>
  <c r="M29" i="9"/>
  <c r="Z28" i="9"/>
  <c r="M28" i="9"/>
  <c r="Z27" i="9"/>
  <c r="M27" i="9"/>
  <c r="Z26" i="9"/>
  <c r="M26" i="9"/>
  <c r="Z25" i="9"/>
  <c r="M25" i="9"/>
  <c r="Z24" i="9"/>
  <c r="M24" i="9"/>
  <c r="Z23" i="9"/>
  <c r="M23" i="9"/>
  <c r="Z22" i="9"/>
  <c r="M22" i="9"/>
  <c r="Z21" i="9"/>
  <c r="M21" i="9"/>
  <c r="Z20" i="9"/>
  <c r="Z19" i="9"/>
  <c r="Z18" i="9"/>
  <c r="Z17" i="9"/>
  <c r="Z16" i="9"/>
  <c r="Z15" i="9"/>
  <c r="Z14" i="9"/>
  <c r="Z13" i="9"/>
  <c r="Z12" i="9"/>
  <c r="Q59" i="8"/>
  <c r="L59" i="8"/>
  <c r="E59" i="8"/>
  <c r="A59" i="8"/>
  <c r="A112" i="9" s="1" a="1"/>
  <c r="A112" i="9" s="1"/>
  <c r="Q58" i="8"/>
  <c r="L58" i="8"/>
  <c r="E58" i="8"/>
  <c r="A58" i="8"/>
  <c r="Q57" i="8"/>
  <c r="L57" i="8"/>
  <c r="E57" i="8"/>
  <c r="A57" i="8"/>
  <c r="Q56" i="8"/>
  <c r="L56" i="8"/>
  <c r="E56" i="8"/>
  <c r="A56" i="8"/>
  <c r="Q55" i="8"/>
  <c r="L55" i="8"/>
  <c r="E55" i="8"/>
  <c r="A55" i="8"/>
  <c r="Q54" i="8"/>
  <c r="L54" i="8"/>
  <c r="E54" i="8"/>
  <c r="A54" i="8"/>
  <c r="Q53" i="8"/>
  <c r="L53" i="8"/>
  <c r="E53" i="8"/>
  <c r="A53" i="8"/>
  <c r="Q52" i="8"/>
  <c r="L52" i="8"/>
  <c r="E52" i="8"/>
  <c r="A52" i="8"/>
  <c r="Q51" i="8"/>
  <c r="L51" i="8"/>
  <c r="E51" i="8"/>
  <c r="A51" i="8"/>
  <c r="Q50" i="8"/>
  <c r="L50" i="8"/>
  <c r="E50" i="8"/>
  <c r="A50" i="8"/>
  <c r="Q49" i="8"/>
  <c r="L49" i="8"/>
  <c r="E49" i="8"/>
  <c r="A49" i="8"/>
  <c r="Q48" i="8"/>
  <c r="L48" i="8"/>
  <c r="E48" i="8"/>
  <c r="A48" i="8"/>
  <c r="Q47" i="8"/>
  <c r="L47" i="8"/>
  <c r="E47" i="8"/>
  <c r="A47" i="8"/>
  <c r="Q46" i="8"/>
  <c r="L46" i="8"/>
  <c r="E46" i="8"/>
  <c r="A46" i="8"/>
  <c r="Q45" i="8"/>
  <c r="L45" i="8"/>
  <c r="E45" i="8"/>
  <c r="A45" i="8"/>
  <c r="Q44" i="8"/>
  <c r="L44" i="8"/>
  <c r="E44" i="8"/>
  <c r="A44" i="8"/>
  <c r="Q43" i="8"/>
  <c r="L43" i="8"/>
  <c r="E43" i="8"/>
  <c r="A43" i="8"/>
  <c r="Q42" i="8"/>
  <c r="L42" i="8"/>
  <c r="E42" i="8"/>
  <c r="A42" i="8"/>
  <c r="Q41" i="8"/>
  <c r="L41" i="8"/>
  <c r="E41" i="8"/>
  <c r="A41" i="8"/>
  <c r="Q40" i="8"/>
  <c r="L40" i="8"/>
  <c r="E40" i="8"/>
  <c r="A40" i="8"/>
  <c r="Q39" i="8"/>
  <c r="L39" i="8"/>
  <c r="E39" i="8"/>
  <c r="A39" i="8"/>
  <c r="Q38" i="8"/>
  <c r="L38" i="8"/>
  <c r="E38" i="8"/>
  <c r="A38" i="8"/>
  <c r="Q37" i="8"/>
  <c r="L37" i="8"/>
  <c r="E37" i="8"/>
  <c r="A37" i="8"/>
  <c r="Q36" i="8"/>
  <c r="L36" i="8"/>
  <c r="E36" i="8"/>
  <c r="A36" i="8"/>
  <c r="Q35" i="8"/>
  <c r="L35" i="8"/>
  <c r="E35" i="8"/>
  <c r="A35" i="8"/>
  <c r="Q34" i="8"/>
  <c r="L34" i="8"/>
  <c r="E34" i="8"/>
  <c r="A34" i="8"/>
  <c r="Q33" i="8"/>
  <c r="L33" i="8"/>
  <c r="E33" i="8"/>
  <c r="A33" i="8"/>
  <c r="Q32" i="8"/>
  <c r="L32" i="8"/>
  <c r="E32" i="8"/>
  <c r="A32" i="8"/>
  <c r="Q31" i="8"/>
  <c r="L31" i="8"/>
  <c r="E31" i="8"/>
  <c r="A31" i="8"/>
  <c r="Q30" i="8"/>
  <c r="L30" i="8"/>
  <c r="E30" i="8"/>
  <c r="A30" i="8"/>
  <c r="Q29" i="8"/>
  <c r="L29" i="8"/>
  <c r="E29" i="8"/>
  <c r="A29" i="8"/>
  <c r="Q28" i="8"/>
  <c r="L28" i="8"/>
  <c r="E28" i="8"/>
  <c r="A28" i="8"/>
  <c r="Q27" i="8"/>
  <c r="L27" i="8"/>
  <c r="E27" i="8"/>
  <c r="A27" i="8"/>
  <c r="Q26" i="8"/>
  <c r="L26" i="8"/>
  <c r="E26" i="8"/>
  <c r="A26" i="8"/>
  <c r="Q25" i="8"/>
  <c r="L25" i="8"/>
  <c r="E25" i="8"/>
  <c r="A25" i="8"/>
  <c r="Q24" i="8"/>
  <c r="L24" i="8"/>
  <c r="E24" i="8"/>
  <c r="A24" i="8"/>
  <c r="Q23" i="8"/>
  <c r="L23" i="8"/>
  <c r="E23" i="8"/>
  <c r="A23" i="8"/>
  <c r="Q22" i="8"/>
  <c r="L22" i="8"/>
  <c r="E22" i="8"/>
  <c r="A22" i="8"/>
  <c r="Q21" i="8"/>
  <c r="L21" i="8"/>
  <c r="E21" i="8"/>
  <c r="A21" i="8"/>
  <c r="Q20" i="8"/>
  <c r="L20" i="8"/>
  <c r="E20" i="8"/>
  <c r="A20" i="8"/>
  <c r="Q19" i="8"/>
  <c r="L19" i="8"/>
  <c r="E19" i="8"/>
  <c r="A19" i="8"/>
  <c r="Q18" i="8"/>
  <c r="L18" i="8"/>
  <c r="E18" i="8"/>
  <c r="A18" i="8"/>
  <c r="Q17" i="8"/>
  <c r="L17" i="8"/>
  <c r="E17" i="8"/>
  <c r="A17" i="8"/>
  <c r="Q16" i="8"/>
  <c r="L16" i="8"/>
  <c r="E16" i="8"/>
  <c r="A16" i="8"/>
  <c r="Q15" i="8"/>
  <c r="L15" i="8"/>
  <c r="E15" i="8"/>
  <c r="A15" i="8"/>
  <c r="Q14" i="8"/>
  <c r="L14" i="8"/>
  <c r="E14" i="8"/>
  <c r="A14" i="8"/>
  <c r="Q13" i="8"/>
  <c r="L13" i="8"/>
  <c r="E13" i="8"/>
  <c r="A13" i="8"/>
  <c r="Q12" i="8"/>
  <c r="L12" i="8"/>
  <c r="E12" i="8"/>
  <c r="A12" i="8"/>
  <c r="Q11" i="8"/>
  <c r="L11" i="8"/>
  <c r="E11" i="8"/>
  <c r="A11" i="8"/>
  <c r="Q10" i="8"/>
  <c r="L10" i="8"/>
  <c r="E10" i="8"/>
  <c r="A10" i="8"/>
  <c r="Q9" i="8"/>
  <c r="L9" i="8"/>
  <c r="E9" i="8"/>
  <c r="A9" i="8"/>
  <c r="A13" i="9" s="1" a="1"/>
  <c r="A13" i="9" s="1"/>
  <c r="M13" i="9" s="1"/>
  <c r="E8" i="8"/>
  <c r="A96" i="9" l="1" a="1"/>
  <c r="A96" i="9" s="1"/>
  <c r="A97" i="9" a="1"/>
  <c r="A97" i="9" s="1"/>
  <c r="A30" i="9" a="1"/>
  <c r="A30" i="9" s="1"/>
  <c r="A31" i="9" a="1"/>
  <c r="A31" i="9" s="1"/>
  <c r="A72" i="9" a="1"/>
  <c r="A72" i="9" s="1"/>
  <c r="A73" i="9" a="1"/>
  <c r="A73" i="9" s="1"/>
  <c r="A102" i="9" a="1"/>
  <c r="A102" i="9" s="1"/>
  <c r="A103" i="9" a="1"/>
  <c r="A103" i="9" s="1"/>
  <c r="A108" i="9" a="1"/>
  <c r="A108" i="9" s="1"/>
  <c r="A109" i="9" a="1"/>
  <c r="A109" i="9" s="1"/>
  <c r="A60" i="9" a="1"/>
  <c r="A60" i="9" s="1"/>
  <c r="A61" i="9" a="1"/>
  <c r="A61" i="9" s="1"/>
  <c r="A36" i="9" a="1"/>
  <c r="A36" i="9" s="1"/>
  <c r="A37" i="9" a="1"/>
  <c r="A37" i="9" s="1"/>
  <c r="A24" i="9" a="1"/>
  <c r="A24" i="9" s="1"/>
  <c r="A25" i="9" a="1"/>
  <c r="A25" i="9" s="1"/>
  <c r="A78" i="9" a="1"/>
  <c r="A78" i="9" s="1"/>
  <c r="A79" i="9" a="1"/>
  <c r="A79" i="9" s="1"/>
  <c r="A56" i="9" a="1"/>
  <c r="A56" i="9" s="1"/>
  <c r="A57" i="9" a="1"/>
  <c r="A57" i="9" s="1"/>
  <c r="A105" i="9" a="1"/>
  <c r="A105" i="9" s="1"/>
  <c r="A104" i="9" a="1"/>
  <c r="A104" i="9" s="1"/>
  <c r="A42" i="9" a="1"/>
  <c r="A42" i="9" s="1"/>
  <c r="A43" i="9" a="1"/>
  <c r="A43" i="9" s="1"/>
  <c r="A66" i="9" a="1"/>
  <c r="A66" i="9" s="1"/>
  <c r="A67" i="9" a="1"/>
  <c r="A67" i="9" s="1"/>
  <c r="A38" i="9" a="1"/>
  <c r="A38" i="9" s="1"/>
  <c r="A39" i="9" a="1"/>
  <c r="A39" i="9" s="1"/>
  <c r="A62" i="9" a="1"/>
  <c r="A62" i="9" s="1"/>
  <c r="A63" i="9" a="1"/>
  <c r="A63" i="9" s="1"/>
  <c r="A93" i="9" a="1"/>
  <c r="A93" i="9" s="1"/>
  <c r="A92" i="9" a="1"/>
  <c r="A92" i="9" s="1"/>
  <c r="A19" i="9" a="1"/>
  <c r="A19" i="9" s="1"/>
  <c r="M19" i="9" s="1"/>
  <c r="A20" i="9" a="1"/>
  <c r="A20" i="9" s="1"/>
  <c r="M20" i="9" s="1"/>
  <c r="A54" i="9" a="1"/>
  <c r="A54" i="9" s="1"/>
  <c r="A55" i="9" a="1"/>
  <c r="A55" i="9" s="1"/>
  <c r="A90" i="9" a="1"/>
  <c r="A90" i="9" s="1"/>
  <c r="A91" i="9" a="1"/>
  <c r="A91" i="9" s="1"/>
  <c r="A32" i="9" a="1"/>
  <c r="A32" i="9" s="1"/>
  <c r="A33" i="9" a="1"/>
  <c r="A33" i="9" s="1"/>
  <c r="A45" i="9" a="1"/>
  <c r="A45" i="9" s="1"/>
  <c r="A44" i="9" a="1"/>
  <c r="A44" i="9" s="1"/>
  <c r="A68" i="9" a="1"/>
  <c r="A68" i="9" s="1"/>
  <c r="A69" i="9" a="1"/>
  <c r="A69" i="9" s="1"/>
  <c r="A74" i="9" a="1"/>
  <c r="A74" i="9" s="1"/>
  <c r="A75" i="9" a="1"/>
  <c r="A75" i="9" s="1"/>
  <c r="A86" i="9" a="1"/>
  <c r="A86" i="9" s="1"/>
  <c r="A87" i="9" a="1"/>
  <c r="A87" i="9" s="1"/>
  <c r="A98" i="9" a="1"/>
  <c r="A98" i="9" s="1"/>
  <c r="A99" i="9" a="1"/>
  <c r="A99" i="9" s="1"/>
  <c r="A26" i="9" a="1"/>
  <c r="A26" i="9" s="1"/>
  <c r="A27" i="9" a="1"/>
  <c r="A27" i="9" s="1"/>
  <c r="A50" i="9" a="1"/>
  <c r="A50" i="9" s="1"/>
  <c r="A51" i="9" a="1"/>
  <c r="A51" i="9" s="1"/>
  <c r="A80" i="9" a="1"/>
  <c r="A80" i="9" s="1"/>
  <c r="A81" i="9" a="1"/>
  <c r="A81" i="9" s="1"/>
  <c r="A110" i="9" a="1"/>
  <c r="A110" i="9" s="1"/>
  <c r="A111" i="9" a="1"/>
  <c r="A111" i="9" s="1"/>
  <c r="A48" i="9" a="1"/>
  <c r="A48" i="9" s="1"/>
  <c r="A49" i="9" a="1"/>
  <c r="A49" i="9" s="1"/>
  <c r="A84" i="9" a="1"/>
  <c r="A84" i="9" s="1"/>
  <c r="A85" i="9" a="1"/>
  <c r="A85" i="9" s="1"/>
  <c r="A17" i="9" a="1"/>
  <c r="A17" i="9" s="1"/>
  <c r="M17" i="9" s="1"/>
  <c r="A18" i="9" a="1"/>
  <c r="A18" i="9" s="1"/>
  <c r="M18" i="9" s="1"/>
  <c r="A34" i="9" a="1"/>
  <c r="A34" i="9" s="1"/>
  <c r="A35" i="9" a="1"/>
  <c r="A35" i="9" s="1"/>
  <c r="A47" i="9" a="1"/>
  <c r="A47" i="9" s="1"/>
  <c r="A46" i="9" a="1"/>
  <c r="A46" i="9" s="1"/>
  <c r="A64" i="9" a="1"/>
  <c r="A64" i="9" s="1"/>
  <c r="A65" i="9" a="1"/>
  <c r="A65" i="9" s="1"/>
  <c r="A76" i="9" a="1"/>
  <c r="A76" i="9" s="1"/>
  <c r="A77" i="9" a="1"/>
  <c r="A77" i="9" s="1"/>
  <c r="A88" i="9" a="1"/>
  <c r="A88" i="9" s="1"/>
  <c r="A89" i="9" a="1"/>
  <c r="A89" i="9" s="1"/>
  <c r="A100" i="9" a="1"/>
  <c r="A100" i="9" s="1"/>
  <c r="A101" i="9" a="1"/>
  <c r="A101" i="9" s="1"/>
  <c r="A22" i="9" a="1"/>
  <c r="A22" i="9" s="1"/>
  <c r="A23" i="9" a="1"/>
  <c r="A23" i="9" s="1"/>
  <c r="A28" i="9" a="1"/>
  <c r="A28" i="9" s="1"/>
  <c r="A29" i="9" a="1"/>
  <c r="A29" i="9" s="1"/>
  <c r="A40" i="9" a="1"/>
  <c r="A40" i="9" s="1"/>
  <c r="A41" i="9" a="1"/>
  <c r="A41" i="9" s="1"/>
  <c r="A52" i="9" a="1"/>
  <c r="A52" i="9" s="1"/>
  <c r="A53" i="9" a="1"/>
  <c r="A53" i="9" s="1"/>
  <c r="A58" i="9" a="1"/>
  <c r="A58" i="9" s="1"/>
  <c r="A59" i="9" a="1"/>
  <c r="A59" i="9" s="1"/>
  <c r="A71" i="9" a="1"/>
  <c r="A71" i="9" s="1"/>
  <c r="A70" i="9" a="1"/>
  <c r="A70" i="9" s="1"/>
  <c r="A82" i="9" a="1"/>
  <c r="A82" i="9" s="1"/>
  <c r="A83" i="9" a="1"/>
  <c r="A83" i="9" s="1"/>
  <c r="A94" i="9" a="1"/>
  <c r="A94" i="9" s="1"/>
  <c r="A95" i="9" a="1"/>
  <c r="A95" i="9" s="1"/>
  <c r="A107" i="9" a="1"/>
  <c r="A107" i="9" s="1"/>
  <c r="A106" i="9" a="1"/>
  <c r="A106" i="9" s="1"/>
  <c r="D10" i="9"/>
  <c r="E10" i="9" s="1"/>
  <c r="A14" i="9" a="1"/>
  <c r="A14" i="9" s="1"/>
  <c r="M14" i="9" s="1"/>
  <c r="A15" i="9" a="1"/>
  <c r="A15" i="9" s="1"/>
  <c r="M15" i="9" s="1"/>
  <c r="A16" i="9" a="1"/>
  <c r="A16" i="9" s="1"/>
  <c r="M16" i="9" s="1"/>
  <c r="A12" i="9" a="1"/>
  <c r="A12" i="9" s="1"/>
  <c r="M12" i="9" s="1"/>
  <c r="C10" i="9"/>
  <c r="C11" i="9"/>
  <c r="AA11" i="9" s="1"/>
  <c r="AB11" i="9" s="1"/>
  <c r="K11" i="9" s="1"/>
  <c r="D12" i="9" l="1"/>
  <c r="E12" i="9" s="1"/>
  <c r="C83" i="9"/>
  <c r="AA83" i="9" s="1"/>
  <c r="AB83" i="9" s="1"/>
  <c r="D83" i="9"/>
  <c r="E83" i="9" s="1"/>
  <c r="B83" i="9"/>
  <c r="B144" i="9"/>
  <c r="D144" i="9"/>
  <c r="E144" i="9" s="1"/>
  <c r="C144" i="9"/>
  <c r="AA144" i="9" s="1"/>
  <c r="AB144" i="9" s="1"/>
  <c r="D49" i="9"/>
  <c r="E49" i="9" s="1"/>
  <c r="B49" i="9"/>
  <c r="C49" i="9"/>
  <c r="AA49" i="9" s="1"/>
  <c r="AB49" i="9" s="1"/>
  <c r="C70" i="9"/>
  <c r="AA70" i="9" s="1"/>
  <c r="AB70" i="9" s="1"/>
  <c r="B70" i="9"/>
  <c r="D70" i="9"/>
  <c r="E70" i="9" s="1"/>
  <c r="C174" i="9"/>
  <c r="AA174" i="9" s="1"/>
  <c r="AB174" i="9" s="1"/>
  <c r="D174" i="9"/>
  <c r="E174" i="9" s="1"/>
  <c r="B174" i="9"/>
  <c r="C139" i="9"/>
  <c r="AA139" i="9" s="1"/>
  <c r="AB139" i="9" s="1"/>
  <c r="D139" i="9"/>
  <c r="E139" i="9" s="1"/>
  <c r="B139" i="9"/>
  <c r="D100" i="9"/>
  <c r="E100" i="9" s="1"/>
  <c r="B100" i="9"/>
  <c r="C100" i="9"/>
  <c r="AA100" i="9" s="1"/>
  <c r="AB100" i="9" s="1"/>
  <c r="B98" i="9"/>
  <c r="D98" i="9"/>
  <c r="E98" i="9" s="1"/>
  <c r="C98" i="9"/>
  <c r="AA98" i="9" s="1"/>
  <c r="AB98" i="9" s="1"/>
  <c r="C44" i="9"/>
  <c r="AA44" i="9" s="1"/>
  <c r="AB44" i="9" s="1"/>
  <c r="D44" i="9"/>
  <c r="E44" i="9" s="1"/>
  <c r="B44" i="9"/>
  <c r="D73" i="9"/>
  <c r="E73" i="9" s="1"/>
  <c r="C73" i="9"/>
  <c r="AA73" i="9" s="1"/>
  <c r="AB73" i="9" s="1"/>
  <c r="B73" i="9"/>
  <c r="C91" i="9"/>
  <c r="AA91" i="9" s="1"/>
  <c r="AB91" i="9" s="1"/>
  <c r="D91" i="9"/>
  <c r="E91" i="9" s="1"/>
  <c r="B91" i="9"/>
  <c r="B159" i="9"/>
  <c r="D159" i="9"/>
  <c r="E159" i="9" s="1"/>
  <c r="C159" i="9"/>
  <c r="AA159" i="9" s="1"/>
  <c r="AB159" i="9" s="1"/>
  <c r="C188" i="9"/>
  <c r="AA188" i="9" s="1"/>
  <c r="AB188" i="9" s="1"/>
  <c r="D188" i="9"/>
  <c r="E188" i="9" s="1"/>
  <c r="B188" i="9"/>
  <c r="B38" i="9"/>
  <c r="D38" i="9"/>
  <c r="E38" i="9" s="1"/>
  <c r="C38" i="9"/>
  <c r="AA38" i="9" s="1"/>
  <c r="AB38" i="9" s="1"/>
  <c r="C32" i="9"/>
  <c r="AA32" i="9" s="1"/>
  <c r="AB32" i="9" s="1"/>
  <c r="B32" i="9"/>
  <c r="D32" i="9"/>
  <c r="E32" i="9" s="1"/>
  <c r="B156" i="9"/>
  <c r="D156" i="9"/>
  <c r="E156" i="9" s="1"/>
  <c r="C156" i="9"/>
  <c r="AA156" i="9" s="1"/>
  <c r="AB156" i="9" s="1"/>
  <c r="C154" i="9"/>
  <c r="AA154" i="9" s="1"/>
  <c r="AB154" i="9" s="1"/>
  <c r="D154" i="9"/>
  <c r="E154" i="9" s="1"/>
  <c r="B154" i="9"/>
  <c r="C23" i="9"/>
  <c r="AA23" i="9" s="1"/>
  <c r="AB23" i="9" s="1"/>
  <c r="D23" i="9"/>
  <c r="E23" i="9" s="1"/>
  <c r="B23" i="9"/>
  <c r="C90" i="9"/>
  <c r="AA90" i="9" s="1"/>
  <c r="AB90" i="9" s="1"/>
  <c r="B90" i="9"/>
  <c r="D90" i="9"/>
  <c r="E90" i="9" s="1"/>
  <c r="B134" i="9"/>
  <c r="D134" i="9"/>
  <c r="E134" i="9" s="1"/>
  <c r="C134" i="9"/>
  <c r="AA134" i="9" s="1"/>
  <c r="AB134" i="9" s="1"/>
  <c r="D148" i="9"/>
  <c r="E148" i="9" s="1"/>
  <c r="B148" i="9"/>
  <c r="C148" i="9"/>
  <c r="AA148" i="9" s="1"/>
  <c r="AB148" i="9" s="1"/>
  <c r="C141" i="9"/>
  <c r="AA141" i="9" s="1"/>
  <c r="AB141" i="9" s="1"/>
  <c r="B141" i="9"/>
  <c r="D141" i="9"/>
  <c r="E141" i="9" s="1"/>
  <c r="B84" i="9"/>
  <c r="D84" i="9"/>
  <c r="E84" i="9" s="1"/>
  <c r="C84" i="9"/>
  <c r="AA84" i="9" s="1"/>
  <c r="AB84" i="9" s="1"/>
  <c r="B48" i="9"/>
  <c r="D48" i="9"/>
  <c r="E48" i="9" s="1"/>
  <c r="C48" i="9"/>
  <c r="AA48" i="9" s="1"/>
  <c r="AB48" i="9" s="1"/>
  <c r="C79" i="9"/>
  <c r="AA79" i="9" s="1"/>
  <c r="AB79" i="9" s="1"/>
  <c r="B79" i="9"/>
  <c r="D79" i="9"/>
  <c r="E79" i="9" s="1"/>
  <c r="C57" i="9"/>
  <c r="AA57" i="9" s="1"/>
  <c r="AB57" i="9" s="1"/>
  <c r="D57" i="9"/>
  <c r="E57" i="9" s="1"/>
  <c r="B57" i="9"/>
  <c r="C66" i="9"/>
  <c r="AA66" i="9" s="1"/>
  <c r="AB66" i="9" s="1"/>
  <c r="B66" i="9"/>
  <c r="D66" i="9"/>
  <c r="E66" i="9" s="1"/>
  <c r="B184" i="9"/>
  <c r="D184" i="9"/>
  <c r="E184" i="9" s="1"/>
  <c r="C184" i="9"/>
  <c r="AA184" i="9" s="1"/>
  <c r="AB184" i="9" s="1"/>
  <c r="C54" i="9"/>
  <c r="AA54" i="9" s="1"/>
  <c r="AB54" i="9" s="1"/>
  <c r="D54" i="9"/>
  <c r="E54" i="9" s="1"/>
  <c r="B54" i="9"/>
  <c r="B122" i="9"/>
  <c r="D122" i="9"/>
  <c r="E122" i="9" s="1"/>
  <c r="C122" i="9"/>
  <c r="AA122" i="9" s="1"/>
  <c r="AB122" i="9" s="1"/>
  <c r="C43" i="9"/>
  <c r="AA43" i="9" s="1"/>
  <c r="AB43" i="9" s="1"/>
  <c r="D43" i="9"/>
  <c r="E43" i="9" s="1"/>
  <c r="B43" i="9"/>
  <c r="D124" i="9"/>
  <c r="E124" i="9" s="1"/>
  <c r="B124" i="9"/>
  <c r="C124" i="9"/>
  <c r="AA124" i="9" s="1"/>
  <c r="AB124" i="9" s="1"/>
  <c r="B15" i="9"/>
  <c r="D15" i="9"/>
  <c r="C15" i="9"/>
  <c r="AA15" i="9" s="1"/>
  <c r="AB15" i="9" s="1"/>
  <c r="K15" i="9" s="1"/>
  <c r="B39" i="9"/>
  <c r="D39" i="9"/>
  <c r="E39" i="9" s="1"/>
  <c r="C39" i="9"/>
  <c r="AA39" i="9" s="1"/>
  <c r="AB39" i="9" s="1"/>
  <c r="B26" i="9"/>
  <c r="D26" i="9"/>
  <c r="E26" i="9" s="1"/>
  <c r="C26" i="9"/>
  <c r="AA26" i="9" s="1"/>
  <c r="AB26" i="9" s="1"/>
  <c r="C71" i="9"/>
  <c r="AA71" i="9" s="1"/>
  <c r="AB71" i="9" s="1"/>
  <c r="D71" i="9"/>
  <c r="E71" i="9" s="1"/>
  <c r="B71" i="9"/>
  <c r="C33" i="9"/>
  <c r="AA33" i="9" s="1"/>
  <c r="AB33" i="9" s="1"/>
  <c r="B33" i="9"/>
  <c r="D33" i="9"/>
  <c r="E33" i="9" s="1"/>
  <c r="B149" i="9"/>
  <c r="C149" i="9"/>
  <c r="AA149" i="9" s="1"/>
  <c r="AB149" i="9" s="1"/>
  <c r="D149" i="9"/>
  <c r="E149" i="9" s="1"/>
  <c r="B53" i="9"/>
  <c r="C53" i="9"/>
  <c r="AA53" i="9" s="1"/>
  <c r="AB53" i="9" s="1"/>
  <c r="D53" i="9"/>
  <c r="E53" i="9" s="1"/>
  <c r="B36" i="9"/>
  <c r="D36" i="9"/>
  <c r="E36" i="9" s="1"/>
  <c r="C36" i="9"/>
  <c r="AA36" i="9" s="1"/>
  <c r="AB36" i="9" s="1"/>
  <c r="B125" i="9"/>
  <c r="C125" i="9"/>
  <c r="AA125" i="9" s="1"/>
  <c r="AB125" i="9" s="1"/>
  <c r="D125" i="9"/>
  <c r="E125" i="9" s="1"/>
  <c r="C102" i="9"/>
  <c r="AA102" i="9" s="1"/>
  <c r="AB102" i="9" s="1"/>
  <c r="B102" i="9"/>
  <c r="D102" i="9"/>
  <c r="E102" i="9" s="1"/>
  <c r="C177" i="9"/>
  <c r="AA177" i="9" s="1"/>
  <c r="AB177" i="9" s="1"/>
  <c r="D177" i="9"/>
  <c r="E177" i="9" s="1"/>
  <c r="B177" i="9"/>
  <c r="C162" i="9"/>
  <c r="AA162" i="9" s="1"/>
  <c r="AB162" i="9" s="1"/>
  <c r="B162" i="9"/>
  <c r="D162" i="9"/>
  <c r="E162" i="9" s="1"/>
  <c r="C151" i="9"/>
  <c r="AA151" i="9" s="1"/>
  <c r="AB151" i="9" s="1"/>
  <c r="B151" i="9"/>
  <c r="D151" i="9"/>
  <c r="E151" i="9" s="1"/>
  <c r="B161" i="9"/>
  <c r="D161" i="9"/>
  <c r="E161" i="9" s="1"/>
  <c r="C161" i="9"/>
  <c r="AA161" i="9" s="1"/>
  <c r="AB161" i="9" s="1"/>
  <c r="B101" i="9"/>
  <c r="C101" i="9"/>
  <c r="AA101" i="9" s="1"/>
  <c r="AB101" i="9" s="1"/>
  <c r="D101" i="9"/>
  <c r="E101" i="9" s="1"/>
  <c r="B51" i="9"/>
  <c r="D51" i="9"/>
  <c r="E51" i="9" s="1"/>
  <c r="C51" i="9"/>
  <c r="AA51" i="9" s="1"/>
  <c r="AB51" i="9" s="1"/>
  <c r="D145" i="9"/>
  <c r="E145" i="9" s="1"/>
  <c r="B145" i="9"/>
  <c r="C145" i="9"/>
  <c r="AA145" i="9" s="1"/>
  <c r="AB145" i="9" s="1"/>
  <c r="C178" i="9"/>
  <c r="AA178" i="9" s="1"/>
  <c r="AB178" i="9" s="1"/>
  <c r="D178" i="9"/>
  <c r="E178" i="9" s="1"/>
  <c r="B178" i="9"/>
  <c r="B77" i="9"/>
  <c r="C77" i="9"/>
  <c r="AA77" i="9" s="1"/>
  <c r="AB77" i="9" s="1"/>
  <c r="D77" i="9"/>
  <c r="E77" i="9" s="1"/>
  <c r="C92" i="9"/>
  <c r="AA92" i="9" s="1"/>
  <c r="AB92" i="9" s="1"/>
  <c r="D92" i="9"/>
  <c r="E92" i="9" s="1"/>
  <c r="B92" i="9"/>
  <c r="B64" i="9"/>
  <c r="D64" i="9"/>
  <c r="E64" i="9" s="1"/>
  <c r="C64" i="9"/>
  <c r="AA64" i="9" s="1"/>
  <c r="AB64" i="9" s="1"/>
  <c r="D97" i="9"/>
  <c r="E97" i="9" s="1"/>
  <c r="B97" i="9"/>
  <c r="C97" i="9"/>
  <c r="AA97" i="9" s="1"/>
  <c r="AB97" i="9" s="1"/>
  <c r="D61" i="9"/>
  <c r="E61" i="9" s="1"/>
  <c r="B61" i="9"/>
  <c r="C61" i="9"/>
  <c r="AA61" i="9" s="1"/>
  <c r="AB61" i="9" s="1"/>
  <c r="B173" i="9"/>
  <c r="C173" i="9"/>
  <c r="AA173" i="9" s="1"/>
  <c r="AB173" i="9" s="1"/>
  <c r="D173" i="9"/>
  <c r="E173" i="9" s="1"/>
  <c r="B160" i="9"/>
  <c r="D160" i="9"/>
  <c r="E160" i="9" s="1"/>
  <c r="C160" i="9"/>
  <c r="AA160" i="9" s="1"/>
  <c r="AB160" i="9" s="1"/>
  <c r="C95" i="9"/>
  <c r="AA95" i="9" s="1"/>
  <c r="AB95" i="9" s="1"/>
  <c r="D95" i="9"/>
  <c r="E95" i="9" s="1"/>
  <c r="B95" i="9"/>
  <c r="B137" i="9"/>
  <c r="C137" i="9"/>
  <c r="AA137" i="9" s="1"/>
  <c r="AB137" i="9" s="1"/>
  <c r="D137" i="9"/>
  <c r="E137" i="9" s="1"/>
  <c r="C176" i="9"/>
  <c r="AA176" i="9" s="1"/>
  <c r="AB176" i="9" s="1"/>
  <c r="D176" i="9"/>
  <c r="E176" i="9" s="1"/>
  <c r="B176" i="9"/>
  <c r="C67" i="9"/>
  <c r="AA67" i="9" s="1"/>
  <c r="AB67" i="9" s="1"/>
  <c r="D67" i="9"/>
  <c r="E67" i="9" s="1"/>
  <c r="B67" i="9"/>
  <c r="C166" i="9"/>
  <c r="AA166" i="9" s="1"/>
  <c r="AB166" i="9" s="1"/>
  <c r="D166" i="9"/>
  <c r="E166" i="9" s="1"/>
  <c r="B166" i="9"/>
  <c r="C128" i="9"/>
  <c r="AA128" i="9" s="1"/>
  <c r="AB128" i="9" s="1"/>
  <c r="B128" i="9"/>
  <c r="D128" i="9"/>
  <c r="E128" i="9" s="1"/>
  <c r="C138" i="9"/>
  <c r="AA138" i="9" s="1"/>
  <c r="AB138" i="9" s="1"/>
  <c r="B138" i="9"/>
  <c r="D138" i="9"/>
  <c r="E138" i="9" s="1"/>
  <c r="B132" i="9"/>
  <c r="D132" i="9"/>
  <c r="E132" i="9" s="1"/>
  <c r="C132" i="9"/>
  <c r="AA132" i="9" s="1"/>
  <c r="AB132" i="9" s="1"/>
  <c r="C150" i="9"/>
  <c r="AA150" i="9" s="1"/>
  <c r="AB150" i="9" s="1"/>
  <c r="B150" i="9"/>
  <c r="D150" i="9"/>
  <c r="E150" i="9" s="1"/>
  <c r="D37" i="9"/>
  <c r="E37" i="9" s="1"/>
  <c r="B37" i="9"/>
  <c r="C37" i="9"/>
  <c r="AA37" i="9" s="1"/>
  <c r="AB37" i="9" s="1"/>
  <c r="B88" i="9"/>
  <c r="D88" i="9"/>
  <c r="E88" i="9" s="1"/>
  <c r="C88" i="9"/>
  <c r="AA88" i="9" s="1"/>
  <c r="AB88" i="9" s="1"/>
  <c r="C107" i="9"/>
  <c r="AA107" i="9" s="1"/>
  <c r="AB107" i="9" s="1"/>
  <c r="D107" i="9"/>
  <c r="E107" i="9" s="1"/>
  <c r="B107" i="9"/>
  <c r="B111" i="9"/>
  <c r="D111" i="9"/>
  <c r="E111" i="9" s="1"/>
  <c r="C111" i="9"/>
  <c r="AA111" i="9" s="1"/>
  <c r="AB111" i="9" s="1"/>
  <c r="C114" i="9"/>
  <c r="AA114" i="9" s="1"/>
  <c r="AB114" i="9" s="1"/>
  <c r="B114" i="9"/>
  <c r="D114" i="9"/>
  <c r="E114" i="9" s="1"/>
  <c r="C34" i="9"/>
  <c r="AA34" i="9" s="1"/>
  <c r="AB34" i="9" s="1"/>
  <c r="B34" i="9"/>
  <c r="D34" i="9"/>
  <c r="E34" i="9" s="1"/>
  <c r="C126" i="9"/>
  <c r="AA126" i="9" s="1"/>
  <c r="AB126" i="9" s="1"/>
  <c r="D126" i="9"/>
  <c r="E126" i="9" s="1"/>
  <c r="B126" i="9"/>
  <c r="B120" i="9"/>
  <c r="D120" i="9"/>
  <c r="E120" i="9" s="1"/>
  <c r="C120" i="9"/>
  <c r="AA120" i="9" s="1"/>
  <c r="AB120" i="9" s="1"/>
  <c r="D169" i="9"/>
  <c r="E169" i="9" s="1"/>
  <c r="B169" i="9"/>
  <c r="C169" i="9"/>
  <c r="AA169" i="9" s="1"/>
  <c r="AB169" i="9" s="1"/>
  <c r="C142" i="9"/>
  <c r="AA142" i="9" s="1"/>
  <c r="AB142" i="9" s="1"/>
  <c r="B142" i="9"/>
  <c r="D142" i="9"/>
  <c r="E142" i="9" s="1"/>
  <c r="C106" i="9"/>
  <c r="AA106" i="9" s="1"/>
  <c r="AB106" i="9" s="1"/>
  <c r="B106" i="9"/>
  <c r="D106" i="9"/>
  <c r="E106" i="9" s="1"/>
  <c r="C140" i="9"/>
  <c r="AA140" i="9" s="1"/>
  <c r="AB140" i="9" s="1"/>
  <c r="B140" i="9"/>
  <c r="D140" i="9"/>
  <c r="E140" i="9" s="1"/>
  <c r="C30" i="9"/>
  <c r="AA30" i="9" s="1"/>
  <c r="AB30" i="9" s="1"/>
  <c r="D30" i="9"/>
  <c r="E30" i="9" s="1"/>
  <c r="B30" i="9"/>
  <c r="C56" i="9"/>
  <c r="AA56" i="9" s="1"/>
  <c r="AB56" i="9" s="1"/>
  <c r="B56" i="9"/>
  <c r="D56" i="9"/>
  <c r="E56" i="9" s="1"/>
  <c r="B192" i="9"/>
  <c r="D192" i="9"/>
  <c r="E192" i="9" s="1"/>
  <c r="C192" i="9"/>
  <c r="AA192" i="9" s="1"/>
  <c r="AB192" i="9" s="1"/>
  <c r="C104" i="9"/>
  <c r="AA104" i="9" s="1"/>
  <c r="AB104" i="9" s="1"/>
  <c r="D104" i="9"/>
  <c r="E104" i="9" s="1"/>
  <c r="B104" i="9"/>
  <c r="C59" i="9"/>
  <c r="AA59" i="9" s="1"/>
  <c r="AB59" i="9" s="1"/>
  <c r="D59" i="9"/>
  <c r="E59" i="9" s="1"/>
  <c r="B59" i="9"/>
  <c r="C103" i="9"/>
  <c r="AA103" i="9" s="1"/>
  <c r="AB103" i="9" s="1"/>
  <c r="D103" i="9"/>
  <c r="E103" i="9" s="1"/>
  <c r="B103" i="9"/>
  <c r="B50" i="9"/>
  <c r="D50" i="9"/>
  <c r="E50" i="9" s="1"/>
  <c r="C50" i="9"/>
  <c r="AA50" i="9" s="1"/>
  <c r="AB50" i="9" s="1"/>
  <c r="B99" i="9"/>
  <c r="D99" i="9"/>
  <c r="E99" i="9" s="1"/>
  <c r="C99" i="9"/>
  <c r="AA99" i="9" s="1"/>
  <c r="AB99" i="9" s="1"/>
  <c r="B110" i="9"/>
  <c r="D110" i="9"/>
  <c r="E110" i="9" s="1"/>
  <c r="C110" i="9"/>
  <c r="AA110" i="9" s="1"/>
  <c r="AB110" i="9" s="1"/>
  <c r="B89" i="9"/>
  <c r="D89" i="9"/>
  <c r="E89" i="9" s="1"/>
  <c r="C89" i="9"/>
  <c r="AA89" i="9" s="1"/>
  <c r="AB89" i="9" s="1"/>
  <c r="C143" i="9"/>
  <c r="AA143" i="9" s="1"/>
  <c r="AB143" i="9" s="1"/>
  <c r="D143" i="9"/>
  <c r="E143" i="9" s="1"/>
  <c r="B143" i="9"/>
  <c r="B40" i="9"/>
  <c r="D40" i="9"/>
  <c r="E40" i="9" s="1"/>
  <c r="C40" i="9"/>
  <c r="AA40" i="9" s="1"/>
  <c r="AB40" i="9" s="1"/>
  <c r="C80" i="9"/>
  <c r="AA80" i="9" s="1"/>
  <c r="AB80" i="9" s="1"/>
  <c r="B80" i="9"/>
  <c r="D80" i="9"/>
  <c r="E80" i="9" s="1"/>
  <c r="D109" i="9"/>
  <c r="E109" i="9" s="1"/>
  <c r="C109" i="9"/>
  <c r="AA109" i="9" s="1"/>
  <c r="AB109" i="9" s="1"/>
  <c r="B109" i="9"/>
  <c r="C105" i="9"/>
  <c r="AA105" i="9" s="1"/>
  <c r="AB105" i="9" s="1"/>
  <c r="D105" i="9"/>
  <c r="E105" i="9" s="1"/>
  <c r="B105" i="9"/>
  <c r="B170" i="9"/>
  <c r="D170" i="9"/>
  <c r="E170" i="9" s="1"/>
  <c r="C170" i="9"/>
  <c r="AA170" i="9" s="1"/>
  <c r="AB170" i="9" s="1"/>
  <c r="B27" i="9"/>
  <c r="D27" i="9"/>
  <c r="E27" i="9" s="1"/>
  <c r="C27" i="9"/>
  <c r="AA27" i="9" s="1"/>
  <c r="AB27" i="9" s="1"/>
  <c r="C131" i="9"/>
  <c r="AA131" i="9" s="1"/>
  <c r="AB131" i="9" s="1"/>
  <c r="D131" i="9"/>
  <c r="E131" i="9" s="1"/>
  <c r="B131" i="9"/>
  <c r="D28" i="9"/>
  <c r="E28" i="9" s="1"/>
  <c r="B28" i="9"/>
  <c r="C28" i="9"/>
  <c r="AA28" i="9" s="1"/>
  <c r="AB28" i="9" s="1"/>
  <c r="C35" i="9"/>
  <c r="AA35" i="9" s="1"/>
  <c r="AB35" i="9" s="1"/>
  <c r="D35" i="9"/>
  <c r="E35" i="9" s="1"/>
  <c r="B35" i="9"/>
  <c r="D85" i="9"/>
  <c r="E85" i="9" s="1"/>
  <c r="C85" i="9"/>
  <c r="AA85" i="9" s="1"/>
  <c r="AB85" i="9" s="1"/>
  <c r="B85" i="9"/>
  <c r="C31" i="9"/>
  <c r="AA31" i="9" s="1"/>
  <c r="AB31" i="9" s="1"/>
  <c r="D31" i="9"/>
  <c r="E31" i="9" s="1"/>
  <c r="B31" i="9"/>
  <c r="B96" i="9"/>
  <c r="D96" i="9"/>
  <c r="E96" i="9" s="1"/>
  <c r="C96" i="9"/>
  <c r="AA96" i="9" s="1"/>
  <c r="AB96" i="9" s="1"/>
  <c r="C152" i="9"/>
  <c r="AA152" i="9" s="1"/>
  <c r="AB152" i="9" s="1"/>
  <c r="D152" i="9"/>
  <c r="E152" i="9" s="1"/>
  <c r="B152" i="9"/>
  <c r="D76" i="9"/>
  <c r="E76" i="9" s="1"/>
  <c r="B76" i="9"/>
  <c r="C76" i="9"/>
  <c r="AA76" i="9" s="1"/>
  <c r="AB76" i="9" s="1"/>
  <c r="C189" i="9"/>
  <c r="AA189" i="9" s="1"/>
  <c r="AB189" i="9" s="1"/>
  <c r="D189" i="9"/>
  <c r="E189" i="9" s="1"/>
  <c r="B189" i="9"/>
  <c r="C119" i="9"/>
  <c r="AA119" i="9" s="1"/>
  <c r="AB119" i="9" s="1"/>
  <c r="D119" i="9"/>
  <c r="E119" i="9" s="1"/>
  <c r="B119" i="9"/>
  <c r="C68" i="9"/>
  <c r="AA68" i="9" s="1"/>
  <c r="AB68" i="9" s="1"/>
  <c r="D68" i="9"/>
  <c r="E68" i="9" s="1"/>
  <c r="B68" i="9"/>
  <c r="B14" i="9"/>
  <c r="D14" i="9"/>
  <c r="E14" i="9" s="1"/>
  <c r="C14" i="9"/>
  <c r="AA14" i="9" s="1"/>
  <c r="AB14" i="9" s="1"/>
  <c r="K14" i="9" s="1"/>
  <c r="C164" i="9"/>
  <c r="AA164" i="9" s="1"/>
  <c r="AB164" i="9" s="1"/>
  <c r="D164" i="9"/>
  <c r="E164" i="9" s="1"/>
  <c r="B164" i="9"/>
  <c r="D121" i="9"/>
  <c r="E121" i="9" s="1"/>
  <c r="B121" i="9"/>
  <c r="C121" i="9"/>
  <c r="AA121" i="9" s="1"/>
  <c r="AB121" i="9" s="1"/>
  <c r="B17" i="9"/>
  <c r="D17" i="9"/>
  <c r="C17" i="9"/>
  <c r="AA17" i="9" s="1"/>
  <c r="AB17" i="9" s="1"/>
  <c r="K17" i="9" s="1"/>
  <c r="C115" i="9"/>
  <c r="AA115" i="9" s="1"/>
  <c r="AB115" i="9" s="1"/>
  <c r="D115" i="9"/>
  <c r="E115" i="9" s="1"/>
  <c r="B115" i="9"/>
  <c r="B63" i="9"/>
  <c r="D63" i="9"/>
  <c r="E63" i="9" s="1"/>
  <c r="C63" i="9"/>
  <c r="AA63" i="9" s="1"/>
  <c r="AB63" i="9" s="1"/>
  <c r="B18" i="9"/>
  <c r="C18" i="9"/>
  <c r="AA18" i="9" s="1"/>
  <c r="AB18" i="9" s="1"/>
  <c r="K18" i="9" s="1"/>
  <c r="D18" i="9"/>
  <c r="C163" i="9"/>
  <c r="AA163" i="9" s="1"/>
  <c r="AB163" i="9" s="1"/>
  <c r="D163" i="9"/>
  <c r="E163" i="9" s="1"/>
  <c r="B163" i="9"/>
  <c r="D133" i="9"/>
  <c r="E133" i="9" s="1"/>
  <c r="C133" i="9"/>
  <c r="AA133" i="9" s="1"/>
  <c r="AB133" i="9" s="1"/>
  <c r="B133" i="9"/>
  <c r="B87" i="9"/>
  <c r="D87" i="9"/>
  <c r="E87" i="9" s="1"/>
  <c r="C87" i="9"/>
  <c r="AA87" i="9" s="1"/>
  <c r="AB87" i="9" s="1"/>
  <c r="B171" i="9"/>
  <c r="D171" i="9"/>
  <c r="E171" i="9" s="1"/>
  <c r="C171" i="9"/>
  <c r="AA171" i="9" s="1"/>
  <c r="AB171" i="9" s="1"/>
  <c r="B108" i="9"/>
  <c r="D108" i="9"/>
  <c r="E108" i="9" s="1"/>
  <c r="C108" i="9"/>
  <c r="AA108" i="9" s="1"/>
  <c r="AB108" i="9" s="1"/>
  <c r="C21" i="9"/>
  <c r="AA21" i="9" s="1"/>
  <c r="AB21" i="9" s="1"/>
  <c r="K21" i="9" s="1"/>
  <c r="D21" i="9"/>
  <c r="B21" i="9"/>
  <c r="AA10" i="9"/>
  <c r="AB10" i="9" s="1"/>
  <c r="K10" i="9" s="1"/>
  <c r="B10" i="9"/>
  <c r="C179" i="9"/>
  <c r="AA179" i="9" s="1"/>
  <c r="AB179" i="9" s="1"/>
  <c r="D179" i="9"/>
  <c r="E179" i="9" s="1"/>
  <c r="B179" i="9"/>
  <c r="C94" i="9"/>
  <c r="AA94" i="9" s="1"/>
  <c r="AB94" i="9" s="1"/>
  <c r="D94" i="9"/>
  <c r="E94" i="9" s="1"/>
  <c r="B94" i="9"/>
  <c r="C81" i="9"/>
  <c r="AA81" i="9" s="1"/>
  <c r="AB81" i="9" s="1"/>
  <c r="B81" i="9"/>
  <c r="D81" i="9"/>
  <c r="E81" i="9" s="1"/>
  <c r="D52" i="9"/>
  <c r="E52" i="9" s="1"/>
  <c r="B52" i="9"/>
  <c r="C52" i="9"/>
  <c r="AA52" i="9" s="1"/>
  <c r="AB52" i="9" s="1"/>
  <c r="C193" i="9"/>
  <c r="AA193" i="9" s="1"/>
  <c r="AB193" i="9" s="1"/>
  <c r="D193" i="9"/>
  <c r="E193" i="9" s="1"/>
  <c r="B193" i="9"/>
  <c r="C46" i="9"/>
  <c r="AA46" i="9" s="1"/>
  <c r="AB46" i="9" s="1"/>
  <c r="B46" i="9"/>
  <c r="D46" i="9"/>
  <c r="E46" i="9" s="1"/>
  <c r="B136" i="9"/>
  <c r="D136" i="9"/>
  <c r="E136" i="9" s="1"/>
  <c r="C136" i="9"/>
  <c r="AA136" i="9" s="1"/>
  <c r="AB136" i="9" s="1"/>
  <c r="D172" i="9"/>
  <c r="E172" i="9" s="1"/>
  <c r="B172" i="9"/>
  <c r="C172" i="9"/>
  <c r="AA172" i="9" s="1"/>
  <c r="AB172" i="9" s="1"/>
  <c r="B62" i="9"/>
  <c r="D62" i="9"/>
  <c r="E62" i="9" s="1"/>
  <c r="C62" i="9"/>
  <c r="AA62" i="9" s="1"/>
  <c r="AB62" i="9" s="1"/>
  <c r="B113" i="9"/>
  <c r="C113" i="9"/>
  <c r="AA113" i="9" s="1"/>
  <c r="AB113" i="9" s="1"/>
  <c r="D113" i="9"/>
  <c r="E113" i="9" s="1"/>
  <c r="B183" i="9"/>
  <c r="D183" i="9"/>
  <c r="E183" i="9" s="1"/>
  <c r="C183" i="9"/>
  <c r="AA183" i="9" s="1"/>
  <c r="AB183" i="9" s="1"/>
  <c r="C45" i="9"/>
  <c r="AA45" i="9" s="1"/>
  <c r="AB45" i="9" s="1"/>
  <c r="D45" i="9"/>
  <c r="E45" i="9" s="1"/>
  <c r="B45" i="9"/>
  <c r="B146" i="9"/>
  <c r="D146" i="9"/>
  <c r="E146" i="9" s="1"/>
  <c r="C146" i="9"/>
  <c r="AA146" i="9" s="1"/>
  <c r="AB146" i="9" s="1"/>
  <c r="B65" i="9"/>
  <c r="D65" i="9"/>
  <c r="E65" i="9" s="1"/>
  <c r="C65" i="9"/>
  <c r="AA65" i="9" s="1"/>
  <c r="AB65" i="9" s="1"/>
  <c r="C12" i="9"/>
  <c r="AA12" i="9" s="1"/>
  <c r="AB12" i="9" s="1"/>
  <c r="K12" i="9" s="1"/>
  <c r="B12" i="9"/>
  <c r="C93" i="9"/>
  <c r="AA93" i="9" s="1"/>
  <c r="AB93" i="9" s="1"/>
  <c r="D93" i="9"/>
  <c r="E93" i="9" s="1"/>
  <c r="B93" i="9"/>
  <c r="C127" i="9"/>
  <c r="AA127" i="9" s="1"/>
  <c r="AB127" i="9" s="1"/>
  <c r="D127" i="9"/>
  <c r="E127" i="9" s="1"/>
  <c r="B127" i="9"/>
  <c r="C69" i="9"/>
  <c r="AA69" i="9" s="1"/>
  <c r="AB69" i="9" s="1"/>
  <c r="B69" i="9"/>
  <c r="D69" i="9"/>
  <c r="E69" i="9" s="1"/>
  <c r="B86" i="9"/>
  <c r="D86" i="9"/>
  <c r="E86" i="9" s="1"/>
  <c r="C86" i="9"/>
  <c r="AA86" i="9" s="1"/>
  <c r="AB86" i="9" s="1"/>
  <c r="C78" i="9"/>
  <c r="AA78" i="9" s="1"/>
  <c r="AB78" i="9" s="1"/>
  <c r="D78" i="9"/>
  <c r="E78" i="9" s="1"/>
  <c r="B78" i="9"/>
  <c r="C55" i="9"/>
  <c r="AA55" i="9" s="1"/>
  <c r="AB55" i="9" s="1"/>
  <c r="D55" i="9"/>
  <c r="E55" i="9" s="1"/>
  <c r="B55" i="9"/>
  <c r="B147" i="9"/>
  <c r="D147" i="9"/>
  <c r="E147" i="9" s="1"/>
  <c r="C147" i="9"/>
  <c r="AA147" i="9" s="1"/>
  <c r="AB147" i="9" s="1"/>
  <c r="C186" i="9"/>
  <c r="AA186" i="9" s="1"/>
  <c r="AB186" i="9" s="1"/>
  <c r="B186" i="9"/>
  <c r="D186" i="9"/>
  <c r="E186" i="9" s="1"/>
  <c r="C58" i="9"/>
  <c r="AA58" i="9" s="1"/>
  <c r="AB58" i="9" s="1"/>
  <c r="D58" i="9"/>
  <c r="E58" i="9" s="1"/>
  <c r="B58" i="9"/>
  <c r="B185" i="9"/>
  <c r="D185" i="9"/>
  <c r="E185" i="9" s="1"/>
  <c r="C185" i="9"/>
  <c r="AA185" i="9" s="1"/>
  <c r="AB185" i="9" s="1"/>
  <c r="B11" i="9"/>
  <c r="D11" i="9"/>
  <c r="C13" i="9"/>
  <c r="AA13" i="9" s="1"/>
  <c r="AB13" i="9" s="1"/>
  <c r="K13" i="9" s="1"/>
  <c r="D13" i="9"/>
  <c r="B13" i="9"/>
  <c r="C22" i="9"/>
  <c r="AA22" i="9" s="1"/>
  <c r="AB22" i="9" s="1"/>
  <c r="B22" i="9"/>
  <c r="D22" i="9"/>
  <c r="E22" i="9" s="1"/>
  <c r="B182" i="9"/>
  <c r="D182" i="9"/>
  <c r="E182" i="9" s="1"/>
  <c r="C182" i="9"/>
  <c r="AA182" i="9" s="1"/>
  <c r="AB182" i="9" s="1"/>
  <c r="C117" i="9"/>
  <c r="AA117" i="9" s="1"/>
  <c r="AB117" i="9" s="1"/>
  <c r="D117" i="9"/>
  <c r="E117" i="9" s="1"/>
  <c r="B117" i="9"/>
  <c r="B123" i="9"/>
  <c r="D123" i="9"/>
  <c r="E123" i="9" s="1"/>
  <c r="C123" i="9"/>
  <c r="AA123" i="9" s="1"/>
  <c r="AB123" i="9" s="1"/>
  <c r="C82" i="9"/>
  <c r="AA82" i="9" s="1"/>
  <c r="AB82" i="9" s="1"/>
  <c r="B82" i="9"/>
  <c r="D82" i="9"/>
  <c r="E82" i="9" s="1"/>
  <c r="B158" i="9"/>
  <c r="D158" i="9"/>
  <c r="E158" i="9" s="1"/>
  <c r="C158" i="9"/>
  <c r="AA158" i="9" s="1"/>
  <c r="AB158" i="9" s="1"/>
  <c r="C116" i="9"/>
  <c r="AA116" i="9" s="1"/>
  <c r="AB116" i="9" s="1"/>
  <c r="D116" i="9"/>
  <c r="E116" i="9" s="1"/>
  <c r="B116" i="9"/>
  <c r="C118" i="9"/>
  <c r="AA118" i="9" s="1"/>
  <c r="AB118" i="9" s="1"/>
  <c r="B118" i="9"/>
  <c r="D118" i="9"/>
  <c r="E118" i="9" s="1"/>
  <c r="C167" i="9"/>
  <c r="AA167" i="9" s="1"/>
  <c r="AB167" i="9" s="1"/>
  <c r="D167" i="9"/>
  <c r="E167" i="9" s="1"/>
  <c r="B167" i="9"/>
  <c r="B135" i="9"/>
  <c r="D135" i="9"/>
  <c r="E135" i="9" s="1"/>
  <c r="C135" i="9"/>
  <c r="AA135" i="9" s="1"/>
  <c r="AB135" i="9" s="1"/>
  <c r="B180" i="9"/>
  <c r="D180" i="9"/>
  <c r="E180" i="9" s="1"/>
  <c r="C180" i="9"/>
  <c r="AA180" i="9" s="1"/>
  <c r="AB180" i="9" s="1"/>
  <c r="C19" i="9"/>
  <c r="AA19" i="9" s="1"/>
  <c r="AB19" i="9" s="1"/>
  <c r="K19" i="9" s="1"/>
  <c r="B19" i="9"/>
  <c r="D19" i="9"/>
  <c r="D25" i="9"/>
  <c r="E25" i="9" s="1"/>
  <c r="B25" i="9"/>
  <c r="C25" i="9"/>
  <c r="AA25" i="9" s="1"/>
  <c r="AB25" i="9" s="1"/>
  <c r="B24" i="9"/>
  <c r="D24" i="9"/>
  <c r="E24" i="9" s="1"/>
  <c r="C24" i="9"/>
  <c r="AA24" i="9" s="1"/>
  <c r="AB24" i="9" s="1"/>
  <c r="B75" i="9"/>
  <c r="D75" i="9"/>
  <c r="E75" i="9" s="1"/>
  <c r="C75" i="9"/>
  <c r="AA75" i="9" s="1"/>
  <c r="AB75" i="9" s="1"/>
  <c r="B112" i="9"/>
  <c r="D112" i="9"/>
  <c r="E112" i="9" s="1"/>
  <c r="C112" i="9"/>
  <c r="AA112" i="9" s="1"/>
  <c r="AB112" i="9" s="1"/>
  <c r="D181" i="9"/>
  <c r="E181" i="9" s="1"/>
  <c r="C181" i="9"/>
  <c r="AA181" i="9" s="1"/>
  <c r="AB181" i="9" s="1"/>
  <c r="B181" i="9"/>
  <c r="C155" i="9"/>
  <c r="AA155" i="9" s="1"/>
  <c r="AB155" i="9" s="1"/>
  <c r="D155" i="9"/>
  <c r="E155" i="9" s="1"/>
  <c r="B155" i="9"/>
  <c r="C175" i="9"/>
  <c r="AA175" i="9" s="1"/>
  <c r="AB175" i="9" s="1"/>
  <c r="D175" i="9"/>
  <c r="E175" i="9" s="1"/>
  <c r="B175" i="9"/>
  <c r="B41" i="9"/>
  <c r="C41" i="9"/>
  <c r="AA41" i="9" s="1"/>
  <c r="AB41" i="9" s="1"/>
  <c r="D41" i="9"/>
  <c r="E41" i="9" s="1"/>
  <c r="C191" i="9"/>
  <c r="AA191" i="9" s="1"/>
  <c r="AB191" i="9" s="1"/>
  <c r="D191" i="9"/>
  <c r="E191" i="9" s="1"/>
  <c r="B191" i="9"/>
  <c r="B29" i="9"/>
  <c r="C29" i="9"/>
  <c r="AA29" i="9" s="1"/>
  <c r="AB29" i="9" s="1"/>
  <c r="D29" i="9"/>
  <c r="E29" i="9" s="1"/>
  <c r="C20" i="9"/>
  <c r="AA20" i="9" s="1"/>
  <c r="AB20" i="9" s="1"/>
  <c r="K20" i="9" s="1"/>
  <c r="D20" i="9"/>
  <c r="B20" i="9"/>
  <c r="B16" i="9"/>
  <c r="D16" i="9"/>
  <c r="C16" i="9"/>
  <c r="AA16" i="9" s="1"/>
  <c r="AB16" i="9" s="1"/>
  <c r="K16" i="9" s="1"/>
  <c r="C190" i="9"/>
  <c r="AA190" i="9" s="1"/>
  <c r="AB190" i="9" s="1"/>
  <c r="D190" i="9"/>
  <c r="E190" i="9" s="1"/>
  <c r="B190" i="9"/>
  <c r="B168" i="9"/>
  <c r="D168" i="9"/>
  <c r="E168" i="9" s="1"/>
  <c r="C168" i="9"/>
  <c r="AA168" i="9" s="1"/>
  <c r="AB168" i="9" s="1"/>
  <c r="D157" i="9"/>
  <c r="E157" i="9" s="1"/>
  <c r="C157" i="9"/>
  <c r="AA157" i="9" s="1"/>
  <c r="AB157" i="9" s="1"/>
  <c r="B157" i="9"/>
  <c r="C47" i="9"/>
  <c r="AA47" i="9" s="1"/>
  <c r="AB47" i="9" s="1"/>
  <c r="D47" i="9"/>
  <c r="E47" i="9" s="1"/>
  <c r="B47" i="9"/>
  <c r="B72" i="9"/>
  <c r="D72" i="9"/>
  <c r="E72" i="9" s="1"/>
  <c r="C72" i="9"/>
  <c r="AA72" i="9" s="1"/>
  <c r="AB72" i="9" s="1"/>
  <c r="C187" i="9"/>
  <c r="AA187" i="9" s="1"/>
  <c r="AB187" i="9" s="1"/>
  <c r="D187" i="9"/>
  <c r="E187" i="9" s="1"/>
  <c r="B187" i="9"/>
  <c r="B74" i="9"/>
  <c r="D74" i="9"/>
  <c r="E74" i="9" s="1"/>
  <c r="C74" i="9"/>
  <c r="AA74" i="9" s="1"/>
  <c r="AB74" i="9" s="1"/>
  <c r="C165" i="9"/>
  <c r="AA165" i="9" s="1"/>
  <c r="AB165" i="9" s="1"/>
  <c r="D165" i="9"/>
  <c r="E165" i="9" s="1"/>
  <c r="B165" i="9"/>
  <c r="C130" i="9"/>
  <c r="AA130" i="9" s="1"/>
  <c r="AB130" i="9" s="1"/>
  <c r="D130" i="9"/>
  <c r="E130" i="9" s="1"/>
  <c r="B130" i="9"/>
  <c r="C42" i="9"/>
  <c r="AA42" i="9" s="1"/>
  <c r="AB42" i="9" s="1"/>
  <c r="B42" i="9"/>
  <c r="D42" i="9"/>
  <c r="E42" i="9" s="1"/>
  <c r="C153" i="9"/>
  <c r="AA153" i="9" s="1"/>
  <c r="AB153" i="9" s="1"/>
  <c r="D153" i="9"/>
  <c r="E153" i="9" s="1"/>
  <c r="B153" i="9"/>
  <c r="C129" i="9"/>
  <c r="AA129" i="9" s="1"/>
  <c r="AB129" i="9" s="1"/>
  <c r="B129" i="9"/>
  <c r="D129" i="9"/>
  <c r="E129" i="9" s="1"/>
  <c r="B60" i="9"/>
  <c r="D60" i="9"/>
  <c r="E60" i="9" s="1"/>
  <c r="C60" i="9"/>
  <c r="AA60" i="9" s="1"/>
  <c r="AB60" i="9" s="1"/>
  <c r="E15" i="9" l="1"/>
  <c r="E16" i="9"/>
  <c r="E11" i="9"/>
  <c r="E13" i="9"/>
  <c r="E12" i="7"/>
  <c r="C68" i="7"/>
  <c r="C60" i="7"/>
  <c r="C54" i="7"/>
  <c r="E15" i="7" l="1"/>
  <c r="E11" i="7"/>
  <c r="O37" i="2" l="1"/>
  <c r="O36" i="2"/>
  <c r="B54" i="4"/>
  <c r="B55" i="4" s="1"/>
  <c r="B51" i="4" l="1"/>
  <c r="B52" i="4" s="1"/>
  <c r="P2" i="6"/>
  <c r="N2" i="6"/>
  <c r="C2" i="6"/>
  <c r="B2" i="6"/>
  <c r="A6" i="4"/>
  <c r="D26" i="2"/>
  <c r="D25" i="2"/>
  <c r="D24" i="2"/>
  <c r="D21" i="2"/>
  <c r="D10" i="2"/>
  <c r="D9" i="2"/>
  <c r="P2" i="5" l="1"/>
  <c r="N2" i="5"/>
  <c r="C2" i="5"/>
  <c r="B2" i="5"/>
  <c r="D20" i="2"/>
  <c r="D19" i="2"/>
  <c r="D18" i="2"/>
  <c r="D16" i="2"/>
  <c r="D17" i="2"/>
  <c r="D8" i="2"/>
  <c r="D15" i="2"/>
  <c r="D6" i="2"/>
  <c r="D5" i="2"/>
  <c r="D218" i="2"/>
  <c r="D214" i="2"/>
  <c r="D210" i="2"/>
  <c r="D201" i="2"/>
  <c r="D191" i="2"/>
  <c r="D187" i="2"/>
  <c r="D184" i="2"/>
  <c r="D178" i="2"/>
  <c r="D175" i="2"/>
  <c r="D170" i="2"/>
  <c r="D154" i="2"/>
  <c r="D150" i="2"/>
  <c r="D142" i="2"/>
  <c r="D133" i="2"/>
  <c r="D124" i="2"/>
  <c r="D122" i="2"/>
  <c r="D119" i="2"/>
  <c r="D117" i="2"/>
  <c r="D110" i="2"/>
  <c r="D100" i="2"/>
  <c r="D94" i="2"/>
  <c r="D91" i="2"/>
  <c r="D84" i="2"/>
  <c r="D68" i="2"/>
  <c r="D62" i="2"/>
  <c r="D53" i="2"/>
  <c r="D44" i="2"/>
  <c r="B49" i="4" l="1"/>
  <c r="B50" i="4" s="1"/>
  <c r="B53" i="4" s="1"/>
  <c r="B30" i="4" s="1"/>
  <c r="D14" i="2"/>
  <c r="B56" i="4" l="1"/>
  <c r="B58"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tc={4163ED8D-D475-4479-9C46-287CC197DAA4}</author>
    <author>tc={656A598C-AAFB-402A-A14C-6E3BD455CFAA}</author>
    <author>tc={01917C23-BE8F-473D-9D84-AE253ADAB73E}</author>
    <author>tc={F6CB3E24-5842-4476-8DC7-787C67FF238C}</author>
    <author>tc={D03A83CF-57BB-4241-87BC-41633D032FC8}</author>
    <author>tc={48FC9CA5-A99E-432A-97A7-4C85ABCFC546}</author>
    <author>tc={CF22A9DC-D990-4EC2-899B-0BBFE9237097}</author>
    <author>tc={7B8A6485-BE95-423B-8834-CDEA8F91DF14}</author>
    <author>tc={C5688102-FE0A-48E6-AEA3-F5E902CD8911}</author>
    <author>tc={3A644140-9545-40C5-8DEE-A4F435CA6DAD}</author>
    <author>tc={E447634B-07E7-4AFD-A743-CC70E4A6C2B2}</author>
    <author>tc={FFE981DE-D4A3-4D7D-A145-1A4FE62667A7}</author>
    <author>tc={FA1ACC77-72CD-40B9-AF5D-DF2861F3BDA4}</author>
    <author>tc={CFF92CC0-7FA1-44F7-AD87-11BCBCEC34C9}</author>
    <author>tc={CC87F5EB-AE82-41B3-A194-1169403373E3}</author>
    <author>tc={B1877E00-B0A5-41C4-BA20-824378AB9612}</author>
    <author>tc={2F8BA919-6036-42BA-8CA9-1777BC99FFE4}</author>
    <author>tc={8CC84F4A-96CC-4B6C-86C8-11FF268A848A}</author>
    <author>tc={05E574EA-F73C-492C-A8CB-3CF64BBB417D}</author>
    <author>tc={C32030E1-301D-4D55-94BF-0019E42EC072}</author>
    <author>tc={9037EDD2-21D0-446E-BA41-19968023F76A}</author>
    <author>tc={6992F445-34B5-4045-96E9-1AE8C00C80C4}</author>
    <author>tc={72EC287F-33AA-43BB-AD3B-A714A7D0539B}</author>
    <author>tc={ADB54609-9A67-4EFC-B11F-F2B1EB4A9678}</author>
    <author>tc={37B5F79A-EE28-4647-BF4E-77F265C55814}</author>
    <author>tc={04FBD01B-8B49-49FA-BC20-BCD5D5C28ACA}</author>
    <author>tc={20446FC8-A2D4-485A-9648-B7E79010CACD}</author>
    <author>tc={C769FED0-73D0-4AF0-8A4C-DA74E26FFEAB}</author>
    <author>tc={ECD3B2E6-3E66-4C45-85A9-037087F025D0}</author>
    <author>tc={55F5FC8A-7C15-46E4-8F2A-222251FB5D73}</author>
    <author>tc={5890C8FE-4308-4A6B-BF6C-0FCD4BE8822C}</author>
  </authors>
  <commentList>
    <comment ref="L57" authorId="0" shapeId="0" xr:uid="{4163ED8D-D475-4479-9C46-287CC197DAA4}">
      <text>
        <t>[Opmerkingenthread]
U kunt deze opmerkingenthread lezen in uw versie van Excel. Eventuele wijzigingen aan de thread gaan echter verloren als het bestand wordt geopend in een nieuwere versie van Excel. Meer informatie: https://go.microsoft.com/fwlink/?linkid=870924
Opmerking:
    Alleen bij dakdoorvoer (gas) of wanddoorvoer</t>
      </text>
    </comment>
    <comment ref="L78" authorId="1" shapeId="0" xr:uid="{656A598C-AAFB-402A-A14C-6E3BD455CFAA}">
      <text>
        <t>[Opmerkingenthread]
U kunt deze opmerkingenthread lezen in uw versie van Excel. Eventuele wijzigingen aan de thread gaan echter verloren als het bestand wordt geopend in een nieuwere versie van Excel. Meer informatie: https://go.microsoft.com/fwlink/?linkid=870924
Opmerking:
    Alleen bij dakdoorvoer of wanddoorvoer</t>
      </text>
    </comment>
    <comment ref="L88" authorId="2" shapeId="0" xr:uid="{01917C23-BE8F-473D-9D84-AE253ADAB73E}">
      <text>
        <t>[Opmerkingenthread]
U kunt deze opmerkingenthread lezen in uw versie van Excel. Eventuele wijzigingen aan de thread gaan echter verloren als het bestand wordt geopend in een nieuwere versie van Excel. Meer informatie: https://go.microsoft.com/fwlink/?linkid=870924
Opmerking:
    Bij dakdoorvoer of wanddoorvoer (stroomschema)</t>
      </text>
    </comment>
    <comment ref="L95" authorId="3" shapeId="0" xr:uid="{F6CB3E24-5842-4476-8DC7-787C67FF238C}">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Zorg dat de verlichting gericht is (kapje op de bovenkant)
Zorg dat de verlichting &lt; 2100 K is (oranje) tenzij dat vanuit veiligheid onmogelijk is. </t>
      </text>
    </comment>
    <comment ref="L96" authorId="4" shapeId="0" xr:uid="{D03A83CF-57BB-4241-87BC-41633D032FC8}">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Zorg dat de verlichting gericht is (kapje op de bovenkant)
Zorg dat de verlichting &lt; 2100 K is (oranje) tenzij dat vanuit veiligheid onmogelijk is. </t>
      </text>
    </comment>
    <comment ref="L97" authorId="5" shapeId="0" xr:uid="{48FC9CA5-A99E-432A-97A7-4C85ABCFC546}">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Zorg dat de verlichting gericht is (kapje op de bovenkant)
Zorg dat de verlichting &lt; 2100 K is (oranje) tenzij dat vanuit veiligheid onmogelijk is. </t>
      </text>
    </comment>
    <comment ref="L98" authorId="6" shapeId="0" xr:uid="{CF22A9DC-D990-4EC2-899B-0BBFE9237097}">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Zorg dat de verlichting gericht is (kapje op de bovenkant)
Zorg dat de verlichting &lt; 2100 K is (oranje) tenzij dat vanuit veiligheid onmogelijk is. </t>
      </text>
    </comment>
    <comment ref="L99" authorId="7" shapeId="0" xr:uid="{7B8A6485-BE95-423B-8834-CDEA8F91DF14}">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Zorg dat de verlichting gericht is (kapje op de bovenkant)
Zorg dat de verlichting &lt; 2100 K is (oranje) tenzij dat vanuit veiligheid onmogelijk is. </t>
      </text>
    </comment>
    <comment ref="L101" authorId="8" shapeId="0" xr:uid="{C5688102-FE0A-48E6-AEA3-F5E902CD8911}">
      <text>
        <t>[Opmerkingenthread]
U kunt deze opmerkingenthread lezen in uw versie van Excel. Eventuele wijzigingen aan de thread gaan echter verloren als het bestand wordt geopend in een nieuwere versie van Excel. Meer informatie: https://go.microsoft.com/fwlink/?linkid=870924
Opmerking:
    Natuureffect: onderzoek nodig</t>
      </text>
    </comment>
    <comment ref="L108" authorId="9" shapeId="0" xr:uid="{3A644140-9545-40C5-8DEE-A4F435CA6DAD}">
      <text>
        <t>[Opmerkingenthread]
U kunt deze opmerkingenthread lezen in uw versie van Excel. Eventuele wijzigingen aan de thread gaan echter verloren als het bestand wordt geopend in een nieuwere versie van Excel. Meer informatie: https://go.microsoft.com/fwlink/?linkid=870924
Opmerking:
    Natuureffect: onderzoek nodig</t>
      </text>
    </comment>
    <comment ref="L120" authorId="10" shapeId="0" xr:uid="{E447634B-07E7-4AFD-A743-CC70E4A6C2B2}">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Natuureffect: onderzoek nodig
Indien zonnepanelen stroom opwekken die tot doel hebben om gebruikt te worden voor niet militaire doeleinden of levering buiten het complex waar zij geplaatst worden. </t>
      </text>
    </comment>
    <comment ref="L125" authorId="11" shapeId="0" xr:uid="{FFE981DE-D4A3-4D7D-A145-1A4FE62667A7}">
      <text>
        <t>[Opmerkingenthread]
U kunt deze opmerkingenthread lezen in uw versie van Excel. Eventuele wijzigingen aan de thread gaan echter verloren als het bestand wordt geopend in een nieuwere versie van Excel. Meer informatie: https://go.microsoft.com/fwlink/?linkid=870924
Opmerking:
    Natuureffect: onderzoek nodig</t>
      </text>
    </comment>
    <comment ref="L126" authorId="12" shapeId="0" xr:uid="{FA1ACC77-72CD-40B9-AF5D-DF2861F3BDA4}">
      <text>
        <t>[Opmerkingenthread]
U kunt deze opmerkingenthread lezen in uw versie van Excel. Eventuele wijzigingen aan de thread gaan echter verloren als het bestand wordt geopend in een nieuwere versie van Excel. Meer informatie: https://go.microsoft.com/fwlink/?linkid=870924
Opmerking:
    Natuureffect: onderzoek nodig</t>
      </text>
    </comment>
    <comment ref="L127" authorId="13" shapeId="0" xr:uid="{CFF92CC0-7FA1-44F7-AD87-11BCBCEC34C9}">
      <text>
        <t>[Opmerkingenthread]
U kunt deze opmerkingenthread lezen in uw versie van Excel. Eventuele wijzigingen aan de thread gaan echter verloren als het bestand wordt geopend in een nieuwere versie van Excel. Meer informatie: https://go.microsoft.com/fwlink/?linkid=870924
Opmerking:
    Natuureffect: onderzoek nodig</t>
      </text>
    </comment>
    <comment ref="L128" authorId="14" shapeId="0" xr:uid="{CC87F5EB-AE82-41B3-A194-1169403373E3}">
      <text>
        <t>[Opmerkingenthread]
U kunt deze opmerkingenthread lezen in uw versie van Excel. Eventuele wijzigingen aan de thread gaan echter verloren als het bestand wordt geopend in een nieuwere versie van Excel. Meer informatie: https://go.microsoft.com/fwlink/?linkid=870924
Opmerking:
    Natuureffect: onderzoek nodig</t>
      </text>
    </comment>
    <comment ref="L129" authorId="15" shapeId="0" xr:uid="{B1877E00-B0A5-41C4-BA20-824378AB9612}">
      <text>
        <t>[Opmerkingenthread]
U kunt deze opmerkingenthread lezen in uw versie van Excel. Eventuele wijzigingen aan de thread gaan echter verloren als het bestand wordt geopend in een nieuwere versie van Excel. Meer informatie: https://go.microsoft.com/fwlink/?linkid=870924
Opmerking:
    Natuureffect: onderzoek nodig</t>
      </text>
    </comment>
    <comment ref="L130" authorId="16" shapeId="0" xr:uid="{2F8BA919-6036-42BA-8CA9-1777BC99FFE4}">
      <text>
        <t>[Opmerkingenthread]
U kunt deze opmerkingenthread lezen in uw versie van Excel. Eventuele wijzigingen aan de thread gaan echter verloren als het bestand wordt geopend in een nieuwere versie van Excel. Meer informatie: https://go.microsoft.com/fwlink/?linkid=870924
Opmerking:
    Natuureffect: onderzoek nodig</t>
      </text>
    </comment>
    <comment ref="L131" authorId="17" shapeId="0" xr:uid="{8CC84F4A-96CC-4B6C-86C8-11FF268A848A}">
      <text>
        <t>[Opmerkingenthread]
U kunt deze opmerkingenthread lezen in uw versie van Excel. Eventuele wijzigingen aan de thread gaan echter verloren als het bestand wordt geopend in een nieuwere versie van Excel. Meer informatie: https://go.microsoft.com/fwlink/?linkid=870924
Opmerking:
    Natuureffect: onderzoek nodig</t>
      </text>
    </comment>
    <comment ref="L132" authorId="18" shapeId="0" xr:uid="{05E574EA-F73C-492C-A8CB-3CF64BBB417D}">
      <text>
        <t>[Opmerkingenthread]
U kunt deze opmerkingenthread lezen in uw versie van Excel. Eventuele wijzigingen aan de thread gaan echter verloren als het bestand wordt geopend in een nieuwere versie van Excel. Meer informatie: https://go.microsoft.com/fwlink/?linkid=870924
Opmerking:
    Natuureffect: onderzoek nodig</t>
      </text>
    </comment>
    <comment ref="L143" authorId="19" shapeId="0" xr:uid="{C32030E1-301D-4D55-94BF-0019E42EC072}">
      <text>
        <t>[Opmerkingenthread]
U kunt deze opmerkingenthread lezen in uw versie van Excel. Eventuele wijzigingen aan de thread gaan echter verloren als het bestand wordt geopend in een nieuwere versie van Excel. Meer informatie: https://go.microsoft.com/fwlink/?linkid=870924
Opmerking:
    Natuureffect: onderzoek nodig</t>
      </text>
    </comment>
    <comment ref="L144" authorId="20" shapeId="0" xr:uid="{9037EDD2-21D0-446E-BA41-19968023F76A}">
      <text>
        <t>[Opmerkingenthread]
U kunt deze opmerkingenthread lezen in uw versie van Excel. Eventuele wijzigingen aan de thread gaan echter verloren als het bestand wordt geopend in een nieuwere versie van Excel. Meer informatie: https://go.microsoft.com/fwlink/?linkid=870924
Opmerking:
    Natuureffect: onderzoek nodig</t>
      </text>
    </comment>
    <comment ref="L145" authorId="21" shapeId="0" xr:uid="{6992F445-34B5-4045-96E9-1AE8C00C80C4}">
      <text>
        <t>[Opmerkingenthread]
U kunt deze opmerkingenthread lezen in uw versie van Excel. Eventuele wijzigingen aan de thread gaan echter verloren als het bestand wordt geopend in een nieuwere versie van Excel. Meer informatie: https://go.microsoft.com/fwlink/?linkid=870924
Opmerking:
    Natuureffect: onderzoek nodig</t>
      </text>
    </comment>
    <comment ref="L146" authorId="22" shapeId="0" xr:uid="{72EC287F-33AA-43BB-AD3B-A714A7D0539B}">
      <text>
        <t>[Opmerkingenthread]
U kunt deze opmerkingenthread lezen in uw versie van Excel. Eventuele wijzigingen aan de thread gaan echter verloren als het bestand wordt geopend in een nieuwere versie van Excel. Meer informatie: https://go.microsoft.com/fwlink/?linkid=870924
Opmerking:
    Natuureffect: onderzoek nodig</t>
      </text>
    </comment>
    <comment ref="L147" authorId="23" shapeId="0" xr:uid="{ADB54609-9A67-4EFC-B11F-F2B1EB4A9678}">
      <text>
        <t>[Opmerkingenthread]
U kunt deze opmerkingenthread lezen in uw versie van Excel. Eventuele wijzigingen aan de thread gaan echter verloren als het bestand wordt geopend in een nieuwere versie van Excel. Meer informatie: https://go.microsoft.com/fwlink/?linkid=870924
Opmerking:
    Natuureffect: onderzoek nodig</t>
      </text>
    </comment>
    <comment ref="L148" authorId="24" shapeId="0" xr:uid="{37B5F79A-EE28-4647-BF4E-77F265C55814}">
      <text>
        <t>[Opmerkingenthread]
U kunt deze opmerkingenthread lezen in uw versie van Excel. Eventuele wijzigingen aan de thread gaan echter verloren als het bestand wordt geopend in een nieuwere versie van Excel. Meer informatie: https://go.microsoft.com/fwlink/?linkid=870924
Opmerking:
    Natuureffect: onderzoek nodig</t>
      </text>
    </comment>
    <comment ref="L149" authorId="25" shapeId="0" xr:uid="{04FBD01B-8B49-49FA-BC20-BCD5D5C28ACA}">
      <text>
        <t>[Opmerkingenthread]
U kunt deze opmerkingenthread lezen in uw versie van Excel. Eventuele wijzigingen aan de thread gaan echter verloren als het bestand wordt geopend in een nieuwere versie van Excel. Meer informatie: https://go.microsoft.com/fwlink/?linkid=870924
Opmerking:
    Natuureffect: onderzoek nodig</t>
      </text>
    </comment>
    <comment ref="L171" authorId="26" shapeId="0" xr:uid="{20446FC8-A2D4-485A-9648-B7E79010CACD}">
      <text>
        <t>[Opmerkingenthread]
U kunt deze opmerkingenthread lezen in uw versie van Excel. Eventuele wijzigingen aan de thread gaan echter verloren als het bestand wordt geopend in een nieuwere versie van Excel. Meer informatie: https://go.microsoft.com/fwlink/?linkid=870924
Opmerking:
    Zorg dat de verlichting gericht is (kapje op de bovenkant)
Zorg dat de verlichting &lt; 2100 K is (oranje) tenzij dat vanuit veiligheid onmogelijk is</t>
      </text>
    </comment>
    <comment ref="L172" authorId="27" shapeId="0" xr:uid="{C769FED0-73D0-4AF0-8A4C-DA74E26FFEAB}">
      <text>
        <t>[Opmerkingenthread]
U kunt deze opmerkingenthread lezen in uw versie van Excel. Eventuele wijzigingen aan de thread gaan echter verloren als het bestand wordt geopend in een nieuwere versie van Excel. Meer informatie: https://go.microsoft.com/fwlink/?linkid=870924
Opmerking:
    Zorg dat de verlichting gericht is (kapje op de bovenkant)
Zorg dat de verlichting &lt; 2100 K is (oranje) tenzij dat vanuit veiligheid onmogelijk is</t>
      </text>
    </comment>
    <comment ref="L173" authorId="28" shapeId="0" xr:uid="{ECD3B2E6-3E66-4C45-85A9-037087F025D0}">
      <text>
        <t>[Opmerkingenthread]
U kunt deze opmerkingenthread lezen in uw versie van Excel. Eventuele wijzigingen aan de thread gaan echter verloren als het bestand wordt geopend in een nieuwere versie van Excel. Meer informatie: https://go.microsoft.com/fwlink/?linkid=870924
Opmerking:
    Zorg dat de verlichting gericht is (kapje op de bovenkant)
Zorg dat de verlichting &lt; 2100 K is (oranje) tenzij dat vanuit veiligheid onmogelijk is</t>
      </text>
    </comment>
    <comment ref="L174" authorId="29" shapeId="0" xr:uid="{55F5FC8A-7C15-46E4-8F2A-222251FB5D73}">
      <text>
        <t>[Opmerkingenthread]
U kunt deze opmerkingenthread lezen in uw versie van Excel. Eventuele wijzigingen aan de thread gaan echter verloren als het bestand wordt geopend in een nieuwere versie van Excel. Meer informatie: https://go.microsoft.com/fwlink/?linkid=870924
Opmerking:
    Zorg dat de verlichting gericht is (kapje op de bovenkant)
Zorg dat de verlichting &lt; 2100 K is (oranje) tenzij dat vanuit veiligheid onmogelijk is</t>
      </text>
    </comment>
    <comment ref="L176" authorId="30" shapeId="0" xr:uid="{5890C8FE-4308-4A6B-BF6C-0FCD4BE8822C}">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Natuureffect: onderzoek nodig
Indien zonnepanelen stroom opwekken die tot doel hebben om gebruikt te worden voor niet militaire doeleinden of levering buiten het complex waar zij geplaatst worden.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Faesen, Vincent</author>
  </authors>
  <commentList>
    <comment ref="A4" authorId="0" shapeId="0" xr:uid="{B3437570-FC0A-4C8D-87D8-FC62543E49F1}">
      <text>
        <r>
          <rPr>
            <sz val="11"/>
            <color theme="1"/>
            <rFont val="Aptos Narrow"/>
            <family val="2"/>
            <scheme val="minor"/>
          </rPr>
          <t>Koppeling van code bouwdeeltype met volgnummer.</t>
        </r>
      </text>
    </comment>
    <comment ref="AM4" authorId="0" shapeId="0" xr:uid="{7F791D1C-A8B5-4F96-B5A0-4C956A0F548F}">
      <text>
        <r>
          <rPr>
            <sz val="11"/>
            <color theme="1"/>
            <rFont val="Aptos Narrow"/>
            <family val="2"/>
            <scheme val="minor"/>
          </rPr>
          <t>Faesen, Vincent:
Zie toelichting variabele attributen in de paragraaf - Registratie bouwdelen en de paragrafen 2.x.3 van delen 2a t/m 2g.</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Faesen, Vincent</author>
  </authors>
  <commentList>
    <comment ref="E4" authorId="0" shapeId="0" xr:uid="{4CE26FF1-F4CA-4B54-8CE0-B96CBB54D77C}">
      <text>
        <r>
          <rPr>
            <sz val="11"/>
            <color theme="1"/>
            <rFont val="Aptos Narrow"/>
            <family val="2"/>
            <scheme val="minor"/>
          </rPr>
          <t>Weergave van het thema B-O-E-I waartoe het gebrek behoort.</t>
        </r>
      </text>
    </comment>
    <comment ref="F4" authorId="0" shapeId="0" xr:uid="{FB1BA495-E393-4D0F-9A1B-8A0393EDAD76}">
      <text>
        <r>
          <rPr>
            <sz val="11"/>
            <color theme="1"/>
            <rFont val="Aptos Narrow"/>
            <family val="2"/>
            <scheme val="minor"/>
          </rPr>
          <t>Zie tabblad 'Soort gebrek' en/of RVB beslisboom soort gebrek.</t>
        </r>
      </text>
    </comment>
    <comment ref="G4" authorId="0" shapeId="0" xr:uid="{CD07E38F-6D7A-4FD1-80F7-3A164E05AA95}">
      <text>
        <r>
          <rPr>
            <sz val="11"/>
            <color theme="1"/>
            <rFont val="Aptos Narrow"/>
            <family val="2"/>
            <scheme val="minor"/>
          </rPr>
          <t>Zie tabblad 'Soort gebrek' en/of RVB beslisboom soort gebrek.</t>
        </r>
      </text>
    </comment>
    <comment ref="I4" authorId="0" shapeId="0" xr:uid="{746DDE6D-7FBF-4511-8729-CFC019475EF8}">
      <text>
        <r>
          <rPr>
            <sz val="11"/>
            <color theme="1"/>
            <rFont val="Aptos Narrow"/>
            <family val="2"/>
            <scheme val="minor"/>
          </rPr>
          <t>Zie tabblad 'Soort gebrek' en/of RVB beslisboom soort gebrek.</t>
        </r>
      </text>
    </comment>
    <comment ref="J4" authorId="0" shapeId="0" xr:uid="{3C0E3460-14D1-4226-B176-DB1041848715}">
      <text>
        <r>
          <rPr>
            <sz val="11"/>
            <color theme="1"/>
            <rFont val="Aptos Narrow"/>
            <family val="2"/>
            <scheme val="minor"/>
          </rPr>
          <t>Verhoudingspercentage van deel waar gebrek zich bevind ten opzichte van het gehele bouwdeel.</t>
        </r>
      </text>
    </comment>
    <comment ref="K4" authorId="0" shapeId="0" xr:uid="{D9A36B65-8BCB-4E0C-B664-8AE03B738E95}">
      <text>
        <r>
          <rPr>
            <sz val="11"/>
            <color theme="1"/>
            <rFont val="Aptos Narrow"/>
            <family val="2"/>
            <scheme val="minor"/>
          </rPr>
          <t>Zie tabblad 'Prio'.</t>
        </r>
      </text>
    </comment>
    <comment ref="M4" authorId="0" shapeId="0" xr:uid="{1A40DA90-0AE7-4950-B486-BECF8A0AACF1}">
      <text>
        <r>
          <rPr>
            <sz val="11"/>
            <color theme="1"/>
            <rFont val="Aptos Narrow"/>
            <family val="2"/>
            <scheme val="minor"/>
          </rPr>
          <t xml:space="preserve">Elk gebrek krijgt de code  UVID-volgnr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Faesen, Vincent</author>
  </authors>
  <commentList>
    <comment ref="A7" authorId="0" shapeId="0" xr:uid="{0D864CDD-2AA2-4023-B77B-DE8051121DE5}">
      <text>
        <r>
          <rPr>
            <sz val="9"/>
            <color indexed="81"/>
            <rFont val="Tahoma"/>
            <family val="2"/>
          </rPr>
          <t>Koppeling van code bouwdeeltype met volgnummer.</t>
        </r>
      </text>
    </comment>
    <comment ref="C7" authorId="0" shapeId="0" xr:uid="{1A474061-FD9E-4ADB-9991-BE14C1EBB189}">
      <text>
        <r>
          <rPr>
            <sz val="9"/>
            <color indexed="81"/>
            <rFont val="Tahoma"/>
            <family val="2"/>
          </rPr>
          <t>Zie tabblad 'SBL-2024' en 
handboek RVB BOEI deel 2a § 2.X.1 t/m 2.X.</t>
        </r>
      </text>
    </comment>
    <comment ref="D7" authorId="0" shapeId="0" xr:uid="{65851364-B8A2-43DC-A091-1CFFC2F48D71}">
      <text>
        <r>
          <rPr>
            <sz val="9"/>
            <color indexed="81"/>
            <rFont val="Tahoma"/>
            <family val="2"/>
          </rPr>
          <t>Zie handboek RVB BOEI deel 2a § 2.X.3</t>
        </r>
      </text>
    </comment>
    <comment ref="F7" authorId="0" shapeId="0" xr:uid="{1C35EDEE-F566-4456-8C56-9FD36FC91445}">
      <text>
        <r>
          <rPr>
            <sz val="9"/>
            <color indexed="81"/>
            <rFont val="Tahoma"/>
            <family val="2"/>
          </rPr>
          <t xml:space="preserve">Ruimtenummering conform plattegrond
</t>
        </r>
      </text>
    </comment>
    <comment ref="I7" authorId="0" shapeId="0" xr:uid="{5A4D1A85-88DA-4C98-A337-6F4FD0850A50}">
      <text>
        <r>
          <rPr>
            <sz val="9"/>
            <color indexed="81"/>
            <rFont val="Tahoma"/>
            <family val="2"/>
          </rPr>
          <t xml:space="preserve">Zie handboek RVB BOEI deel 2a § 2.X.3
</t>
        </r>
      </text>
    </comment>
    <comment ref="M7" authorId="0" shapeId="0" xr:uid="{26A31789-58F7-4391-9A05-A3F2E3B03001}">
      <text>
        <r>
          <rPr>
            <sz val="9"/>
            <color indexed="81"/>
            <rFont val="Tahoma"/>
            <family val="2"/>
          </rPr>
          <t xml:space="preserve">Titel/code van de foto van het bouwdeel.
</t>
        </r>
      </text>
    </comment>
    <comment ref="N7" authorId="0" shapeId="0" xr:uid="{D5990FE7-51AC-41C5-82BF-C0D463CE1A46}">
      <text>
        <r>
          <rPr>
            <sz val="9"/>
            <color indexed="81"/>
            <rFont val="Tahoma"/>
            <family val="2"/>
          </rPr>
          <t xml:space="preserve">Datum (Bouwjaar) waarop het bouwdeel geproduceerd is volgens opgave fabrikant.
</t>
        </r>
      </text>
    </comment>
    <comment ref="P7" authorId="0" shapeId="0" xr:uid="{303384BE-5033-4B8F-8B4C-2131A3D31C68}">
      <text>
        <r>
          <rPr>
            <sz val="9"/>
            <color indexed="81"/>
            <rFont val="Tahoma"/>
            <family val="2"/>
          </rPr>
          <t xml:space="preserve">Waarde technische levensduur uitgedrukt in jaren.
</t>
        </r>
      </text>
    </comment>
    <comment ref="R7" authorId="0" shapeId="0" xr:uid="{1CF8AAB9-1B2B-4258-87D3-DB3F4608DAAC}">
      <text>
        <r>
          <rPr>
            <sz val="9"/>
            <color indexed="81"/>
            <rFont val="Tahoma"/>
            <family val="2"/>
          </rPr>
          <t xml:space="preserve">Zie handboek RVB BOEI deel 2 § 2.2.1 onderwerp 'Bepalen vervangingskosten'
</t>
        </r>
      </text>
    </comment>
    <comment ref="S7" authorId="0" shapeId="0" xr:uid="{10D3E8E9-3A47-4BA2-98CA-F4437182195C}">
      <text>
        <r>
          <rPr>
            <sz val="9"/>
            <color indexed="81"/>
            <rFont val="Tahoma"/>
            <family val="2"/>
          </rPr>
          <t>Het unieke installatie identificatie nummer</t>
        </r>
      </text>
    </comment>
    <comment ref="T7" authorId="0" shapeId="0" xr:uid="{354F2E96-73E1-4777-8FDC-A360B4C4E01D}">
      <text>
        <r>
          <rPr>
            <sz val="9"/>
            <color indexed="81"/>
            <rFont val="Tahoma"/>
            <family val="2"/>
          </rPr>
          <t>Door fabrikant meegegeven serienummer bouwdeel</t>
        </r>
      </text>
    </comment>
    <comment ref="U7" authorId="0" shapeId="0" xr:uid="{19E1CE14-14B5-4FF8-B61E-F82C282B72BE}">
      <text>
        <r>
          <rPr>
            <sz val="9"/>
            <color indexed="81"/>
            <rFont val="Tahoma"/>
            <family val="2"/>
          </rPr>
          <t xml:space="preserve">Door fabrikant aan bouwdeel gekoppelde typecodering.
</t>
        </r>
      </text>
    </comment>
    <comment ref="X7" authorId="0" shapeId="0" xr:uid="{E8E9DACF-6602-4AA3-B53F-1F1849A98DF2}">
      <text>
        <r>
          <rPr>
            <sz val="9"/>
            <color indexed="81"/>
            <rFont val="Tahoma"/>
            <family val="2"/>
          </rPr>
          <t xml:space="preserve">Geeft aan of het bouwdeel nog volledig origineel is.
</t>
        </r>
      </text>
    </comment>
    <comment ref="Y7" authorId="0" shapeId="0" xr:uid="{677DD17C-A780-4650-8FCA-9E8069FEE272}">
      <text>
        <r>
          <rPr>
            <sz val="9"/>
            <color indexed="81"/>
            <rFont val="Tahoma"/>
            <family val="2"/>
          </rPr>
          <t>Standaard weergave originaliteit van materiaal waarvan het bouwdeel nu is vervaardigd.</t>
        </r>
      </text>
    </comment>
    <comment ref="Z7" authorId="0" shapeId="0" xr:uid="{87B34271-500C-49DF-A0DC-6C517B0E75D0}">
      <text>
        <r>
          <rPr>
            <sz val="9"/>
            <color indexed="81"/>
            <rFont val="Tahoma"/>
            <family val="2"/>
          </rPr>
          <t>Voor niet monumentale bouwdelen niet verplicht.</t>
        </r>
      </text>
    </comment>
    <comment ref="AA7" authorId="0" shapeId="0" xr:uid="{948C160E-DEE1-4BAA-AAEC-5C00921B0A5D}">
      <text>
        <r>
          <rPr>
            <sz val="9"/>
            <color indexed="81"/>
            <rFont val="Tahoma"/>
            <family val="2"/>
          </rPr>
          <t>Datum van laatst uitgevoerde restauratie of revisie</t>
        </r>
      </text>
    </comment>
    <comment ref="AB7" authorId="0" shapeId="0" xr:uid="{C10D0E83-EAB5-47CC-ADEB-2AEFC4A46A7D}">
      <text>
        <r>
          <rPr>
            <sz val="9"/>
            <color indexed="81"/>
            <rFont val="Tahoma"/>
            <family val="2"/>
          </rPr>
          <t>Hier wordt de huidige bijdrage volgens de actuele Duurzaamheidstabel Programma EML Defensie (DZH) weergegeven.</t>
        </r>
      </text>
    </comment>
    <comment ref="AC7" authorId="0" shapeId="0" xr:uid="{02092B02-0C69-4928-AD44-8127858D03AC}">
      <text>
        <r>
          <rPr>
            <sz val="9"/>
            <color indexed="81"/>
            <rFont val="Tahoma"/>
            <family val="2"/>
          </rPr>
          <t xml:space="preserve">Officiële naam van de fabrikant.
</t>
        </r>
      </text>
    </comment>
    <comment ref="AE7" authorId="0" shapeId="0" xr:uid="{BE88900F-22F1-4602-A418-6DF5CC6845F7}">
      <text>
        <r>
          <rPr>
            <sz val="9"/>
            <color indexed="81"/>
            <rFont val="Tahoma"/>
            <family val="2"/>
          </rPr>
          <t>Naam van leverancier van het bouwdeel.</t>
        </r>
      </text>
    </comment>
    <comment ref="AH7" authorId="0" shapeId="0" xr:uid="{7A556A9B-C887-4B76-ABAD-2A2605F67321}">
      <text>
        <r>
          <rPr>
            <sz val="9"/>
            <color indexed="81"/>
            <rFont val="Tahoma"/>
            <family val="2"/>
          </rPr>
          <t>Hiermee wordt aangeduid of het bouwdeel een brandveiligheidsfunctie vervult</t>
        </r>
      </text>
    </comment>
    <comment ref="AJ7" authorId="0" shapeId="0" xr:uid="{6DCF7703-F42F-4603-BA75-809449703BE2}">
      <text>
        <r>
          <rPr>
            <sz val="9"/>
            <color indexed="81"/>
            <rFont val="Tahoma"/>
            <family val="2"/>
          </rPr>
          <t>Weergave van de asbest status die voor het bouwdeel geldt.</t>
        </r>
      </text>
    </comment>
    <comment ref="AK7" authorId="0" shapeId="0" xr:uid="{63DBB34A-4BA0-4DE8-AACA-96ED8B6E2C7E}">
      <text>
        <r>
          <rPr>
            <sz val="9"/>
            <color indexed="81"/>
            <rFont val="Tahoma"/>
            <family val="2"/>
          </rPr>
          <t>Alleen verplicht indien het bouwdeel een ‘Veilig Werken op Hoogte functie’ vervult.</t>
        </r>
      </text>
    </comment>
    <comment ref="AL7" authorId="0" shapeId="0" xr:uid="{FB3FB510-80A4-47ED-9155-6038211095FE}">
      <text>
        <r>
          <rPr>
            <sz val="9"/>
            <color indexed="81"/>
            <rFont val="Tahoma"/>
            <family val="2"/>
          </rPr>
          <t>Zie handboek RVB BOEI deel 2a § 2.X.3</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Faesen, Vincent</author>
    <author>Pelser, Melissa</author>
  </authors>
  <commentList>
    <comment ref="A9" authorId="0" shapeId="0" xr:uid="{8E71AAED-767E-4BD2-9D9A-31A4B55230FF}">
      <text>
        <r>
          <rPr>
            <sz val="9"/>
            <color indexed="81"/>
            <rFont val="Tahoma"/>
            <family val="2"/>
          </rPr>
          <t>Zie kolom A tabblad 'Inventarisatie'.</t>
        </r>
      </text>
    </comment>
    <comment ref="E9" authorId="0" shapeId="0" xr:uid="{DF9A15A2-E407-47A5-8E50-E658BCCD956D}">
      <text>
        <r>
          <rPr>
            <sz val="8"/>
            <color indexed="81"/>
            <rFont val="Verdana"/>
            <family val="2"/>
          </rPr>
          <t>Weergave van het thema B-O-E-I waartoe het gebrek behoort.</t>
        </r>
      </text>
    </comment>
    <comment ref="F9" authorId="0" shapeId="0" xr:uid="{900B60CA-884C-47F8-BD76-375DF4BB44ED}">
      <text>
        <r>
          <rPr>
            <sz val="8"/>
            <color indexed="81"/>
            <rFont val="Verdana"/>
            <family val="2"/>
          </rPr>
          <t>Zie tabblad 'Soort gebrek'</t>
        </r>
      </text>
    </comment>
    <comment ref="G9" authorId="0" shapeId="0" xr:uid="{F45487C1-38AA-4AFB-8292-6ACC3B0AAA2C}">
      <text>
        <r>
          <rPr>
            <sz val="8"/>
            <color indexed="81"/>
            <rFont val="Verdana"/>
            <family val="2"/>
          </rPr>
          <t>Zie tabblad 'Soort gebrek'.</t>
        </r>
      </text>
    </comment>
    <comment ref="I9" authorId="0" shapeId="0" xr:uid="{9CF26EAC-5F93-41B0-AB9E-9A600F5C99E0}">
      <text>
        <r>
          <rPr>
            <sz val="8"/>
            <color indexed="81"/>
            <rFont val="Verdana"/>
            <family val="2"/>
          </rPr>
          <t>Zie tabblad 'Soort gebrek'.</t>
        </r>
      </text>
    </comment>
    <comment ref="J9" authorId="0" shapeId="0" xr:uid="{11C89AE6-E9D4-4F74-A878-3592889740C9}">
      <text>
        <r>
          <rPr>
            <sz val="8"/>
            <color indexed="81"/>
            <rFont val="Verdana"/>
            <family val="2"/>
          </rPr>
          <t>Verhoudingspercentage van deel waar gebrek zich bevind ten opzichte van het gehele bouwdeel.</t>
        </r>
      </text>
    </comment>
    <comment ref="K9" authorId="0" shapeId="0" xr:uid="{7BD2D87A-0C40-436A-81FC-9BD4D0324271}">
      <text>
        <r>
          <rPr>
            <sz val="8"/>
            <color indexed="81"/>
            <rFont val="Verdana"/>
            <family val="2"/>
          </rPr>
          <t>Zie tabblad 'Prio'.</t>
        </r>
      </text>
    </comment>
    <comment ref="L9" authorId="0" shapeId="0" xr:uid="{78EA1E4C-167E-486E-8F3B-7BB528489E6E}">
      <text>
        <r>
          <rPr>
            <sz val="9"/>
            <color indexed="81"/>
            <rFont val="Tahoma"/>
            <family val="2"/>
          </rPr>
          <t>Oplopende numerieke waarde (1, 2, 3, etc.)</t>
        </r>
      </text>
    </comment>
    <comment ref="M9" authorId="0" shapeId="0" xr:uid="{8CA31BEF-A277-4FCE-8E47-2CCCE0FAE62A}">
      <text>
        <r>
          <rPr>
            <sz val="8"/>
            <color indexed="81"/>
            <rFont val="Verdana"/>
            <family val="2"/>
          </rPr>
          <t xml:space="preserve">Elk gebrek krijgt de code  UVID-volgnr
</t>
        </r>
      </text>
    </comment>
    <comment ref="O9" authorId="0" shapeId="0" xr:uid="{AD22CC13-BF08-449C-8E68-DA6C241D5CBF}">
      <text>
        <r>
          <rPr>
            <sz val="9"/>
            <color indexed="81"/>
            <rFont val="Tahoma"/>
            <family val="2"/>
          </rPr>
          <t>Minimaal 1 overzichtsfoto en 1 detailfoto van het gebrek.</t>
        </r>
      </text>
    </comment>
    <comment ref="P9" authorId="0" shapeId="0" xr:uid="{A0C76845-9724-490B-AF55-8535493F91E3}">
      <text>
        <r>
          <rPr>
            <sz val="9"/>
            <color indexed="81"/>
            <rFont val="Tahoma"/>
            <family val="2"/>
          </rPr>
          <t>Etage en/of bouwlaag en/of vleugel en/of kamernummer van het gebrek. Zie handboek RVB BOEI deel 2 § 2.2.2 onderwerp 'Toelichting gebrek - LOGrO'.</t>
        </r>
      </text>
    </comment>
    <comment ref="Q9" authorId="0" shapeId="0" xr:uid="{487C1CED-636B-420D-AEE0-457FC2140F23}">
      <text>
        <r>
          <rPr>
            <sz val="9"/>
            <color indexed="81"/>
            <rFont val="Tahoma"/>
            <family val="2"/>
          </rPr>
          <t>Hier wordt de huidige bijdrage volgens de actuele Duurzaamheidstabel Programma EML Defensie (DZH) weergegeven.</t>
        </r>
      </text>
    </comment>
    <comment ref="R9" authorId="0" shapeId="0" xr:uid="{A295CF17-2D47-4AD5-990D-A73436B82CD7}">
      <text>
        <r>
          <rPr>
            <sz val="9"/>
            <color indexed="81"/>
            <rFont val="Tahoma"/>
            <family val="2"/>
          </rPr>
          <t>De primaire bron van de oorzaak/veroorzaker van het gebrek – antwoord op de vraag hoe of waardoor is het gebrek ontstaan?Zie handboek RVB BOEI deel 2 § 2.2.2 onderwerp 'Toelichting gebrek - LOGrO'.</t>
        </r>
      </text>
    </comment>
    <comment ref="S9" authorId="1" shapeId="0" xr:uid="{1961CB12-E250-410E-906F-34EE7CEBEF5B}">
      <text>
        <r>
          <rPr>
            <sz val="9"/>
            <color indexed="81"/>
            <rFont val="Tahoma"/>
            <family val="2"/>
          </rPr>
          <t>Benoem de EML-code die van toepassing is.</t>
        </r>
      </text>
    </comment>
    <comment ref="T9" authorId="0" shapeId="0" xr:uid="{A629955F-B656-4568-A3F1-3B4B7F612B91}">
      <text>
        <r>
          <rPr>
            <sz val="9"/>
            <color indexed="81"/>
            <rFont val="Tahoma"/>
            <family val="2"/>
          </rPr>
          <t xml:space="preserve">Benoem de status van alle EML maatregelen (zie tabblad SBL-2024).
Gevolg: het gevolg van het gebrek is eigenlijk wat zintuigelijk is waargenomen, de waarneming.
Risico: het (bedrijfs- of proces- of ARBO- of wettelijk-) risico dat zich nu voordoet of waarvan redelijkerwijs te verwachten is dat het zich gaat voordoen.Zie handboek RVB BOEI deel 2 § 2.2.2 onderwerp 'Toelichting gebrek - LOGrO'. </t>
        </r>
      </text>
    </comment>
    <comment ref="U9" authorId="0" shapeId="0" xr:uid="{A8BE2D61-7424-4C97-8E3A-84ACD1972094}">
      <text>
        <r>
          <rPr>
            <sz val="9"/>
            <color indexed="81"/>
            <rFont val="Tahoma"/>
            <family val="2"/>
          </rPr>
          <t>Oplossing/uit te voeren activiteiten in steekwoorden / verwijzing naar FUTP, zodat voor de adviseur en/of uitvoerende partij eenduidig vaststaat wat er moet gebeuren om de primaire bron (zie Oorzaak) definitief weg te nemen en te komen tot de gewenste (basis-) kwaliteit.Zie handboek RVB BOEI  deel 2 § 2.2.2 onderwerp 'Toelichting gebrek - LOGrO'.</t>
        </r>
      </text>
    </comment>
    <comment ref="V9" authorId="1" shapeId="0" xr:uid="{47CFEAC5-4D24-44BB-BF02-077FEDB5CAC6}">
      <text>
        <r>
          <rPr>
            <sz val="9"/>
            <color indexed="81"/>
            <rFont val="Tahoma"/>
            <family val="2"/>
          </rPr>
          <t>Benoem de FUTP die van toepassing is.</t>
        </r>
      </text>
    </comment>
    <comment ref="W9" authorId="0" shapeId="0" xr:uid="{051C737B-B536-44AF-9D3F-2E93B5C4BF80}">
      <text>
        <r>
          <rPr>
            <sz val="9"/>
            <color indexed="81"/>
            <rFont val="Tahoma"/>
            <family val="2"/>
          </rPr>
          <t xml:space="preserve">Herstelmaatregel uit de herstelmaatregelenladder.
Zie handboek RVB BOEI deel 2 § 2.2.2 onderwerp 'Herstelmaatregel'. </t>
        </r>
      </text>
    </comment>
    <comment ref="X9" authorId="0" shapeId="0" xr:uid="{17708824-EA69-4F97-BEB3-2867D965F9C6}">
      <text>
        <r>
          <rPr>
            <sz val="9"/>
            <color indexed="81"/>
            <rFont val="Tahoma"/>
            <family val="2"/>
          </rPr>
          <t xml:space="preserve">Zie handboek RVB BOEI deel 2 § 2.2.2 onderwerp 'Raming maatregel'. </t>
        </r>
      </text>
    </comment>
    <comment ref="Y9" authorId="0" shapeId="0" xr:uid="{F87564F4-8EBB-47D0-A15E-027216A559E5}">
      <text>
        <r>
          <rPr>
            <sz val="9"/>
            <color indexed="81"/>
            <rFont val="Tahoma"/>
            <family val="2"/>
          </rPr>
          <t xml:space="preserve">Zie handboek RVB BOEI deel 2 § 2.2.2 onderwerp 'Raming maatregel'.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Faesen, Vincent</author>
  </authors>
  <commentList>
    <comment ref="A7" authorId="0" shapeId="0" xr:uid="{AA38C365-F01E-470A-B083-62A3BAB96F8C}">
      <text>
        <r>
          <rPr>
            <sz val="9"/>
            <color indexed="81"/>
            <rFont val="Tahoma"/>
            <family val="2"/>
          </rPr>
          <t>Koppeling van code bouwdeeltype met volgnummer.</t>
        </r>
      </text>
    </comment>
    <comment ref="C7" authorId="0" shapeId="0" xr:uid="{A3BFEFB3-55FA-4BD4-9F62-794815C72E09}">
      <text>
        <r>
          <rPr>
            <sz val="9"/>
            <color indexed="81"/>
            <rFont val="Tahoma"/>
            <family val="2"/>
          </rPr>
          <t>Zie tabblad 'SBL-2024' en 
handboek RVB BOEI deel 2a § 2.X.1 t/m 2.X.</t>
        </r>
      </text>
    </comment>
    <comment ref="D7" authorId="0" shapeId="0" xr:uid="{1148156A-0BEC-4220-B9B1-401AE38826A4}">
      <text>
        <r>
          <rPr>
            <sz val="9"/>
            <color indexed="81"/>
            <rFont val="Tahoma"/>
            <family val="2"/>
          </rPr>
          <t>Zie handboek RVB BOEI deel 2a § 2.X.3</t>
        </r>
      </text>
    </comment>
    <comment ref="F7" authorId="0" shapeId="0" xr:uid="{D20AB90F-BC5A-4E67-9111-7E2B61A8E84D}">
      <text>
        <r>
          <rPr>
            <sz val="9"/>
            <color indexed="81"/>
            <rFont val="Tahoma"/>
            <family val="2"/>
          </rPr>
          <t xml:space="preserve">Ruimtenummering conform plattegrond
</t>
        </r>
      </text>
    </comment>
    <comment ref="I7" authorId="0" shapeId="0" xr:uid="{0A6931C3-B94C-4CB1-99E7-FD68FB4A7FB5}">
      <text>
        <r>
          <rPr>
            <sz val="9"/>
            <color indexed="81"/>
            <rFont val="Tahoma"/>
            <family val="2"/>
          </rPr>
          <t xml:space="preserve">Zie handboek RVB BOEI deel 2a § 2.X.3
</t>
        </r>
      </text>
    </comment>
    <comment ref="M7" authorId="0" shapeId="0" xr:uid="{C8436E81-742F-4F16-9ED1-E6DBD73B7089}">
      <text>
        <r>
          <rPr>
            <sz val="9"/>
            <color indexed="81"/>
            <rFont val="Tahoma"/>
            <family val="2"/>
          </rPr>
          <t xml:space="preserve">Titel/code van de foto van het bouwdeel.
</t>
        </r>
      </text>
    </comment>
    <comment ref="N7" authorId="0" shapeId="0" xr:uid="{F9FAB687-8F32-48E6-A34D-52C029CD553A}">
      <text>
        <r>
          <rPr>
            <sz val="9"/>
            <color indexed="81"/>
            <rFont val="Tahoma"/>
            <family val="2"/>
          </rPr>
          <t xml:space="preserve">Datum (Bouwjaar) waarop het bouwdeel geproduceerd is volgens opgave fabrikant.
</t>
        </r>
      </text>
    </comment>
    <comment ref="P7" authorId="0" shapeId="0" xr:uid="{2173D6C6-1214-460D-87D7-38BF6E945E34}">
      <text>
        <r>
          <rPr>
            <sz val="9"/>
            <color indexed="81"/>
            <rFont val="Tahoma"/>
            <family val="2"/>
          </rPr>
          <t xml:space="preserve">Waarde technische levensduur uitgedrukt in jaren.
</t>
        </r>
      </text>
    </comment>
    <comment ref="R7" authorId="0" shapeId="0" xr:uid="{29A7C706-FDE0-4F1E-B95C-6C1F5E9F5874}">
      <text>
        <r>
          <rPr>
            <sz val="9"/>
            <color indexed="81"/>
            <rFont val="Tahoma"/>
            <family val="2"/>
          </rPr>
          <t xml:space="preserve">Zie handboek RVB BOEI deel 2 § 2.2.1 onderwerp 'Bepalen vervangingskosten'
</t>
        </r>
      </text>
    </comment>
    <comment ref="S7" authorId="0" shapeId="0" xr:uid="{D6A47473-7B49-422C-9689-C95F1E122C78}">
      <text>
        <r>
          <rPr>
            <sz val="9"/>
            <color indexed="81"/>
            <rFont val="Tahoma"/>
            <family val="2"/>
          </rPr>
          <t>Het unieke installatie identificatie nummer</t>
        </r>
      </text>
    </comment>
    <comment ref="T7" authorId="0" shapeId="0" xr:uid="{7716EB94-72F3-48E7-8245-1C41F9E1DDE3}">
      <text>
        <r>
          <rPr>
            <sz val="9"/>
            <color indexed="81"/>
            <rFont val="Tahoma"/>
            <family val="2"/>
          </rPr>
          <t>Door fabrikant meegegeven serienummer bouwdeel</t>
        </r>
      </text>
    </comment>
    <comment ref="U7" authorId="0" shapeId="0" xr:uid="{0AABE67F-B58B-4151-B33C-F169063B9FD0}">
      <text>
        <r>
          <rPr>
            <sz val="9"/>
            <color indexed="81"/>
            <rFont val="Tahoma"/>
            <family val="2"/>
          </rPr>
          <t xml:space="preserve">Door fabrikant aan bouwdeel gekoppelde typecodering.
</t>
        </r>
      </text>
    </comment>
    <comment ref="X7" authorId="0" shapeId="0" xr:uid="{755FE018-0CB6-4840-BB75-3D818FA8C9A2}">
      <text>
        <r>
          <rPr>
            <sz val="9"/>
            <color indexed="81"/>
            <rFont val="Tahoma"/>
            <family val="2"/>
          </rPr>
          <t xml:space="preserve">Geeft aan of het bouwdeel nog volledig origineel is.
</t>
        </r>
      </text>
    </comment>
    <comment ref="Y7" authorId="0" shapeId="0" xr:uid="{5012BA3B-FAE0-40AC-9BF9-CD66FABCD559}">
      <text>
        <r>
          <rPr>
            <sz val="9"/>
            <color indexed="81"/>
            <rFont val="Tahoma"/>
            <family val="2"/>
          </rPr>
          <t>Standaard weergave originaliteit van materiaal waarvan het bouwdeel nu is vervaardigd.</t>
        </r>
      </text>
    </comment>
    <comment ref="Z7" authorId="0" shapeId="0" xr:uid="{F1D31F81-AF91-4C8D-B643-2FD4A6C0C59F}">
      <text>
        <r>
          <rPr>
            <sz val="9"/>
            <color indexed="81"/>
            <rFont val="Tahoma"/>
            <family val="2"/>
          </rPr>
          <t>Voor niet monumentale bouwdelen niet verplicht.</t>
        </r>
      </text>
    </comment>
    <comment ref="AA7" authorId="0" shapeId="0" xr:uid="{44BA3C4E-3C4E-402D-AA07-AEBA712572DD}">
      <text>
        <r>
          <rPr>
            <sz val="9"/>
            <color indexed="81"/>
            <rFont val="Tahoma"/>
            <family val="2"/>
          </rPr>
          <t>Datum van laatst uitgevoerde restauratie of revisie</t>
        </r>
      </text>
    </comment>
    <comment ref="AB7" authorId="0" shapeId="0" xr:uid="{1A1083FD-5F41-4A43-ADF8-5612644124D3}">
      <text>
        <r>
          <rPr>
            <sz val="9"/>
            <color indexed="81"/>
            <rFont val="Tahoma"/>
            <family val="2"/>
          </rPr>
          <t>Hier wordt de huidige bijdrage volgens de actuele Duurzaamheidstabel Programma EML Defensie (DZH) weergegeven.</t>
        </r>
      </text>
    </comment>
    <comment ref="AC7" authorId="0" shapeId="0" xr:uid="{E4F7BBAE-88D4-481D-B1DD-2725A263B691}">
      <text>
        <r>
          <rPr>
            <sz val="9"/>
            <color indexed="81"/>
            <rFont val="Tahoma"/>
            <family val="2"/>
          </rPr>
          <t xml:space="preserve">Officiële naam van de fabrikant.
</t>
        </r>
      </text>
    </comment>
    <comment ref="AE7" authorId="0" shapeId="0" xr:uid="{5E6EE05C-2BDC-4247-81BE-56E498AAD63B}">
      <text>
        <r>
          <rPr>
            <sz val="9"/>
            <color indexed="81"/>
            <rFont val="Tahoma"/>
            <family val="2"/>
          </rPr>
          <t>Naam van leverancier van het bouwdeel.</t>
        </r>
      </text>
    </comment>
    <comment ref="AH7" authorId="0" shapeId="0" xr:uid="{508B85C5-7B3B-4B5E-BA5D-067E50F500B7}">
      <text>
        <r>
          <rPr>
            <sz val="9"/>
            <color indexed="81"/>
            <rFont val="Tahoma"/>
            <family val="2"/>
          </rPr>
          <t>Hiermee wordt aangeduid of het bouwdeel een brandveiligheidsfunctie vervult</t>
        </r>
      </text>
    </comment>
    <comment ref="AJ7" authorId="0" shapeId="0" xr:uid="{52998068-32E1-4905-8227-BA0932E06373}">
      <text>
        <r>
          <rPr>
            <sz val="9"/>
            <color indexed="81"/>
            <rFont val="Tahoma"/>
            <family val="2"/>
          </rPr>
          <t>Weergave van de asbest status die voor het bouwdeel geldt.</t>
        </r>
      </text>
    </comment>
    <comment ref="AK7" authorId="0" shapeId="0" xr:uid="{16B3E97E-DD75-4767-8A9D-5277ADF354CF}">
      <text>
        <r>
          <rPr>
            <sz val="9"/>
            <color indexed="81"/>
            <rFont val="Tahoma"/>
            <family val="2"/>
          </rPr>
          <t>Alleen verplicht indien het bouwdeel een ‘Veilig Werken op Hoogte functie’ vervult.</t>
        </r>
      </text>
    </comment>
    <comment ref="AL7" authorId="0" shapeId="0" xr:uid="{ACE2ECF4-D8E8-45DE-8A54-FF12F7894692}">
      <text>
        <r>
          <rPr>
            <sz val="9"/>
            <color indexed="81"/>
            <rFont val="Tahoma"/>
            <family val="2"/>
          </rPr>
          <t>Zie handboek RVB BOEI deel 2a § 2.X.3</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Faesen, Vincent</author>
    <author>Pelser, Melissa</author>
  </authors>
  <commentList>
    <comment ref="A9" authorId="0" shapeId="0" xr:uid="{A12A619A-B942-4621-9314-5780EDC90B59}">
      <text>
        <r>
          <rPr>
            <sz val="9"/>
            <color indexed="81"/>
            <rFont val="Tahoma"/>
            <family val="2"/>
          </rPr>
          <t>Zie kolom A tabblad 'Inventarisatie'.</t>
        </r>
      </text>
    </comment>
    <comment ref="E9" authorId="0" shapeId="0" xr:uid="{571BCDA1-8659-4283-A731-FAF7A0511D6C}">
      <text>
        <r>
          <rPr>
            <sz val="8"/>
            <color indexed="81"/>
            <rFont val="Verdana"/>
            <family val="2"/>
          </rPr>
          <t>Weergave van het thema B-O-E-I waartoe het gebrek behoort.</t>
        </r>
      </text>
    </comment>
    <comment ref="F9" authorId="0" shapeId="0" xr:uid="{598D2341-AA3A-44A7-BFD9-BCA4F062C610}">
      <text>
        <r>
          <rPr>
            <sz val="8"/>
            <color indexed="81"/>
            <rFont val="Verdana"/>
            <family val="2"/>
          </rPr>
          <t>Zie tabblad 'Soort gebrek'</t>
        </r>
      </text>
    </comment>
    <comment ref="G9" authorId="0" shapeId="0" xr:uid="{88EC8FBC-6009-403C-B7F3-9BC8AC6D6C91}">
      <text>
        <r>
          <rPr>
            <sz val="8"/>
            <color indexed="81"/>
            <rFont val="Verdana"/>
            <family val="2"/>
          </rPr>
          <t>Zie tabblad 'Soort gebrek'.</t>
        </r>
      </text>
    </comment>
    <comment ref="I9" authorId="0" shapeId="0" xr:uid="{1BA79B67-D153-44CA-A0AD-11766DA6D857}">
      <text>
        <r>
          <rPr>
            <sz val="8"/>
            <color indexed="81"/>
            <rFont val="Verdana"/>
            <family val="2"/>
          </rPr>
          <t>Zie tabblad 'Soort gebrek'.</t>
        </r>
      </text>
    </comment>
    <comment ref="J9" authorId="0" shapeId="0" xr:uid="{837E9A8B-FCF6-4165-891D-44825DE846EA}">
      <text>
        <r>
          <rPr>
            <sz val="8"/>
            <color indexed="81"/>
            <rFont val="Verdana"/>
            <family val="2"/>
          </rPr>
          <t>Verhoudingspercentage van deel waar gebrek zich bevind ten opzichte van het gehele bouwdeel.</t>
        </r>
      </text>
    </comment>
    <comment ref="K9" authorId="0" shapeId="0" xr:uid="{5FEB718A-7CD2-431B-A85F-DD61F8F906CA}">
      <text>
        <r>
          <rPr>
            <sz val="8"/>
            <color indexed="81"/>
            <rFont val="Verdana"/>
            <family val="2"/>
          </rPr>
          <t>Zie tabblad 'Prio'.</t>
        </r>
      </text>
    </comment>
    <comment ref="L9" authorId="0" shapeId="0" xr:uid="{882FC3A6-5E5F-47F5-9BB2-B1299CBA4D45}">
      <text>
        <r>
          <rPr>
            <sz val="9"/>
            <color indexed="81"/>
            <rFont val="Tahoma"/>
            <family val="2"/>
          </rPr>
          <t>Oplopende numerieke waarde (1, 2, 3, etc.)</t>
        </r>
      </text>
    </comment>
    <comment ref="M9" authorId="0" shapeId="0" xr:uid="{E4DC5C69-63EA-47BF-8940-36EF314EFA41}">
      <text>
        <r>
          <rPr>
            <sz val="8"/>
            <color indexed="81"/>
            <rFont val="Verdana"/>
            <family val="2"/>
          </rPr>
          <t xml:space="preserve">Elk gebrek krijgt de code  UVID-volgnr
</t>
        </r>
      </text>
    </comment>
    <comment ref="O9" authorId="0" shapeId="0" xr:uid="{8FB01DFE-C10E-4754-AFAA-F9AA78647DCC}">
      <text>
        <r>
          <rPr>
            <sz val="9"/>
            <color indexed="81"/>
            <rFont val="Tahoma"/>
            <family val="2"/>
          </rPr>
          <t>Minimaal 1 overzichtsfoto en 1 detailfoto van het gebrek.</t>
        </r>
      </text>
    </comment>
    <comment ref="P9" authorId="0" shapeId="0" xr:uid="{E450D867-3AC0-4A71-A612-9C6B6C65D171}">
      <text>
        <r>
          <rPr>
            <sz val="9"/>
            <color indexed="81"/>
            <rFont val="Tahoma"/>
            <family val="2"/>
          </rPr>
          <t>Etage en/of bouwlaag en/of vleugel en/of kamernummer van het gebrek. Zie handboek RVB BOEI deel 2 § 2.2.2 onderwerp 'Toelichting gebrek - LOGrO'.</t>
        </r>
      </text>
    </comment>
    <comment ref="Q9" authorId="0" shapeId="0" xr:uid="{76BDAEBD-F82D-49A3-88A7-AB483AE196F5}">
      <text>
        <r>
          <rPr>
            <sz val="9"/>
            <color indexed="81"/>
            <rFont val="Tahoma"/>
            <family val="2"/>
          </rPr>
          <t>Hier wordt de huidige bijdrage volgens de actuele Duurzaamheidstabel Programma EML Defensie (DZH) weergegeven.</t>
        </r>
      </text>
    </comment>
    <comment ref="S9" authorId="0" shapeId="0" xr:uid="{8F3F42DB-6211-4429-B2BA-25A771C06BAB}">
      <text>
        <r>
          <rPr>
            <sz val="9"/>
            <color indexed="81"/>
            <rFont val="Tahoma"/>
            <family val="2"/>
          </rPr>
          <t>De primaire bron van de oorzaak/veroorzaker van het gebrek – antwoord op de vraag hoe of waardoor is het gebrek ontstaan?Zie handboek RVB BOEI deel 2 § 2.2.2 onderwerp 'Toelichting gebrek - LOGrO'.</t>
        </r>
      </text>
    </comment>
    <comment ref="T9" authorId="1" shapeId="0" xr:uid="{9A2B1BD3-653A-469C-9AD5-9CC5BA4766FD}">
      <text>
        <r>
          <rPr>
            <sz val="9"/>
            <color indexed="81"/>
            <rFont val="Tahoma"/>
            <family val="2"/>
          </rPr>
          <t>Benoem de EML-code die van toepassing is.</t>
        </r>
      </text>
    </comment>
    <comment ref="U9" authorId="0" shapeId="0" xr:uid="{14235022-F6CB-446F-BAC3-15FF44E59AC8}">
      <text>
        <r>
          <rPr>
            <sz val="9"/>
            <color indexed="81"/>
            <rFont val="Tahoma"/>
            <family val="2"/>
          </rPr>
          <t xml:space="preserve">Benoem de status van alle EML maatregelen (zie tabblad SBL-2024).
Gevolg: het gevolg van het gebrek is eigenlijk wat zintuigelijk is waargenomen, de waarneming.
Risico: het (bedrijfs- of proces- of ARBO- of wettelijk-) risico dat zich nu voordoet of waarvan redelijkerwijs te verwachten is dat het zich gaat voordoen.Zie handboek RVB BOEI deel 2 § 2.2.2 onderwerp 'Toelichting gebrek - LOGrO'. </t>
        </r>
      </text>
    </comment>
    <comment ref="V9" authorId="0" shapeId="0" xr:uid="{3B703E78-4602-463F-9C64-6BD4FE7E4162}">
      <text>
        <r>
          <rPr>
            <sz val="9"/>
            <color indexed="81"/>
            <rFont val="Tahoma"/>
            <family val="2"/>
          </rPr>
          <t>Oplossing/uit te voeren activiteiten in steekwoorden / verwijzing naar FUTP, zodat voor de adviseur en/of uitvoerende partij eenduidig vaststaat wat er moet gebeuren om de primaire bron (zie Oorzaak) definitief weg te nemen en te komen tot de gewenste (basis-) kwaliteit.Zie handboek RVB BOEI  deel 2 § 2.2.2 onderwerp 'Toelichting gebrek - LOGrO'.</t>
        </r>
      </text>
    </comment>
    <comment ref="W9" authorId="1" shapeId="0" xr:uid="{FD45C5A0-9A41-49B0-9697-D99DF25F4B29}">
      <text>
        <r>
          <rPr>
            <sz val="9"/>
            <color indexed="81"/>
            <rFont val="Tahoma"/>
            <family val="2"/>
          </rPr>
          <t>Benoem de FUTP die van toepassing is.</t>
        </r>
      </text>
    </comment>
    <comment ref="X9" authorId="0" shapeId="0" xr:uid="{E00E74BE-A87F-4928-9D99-D7ED8605C797}">
      <text>
        <r>
          <rPr>
            <sz val="9"/>
            <color indexed="81"/>
            <rFont val="Tahoma"/>
            <family val="2"/>
          </rPr>
          <t xml:space="preserve">Herstelmaatregel uit de herstelmaatregelenladder.
Zie handboek RVB BOEI deel 2 § 2.2.2 onderwerp 'Herstelmaatregel'. </t>
        </r>
      </text>
    </comment>
    <comment ref="Y9" authorId="0" shapeId="0" xr:uid="{52AD94CA-BF6A-454A-868D-1A61CA2C6C03}">
      <text>
        <r>
          <rPr>
            <sz val="9"/>
            <color indexed="81"/>
            <rFont val="Tahoma"/>
            <family val="2"/>
          </rPr>
          <t xml:space="preserve">Zie handboek RVB BOEI deel 2 § 2.2.2 onderwerp 'Raming maatregel'. </t>
        </r>
      </text>
    </comment>
    <comment ref="Z9" authorId="0" shapeId="0" xr:uid="{CB9D0C5A-84E7-4CEA-9B2F-6E5FC0F1E72E}">
      <text>
        <r>
          <rPr>
            <sz val="9"/>
            <color indexed="81"/>
            <rFont val="Tahoma"/>
            <family val="2"/>
          </rPr>
          <t xml:space="preserve">Zie handboek RVB BOEI deel 2 § 2.2.2 onderwerp 'Raming maatregel'.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Faesen, Vincent</author>
  </authors>
  <commentList>
    <comment ref="A7" authorId="0" shapeId="0" xr:uid="{4D8436E2-17A2-4AC8-ABE7-5E43DD6B5DBB}">
      <text>
        <r>
          <rPr>
            <sz val="9"/>
            <color indexed="81"/>
            <rFont val="Tahoma"/>
            <family val="2"/>
          </rPr>
          <t>Koppeling van code bouwdeeltype met volgnummer.</t>
        </r>
      </text>
    </comment>
    <comment ref="C7" authorId="0" shapeId="0" xr:uid="{296A6A49-EBE2-4E05-BB73-9A62CCF557FB}">
      <text>
        <r>
          <rPr>
            <sz val="9"/>
            <color indexed="81"/>
            <rFont val="Tahoma"/>
            <family val="2"/>
          </rPr>
          <t>Zie tabblad 'SBL-2024' en 
handboek RVB BOEI deel 2a § 2.X.1 t/m 2.X.</t>
        </r>
      </text>
    </comment>
    <comment ref="D7" authorId="0" shapeId="0" xr:uid="{8BB30449-02F1-4115-B710-A41A5788E88A}">
      <text>
        <r>
          <rPr>
            <sz val="9"/>
            <color indexed="81"/>
            <rFont val="Tahoma"/>
            <family val="2"/>
          </rPr>
          <t>Zie handboek RVB BOEI deel 2a § 2.X.3</t>
        </r>
      </text>
    </comment>
    <comment ref="F7" authorId="0" shapeId="0" xr:uid="{B8397756-0636-4108-874F-EC4F389F50D6}">
      <text>
        <r>
          <rPr>
            <sz val="9"/>
            <color indexed="81"/>
            <rFont val="Tahoma"/>
            <family val="2"/>
          </rPr>
          <t xml:space="preserve">Ruimtenummering conform plattegrond
</t>
        </r>
      </text>
    </comment>
    <comment ref="I7" authorId="0" shapeId="0" xr:uid="{BA770DC0-9603-496E-BC6C-BB5CBF75C243}">
      <text>
        <r>
          <rPr>
            <sz val="9"/>
            <color indexed="81"/>
            <rFont val="Tahoma"/>
            <family val="2"/>
          </rPr>
          <t xml:space="preserve">Zie handboek RVB BOEI deel 2a § 2.X.3
</t>
        </r>
      </text>
    </comment>
    <comment ref="M7" authorId="0" shapeId="0" xr:uid="{CA07F343-BAD0-4648-BBD7-DAEDC532CB26}">
      <text>
        <r>
          <rPr>
            <sz val="9"/>
            <color indexed="81"/>
            <rFont val="Tahoma"/>
            <family val="2"/>
          </rPr>
          <t xml:space="preserve">Titel/code van de foto van het bouwdeel.
</t>
        </r>
      </text>
    </comment>
    <comment ref="N7" authorId="0" shapeId="0" xr:uid="{36555E2A-2AC8-404D-A9D7-19AA67D2C300}">
      <text>
        <r>
          <rPr>
            <sz val="9"/>
            <color indexed="81"/>
            <rFont val="Tahoma"/>
            <family val="2"/>
          </rPr>
          <t xml:space="preserve">Datum (Bouwjaar) waarop het bouwdeel geproduceerd is volgens opgave fabrikant.
</t>
        </r>
      </text>
    </comment>
    <comment ref="P7" authorId="0" shapeId="0" xr:uid="{68B0690B-FA3D-476D-9700-C413E881FBAA}">
      <text>
        <r>
          <rPr>
            <sz val="9"/>
            <color indexed="81"/>
            <rFont val="Tahoma"/>
            <family val="2"/>
          </rPr>
          <t xml:space="preserve">Waarde technische levensduur uitgedrukt in jaren.
</t>
        </r>
      </text>
    </comment>
    <comment ref="R7" authorId="0" shapeId="0" xr:uid="{6B2EAA21-1BEC-44D7-B0FF-797202C9B71B}">
      <text>
        <r>
          <rPr>
            <sz val="9"/>
            <color indexed="81"/>
            <rFont val="Tahoma"/>
            <family val="2"/>
          </rPr>
          <t xml:space="preserve">Zie handboek RVB BOEI deel 2 § 2.2.1 onderwerp 'Bepalen vervangingskosten'
</t>
        </r>
      </text>
    </comment>
    <comment ref="S7" authorId="0" shapeId="0" xr:uid="{CEB49F8B-4CB0-40C1-B446-35FE601F1844}">
      <text>
        <r>
          <rPr>
            <sz val="9"/>
            <color indexed="81"/>
            <rFont val="Tahoma"/>
            <family val="2"/>
          </rPr>
          <t>Het unieke installatie identificatie nummer</t>
        </r>
      </text>
    </comment>
    <comment ref="T7" authorId="0" shapeId="0" xr:uid="{DE2F769B-FC96-4965-A8DC-1B43B0EA8019}">
      <text>
        <r>
          <rPr>
            <sz val="9"/>
            <color indexed="81"/>
            <rFont val="Tahoma"/>
            <family val="2"/>
          </rPr>
          <t>Door fabrikant meegegeven serienummer bouwdeel</t>
        </r>
      </text>
    </comment>
    <comment ref="U7" authorId="0" shapeId="0" xr:uid="{7557AD0A-364D-45D8-A69C-BD8F8091B9D9}">
      <text>
        <r>
          <rPr>
            <sz val="9"/>
            <color indexed="81"/>
            <rFont val="Tahoma"/>
            <family val="2"/>
          </rPr>
          <t xml:space="preserve">Door fabrikant aan bouwdeel gekoppelde typecodering.
</t>
        </r>
      </text>
    </comment>
    <comment ref="X7" authorId="0" shapeId="0" xr:uid="{9A138B2F-A228-45F7-BF84-F865C5884D1C}">
      <text>
        <r>
          <rPr>
            <sz val="9"/>
            <color indexed="81"/>
            <rFont val="Tahoma"/>
            <family val="2"/>
          </rPr>
          <t xml:space="preserve">Geeft aan of het bouwdeel nog volledig origineel is.
</t>
        </r>
      </text>
    </comment>
    <comment ref="Y7" authorId="0" shapeId="0" xr:uid="{A6088A2A-587B-4B06-9D38-1F41E5863F6C}">
      <text>
        <r>
          <rPr>
            <sz val="9"/>
            <color indexed="81"/>
            <rFont val="Tahoma"/>
            <family val="2"/>
          </rPr>
          <t>Standaard weergave originaliteit van materiaal waarvan het bouwdeel nu is vervaardigd.</t>
        </r>
      </text>
    </comment>
    <comment ref="Z7" authorId="0" shapeId="0" xr:uid="{7407E5C5-3786-45A5-9E14-2EC928698BAB}">
      <text>
        <r>
          <rPr>
            <sz val="9"/>
            <color indexed="81"/>
            <rFont val="Tahoma"/>
            <family val="2"/>
          </rPr>
          <t>Voor niet monumentale bouwdelen niet verplicht.</t>
        </r>
      </text>
    </comment>
    <comment ref="AA7" authorId="0" shapeId="0" xr:uid="{BFA53744-5BB0-4720-9095-97470D5FC66E}">
      <text>
        <r>
          <rPr>
            <sz val="9"/>
            <color indexed="81"/>
            <rFont val="Tahoma"/>
            <family val="2"/>
          </rPr>
          <t>Datum van laatst uitgevoerde restauratie of revisie</t>
        </r>
      </text>
    </comment>
    <comment ref="AB7" authorId="0" shapeId="0" xr:uid="{3219F637-4F2E-4EBE-B9BE-27BDA59F8E8A}">
      <text>
        <r>
          <rPr>
            <sz val="9"/>
            <color indexed="81"/>
            <rFont val="Tahoma"/>
            <family val="2"/>
          </rPr>
          <t>Hier wordt de huidige bijdrage volgens de actuele Duurzaamheidstabel Programma EML Defensie (DZH) weergegeven.</t>
        </r>
      </text>
    </comment>
    <comment ref="AC7" authorId="0" shapeId="0" xr:uid="{71D69008-31BB-44A3-B8AE-8F78DFA29F07}">
      <text>
        <r>
          <rPr>
            <sz val="9"/>
            <color indexed="81"/>
            <rFont val="Tahoma"/>
            <family val="2"/>
          </rPr>
          <t xml:space="preserve">Officiële naam van de fabrikant.
</t>
        </r>
      </text>
    </comment>
    <comment ref="AE7" authorId="0" shapeId="0" xr:uid="{594FDD6E-1BA2-4A46-85C0-ECB8A29B7D4B}">
      <text>
        <r>
          <rPr>
            <sz val="9"/>
            <color indexed="81"/>
            <rFont val="Tahoma"/>
            <family val="2"/>
          </rPr>
          <t>Naam van leverancier van het bouwdeel.</t>
        </r>
      </text>
    </comment>
    <comment ref="AH7" authorId="0" shapeId="0" xr:uid="{1F133D19-81AE-4562-9BE0-8718A47EFCA3}">
      <text>
        <r>
          <rPr>
            <sz val="9"/>
            <color indexed="81"/>
            <rFont val="Tahoma"/>
            <family val="2"/>
          </rPr>
          <t>Hiermee wordt aangeduid of het bouwdeel een brandveiligheidsfunctie vervult</t>
        </r>
      </text>
    </comment>
    <comment ref="AJ7" authorId="0" shapeId="0" xr:uid="{A96E307D-7011-4E67-8E5B-73092E1EB425}">
      <text>
        <r>
          <rPr>
            <sz val="9"/>
            <color indexed="81"/>
            <rFont val="Tahoma"/>
            <family val="2"/>
          </rPr>
          <t>Weergave van de asbest status die voor het bouwdeel geldt.</t>
        </r>
      </text>
    </comment>
    <comment ref="AK7" authorId="0" shapeId="0" xr:uid="{DF81CCC2-B14D-4605-AF9D-0EF808E1E44C}">
      <text>
        <r>
          <rPr>
            <sz val="9"/>
            <color indexed="81"/>
            <rFont val="Tahoma"/>
            <family val="2"/>
          </rPr>
          <t>Alleen verplicht indien het bouwdeel een ‘Veilig Werken op Hoogte functie’ vervult.</t>
        </r>
      </text>
    </comment>
    <comment ref="AL7" authorId="0" shapeId="0" xr:uid="{FE35C266-A617-45FE-B488-4AAC7C08FB75}">
      <text>
        <r>
          <rPr>
            <sz val="9"/>
            <color indexed="81"/>
            <rFont val="Tahoma"/>
            <family val="2"/>
          </rPr>
          <t>Zie handboek RVB BOEI deel 2a § 2.X.3</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Faesen, Vincent</author>
    <author>Pelser, Melissa</author>
  </authors>
  <commentList>
    <comment ref="A9" authorId="0" shapeId="0" xr:uid="{D072F194-8408-4B7F-94B2-E246F65F3219}">
      <text>
        <r>
          <rPr>
            <sz val="9"/>
            <color indexed="81"/>
            <rFont val="Tahoma"/>
            <family val="2"/>
          </rPr>
          <t>Zie kolom A tabblad 'Inventarisatie'.</t>
        </r>
      </text>
    </comment>
    <comment ref="E9" authorId="0" shapeId="0" xr:uid="{84CB79B5-DE55-41E0-A2BF-95429A241259}">
      <text>
        <r>
          <rPr>
            <sz val="8"/>
            <color indexed="81"/>
            <rFont val="Verdana"/>
            <family val="2"/>
          </rPr>
          <t>Weergave van het thema B-O-E-I waartoe het gebrek behoort.</t>
        </r>
      </text>
    </comment>
    <comment ref="F9" authorId="0" shapeId="0" xr:uid="{449D889D-01E1-492A-B08E-81F8598CB539}">
      <text>
        <r>
          <rPr>
            <sz val="8"/>
            <color indexed="81"/>
            <rFont val="Verdana"/>
            <family val="2"/>
          </rPr>
          <t>Zie tabblad 'Soort gebrek'</t>
        </r>
      </text>
    </comment>
    <comment ref="G9" authorId="0" shapeId="0" xr:uid="{6B1D38EF-BA36-46D6-8C79-EC4DBDE2EF83}">
      <text>
        <r>
          <rPr>
            <sz val="8"/>
            <color indexed="81"/>
            <rFont val="Verdana"/>
            <family val="2"/>
          </rPr>
          <t>Zie tabblad 'Soort gebrek'.</t>
        </r>
      </text>
    </comment>
    <comment ref="I9" authorId="0" shapeId="0" xr:uid="{22B48AA8-C01C-428A-9DA7-E50693F98BB0}">
      <text>
        <r>
          <rPr>
            <sz val="8"/>
            <color indexed="81"/>
            <rFont val="Verdana"/>
            <family val="2"/>
          </rPr>
          <t>Zie tabblad 'Soort gebrek'.</t>
        </r>
      </text>
    </comment>
    <comment ref="J9" authorId="0" shapeId="0" xr:uid="{F4F741A5-50B6-4898-B1EF-39115F359D94}">
      <text>
        <r>
          <rPr>
            <sz val="8"/>
            <color indexed="81"/>
            <rFont val="Verdana"/>
            <family val="2"/>
          </rPr>
          <t>Verhoudingspercentage van deel waar gebrek zich bevind ten opzichte van het gehele bouwdeel.</t>
        </r>
      </text>
    </comment>
    <comment ref="K9" authorId="0" shapeId="0" xr:uid="{06283A0F-7687-4725-B0F4-B16B5FC0A912}">
      <text>
        <r>
          <rPr>
            <sz val="8"/>
            <color indexed="81"/>
            <rFont val="Verdana"/>
            <family val="2"/>
          </rPr>
          <t>Zie tabblad 'Prio'.</t>
        </r>
      </text>
    </comment>
    <comment ref="L9" authorId="0" shapeId="0" xr:uid="{DF109CF3-8E92-4496-B092-2E8BB3A5F10B}">
      <text>
        <r>
          <rPr>
            <sz val="9"/>
            <color indexed="81"/>
            <rFont val="Tahoma"/>
            <family val="2"/>
          </rPr>
          <t>Oplopende numerieke waarde (1, 2, 3, etc.)</t>
        </r>
      </text>
    </comment>
    <comment ref="M9" authorId="0" shapeId="0" xr:uid="{A4520B9D-EF8F-452F-8349-BC3828AEFD19}">
      <text>
        <r>
          <rPr>
            <sz val="8"/>
            <color indexed="81"/>
            <rFont val="Verdana"/>
            <family val="2"/>
          </rPr>
          <t xml:space="preserve">Elk gebrek krijgt de code  UVID-volgnr
</t>
        </r>
      </text>
    </comment>
    <comment ref="O9" authorId="0" shapeId="0" xr:uid="{7D57ABB6-A199-44BC-918A-EFB7F6471B55}">
      <text>
        <r>
          <rPr>
            <sz val="9"/>
            <color indexed="81"/>
            <rFont val="Tahoma"/>
            <family val="2"/>
          </rPr>
          <t>Minimaal 1 overzichtsfoto en 1 detailfoto van het gebrek.</t>
        </r>
      </text>
    </comment>
    <comment ref="P9" authorId="0" shapeId="0" xr:uid="{00C2BEF4-BDDA-404C-83CB-E3964F186F0F}">
      <text>
        <r>
          <rPr>
            <sz val="9"/>
            <color indexed="81"/>
            <rFont val="Tahoma"/>
            <family val="2"/>
          </rPr>
          <t>Etage en/of bouwlaag en/of vleugel en/of kamernummer van het gebrek. Zie handboek RVB BOEI deel 2 § 2.2.2 onderwerp 'Toelichting gebrek - LOGrO'.</t>
        </r>
      </text>
    </comment>
    <comment ref="Q9" authorId="0" shapeId="0" xr:uid="{23167A80-4CF2-41D0-9F75-889C5CFD04FA}">
      <text>
        <r>
          <rPr>
            <sz val="9"/>
            <color indexed="81"/>
            <rFont val="Tahoma"/>
            <family val="2"/>
          </rPr>
          <t>Hier wordt de huidige bijdrage volgens de actuele Duurzaamheidstabel Programma EML Defensie (DZH) weergegeven.</t>
        </r>
      </text>
    </comment>
    <comment ref="R9" authorId="0" shapeId="0" xr:uid="{75278EAF-3783-409F-98B4-A4088BCF8E2D}">
      <text>
        <r>
          <rPr>
            <sz val="9"/>
            <color indexed="81"/>
            <rFont val="Tahoma"/>
            <family val="2"/>
          </rPr>
          <t>De primaire bron van de oorzaak/veroorzaker van het gebrek – antwoord op de vraag hoe of waardoor is het gebrek ontstaan?Zie handboek RVB BOEI deel 2 § 2.2.2 onderwerp 'Toelichting gebrek - LOGrO'.</t>
        </r>
      </text>
    </comment>
    <comment ref="S9" authorId="1" shapeId="0" xr:uid="{E295490E-FBD9-4E66-9559-2C8BA90BF32B}">
      <text>
        <r>
          <rPr>
            <sz val="9"/>
            <color indexed="81"/>
            <rFont val="Tahoma"/>
            <family val="2"/>
          </rPr>
          <t>Benoem de EML-code die van toepassing is.</t>
        </r>
      </text>
    </comment>
    <comment ref="T9" authorId="0" shapeId="0" xr:uid="{D22DA9C1-E9FC-490C-9457-D6015CEB2D6E}">
      <text>
        <r>
          <rPr>
            <sz val="9"/>
            <color indexed="81"/>
            <rFont val="Tahoma"/>
            <family val="2"/>
          </rPr>
          <t xml:space="preserve">Benoem de status van alle EML maatregelen (zie tabblad SBL-2024).
Gevolg: het gevolg van het gebrek is eigenlijk wat zintuigelijk is waargenomen, de waarneming.
Risico: het (bedrijfs- of proces- of ARBO- of wettelijk-) risico dat zich nu voordoet of waarvan redelijkerwijs te verwachten is dat het zich gaat voordoen.Zie handboek RVB BOEI deel 2 § 2.2.2 onderwerp 'Toelichting gebrek - LOGrO'. </t>
        </r>
      </text>
    </comment>
    <comment ref="U9" authorId="0" shapeId="0" xr:uid="{263188A4-6F32-4E8D-A429-A50FB0E73A7D}">
      <text>
        <r>
          <rPr>
            <sz val="9"/>
            <color indexed="81"/>
            <rFont val="Tahoma"/>
            <family val="2"/>
          </rPr>
          <t>Oplossing/uit te voeren activiteiten in steekwoorden / verwijzing naar FUTP, zodat voor de adviseur en/of uitvoerende partij eenduidig vaststaat wat er moet gebeuren om de primaire bron (zie Oorzaak) definitief weg te nemen en te komen tot de gewenste (basis-) kwaliteit.Zie handboek RVB BOEI  deel 2 § 2.2.2 onderwerp 'Toelichting gebrek - LOGrO'.</t>
        </r>
      </text>
    </comment>
    <comment ref="V9" authorId="1" shapeId="0" xr:uid="{CF71FFAF-4706-4216-99C1-AB32CC7596B8}">
      <text>
        <r>
          <rPr>
            <sz val="9"/>
            <color indexed="81"/>
            <rFont val="Tahoma"/>
            <family val="2"/>
          </rPr>
          <t>Benoem de FUTP die van toepassing is.</t>
        </r>
      </text>
    </comment>
    <comment ref="W9" authorId="0" shapeId="0" xr:uid="{DB790A43-9644-44DD-93B9-218BBDD8E195}">
      <text>
        <r>
          <rPr>
            <sz val="9"/>
            <color indexed="81"/>
            <rFont val="Tahoma"/>
            <family val="2"/>
          </rPr>
          <t xml:space="preserve">Herstelmaatregel uit de herstelmaatregelenladder.
Zie handboek RVB BOEI deel 2 § 2.2.2 onderwerp 'Herstelmaatregel'. </t>
        </r>
      </text>
    </comment>
    <comment ref="X9" authorId="0" shapeId="0" xr:uid="{DCA4C905-33EE-4B09-88E4-9CE5BEC92E5C}">
      <text>
        <r>
          <rPr>
            <sz val="9"/>
            <color indexed="81"/>
            <rFont val="Tahoma"/>
            <family val="2"/>
          </rPr>
          <t xml:space="preserve">Zie handboek RVB BOEI deel 2 § 2.2.2 onderwerp 'Raming maatregel'. </t>
        </r>
      </text>
    </comment>
    <comment ref="Y9" authorId="0" shapeId="0" xr:uid="{70ED9660-014F-4C5C-9639-933B39CE7591}">
      <text>
        <r>
          <rPr>
            <sz val="9"/>
            <color indexed="81"/>
            <rFont val="Tahoma"/>
            <family val="2"/>
          </rPr>
          <t xml:space="preserve">Zie handboek RVB BOEI deel 2 § 2.2.2 onderwerp 'Raming maatregel'.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tc={3FFFF82C-4447-4DCB-B7F7-650260B1624F}</author>
    <author>tc={6401E335-E41B-4A5B-B008-A605C43CAD7F}</author>
    <author>tc={1ECFD5CA-09F2-4085-9878-1AB09AE55746}</author>
    <author>tc={8C3247CB-E109-4BD2-9A8C-1B1532F59678}</author>
    <author>tc={F1EBE965-3749-47F5-9940-AEC6EFC77992}</author>
    <author>tc={6586BE23-E00A-49EE-A95F-0944A7E4D3E4}</author>
    <author>tc={2FA25583-3BFC-4340-B83A-6F060105F292}</author>
  </authors>
  <commentList>
    <comment ref="G61" authorId="0" shapeId="0" xr:uid="{3FFFF82C-4447-4DCB-B7F7-650260B1624F}">
      <text>
        <t>[Opmerkingenthread]
U kunt deze opmerkingenthread lezen in uw versie van Excel. Eventuele wijzigingen aan de thread gaan echter verloren als het bestand wordt geopend in een nieuwere versie van Excel. Meer informatie: https://go.microsoft.com/fwlink/?linkid=870924
Opmerking:
    Natuureffect: onderzoek nodig</t>
      </text>
    </comment>
    <comment ref="G62" authorId="1" shapeId="0" xr:uid="{6401E335-E41B-4A5B-B008-A605C43CAD7F}">
      <text>
        <t>[Opmerkingenthread]
U kunt deze opmerkingenthread lezen in uw versie van Excel. Eventuele wijzigingen aan de thread gaan echter verloren als het bestand wordt geopend in een nieuwere versie van Excel. Meer informatie: https://go.microsoft.com/fwlink/?linkid=870924
Opmerking:
    Natuureffect: onderzoek nodig</t>
      </text>
    </comment>
    <comment ref="G63" authorId="2" shapeId="0" xr:uid="{1ECFD5CA-09F2-4085-9878-1AB09AE55746}">
      <text>
        <t>[Opmerkingenthread]
U kunt deze opmerkingenthread lezen in uw versie van Excel. Eventuele wijzigingen aan de thread gaan echter verloren als het bestand wordt geopend in een nieuwere versie van Excel. Meer informatie: https://go.microsoft.com/fwlink/?linkid=870924
Opmerking:
    Natuureffect: onderzoek nodig</t>
      </text>
    </comment>
    <comment ref="G64" authorId="3" shapeId="0" xr:uid="{8C3247CB-E109-4BD2-9A8C-1B1532F59678}">
      <text>
        <t>[Opmerkingenthread]
U kunt deze opmerkingenthread lezen in uw versie van Excel. Eventuele wijzigingen aan de thread gaan echter verloren als het bestand wordt geopend in een nieuwere versie van Excel. Meer informatie: https://go.microsoft.com/fwlink/?linkid=870924
Opmerking:
    Natuureffect: onderzoek nodig</t>
      </text>
    </comment>
    <comment ref="G65" authorId="4" shapeId="0" xr:uid="{F1EBE965-3749-47F5-9940-AEC6EFC77992}">
      <text>
        <t>[Opmerkingenthread]
U kunt deze opmerkingenthread lezen in uw versie van Excel. Eventuele wijzigingen aan de thread gaan echter verloren als het bestand wordt geopend in een nieuwere versie van Excel. Meer informatie: https://go.microsoft.com/fwlink/?linkid=870924
Opmerking:
    Natuureffect: onderzoek nodig</t>
      </text>
    </comment>
    <comment ref="G66" authorId="5" shapeId="0" xr:uid="{6586BE23-E00A-49EE-A95F-0944A7E4D3E4}">
      <text>
        <t>[Opmerkingenthread]
U kunt deze opmerkingenthread lezen in uw versie van Excel. Eventuele wijzigingen aan de thread gaan echter verloren als het bestand wordt geopend in een nieuwere versie van Excel. Meer informatie: https://go.microsoft.com/fwlink/?linkid=870924
Opmerking:
    Natuureffect: onderzoek nodig</t>
      </text>
    </comment>
    <comment ref="G67" authorId="6" shapeId="0" xr:uid="{2FA25583-3BFC-4340-B83A-6F060105F292}">
      <text>
        <t>[Opmerkingenthread]
U kunt deze opmerkingenthread lezen in uw versie van Excel. Eventuele wijzigingen aan de thread gaan echter verloren als het bestand wordt geopend in een nieuwere versie van Excel. Meer informatie: https://go.microsoft.com/fwlink/?linkid=870924
Opmerking:
    Natuureffect: onderzoek nodig</t>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2A462AB-89DC-4FBE-8146-D598A683FFF1}" keepAlive="1" name="Query - TInspectieB" description="Verbinding maken met de query TInspectieB in de werkmap." type="5" refreshedVersion="0" background="1">
    <dbPr connection="Provider=Microsoft.Mashup.OleDb.1;Data Source=$Workbook$;Location=TInspectieB;Extended Properties=&quot;&quot;" command="SELECT * FROM [TInspectieB]"/>
  </connection>
  <connection id="2" xr16:uid="{F945961A-0835-44B9-AEA2-EDC07AF5C416}" keepAlive="1" name="Query - TInspectieE" description="Verbinding maken met de query TInspectieE in de werkmap." type="5" refreshedVersion="0" background="1">
    <dbPr connection="Provider=Microsoft.Mashup.OleDb.1;Data Source=$Workbook$;Location=TInspectieE;Extended Properties=&quot;&quot;" command="SELECT * FROM [TInspectieE]"/>
  </connection>
  <connection id="3" xr16:uid="{2CE20C88-233C-4A3C-BB45-9D3CF9771F30}" keepAlive="1" name="Query - TInspectieTotaal" description="Verbinding maken met de query TInspectieTotaal in de werkmap." type="5" refreshedVersion="8" background="1" saveData="1">
    <dbPr connection="Provider=Microsoft.Mashup.OleDb.1;Data Source=$Workbook$;Location=TInspectieTotaal;Extended Properties=&quot;&quot;" command="SELECT * FROM [TInspectieTotaal]"/>
  </connection>
  <connection id="4" xr16:uid="{89137CD1-170E-4D94-9066-E7C4A38F6584}" keepAlive="1" name="Query - TInspectieW" description="Verbinding maken met de query TInspectieW in de werkmap." type="5" refreshedVersion="0" background="1">
    <dbPr connection="Provider=Microsoft.Mashup.OleDb.1;Data Source=$Workbook$;Location=TInspectieW;Extended Properties=&quot;&quot;" command="SELECT * FROM [TInspectieW]"/>
  </connection>
  <connection id="5" xr16:uid="{55CB9A47-7857-4410-8F1F-1684E63C3D98}" keepAlive="1" name="Query - TInventB" description="Verbinding maken met de query TInventB in de werkmap." type="5" refreshedVersion="0" background="1">
    <dbPr connection="Provider=Microsoft.Mashup.OleDb.1;Data Source=$Workbook$;Location=TInventB;Extended Properties=&quot;&quot;" command="SELECT * FROM [TInventB]"/>
  </connection>
  <connection id="6" xr16:uid="{E040E049-E13E-41F5-BFB2-FDCAA9FD4749}" keepAlive="1" name="Query - TInventE" description="Verbinding maken met de query TInventE in de werkmap." type="5" refreshedVersion="0" background="1">
    <dbPr connection="Provider=Microsoft.Mashup.OleDb.1;Data Source=$Workbook$;Location=TInventE;Extended Properties=&quot;&quot;" command="SELECT * FROM [TInventE]"/>
  </connection>
  <connection id="7" xr16:uid="{BFBE10E6-EE56-46D2-B2A4-D1130FD5B42E}" keepAlive="1" name="Query - TInventTotaal" description="Verbinding maken met de query TInventTotaal in de werkmap." type="5" refreshedVersion="8" background="1" saveData="1">
    <dbPr connection="Provider=Microsoft.Mashup.OleDb.1;Data Source=$Workbook$;Location=TInventTotaal;Extended Properties=&quot;&quot;" command="SELECT * FROM [TInventTotaal]"/>
  </connection>
  <connection id="8" xr16:uid="{B626DC49-BA7D-4453-9323-D95BC18F46ED}" keepAlive="1" name="Query - TInventW" description="Verbinding maken met de query TInventW in de werkmap." type="5" refreshedVersion="0" background="1">
    <dbPr connection="Provider=Microsoft.Mashup.OleDb.1;Data Source=$Workbook$;Location=TInventW;Extended Properties=&quot;&quot;" command="SELECT * FROM [TInventW]"/>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<sst xmlns="http://schemas.openxmlformats.org/spreadsheetml/2006/main" count="8808" uniqueCount="1762">
  <si>
    <t>Uniek ID</t>
  </si>
  <si>
    <t>Object</t>
  </si>
  <si>
    <t>Gebouwcategorie</t>
  </si>
  <si>
    <t>Hoofdgebruiker</t>
  </si>
  <si>
    <t>m² BVO</t>
  </si>
  <si>
    <t>Batch</t>
  </si>
  <si>
    <t>FA1</t>
  </si>
  <si>
    <t>FA2</t>
  </si>
  <si>
    <t>FA3</t>
  </si>
  <si>
    <t>FA4</t>
  </si>
  <si>
    <t>FA5</t>
  </si>
  <si>
    <t>FA6</t>
  </si>
  <si>
    <t>FA7</t>
  </si>
  <si>
    <t>FA8</t>
  </si>
  <si>
    <t>FB1</t>
  </si>
  <si>
    <t>FB2</t>
  </si>
  <si>
    <t>FB3</t>
  </si>
  <si>
    <t>FB4</t>
  </si>
  <si>
    <t>FB5</t>
  </si>
  <si>
    <t>FB6</t>
  </si>
  <si>
    <t>FB7</t>
  </si>
  <si>
    <t>FB8</t>
  </si>
  <si>
    <t>FC1</t>
  </si>
  <si>
    <t>FC2</t>
  </si>
  <si>
    <t>FC3</t>
  </si>
  <si>
    <t>FC4</t>
  </si>
  <si>
    <t>FC5</t>
  </si>
  <si>
    <t>FD1</t>
  </si>
  <si>
    <t>FD2</t>
  </si>
  <si>
    <t>FD3</t>
  </si>
  <si>
    <t>FD4</t>
  </si>
  <si>
    <t>FD5</t>
  </si>
  <si>
    <t>FD6</t>
  </si>
  <si>
    <t>FD7</t>
  </si>
  <si>
    <t>FD8</t>
  </si>
  <si>
    <t>FD9</t>
  </si>
  <si>
    <t>FD10</t>
  </si>
  <si>
    <t>FD11</t>
  </si>
  <si>
    <t>FD12</t>
  </si>
  <si>
    <t>FD13</t>
  </si>
  <si>
    <t>FD14</t>
  </si>
  <si>
    <t>FD15</t>
  </si>
  <si>
    <t>FE1</t>
  </si>
  <si>
    <t>FE2</t>
  </si>
  <si>
    <t>FE3</t>
  </si>
  <si>
    <t>FE4</t>
  </si>
  <si>
    <t>FE5</t>
  </si>
  <si>
    <t>FE6</t>
  </si>
  <si>
    <t>FF1</t>
  </si>
  <si>
    <t>FF2</t>
  </si>
  <si>
    <t>FG1</t>
  </si>
  <si>
    <t>FG2</t>
  </si>
  <si>
    <t>FG3</t>
  </si>
  <si>
    <t>FG4</t>
  </si>
  <si>
    <t>FG5</t>
  </si>
  <si>
    <t>FH1</t>
  </si>
  <si>
    <t>FH2</t>
  </si>
  <si>
    <t>FH3</t>
  </si>
  <si>
    <t>FH4</t>
  </si>
  <si>
    <t>FH5</t>
  </si>
  <si>
    <t>FH6</t>
  </si>
  <si>
    <t>FH7</t>
  </si>
  <si>
    <t>FH8</t>
  </si>
  <si>
    <t>FH9</t>
  </si>
  <si>
    <t>FI1</t>
  </si>
  <si>
    <t>FI2</t>
  </si>
  <si>
    <t>FI3</t>
  </si>
  <si>
    <t>FI4</t>
  </si>
  <si>
    <t>FI5</t>
  </si>
  <si>
    <t>FI6</t>
  </si>
  <si>
    <t>FJ1</t>
  </si>
  <si>
    <t>FK1</t>
  </si>
  <si>
    <t>GA1</t>
  </si>
  <si>
    <t>GB1</t>
  </si>
  <si>
    <t>GB2</t>
  </si>
  <si>
    <t>GB3</t>
  </si>
  <si>
    <t>GB4</t>
  </si>
  <si>
    <t>GB5</t>
  </si>
  <si>
    <t>GB6</t>
  </si>
  <si>
    <t>GB7</t>
  </si>
  <si>
    <t>GB8</t>
  </si>
  <si>
    <t>GC1</t>
  </si>
  <si>
    <t>GC2</t>
  </si>
  <si>
    <t>GC3</t>
  </si>
  <si>
    <t>GC4</t>
  </si>
  <si>
    <t>GC5</t>
  </si>
  <si>
    <t>GC6</t>
  </si>
  <si>
    <t>GC7</t>
  </si>
  <si>
    <t>GC8</t>
  </si>
  <si>
    <t>GD1</t>
  </si>
  <si>
    <t>GD2</t>
  </si>
  <si>
    <t>GD3</t>
  </si>
  <si>
    <t>GD4</t>
  </si>
  <si>
    <t>GD5</t>
  </si>
  <si>
    <t>GD6</t>
  </si>
  <si>
    <t>GD7</t>
  </si>
  <si>
    <t>GE1</t>
  </si>
  <si>
    <t>GE2</t>
  </si>
  <si>
    <t>GE3</t>
  </si>
  <si>
    <t>GF1</t>
  </si>
  <si>
    <t>GF2</t>
  </si>
  <si>
    <t>GF3</t>
  </si>
  <si>
    <t>GF4</t>
  </si>
  <si>
    <t>GF5</t>
  </si>
  <si>
    <t>GF6</t>
  </si>
  <si>
    <t>GF7</t>
  </si>
  <si>
    <t>GF8</t>
  </si>
  <si>
    <t>GF9</t>
  </si>
  <si>
    <t>GF10</t>
  </si>
  <si>
    <t>GF11</t>
  </si>
  <si>
    <t>GF12</t>
  </si>
  <si>
    <t>GF13</t>
  </si>
  <si>
    <t>GF14</t>
  </si>
  <si>
    <t>GF15</t>
  </si>
  <si>
    <t>GG1</t>
  </si>
  <si>
    <t>GG2</t>
  </si>
  <si>
    <t>GG3</t>
  </si>
  <si>
    <t>GG4</t>
  </si>
  <si>
    <t>GH1</t>
  </si>
  <si>
    <t>PA1</t>
  </si>
  <si>
    <t>PA2</t>
  </si>
  <si>
    <t>PA3</t>
  </si>
  <si>
    <t>PA4</t>
  </si>
  <si>
    <t>PA5</t>
  </si>
  <si>
    <t>PB1</t>
  </si>
  <si>
    <t>PB2</t>
  </si>
  <si>
    <t>PC1</t>
  </si>
  <si>
    <t>PC2</t>
  </si>
  <si>
    <t>PC3</t>
  </si>
  <si>
    <t>PD1</t>
  </si>
  <si>
    <t>PD2</t>
  </si>
  <si>
    <t>PD3</t>
  </si>
  <si>
    <t>PD4</t>
  </si>
  <si>
    <t>PD5</t>
  </si>
  <si>
    <t>PD6</t>
  </si>
  <si>
    <t>PD7</t>
  </si>
  <si>
    <t>PD8</t>
  </si>
  <si>
    <t>PD9</t>
  </si>
  <si>
    <t>PE1</t>
  </si>
  <si>
    <t>PE2</t>
  </si>
  <si>
    <t>PE3</t>
  </si>
  <si>
    <t>PE4</t>
  </si>
  <si>
    <t>PE5</t>
  </si>
  <si>
    <t>PE6</t>
  </si>
  <si>
    <t>PE7</t>
  </si>
  <si>
    <t>PE8</t>
  </si>
  <si>
    <t>PF1</t>
  </si>
  <si>
    <t>PF2</t>
  </si>
  <si>
    <t>PF3</t>
  </si>
  <si>
    <t>PG1</t>
  </si>
  <si>
    <t>PG2</t>
  </si>
  <si>
    <t>PG3</t>
  </si>
  <si>
    <t>PH1</t>
  </si>
  <si>
    <t>PH2</t>
  </si>
  <si>
    <t>PH3</t>
  </si>
  <si>
    <t>Complexnaam</t>
  </si>
  <si>
    <t>Plaats</t>
  </si>
  <si>
    <t>Gemeente</t>
  </si>
  <si>
    <t>Bouwjaar</t>
  </si>
  <si>
    <t>Gebouwsoort</t>
  </si>
  <si>
    <t>O</t>
  </si>
  <si>
    <t>U</t>
  </si>
  <si>
    <t>R</t>
  </si>
  <si>
    <t>V</t>
  </si>
  <si>
    <t>G</t>
  </si>
  <si>
    <t>GEBOUWGEGEVENS</t>
  </si>
  <si>
    <t>Gebouw</t>
  </si>
  <si>
    <t>Status per maatregel</t>
  </si>
  <si>
    <t>Code</t>
  </si>
  <si>
    <t>Categorie</t>
  </si>
  <si>
    <t>Maatregel</t>
  </si>
  <si>
    <t>Vergroot de persluchtbuffer.</t>
  </si>
  <si>
    <t>Plaats een afsluiter met tijdschakelaar om verlies van perslucht buiten bedrijfstijden te beperken.</t>
  </si>
  <si>
    <t>Pas een flow-drukregelaar toe in het persluchtnet.</t>
  </si>
  <si>
    <t>Plaats een luchtkanaal zodat de persluchtcompressor (koude) buitenlucht aanzuigt.</t>
  </si>
  <si>
    <t>Gebruik zuinige persluchtgereedschappen.</t>
  </si>
  <si>
    <t>Gebruik elektrisch handgereedschap als vervanging voor pneumatisch aangedreven gereedschap.</t>
  </si>
  <si>
    <t>Gebruik een blower voor het schoonblazen in plaats van perslucht.</t>
  </si>
  <si>
    <t>Vervang de regelklepbediening op basis van perslucht door elektrische aandrijvingen.</t>
  </si>
  <si>
    <t>Verlaag de stoomdruk van het centrale stoomnet.</t>
  </si>
  <si>
    <t>Gebruik een economiser om warmte uit de rookgassen van de stoomketel nuttig in te zetten.</t>
  </si>
  <si>
    <t>Gebruik een rookgascondensor om warmte uit de rookgassen van de stoomketel nuttig in te zetten.</t>
  </si>
  <si>
    <t>Vervang stoom als middel voor ruimteverwarming.</t>
  </si>
  <si>
    <t>Isoleer ongeïsoleerde warme delen van de stoomketel.</t>
  </si>
  <si>
    <t>Isoleer stoomleidingen en appendages.</t>
  </si>
  <si>
    <t>Pas een omgekeerde osmose (RO)-installatie toe om de ketelwaterkwaliteit te verbeteren.</t>
  </si>
  <si>
    <t>Plaats een warmtewisselaar bij de uitgang van een heetwaterproces.</t>
  </si>
  <si>
    <t>Pas een frequentieregeling toe op machines.</t>
  </si>
  <si>
    <t>Pas een frequentieregeling op pompen toe.</t>
  </si>
  <si>
    <t>Pas een frequentieregeling toe op compressoren van onder andere de koel-, vries- en persluchtinstallaties.</t>
  </si>
  <si>
    <t>Vervang elektromotoren met efficiëntieklasse IE2 of lager door een motor met efficiëntieklasse IE4 of hoger.</t>
  </si>
  <si>
    <t>Vervang IE3-elektromotoren door efficiëntieklasse IE4 of hoger.</t>
  </si>
  <si>
    <t>Gebruik een alternatief voor elektrische verwarming aan de binnenzijde van de glazen deur van een verticaal vriesmeubel.</t>
  </si>
  <si>
    <t>Plaats deuren voor verticale koelmeubels.</t>
  </si>
  <si>
    <t>Pas nachtafdekking toe bij semi-verticale koelmeubels.</t>
  </si>
  <si>
    <t>Plaats dagafdekking op horizontale vriesmeubels.</t>
  </si>
  <si>
    <t>Isoleer koel- en vriesleidingen.</t>
  </si>
  <si>
    <t>Koppel de verdamperventilator aan de vriesceldeur.</t>
  </si>
  <si>
    <t>Isoleer de wanden van koelcellen om warmte buiten te houden.</t>
  </si>
  <si>
    <t>Regel de verdamperventilatoren van koelcellen op basis van meerdere temperatuursensoren.</t>
  </si>
  <si>
    <t>Pas een frequentieregelaar toe om het circulatievoud te regelen bij gekoelde opslag van producten.</t>
  </si>
  <si>
    <t>Scheid de luchttoevoer naar de koelinstallatie van de warme lucht uit de koelinstallatie.</t>
  </si>
  <si>
    <t>Pas een condensordrukregeling op buitenluchttemperatuur toe op de koelinstallatie.</t>
  </si>
  <si>
    <t>Gebruik de restwarmte van de condensors van de koelinstallatie.</t>
  </si>
  <si>
    <t>Pas dagafdekking toe bij semi-verticale koelmeubels.</t>
  </si>
  <si>
    <t>Plaats LED-armaturen in gekoelde cellen.</t>
  </si>
  <si>
    <t>Pas heetgasontdooiing toe op de vriesinstallatie.</t>
  </si>
  <si>
    <t>Vervang de infrarood-salamander door een salamander met automatische pan/bord detectie.</t>
  </si>
  <si>
    <t>Pas hot-fill toe bij bestaande vaatwasapparatuur in grootkeukens.</t>
  </si>
  <si>
    <t>Pas een dubbelwandige vaatwasser toe in grootkeukens.</t>
  </si>
  <si>
    <t>Pas een laagdebiet afzuigkap toe bij grootkeukens.</t>
  </si>
  <si>
    <t>Pas een elektrisch frituurtoestel toe in plaats van een gasgestookt toestel.</t>
  </si>
  <si>
    <t>Pas een elektrische combisteamer toe in plaats van een gasgestookte variant.</t>
  </si>
  <si>
    <t>Pas een rookgasklep toe in het rookgaskanaal van de gasgestookte oven om warmteverlies te beperken.</t>
  </si>
  <si>
    <t>Pas modulerende branders in ovens toe.</t>
  </si>
  <si>
    <t>Plaats een tijdklok samen met een daglichtregeling als de verlichting op vaste tijden moet branden terwijl het donker is.</t>
  </si>
  <si>
    <t>Plaats een bewegingssensor op plaatsen waar de lampen niet altijd aan hoeven te zijn.</t>
  </si>
  <si>
    <t>Plaats extra schakelaars voor de veldverlichting per veld.</t>
  </si>
  <si>
    <t>Vervang op een lichtmast de armaturen met spaarlampen of gasontladingslampen door LED-armaturen.</t>
  </si>
  <si>
    <t>Vervang bij terreinverlichting zonder mast de armaturen met gasontladingslampen door LED-armaturen.</t>
  </si>
  <si>
    <t>Vervang in bestaande kozijnen en ramen in de zwembadruimte het enkelglas door HR++ glas.</t>
  </si>
  <si>
    <t>Pas isolatie toe op ongeïsoleerde zwembadwaterleidingen in een zwembad.</t>
  </si>
  <si>
    <t>Dek het zwembad af met zwembadafdekking buiten de openingstijden.</t>
  </si>
  <si>
    <t>Plaats een glijbaanafsluiter op de uitgang van de waterglijbaan, die deels buiten de gebouwschil loopt.</t>
  </si>
  <si>
    <t>Isoleer de wanden van het zwembassin.</t>
  </si>
  <si>
    <t>Win warmte terug uit het spoelwater door gebruik te maken van een spoelwaterbuffer.</t>
  </si>
  <si>
    <t>Pas een HR-ketel toe voor zwembadwaterverwarming.</t>
  </si>
  <si>
    <t>Verbeter de isolatie van het dak van het zwembad.</t>
  </si>
  <si>
    <t>Pas een efficiënte warmtewisselaar toe op de balansventilatie van het zwembad.</t>
  </si>
  <si>
    <t>Pas virtualisatie en consolidatie toe bij servers.</t>
  </si>
  <si>
    <t>Stel geautomatiseerd energiebeheer in op servers</t>
  </si>
  <si>
    <t>Neem een laagbelaste Uninterrupted Power Supply (UPS) uit bedrijf.</t>
  </si>
  <si>
    <t>Pas een buitenluchtklep toe voor koeling van de serverruimte.</t>
  </si>
  <si>
    <t>Pas een energiezuinige koelinstallatie toe voor de koeling van serverruimten.</t>
  </si>
  <si>
    <t>Breng een scheiding aan tussen de koude aanvoerlucht en de warme afvoerlucht in de datazaal.</t>
  </si>
  <si>
    <t>Pas aanbodafhankelijke regeling met twee snelheden of met onderbrekende roltrapbesturing toe.</t>
  </si>
  <si>
    <t>Plaats zonnepanelen op het dak.</t>
  </si>
  <si>
    <t>Pas een automatisch energieregistratie- en bewakingssysteem (EBS) met rapportagefunctie toe.</t>
  </si>
  <si>
    <t>Isoleer spouwmuren van gebouwen.</t>
  </si>
  <si>
    <t>Isoleer platte daken (bovenop de dakbedekking).</t>
  </si>
  <si>
    <t>Pas een automatisch sluitmechanisme toe bij overheaddeuren.</t>
  </si>
  <si>
    <t>Isoleer platte daken (onder de dakbedekking).</t>
  </si>
  <si>
    <t>Vervang in bestaande kozijnen en ramen het enkelglas door HR++ glas.</t>
  </si>
  <si>
    <t>Vervang in bestaande kozijnen en ramen dubbelglas door HR++-glas.</t>
  </si>
  <si>
    <t>Gebruik opblaasbare luchtkussens bij een vrachtwagendocking.</t>
  </si>
  <si>
    <t>Plaats een loopdeur in overheaddeuren.</t>
  </si>
  <si>
    <t>Pas een klokregeling toe en regel deze in.</t>
  </si>
  <si>
    <t>Pas naast de bestaande verwarmingsketel een elektrische warmtepomp toe.</t>
  </si>
  <si>
    <t>Pas een weersafhankelijke regeling toe.</t>
  </si>
  <si>
    <t>Isoleer de verwarmingsleidingen en appendages in niet of beperkt verwarmde ruimtes.</t>
  </si>
  <si>
    <t>Isoleer ventilatiekanalen in onverwarmde ruimtes.</t>
  </si>
  <si>
    <t>Pas een individuele regeling van de temperatuur per ruimte toe.</t>
  </si>
  <si>
    <t>Pas frequentiegeregelde circulatiepompen toe.</t>
  </si>
  <si>
    <t>Vervang directgestookte gasheaters in bedrijfshallen door directgestookte HR-gasheaters.</t>
  </si>
  <si>
    <t>Pas een klokregeling toe op het ventilatiesysteem.</t>
  </si>
  <si>
    <t>Pas warmteterugwinning toe op een balansventilatiesysteem.</t>
  </si>
  <si>
    <t>Vervang ventilatoren van klasse IE1 door ventilatoren van klasse IE4 of hoger.</t>
  </si>
  <si>
    <t>Vervang indirect gedreven IE1-slakkenhuisventilatoren door direct gedreven ventilatoren.</t>
  </si>
  <si>
    <t>Vervang indirect gedreven IE2-slakkenhuisventilatoren door direct gedreven ventilatoren.</t>
  </si>
  <si>
    <t>Vervang indirect gedreven IE3 slakkenhuisventilatoren door direct gedreven ventilatoren.</t>
  </si>
  <si>
    <t>Vervang ventilatoren van klasse IE2 of IE3 door ventilatoren van klasse IE4 of hoger.</t>
  </si>
  <si>
    <t>Isoleer warmwaterleidingen en appendages.</t>
  </si>
  <si>
    <t>Gebruik waterbesparende douchekoppen.</t>
  </si>
  <si>
    <t>Vervang bij een indirect verwarmd voorraadvat de bestaande ketel door een HR-ketel.</t>
  </si>
  <si>
    <t>Pas een regeling toe op de verlichting, zodat deze buiten gebruikstijden niet onnodig brandt.</t>
  </si>
  <si>
    <t>Vervang TL8-buizen door LED-buizen.</t>
  </si>
  <si>
    <t>Vervang TL5-fluorescentiebuizen door LED-buizen.</t>
  </si>
  <si>
    <t>Vervang gloei-, halogeen- en spaarlampen door LED-lampen.</t>
  </si>
  <si>
    <t>Vervang gasontladingslampen door LED-lampen.</t>
  </si>
  <si>
    <t>Vervang montagebalken en lichtlijnen met TL8-buizen door LED-armaturen.</t>
  </si>
  <si>
    <t>Vervang plafondspots met spaarlampen door LED-spots.</t>
  </si>
  <si>
    <t>Vervang wandarmaturen met spaarlampen door LED-wandarmaturen.</t>
  </si>
  <si>
    <t>Vervang wandarmaturen met halogeenlampen door LED-wandarmaturen.</t>
  </si>
  <si>
    <t>Vervang spots met halogeenlampen door LED-spots.</t>
  </si>
  <si>
    <t>Vervang railspots met halogeenlampen door LED-railspots.</t>
  </si>
  <si>
    <t>Vervang railspots met gasontladingslampen door LED-railspots.</t>
  </si>
  <si>
    <t>Vervang pendelarmaturen en opbouwarmaturen met gasontladingslampen door LED-armaturen.</t>
  </si>
  <si>
    <t>Vervang ingebouwde plafondarmaturen met TL8-buizen door LED-armaturen.</t>
  </si>
  <si>
    <t>Vervang vluchtwegsignaleringsarmaturen met TL-buizen of spaarlampen door LED-armaturen.</t>
  </si>
  <si>
    <t>Vervang armaturen met TL8-buizen door LED-armaturen.</t>
  </si>
  <si>
    <t>Vervang wandarmaturen met halogeenlampen door LED-armaturen.</t>
  </si>
  <si>
    <t>Vervang wandarmaturen met spaarlampen door LED-armaturen.</t>
  </si>
  <si>
    <t>Vervang armaturen met gasontladingslampen door LED-armaturen.</t>
  </si>
  <si>
    <t>Pas een omschakelmodule toe voor de ventilatiestand van de spuitcabine.</t>
  </si>
  <si>
    <t>Win de warmte terug uit de ventilatielucht van de spuitcabine.</t>
  </si>
  <si>
    <t>Pas een openbrandersysteem toe voor de verwarming van de spuitcabine.</t>
  </si>
  <si>
    <t>Gebruik hangschakelaars voor het spuitpistool om de afzuiging van de spuitcabine te beperken.</t>
  </si>
  <si>
    <t>Pas infrarooddrogers toe als droogsysteem voor spotreparaties.</t>
  </si>
  <si>
    <t>Pas vermogensregeling toe op de ventilatietoevoer naar de droogkamer.</t>
  </si>
  <si>
    <t>Pas een vochtsensor inclusief regeling toe in de uittredelucht van droogprocessen.</t>
  </si>
  <si>
    <t>Pas een warmtepomp toe voor de verwarming van een procesbad.</t>
  </si>
  <si>
    <t>Isoleer de wanden van een verwarmd procesbad.</t>
  </si>
  <si>
    <t>Dek warme procesbaden af om het warmteverlies te beperken.</t>
  </si>
  <si>
    <t>Optimaliseer de procesparameters van procesapparatuur.</t>
  </si>
  <si>
    <t>Zuig warme lucht af bij grote warmteproducerende apparaten zodat de ruimte minder hoeft te worden gekoeld.</t>
  </si>
  <si>
    <t>Regel het luchtafzuigdebiet bij droog- en moffelovens op basis van de bezettingsgraad.</t>
  </si>
  <si>
    <t>Pas een hoogfrequente HR-lader toe voor het opladen van tractiebatterijen.</t>
  </si>
  <si>
    <t>Plaats een filter op de afvoerlucht van de snipperafzuiger en blaas de afgezogen lucht terug de ruimte in.</t>
  </si>
  <si>
    <t>Pas een frequentieregelaar toe op de ventilator van de centrale stofafzuiging.</t>
  </si>
  <si>
    <t>Plaats een stopknop om het onnodig aanstaan van het centraal stofzuigersysteem te voorkomen.</t>
  </si>
  <si>
    <t>Plaats een frequentieregelaar om het opgenomen vermogen van het centrale vacuümsysteem te beperken.</t>
  </si>
  <si>
    <t>Vervang aanwezige verlichting op of nabij procesapparatuur door LED-verlichting.</t>
  </si>
  <si>
    <t>Plaats aanvullende platen in de platenwarmtewisselaar om de warmteoverdracht te vergroten.</t>
  </si>
  <si>
    <t>Isoleer warme productleidingen en appendages.</t>
  </si>
  <si>
    <t>Isoleer de wanden van hoge temperatuur procesvaten om warmteverlies te beperken.</t>
  </si>
  <si>
    <t>Isoleer de wanden van verwarmde opslagtanks.</t>
  </si>
  <si>
    <t>Pas een elektrische verwarmingsmantel toe voor IBC-containers.</t>
  </si>
  <si>
    <t>Gebruik het water uit de sterilisatiecyclus voor verwarming en koeling van het sterilisatiewater.</t>
  </si>
  <si>
    <t>Gebruik de restwarmte uit het blancheerproces door het plaatsen van een warmtewisselaar.</t>
  </si>
  <si>
    <t>Gebruik de warmte van folieblazen nuttig voor de verwarming van een dichtbijgelegen ruimte.</t>
  </si>
  <si>
    <t>Plaats een warmtewisselaar om de restwarmte in koelwater te benutten.</t>
  </si>
  <si>
    <t>Pas een drycooler toe voor de koeling van procesapparatuur.</t>
  </si>
  <si>
    <t>Pas voorkoeling met (leiding)water toe in een proces met ijswaterkoeling.</t>
  </si>
  <si>
    <t>Pas een voorkoeler met koud (leiding)water toe bij het koelen van melk.</t>
  </si>
  <si>
    <t>Pas een frequentieregelaar toe om het vermogen van de vacuümpomp van de melkinstallatie te beperken.</t>
  </si>
  <si>
    <t>Pas een energiezuinige regeling toe op infrarood warmtelampen.</t>
  </si>
  <si>
    <t>Stel een hogere koeltemperatuur in voor de koeling van servers.</t>
  </si>
  <si>
    <t>Pas een frequentieregelaar toe om het vermogen van de zaalkoelers te beperken.</t>
  </si>
  <si>
    <t>Pas vrije koeling toe bij de koelinstallatie in het datacentrum.</t>
  </si>
  <si>
    <t>Perslucht</t>
  </si>
  <si>
    <t>Faciliteiten</t>
  </si>
  <si>
    <t>Processen</t>
  </si>
  <si>
    <t>Type</t>
  </si>
  <si>
    <t>Stoom</t>
  </si>
  <si>
    <t>Aandrijvingen</t>
  </si>
  <si>
    <t>Productkoeling</t>
  </si>
  <si>
    <t>Grootkeukenapparatuur</t>
  </si>
  <si>
    <t>Ovens</t>
  </si>
  <si>
    <t>Terreinverlichting</t>
  </si>
  <si>
    <t>Zwembad</t>
  </si>
  <si>
    <t>Serverruimte</t>
  </si>
  <si>
    <t>Roltrap</t>
  </si>
  <si>
    <t>Zonnepanelen</t>
  </si>
  <si>
    <t>Energiebeheersysteem</t>
  </si>
  <si>
    <t>Isolatie van de schil</t>
  </si>
  <si>
    <t>Ruimteverwarming</t>
  </si>
  <si>
    <t>Ruimteventilatie</t>
  </si>
  <si>
    <t>Warm tapwater</t>
  </si>
  <si>
    <t>Binnenverlichting</t>
  </si>
  <si>
    <t>Buitenverlichting</t>
  </si>
  <si>
    <t>Natlakspuitcabines</t>
  </si>
  <si>
    <t>Drogen</t>
  </si>
  <si>
    <t>Procesbaden</t>
  </si>
  <si>
    <t>Procesapparatuur</t>
  </si>
  <si>
    <t>Proceswarmte</t>
  </si>
  <si>
    <t>Proceskoeling</t>
  </si>
  <si>
    <t>Veehouderijen</t>
  </si>
  <si>
    <t>Datacentrum</t>
  </si>
  <si>
    <t>Status</t>
  </si>
  <si>
    <t>Plicht</t>
  </si>
  <si>
    <t>Objectgegevens</t>
  </si>
  <si>
    <t>Gebouwgegevens</t>
  </si>
  <si>
    <t>Gebouwnummer</t>
  </si>
  <si>
    <t>Monumentenstatus</t>
  </si>
  <si>
    <t>Bureaustudie</t>
  </si>
  <si>
    <t>Aantal</t>
  </si>
  <si>
    <t>Schouw</t>
  </si>
  <si>
    <t xml:space="preserve">Aantal </t>
  </si>
  <si>
    <t>Niet van toepassing</t>
  </si>
  <si>
    <t>Toelichting</t>
  </si>
  <si>
    <t>Gebouwen</t>
  </si>
  <si>
    <t>Datum</t>
  </si>
  <si>
    <t>Uitgevoerd door</t>
  </si>
  <si>
    <t>Bedrijf</t>
  </si>
  <si>
    <t>Invullen</t>
  </si>
  <si>
    <t>Legenda</t>
  </si>
  <si>
    <t>Volledig uitgevoerd</t>
  </si>
  <si>
    <t>Gedeeltelijk uitgevoerd</t>
  </si>
  <si>
    <t>X</t>
  </si>
  <si>
    <t>(Nog) niet uitgevoerd</t>
  </si>
  <si>
    <t>A</t>
  </si>
  <si>
    <t>Alternatief uitgevoerd</t>
  </si>
  <si>
    <t>NM</t>
  </si>
  <si>
    <t>Natuurlijk moment (nog) niet voorgedaan</t>
  </si>
  <si>
    <t>In uitvoering</t>
  </si>
  <si>
    <t>Niet voldaan aan randvoorwaarden (technisch en/of economisch)</t>
  </si>
  <si>
    <t>Onderzoeksplicht, niet van toepassing</t>
  </si>
  <si>
    <t>SCHOUWDATA</t>
  </si>
  <si>
    <t>Door RVB invullen</t>
  </si>
  <si>
    <t>x</t>
  </si>
  <si>
    <t>B</t>
  </si>
  <si>
    <t>E</t>
  </si>
  <si>
    <t>W</t>
  </si>
  <si>
    <t>T</t>
  </si>
  <si>
    <t>?</t>
  </si>
  <si>
    <t>menukeuzes</t>
  </si>
  <si>
    <t>niet aanwezig</t>
  </si>
  <si>
    <t>In beheer bij Defensie</t>
  </si>
  <si>
    <t>voldoet aan gestelde eisen</t>
  </si>
  <si>
    <t>FK1/GH1</t>
  </si>
  <si>
    <t>uitgevoerde deel ... %</t>
  </si>
  <si>
    <t>uit te voeren acties: ...</t>
  </si>
  <si>
    <r>
      <t>geen 2.000 m</t>
    </r>
    <r>
      <rPr>
        <vertAlign val="superscript"/>
        <sz val="11"/>
        <color theme="1"/>
        <rFont val="Aptos Narrow"/>
        <family val="2"/>
        <scheme val="minor"/>
      </rPr>
      <t>2</t>
    </r>
    <r>
      <rPr>
        <sz val="11"/>
        <color theme="1"/>
        <rFont val="Aptos Narrow"/>
        <family val="2"/>
        <scheme val="minor"/>
      </rPr>
      <t xml:space="preserve"> beschikbaar</t>
    </r>
  </si>
  <si>
    <t>geen geschikt dak</t>
  </si>
  <si>
    <t>onvoldoende (transport-) capaciteit</t>
  </si>
  <si>
    <t>ZM</t>
  </si>
  <si>
    <t>In beheer bij RVB</t>
  </si>
  <si>
    <t>In beheer bij RVB/Defensie</t>
  </si>
  <si>
    <t>EML code</t>
  </si>
  <si>
    <r>
      <t>compressor &gt; 45 kW en/of persluchtgebruik &gt; 7 m</t>
    </r>
    <r>
      <rPr>
        <vertAlign val="superscript"/>
        <sz val="11"/>
        <color theme="1"/>
        <rFont val="Aptos Narrow"/>
        <family val="2"/>
        <scheme val="minor"/>
      </rPr>
      <t>3</t>
    </r>
    <r>
      <rPr>
        <sz val="11"/>
        <color theme="1"/>
        <rFont val="Aptos Narrow"/>
        <family val="2"/>
        <scheme val="minor"/>
      </rPr>
      <t>/min.</t>
    </r>
  </si>
  <si>
    <t>compressor &gt; 5 meter van buitenmuur</t>
  </si>
  <si>
    <t>bedrijfsuren &lt; 3.700 / jaar (14 uur/werkdag - 5 daagse werkweek of 10 uur/elke dag)</t>
  </si>
  <si>
    <t>bedrijfsuren &lt; 3.000 / jaar (11,5 uur/werkdag - 5 daagse werkweek of 8 uur/elke dag)</t>
  </si>
  <si>
    <t>geen centrale persluchtnet aanwezig</t>
  </si>
  <si>
    <t>persluchtcompressor &lt;7,5 kW en/of geen warme aanzuig lucht</t>
  </si>
  <si>
    <t>geen centrale toerengeregelde persluchtcompressor(en) en buffervat aanwezig</t>
  </si>
  <si>
    <t>geen centrale persluchtnet aanwezig dat ook buiten werktijden aan staat</t>
  </si>
  <si>
    <t>geen centraal stoomnet aanwezig</t>
  </si>
  <si>
    <t>druk stoomnet is gelijk of lager dan vereiste druk aangesloten apparatuur</t>
  </si>
  <si>
    <t>stoomdruk &lt; 6 uur/dag</t>
  </si>
  <si>
    <t>stoomafnemers kunnen lagere stoomdruk niet aan</t>
  </si>
  <si>
    <t>leidingen zijn niet geschilt voor hogere stromingssnelheden</t>
  </si>
  <si>
    <t>stoomdruk &lt; 4 bar</t>
  </si>
  <si>
    <t>stoomdruk kan niet met 10% worden verlaagd</t>
  </si>
  <si>
    <r>
      <t>rookgastemparatuur na economiser &lt; 130</t>
    </r>
    <r>
      <rPr>
        <sz val="11"/>
        <color theme="1"/>
        <rFont val="Calibri"/>
        <family val="2"/>
      </rPr>
      <t>°</t>
    </r>
    <r>
      <rPr>
        <sz val="11"/>
        <color theme="1"/>
        <rFont val="Aptos Narrow"/>
        <family val="2"/>
        <scheme val="minor"/>
      </rPr>
      <t>C</t>
    </r>
  </si>
  <si>
    <t>geen koud suppletiewater (10-20°C) aanwezig</t>
  </si>
  <si>
    <t>suppletiewaterdebiet &lt; 80% van massastroom stoom</t>
  </si>
  <si>
    <t>geen warmtevraag CV of schoonmaakwater aanwezig</t>
  </si>
  <si>
    <t>geen stoomgevoede luchtverhitter aanwezig</t>
  </si>
  <si>
    <t>geen gasaansluiting binnen 50 meter aanwezig</t>
  </si>
  <si>
    <t>huidige elektriciteitsaansluiting niet geschikt voor alternatief</t>
  </si>
  <si>
    <t>brandbare stof in ruimte aanwezig</t>
  </si>
  <si>
    <t>rookgasafvoer kan niet direct door dak</t>
  </si>
  <si>
    <t>FB5/FB6</t>
  </si>
  <si>
    <t>water/spui verversing &lt;10%</t>
  </si>
  <si>
    <t>er is geen opstelruimte beschikbaar</t>
  </si>
  <si>
    <r>
      <t>heetwaterverbruik &lt; 500 m</t>
    </r>
    <r>
      <rPr>
        <vertAlign val="superscript"/>
        <sz val="11"/>
        <color theme="1"/>
        <rFont val="Aptos Narrow"/>
        <family val="2"/>
        <scheme val="minor"/>
      </rPr>
      <t>3</t>
    </r>
    <r>
      <rPr>
        <sz val="11"/>
        <color theme="1"/>
        <rFont val="Aptos Narrow"/>
        <family val="2"/>
        <scheme val="minor"/>
      </rPr>
      <t>/jaar</t>
    </r>
  </si>
  <si>
    <t>bedrijfsuren &lt; 1.500 / jaar (5,5 uur/werkdag - 5 daagse werkweek of 4 uur/elke dag)</t>
  </si>
  <si>
    <t>bestaande pomp &lt;4 kW en/of elektromotor beter dan IE2</t>
  </si>
  <si>
    <t>geen ruimte in regelkast</t>
  </si>
  <si>
    <t>geen ruimte bij elektromotor</t>
  </si>
  <si>
    <t>draaiuren &lt; 4.100 / jaar (15,5 uur/werkdag - 5 daagse werkweek of 11 uur/elke dag)</t>
  </si>
  <si>
    <t>bestaande pomp &lt;8 kW en/of elektromotor beter dan IE2</t>
  </si>
  <si>
    <t>draaiuren &lt; 1.300 / jaar (5 uur/werkdag - 5 daagse werkweek of 3,5 uur/elke dag)</t>
  </si>
  <si>
    <t>doorgeschoven naar natuurlijk moment</t>
  </si>
  <si>
    <t>vermogen motor &lt;0,75 kW</t>
  </si>
  <si>
    <t>deur is voorzien van lamellen en/of snelsluitdeur</t>
  </si>
  <si>
    <t>grenswaarde maximale temperatuur van de producten behoeft niet te worden gewaarborgd</t>
  </si>
  <si>
    <r>
      <t>bestaande isolatie is &lt; 15 mm (Rd &lt; 0,5 m</t>
    </r>
    <r>
      <rPr>
        <vertAlign val="superscript"/>
        <sz val="11"/>
        <color theme="1"/>
        <rFont val="Aptos Narrow"/>
        <family val="2"/>
        <scheme val="minor"/>
      </rPr>
      <t>2</t>
    </r>
    <r>
      <rPr>
        <sz val="11"/>
        <color theme="1"/>
        <rFont val="Aptos Narrow"/>
        <family val="2"/>
        <scheme val="minor"/>
      </rPr>
      <t>K/W)</t>
    </r>
  </si>
  <si>
    <t>koelcel wordt gereld op basis van meerdere temperatuursensoren</t>
  </si>
  <si>
    <r>
      <t>oppervlakte koelcel &lt; 100 m</t>
    </r>
    <r>
      <rPr>
        <vertAlign val="superscript"/>
        <sz val="11"/>
        <color theme="1"/>
        <rFont val="Aptos Narrow"/>
        <family val="2"/>
        <scheme val="minor"/>
      </rPr>
      <t>2</t>
    </r>
  </si>
  <si>
    <t>koelcel is ten behoeve van opslag groenten en fruit</t>
  </si>
  <si>
    <t>bedrijfsuren &lt; 4.800 / jaar (13 uur/elke dag)</t>
  </si>
  <si>
    <t>opslag groent, fruit en/of plantaardige producten waarbij ventilatievoud niet wordt geregeld</t>
  </si>
  <si>
    <t>ciculatieventilatoren niet geschikt voor frequentieregeling</t>
  </si>
  <si>
    <t>draaiuren &lt; 4.500 / jaar (12,5 uur/elke dag)</t>
  </si>
  <si>
    <t>luchttoevoer en afgegeven luchten komen niet in de zelfde ruimte terecht</t>
  </si>
  <si>
    <t>aanzuigkanaal &gt; 5 meter</t>
  </si>
  <si>
    <t>stekkerklaar koelmeubel</t>
  </si>
  <si>
    <t>vermogen koelinstallatie &lt; 20kWth en niet voorzien van een elektrotechnisch expansieventiel</t>
  </si>
  <si>
    <t>bestaande software niet aan te passen</t>
  </si>
  <si>
    <t>regelkast niet bereikbaar</t>
  </si>
  <si>
    <t>toevoeging buitentemperatuursensor niet toe te voegen aan regelkast</t>
  </si>
  <si>
    <t>&lt; 50 kWth aan warmte beschikbaar</t>
  </si>
  <si>
    <t>beschikbare warnte  &lt; 1.000 / jaar (3 uur/elke dag) beschikbaar</t>
  </si>
  <si>
    <t>geen TL8 of TL5 aanwezig</t>
  </si>
  <si>
    <t>warmte niet nuttig te gebruiken</t>
  </si>
  <si>
    <t>geen warmwaterleiding in nabijheid vaatwasser</t>
  </si>
  <si>
    <t>draaiuren &lt; 400 / jaar (1,5 uur/werkdag - 5 daagse werkweek of 1 uur/elke dag)</t>
  </si>
  <si>
    <t>draaiuren &lt; 3.200 / jaar (12,0 uur/werkdag - 5 daagse werkweek of 8,5 uur/elke dag)</t>
  </si>
  <si>
    <t>verlichting moet om veiligheidsredenen gehele nacht branden</t>
  </si>
  <si>
    <t>branduren &lt; 3.100 / jaar (12,0 uur/werkdag - 5 daagse werkweek of 8,5 uur/elke dag)</t>
  </si>
  <si>
    <t>meerdere velden tegelijk schakelen is onmogelijk</t>
  </si>
  <si>
    <t>per veld geen aparte stroomkabel aanwezig</t>
  </si>
  <si>
    <t>per veld &lt; 11kW aan verlichting aanwezig</t>
  </si>
  <si>
    <t>armatuur met kwiklamp, SON, HPL, HQL of HPI alleen samen met mast vervangen</t>
  </si>
  <si>
    <t>LED armatuur kan niet op bestaande mast toe worden gepast</t>
  </si>
  <si>
    <t>isolatieruit en/of HR beglazing aanwezig</t>
  </si>
  <si>
    <t>in bestaande kozijn kan geen HR++ worden geplaatst</t>
  </si>
  <si>
    <t>watertemperatuur in leiding is gemiddeld gelijk aan of lager dan ruimtetemperatuur</t>
  </si>
  <si>
    <t>de wanden van het zwembassin zijn niet goed bereikbaar</t>
  </si>
  <si>
    <t>het zwembad is onverwarmd</t>
  </si>
  <si>
    <r>
      <t xml:space="preserve">er is geen ruimte voor het plaatsen van een spoelwaterbuffer van </t>
    </r>
    <r>
      <rPr>
        <u/>
        <sz val="11"/>
        <color theme="1"/>
        <rFont val="Aptos Narrow"/>
        <family val="2"/>
        <scheme val="minor"/>
      </rPr>
      <t>&gt;</t>
    </r>
    <r>
      <rPr>
        <sz val="11"/>
        <color theme="1"/>
        <rFont val="Aptos Narrow"/>
        <family val="2"/>
        <scheme val="minor"/>
      </rPr>
      <t xml:space="preserve"> 5 m</t>
    </r>
    <r>
      <rPr>
        <vertAlign val="superscript"/>
        <sz val="11"/>
        <color theme="1"/>
        <rFont val="Aptos Narrow"/>
        <family val="2"/>
        <scheme val="minor"/>
      </rPr>
      <t>3</t>
    </r>
  </si>
  <si>
    <t>bedrijfsuren &lt; 2.300 / jaar (8,5 uur/werkdag - 5 daagse werkweek of 6,25 uur/elke dag)</t>
  </si>
  <si>
    <r>
      <t xml:space="preserve">Rc </t>
    </r>
    <r>
      <rPr>
        <u/>
        <sz val="11"/>
        <color theme="1"/>
        <rFont val="Aptos Narrow"/>
        <family val="2"/>
        <scheme val="minor"/>
      </rPr>
      <t>&gt;</t>
    </r>
    <r>
      <rPr>
        <sz val="11"/>
        <color theme="1"/>
        <rFont val="Aptos Narrow"/>
        <family val="2"/>
        <scheme val="minor"/>
      </rPr>
      <t xml:space="preserve"> 2,0 m</t>
    </r>
    <r>
      <rPr>
        <vertAlign val="superscript"/>
        <sz val="11"/>
        <color theme="1"/>
        <rFont val="Aptos Narrow"/>
        <family val="2"/>
        <scheme val="minor"/>
      </rPr>
      <t>2</t>
    </r>
    <r>
      <rPr>
        <sz val="11"/>
        <color theme="1"/>
        <rFont val="Aptos Narrow"/>
        <family val="2"/>
        <scheme val="minor"/>
      </rPr>
      <t>K/W</t>
    </r>
  </si>
  <si>
    <t>luchttoevoer- en afvoerkanalen liggen te ver van elkaar</t>
  </si>
  <si>
    <t>warmte uit ventilatielucht wordt terug gewonnen met warmtepomp</t>
  </si>
  <si>
    <t>opgesteld vermogen ICT-apparatuur &lt; 5 kW</t>
  </si>
  <si>
    <t>COP (Coëfficiënt of performance) &gt; 3,5</t>
  </si>
  <si>
    <t>ongeschikt voor aanbodsafhankelijke regeling of onderbrekende aansturing</t>
  </si>
  <si>
    <t>bedrijfsuren &lt; 3.600 / jaar (13,75 uur/werkdag - 5 daagse werkweek of 9,75 uur/elke dag)</t>
  </si>
  <si>
    <t>spouw &lt; 5 cm</t>
  </si>
  <si>
    <t>steiger nodig voor aanbrengen isolatie</t>
  </si>
  <si>
    <t>er is een onderzoek nestplaatsen van beschermde diersoorten nodig</t>
  </si>
  <si>
    <t>gebouw is een winkel</t>
  </si>
  <si>
    <t>isoleren tast de monumentale status aan</t>
  </si>
  <si>
    <r>
      <t>aardgasverbruik complex &gt; 170.000 m</t>
    </r>
    <r>
      <rPr>
        <vertAlign val="superscript"/>
        <sz val="11"/>
        <color theme="1"/>
        <rFont val="Aptos Narrow"/>
        <family val="2"/>
        <scheme val="minor"/>
      </rPr>
      <t>3</t>
    </r>
    <r>
      <rPr>
        <sz val="11"/>
        <color theme="1"/>
        <rFont val="Aptos Narrow"/>
        <family val="2"/>
        <scheme val="minor"/>
      </rPr>
      <t xml:space="preserve"> per jaar</t>
    </r>
  </si>
  <si>
    <t>er is isolatie aanwezig</t>
  </si>
  <si>
    <t>dak heeft onvoldoende draagkracht</t>
  </si>
  <si>
    <t>deur staat gemiddeld &lt; 1 uur/dag open</t>
  </si>
  <si>
    <t>HR++ plaatsen tast de monumentale status aan</t>
  </si>
  <si>
    <t>HR beglazing aanwezig</t>
  </si>
  <si>
    <t>geen dockings aanwezig</t>
  </si>
  <si>
    <t>deur staat gemiddeld &lt; 10 uur/dag open (voor laden/lossen)</t>
  </si>
  <si>
    <t>loopdeur aanwezig</t>
  </si>
  <si>
    <r>
      <t xml:space="preserve">vermogen verwarmingsketel </t>
    </r>
    <r>
      <rPr>
        <u/>
        <sz val="11"/>
        <color theme="1"/>
        <rFont val="Aptos Narrow"/>
        <family val="2"/>
        <scheme val="minor"/>
      </rPr>
      <t>&lt;</t>
    </r>
    <r>
      <rPr>
        <sz val="11"/>
        <color theme="1"/>
        <rFont val="Aptos Narrow"/>
        <family val="2"/>
        <scheme val="minor"/>
      </rPr>
      <t xml:space="preserve"> 70 kW</t>
    </r>
  </si>
  <si>
    <t>geen radiatoren, vloerverwarming of convectoren aanwezig</t>
  </si>
  <si>
    <r>
      <t xml:space="preserve">gebouw voldoet niet aan eisen uit bouwbesluit van 1 oktober 1992. (Rc </t>
    </r>
    <r>
      <rPr>
        <vertAlign val="subscript"/>
        <sz val="11"/>
        <color theme="1"/>
        <rFont val="Aptos Narrow"/>
        <family val="2"/>
        <scheme val="minor"/>
      </rPr>
      <t>schil gebouw</t>
    </r>
    <r>
      <rPr>
        <sz val="11"/>
        <color theme="1"/>
        <rFont val="Aptos Narrow"/>
        <family val="2"/>
        <scheme val="minor"/>
      </rPr>
      <t xml:space="preserve"> &lt; 2,5 m</t>
    </r>
    <r>
      <rPr>
        <vertAlign val="superscript"/>
        <sz val="11"/>
        <color theme="1"/>
        <rFont val="Aptos Narrow"/>
        <family val="2"/>
        <scheme val="minor"/>
      </rPr>
      <t>2</t>
    </r>
    <r>
      <rPr>
        <sz val="11"/>
        <color theme="1"/>
        <rFont val="Aptos Narrow"/>
        <family val="2"/>
        <scheme val="minor"/>
      </rPr>
      <t>K/W)</t>
    </r>
  </si>
  <si>
    <t>elektriciteitsaansluiting heeft onvoldoende capaciteit</t>
  </si>
  <si>
    <t>onvoldoende transportcapaciteit beschikbaar</t>
  </si>
  <si>
    <t>onvoldoende ruimte voor plaatsing warmtepomp</t>
  </si>
  <si>
    <t>plaatsen warmtepomp tast monumentale status aan</t>
  </si>
  <si>
    <r>
      <t>combiketel heeft geen aparte groep om tapwater &gt; 65</t>
    </r>
    <r>
      <rPr>
        <sz val="11"/>
        <color theme="1"/>
        <rFont val="Calibri"/>
        <family val="2"/>
      </rPr>
      <t>°</t>
    </r>
    <r>
      <rPr>
        <sz val="11"/>
        <color theme="1"/>
        <rFont val="Aptos Narrow"/>
        <family val="2"/>
        <scheme val="minor"/>
      </rPr>
      <t>C te verwarmen</t>
    </r>
  </si>
  <si>
    <t>ventilatiekanalen zijn niet op LBK aangesloten</t>
  </si>
  <si>
    <t>geen radiatoren of convectoren aanwezig</t>
  </si>
  <si>
    <t>verwarmingssysteem laat geen variabele debietregeling toe</t>
  </si>
  <si>
    <t>geen rioolaansluiting in ruimte aanwezig</t>
  </si>
  <si>
    <r>
      <t>aardgasverbruik complex &gt; 1.000.000 m</t>
    </r>
    <r>
      <rPr>
        <vertAlign val="superscript"/>
        <sz val="11"/>
        <color theme="1"/>
        <rFont val="Aptos Narrow"/>
        <family val="2"/>
        <scheme val="minor"/>
      </rPr>
      <t>3</t>
    </r>
    <r>
      <rPr>
        <sz val="11"/>
        <color theme="1"/>
        <rFont val="Aptos Narrow"/>
        <family val="2"/>
        <scheme val="minor"/>
      </rPr>
      <t xml:space="preserve"> per jaar</t>
    </r>
  </si>
  <si>
    <t>twincoil niet inpasbaar in LBK of luchtkanalen</t>
  </si>
  <si>
    <t>inbouw warmteterugwinning tast de monumentale status aan</t>
  </si>
  <si>
    <r>
      <t xml:space="preserve">vermogen ventilator </t>
    </r>
    <r>
      <rPr>
        <u/>
        <sz val="11"/>
        <color theme="1"/>
        <rFont val="Aptos Narrow"/>
        <family val="2"/>
        <scheme val="minor"/>
      </rPr>
      <t>&lt;</t>
    </r>
    <r>
      <rPr>
        <sz val="11"/>
        <color theme="1"/>
        <rFont val="Aptos Narrow"/>
        <family val="2"/>
        <scheme val="minor"/>
      </rPr>
      <t xml:space="preserve"> 5,5 kW</t>
    </r>
  </si>
  <si>
    <t>draaiuren &lt; 3.400 / jaar (13,0 uur/werkdag - 5 daagse werkweek of 9,25 uur/elke dag)</t>
  </si>
  <si>
    <t>draaiuren &lt; 2.900 / jaar (11,0 uur/werkdag - 5 daagse werkweek of 8,0 uur/elke dag)</t>
  </si>
  <si>
    <t>draaiuren &lt; 3.300 / jaar (12,75 uur/werkdag - 5 daagse werkweek of 9,0 uur/elke dag)</t>
  </si>
  <si>
    <t>draaiuren &lt; 3.600 / jaar (13,75 uur/werkdag - 5 daagse werkweek of 9,75 uur/elke dag)</t>
  </si>
  <si>
    <t>draaiuren &lt; 1.000 / jaar (3,75 uur/werkdag - 5 daagse werkweek of 2,75 uur/elke dag)</t>
  </si>
  <si>
    <t>leidingen zijn niet goed bereikbaar</t>
  </si>
  <si>
    <t>tapwatersysteem met voorraadvat; tabdebiet komt onder tapdrempel tapwatertoestel</t>
  </si>
  <si>
    <t>gebruik douches is gemiddels &lt; 6 douchebeurten/week</t>
  </si>
  <si>
    <t>er is sprake van een laag tapwatervraag</t>
  </si>
  <si>
    <t>geen buffervat warm water aanwezig</t>
  </si>
  <si>
    <t>verlichting brand niet onnodig buiten gebruikstijden</t>
  </si>
  <si>
    <t>bestaande armaturen zijn niet geschikt voor LED-buizen</t>
  </si>
  <si>
    <t>branduren &lt; 1.600 / jaar (6,0 uur/werkdag - 5 daagse werkweek of 4,25 uur/elke dag)</t>
  </si>
  <si>
    <t>branduren &lt; 6.100 / jaar (23,5 uur/werkdag - 5 daagse werkweek of 16,5 uur/elke dag)</t>
  </si>
  <si>
    <t>bestaande armaturen zijn niet geschikt voor LED-lampen</t>
  </si>
  <si>
    <t>branduren &lt; 600 / jaar (2,25 uur/werkdag - 5 daagse werkweek of 1,5 uur/elke dag)</t>
  </si>
  <si>
    <t>branduren &lt; 1.000 / jaar (2,75 uur/werkdag - 5 daagse werkweek of 2,75 uur/elke dag)</t>
  </si>
  <si>
    <t>branduren &lt; 3.100 / jaar (11,75 uur/werkdag - 5 daagse werkweek of 8,5 uur/elke dag)</t>
  </si>
  <si>
    <t>branduren &lt; 3.300 / jaar (12,5 uur/werkdag - 5 daagse werkweek of 9,0 uur/elke dag)</t>
  </si>
  <si>
    <t>branduren &lt; 3.600 / jaar (13,75 uur/werkdag - 5 daagse werkweek of 9,75 uur/elke dag)</t>
  </si>
  <si>
    <t>branduren &lt; 1.100 / jaar (4,25 uur/werkdag - 5 daagse werkweek of 3,0 uur/elke dag)</t>
  </si>
  <si>
    <t>branduren &lt; 2.400 / jaar (9,25 uur/werkdag - 5 daagse werkweek of 6,5 uur/elke dag)</t>
  </si>
  <si>
    <t>bestaande spanningsrail/contactrail is niet geschikt voor LED-railspots</t>
  </si>
  <si>
    <t>branduren &lt; 3.200 / jaar (12,25 uur/werkdag - 5 daagse werkweek of 8,75 uur/elke dag)</t>
  </si>
  <si>
    <t>branduren &lt; 5.200 / jaar (20,0 uur/werkdag - 5 daagse werkweek of 14,25 uur/elke dag)</t>
  </si>
  <si>
    <t>GF13/GF14/GF15</t>
  </si>
  <si>
    <t>GG1/GG2/GG3/GG4</t>
  </si>
  <si>
    <t>Zelfstandig moment</t>
  </si>
  <si>
    <t>Natuurlijk moment</t>
  </si>
  <si>
    <t>Planning</t>
  </si>
  <si>
    <t>Raming kosten (€)</t>
  </si>
  <si>
    <r>
      <t>wordt &lt; 18</t>
    </r>
    <r>
      <rPr>
        <sz val="11"/>
        <color theme="1"/>
        <rFont val="Calibri"/>
        <family val="2"/>
      </rPr>
      <t>°</t>
    </r>
    <r>
      <rPr>
        <sz val="11"/>
        <color theme="1"/>
        <rFont val="Aptos Narrow"/>
        <family val="2"/>
      </rPr>
      <t>C verwarmd</t>
    </r>
  </si>
  <si>
    <r>
      <t>wordt &lt; 15</t>
    </r>
    <r>
      <rPr>
        <sz val="11"/>
        <color theme="1"/>
        <rFont val="Calibri"/>
        <family val="2"/>
      </rPr>
      <t>°</t>
    </r>
    <r>
      <rPr>
        <sz val="11"/>
        <color theme="1"/>
        <rFont val="Aptos Narrow"/>
        <family val="2"/>
      </rPr>
      <t>C verwarmd</t>
    </r>
  </si>
  <si>
    <t>geen centraal verwarmingssysteem aanwezig</t>
  </si>
  <si>
    <t>geen verwarmingsketel aanwezig</t>
  </si>
  <si>
    <t>geen heaters aanwezig</t>
  </si>
  <si>
    <t>Object:</t>
  </si>
  <si>
    <t>Complexnaam:</t>
  </si>
  <si>
    <t>Plaats:</t>
  </si>
  <si>
    <t>Bouwjaar:</t>
  </si>
  <si>
    <r>
      <t>m</t>
    </r>
    <r>
      <rPr>
        <vertAlign val="superscript"/>
        <sz val="11"/>
        <color theme="1"/>
        <rFont val="Verdana"/>
        <family val="2"/>
      </rPr>
      <t>2</t>
    </r>
    <r>
      <rPr>
        <sz val="11"/>
        <color theme="1"/>
        <rFont val="Verdana"/>
        <family val="2"/>
      </rPr>
      <t xml:space="preserve"> BVO:</t>
    </r>
  </si>
  <si>
    <t>Gebouwsoort:</t>
  </si>
  <si>
    <t>Gebouwcategorie:</t>
  </si>
  <si>
    <t>Monumentale status:</t>
  </si>
  <si>
    <t>Huidige label:</t>
  </si>
  <si>
    <t>Adviseur:</t>
  </si>
  <si>
    <t>Onderwerp</t>
  </si>
  <si>
    <t>Opmerking</t>
  </si>
  <si>
    <t>Label C Maatregelen</t>
  </si>
  <si>
    <t>EML minimale maatregelen</t>
  </si>
  <si>
    <t>Aanvullende werkzaamheden</t>
  </si>
  <si>
    <t>Maatregelen t.b.v. Instandhouding</t>
  </si>
  <si>
    <t>Grand totaal:</t>
  </si>
  <si>
    <t>Verzoek tot goed te keuren budget:</t>
  </si>
  <si>
    <t>Label C maatregelen:</t>
  </si>
  <si>
    <t>EML minimale maatregelen:</t>
  </si>
  <si>
    <t>Inventarisatie</t>
  </si>
  <si>
    <t>m2 BVO</t>
  </si>
  <si>
    <t>Opmerking:</t>
  </si>
  <si>
    <t>Specifiek voor monumentale bouwdelen</t>
  </si>
  <si>
    <t>Specifiek voor veiligheidsprogramma's</t>
  </si>
  <si>
    <t>UVID</t>
  </si>
  <si>
    <t>Code Bouwdeeltype</t>
  </si>
  <si>
    <t>Bouwdeel omschrijving</t>
  </si>
  <si>
    <t>Volgnr.</t>
  </si>
  <si>
    <t>Ruimte</t>
  </si>
  <si>
    <t>Locatie aanduiding</t>
  </si>
  <si>
    <t>Reden buiten gebruik</t>
  </si>
  <si>
    <t>Dimensie</t>
  </si>
  <si>
    <t>Vakgroep</t>
  </si>
  <si>
    <t>Kwaliteits-niveau</t>
  </si>
  <si>
    <t>Foto</t>
  </si>
  <si>
    <t>Datum van constructie of productie
[jjjj-mm-dd]</t>
  </si>
  <si>
    <t>Einde garantie
[jjjj-mm-dd]</t>
  </si>
  <si>
    <t>Technische levensduur 
[jaren]</t>
  </si>
  <si>
    <t>Verwachte technische einddatum</t>
  </si>
  <si>
    <t>Vervangings-kosten
(excl. BTW)</t>
  </si>
  <si>
    <t>Installatie-nummer</t>
  </si>
  <si>
    <t>Serienummer</t>
  </si>
  <si>
    <t>Model/type</t>
  </si>
  <si>
    <t>Omvang</t>
  </si>
  <si>
    <t>Omvang eenheid</t>
  </si>
  <si>
    <t>In oorspron-kelijke toestand</t>
  </si>
  <si>
    <t>Materiaal toepassing</t>
  </si>
  <si>
    <t>Monumentale waarde</t>
  </si>
  <si>
    <t>Datum restauratie / revisie</t>
  </si>
  <si>
    <t>Duurzaamheid
bijdrage</t>
  </si>
  <si>
    <t>Fabrikant</t>
  </si>
  <si>
    <t>Servicebedrijf</t>
  </si>
  <si>
    <t>Leverancier</t>
  </si>
  <si>
    <t>Eigenaar</t>
  </si>
  <si>
    <t>Verantwoordelijk</t>
  </si>
  <si>
    <t>Brandv.-functie van toepassing?</t>
  </si>
  <si>
    <t>Waterveiligheid functie van toepassing</t>
  </si>
  <si>
    <t>Asbeststatus</t>
  </si>
  <si>
    <t>VWoH van toepassing?</t>
  </si>
  <si>
    <t>Dossier</t>
  </si>
  <si>
    <t>EML Inspectie</t>
  </si>
  <si>
    <t>Vak-groep</t>
  </si>
  <si>
    <t>Omschrijving bouwdeel</t>
  </si>
  <si>
    <t>Thema
BOEI</t>
  </si>
  <si>
    <t>Soort gebrek</t>
  </si>
  <si>
    <t>Ernst categorie</t>
  </si>
  <si>
    <t>Soort gebrek
(Voluit)</t>
  </si>
  <si>
    <t>Intensiteit</t>
  </si>
  <si>
    <t>Prioriteit</t>
  </si>
  <si>
    <t>Gebrek nr.</t>
  </si>
  <si>
    <t>Gebrekcode</t>
  </si>
  <si>
    <t>Aantal fotos</t>
  </si>
  <si>
    <t>Filenaam Foto's</t>
  </si>
  <si>
    <t>Locatie</t>
  </si>
  <si>
    <t>Oorzaak - Omschrijving</t>
  </si>
  <si>
    <t>Gevolg (risico)</t>
  </si>
  <si>
    <t>Oplossing</t>
  </si>
  <si>
    <t>Herstel maatregel</t>
  </si>
  <si>
    <t>Kengetal</t>
  </si>
  <si>
    <t>Raming kosten
excl. BTW</t>
  </si>
  <si>
    <t>n.v.t.</t>
  </si>
  <si>
    <t>Informatieplichting</t>
  </si>
  <si>
    <t>Gemeente:</t>
  </si>
  <si>
    <t>Hoofdgebruiker:</t>
  </si>
  <si>
    <t>Batch:</t>
  </si>
  <si>
    <t>Versie advies:</t>
  </si>
  <si>
    <t>Datum inspectie:</t>
  </si>
  <si>
    <t>Inspectiebedrijf</t>
  </si>
  <si>
    <t>Inspecteur:</t>
  </si>
  <si>
    <t>Straat en huisnummer:</t>
  </si>
  <si>
    <t>Advies programma Label C/EML Defensie</t>
  </si>
  <si>
    <t>Sub totaal advies:</t>
  </si>
  <si>
    <t>Sub totaal advies+ aanvullend werk:</t>
  </si>
  <si>
    <t>Advies</t>
  </si>
  <si>
    <t>N.V.T.</t>
  </si>
  <si>
    <t>Gemiddeld gasverbruik locatie</t>
  </si>
  <si>
    <r>
      <t>m</t>
    </r>
    <r>
      <rPr>
        <vertAlign val="superscript"/>
        <sz val="8"/>
        <color theme="1"/>
        <rFont val="Verdana"/>
        <family val="2"/>
      </rPr>
      <t>3</t>
    </r>
    <r>
      <rPr>
        <sz val="8"/>
        <color theme="1"/>
        <rFont val="Verdana"/>
        <family val="2"/>
      </rPr>
      <t xml:space="preserve"> / jaar (o.b.v. jaarverbruiken periode 2023-2025)</t>
    </r>
  </si>
  <si>
    <t>Beschikbare elektrisch vermogen binnen lopend contract</t>
  </si>
  <si>
    <t>Uitvoering vlgs. EML</t>
  </si>
  <si>
    <t>Contractvermogen elektra</t>
  </si>
  <si>
    <t>Asbestinventarisatie</t>
  </si>
  <si>
    <t>Vervaldatum asbestinventarisatie</t>
  </si>
  <si>
    <t>kW (Contract capacity) elektrisch</t>
  </si>
  <si>
    <t>kW (Contract capacity - MaxPeak) elektrisch</t>
  </si>
  <si>
    <t>Flora/Fauna issue?</t>
  </si>
  <si>
    <t>GBS voorziet in deze functionaliteit</t>
  </si>
  <si>
    <t>Alternatief</t>
  </si>
  <si>
    <t xml:space="preserve">alternatief toegepast; teruggewonnen warmte gebruikt voor alternatieve toepassingen. </t>
  </si>
  <si>
    <t xml:space="preserve">alternatief toegepast; condensor naar buiten verplaatst. </t>
  </si>
  <si>
    <t xml:space="preserve">alternatief toegepast; tochtsluit / snelsluitdeur of strokengordijn aanwezig. </t>
  </si>
  <si>
    <t xml:space="preserve">alternatief toegepast; contactloze magneetkoppeling toegepast. </t>
  </si>
  <si>
    <t xml:space="preserve">alternatief toegepast; warmte wordt teruggewonnen uit afvalwaterstroom. </t>
  </si>
  <si>
    <t xml:space="preserve">alternatief toegepast; bewegingssensoren per veld aanwezig. </t>
  </si>
  <si>
    <t xml:space="preserve">alternatief toegepast; warmtepomp aanwezig. </t>
  </si>
  <si>
    <t xml:space="preserve">alternatief toegepast; lucht/water warmtepomp aanwezig. </t>
  </si>
  <si>
    <t xml:space="preserve">alternatief toegepast; warmte wordt gebruikt voor omliggende gebouwen. </t>
  </si>
  <si>
    <t xml:space="preserve">alternatief toegepast; voldoet aan GACS technische eisen. </t>
  </si>
  <si>
    <t xml:space="preserve">alternatief toegepast; isolatie aan binnen- of buitenzijde aanwezig. </t>
  </si>
  <si>
    <t xml:space="preserve">alternatief toegepast; isolatie op dakbedekking (omgekeerd dak) aanwezig. </t>
  </si>
  <si>
    <t xml:space="preserve">alternatief toegepast; isolatie onder dakbedekking (warm dak) aanwezig. </t>
  </si>
  <si>
    <t xml:space="preserve">alternatief toegepast; tripel glas of vacuümglas aanwezig. </t>
  </si>
  <si>
    <t xml:space="preserve">alternatief toegepast; aparte loopdeur in nabijheid aanwezig. </t>
  </si>
  <si>
    <t xml:space="preserve">alternatief toegepast; GBS voorziet in deze functionaliteit. </t>
  </si>
  <si>
    <t xml:space="preserve">alternatief toegepast; warmtepomp i.c.m. bodem of restwarmte aanwezig. </t>
  </si>
  <si>
    <t xml:space="preserve">alternatief toegepast; alternatieve verwarmingssysteem toegepast. </t>
  </si>
  <si>
    <r>
      <t>alternatief toegepast; CO</t>
    </r>
    <r>
      <rPr>
        <vertAlign val="subscript"/>
        <sz val="11"/>
        <color theme="1"/>
        <rFont val="Aptos Narrow"/>
        <family val="2"/>
        <scheme val="minor"/>
      </rPr>
      <t>2</t>
    </r>
    <r>
      <rPr>
        <sz val="11"/>
        <color theme="1"/>
        <rFont val="Aptos Narrow"/>
        <family val="2"/>
        <scheme val="minor"/>
      </rPr>
      <t xml:space="preserve"> gestuurd ventilatiessysteem met mechnische toe- en afvoersturing toegepast. </t>
    </r>
  </si>
  <si>
    <t xml:space="preserve">alternatief toegepast; doorstroombegrenzer toegepast. </t>
  </si>
  <si>
    <t xml:space="preserve">alternatief toegepast; warmtepomp boiler (i.c.m. zonneboiler) aanwezig. </t>
  </si>
  <si>
    <t>GBS aanwezig</t>
  </si>
  <si>
    <t>Ja</t>
  </si>
  <si>
    <t>Plaats zonnepanelen op het dak</t>
  </si>
  <si>
    <t>Omrekenfactoren</t>
  </si>
  <si>
    <t xml:space="preserve">Label C maatregelen </t>
  </si>
  <si>
    <t>ZM/Lc</t>
  </si>
  <si>
    <t>Elektriciteit</t>
  </si>
  <si>
    <t xml:space="preserve">Zelfstandigmoment </t>
  </si>
  <si>
    <t>EML</t>
  </si>
  <si>
    <t>Aardgas</t>
  </si>
  <si>
    <t xml:space="preserve">Natuurlijkmoment </t>
  </si>
  <si>
    <t>Instandhouding</t>
  </si>
  <si>
    <t>Warmte</t>
  </si>
  <si>
    <t>CO2 (elektriciteit)</t>
  </si>
  <si>
    <t>CO2 (aardgas)</t>
  </si>
  <si>
    <t>CO2 (warmte)</t>
  </si>
  <si>
    <t>Flora en founda onderzoek</t>
  </si>
  <si>
    <t>codes</t>
  </si>
  <si>
    <t>Asbestonderzoek</t>
  </si>
  <si>
    <t>minder dan een halfjaar geldig</t>
  </si>
  <si>
    <t>Technische vooronderzoek WTW</t>
  </si>
  <si>
    <t>Technische vooronderzoek spouw</t>
  </si>
  <si>
    <t>GBS uitbreiden</t>
  </si>
  <si>
    <t>Bij WB EML maatregel op zelfsstandig moment</t>
  </si>
  <si>
    <t>Onderdeel</t>
  </si>
  <si>
    <t>Naam maatregel</t>
  </si>
  <si>
    <t>Invloed op energielabel</t>
  </si>
  <si>
    <t>Spouwmuurisolatie (Rc = 1,4)</t>
  </si>
  <si>
    <t>Dakisolatie (op bestaand dak) (Rc = 3,7)</t>
  </si>
  <si>
    <t>Dakisolatie (+dakbedekking) (Rc = 3,7)</t>
  </si>
  <si>
    <t>HR++ glas in bestaande kozijnen</t>
  </si>
  <si>
    <t>Hybride warmtepomp</t>
  </si>
  <si>
    <t>Isoleer de verwarmingsleidingen en appendages in onverwarmde ruimtes.</t>
  </si>
  <si>
    <t>Nee</t>
  </si>
  <si>
    <t>Isolatie leidingen+appendages verwarming</t>
  </si>
  <si>
    <t>Isoleren ventilatiekanalen</t>
  </si>
  <si>
    <t>Pas individuele regeling verwarming toe</t>
  </si>
  <si>
    <t>Warmteterugwinning balansventilatie</t>
  </si>
  <si>
    <t>Vervangen ventilatoren LBK's</t>
  </si>
  <si>
    <t>Vervang indirect gedreven IE1-slakkehuisventilatoren door direct gedreven ventilatoren.</t>
  </si>
  <si>
    <t>Isolatie leidingen+appendages warmtapwater</t>
  </si>
  <si>
    <t>HR107-ketel boiler warm tapwater</t>
  </si>
  <si>
    <t>LED-verlichting (4,5 W/m²), icm detectie</t>
  </si>
  <si>
    <t>LED-verlichting (4,5 W/m²)</t>
  </si>
  <si>
    <t>Vervang T5-fluorescentiebuizen door LED-buizen.</t>
  </si>
  <si>
    <t>PV-panelen</t>
  </si>
  <si>
    <t>Uitvoeren EML</t>
  </si>
  <si>
    <t>Duur van de werkzaamheden</t>
  </si>
  <si>
    <t>Mate van overlast</t>
  </si>
  <si>
    <t>maanden</t>
  </si>
  <si>
    <t>EML Code</t>
  </si>
  <si>
    <t>FUTP</t>
  </si>
  <si>
    <t>HMI*:</t>
  </si>
  <si>
    <t>Hand Matig Invoeren</t>
  </si>
  <si>
    <t>Inspectiedatum:</t>
  </si>
  <si>
    <t>Datum:</t>
  </si>
  <si>
    <t>Status:</t>
  </si>
  <si>
    <t>Concept</t>
  </si>
  <si>
    <t>Inventarisatie bouwkunde</t>
  </si>
  <si>
    <r>
      <t>m</t>
    </r>
    <r>
      <rPr>
        <vertAlign val="superscript"/>
        <sz val="8"/>
        <color theme="1"/>
        <rFont val="Verdana"/>
        <family val="2"/>
      </rPr>
      <t>2</t>
    </r>
    <r>
      <rPr>
        <sz val="8"/>
        <color theme="1"/>
        <rFont val="Verdana"/>
        <family val="2"/>
      </rPr>
      <t xml:space="preserve"> BVO</t>
    </r>
  </si>
  <si>
    <t>formule</t>
  </si>
  <si>
    <t>Menu</t>
  </si>
  <si>
    <t>HMI*</t>
  </si>
  <si>
    <t>Afnemer</t>
  </si>
  <si>
    <t>Inspecteren bouwkunde</t>
  </si>
  <si>
    <t>trede 1-5</t>
  </si>
  <si>
    <t>Handmatig Invoeren</t>
  </si>
  <si>
    <t>UVID:</t>
  </si>
  <si>
    <t>Bepaling unieke indentificatie code</t>
  </si>
  <si>
    <t>Menustructuur</t>
  </si>
  <si>
    <t>Inspectie datum:</t>
  </si>
  <si>
    <t>Fotomap:</t>
  </si>
  <si>
    <t>Herstelmaatregel</t>
  </si>
  <si>
    <t>Trede</t>
  </si>
  <si>
    <t>Combi</t>
  </si>
  <si>
    <t>FH</t>
  </si>
  <si>
    <t>DH</t>
  </si>
  <si>
    <t>Bouwdatum</t>
  </si>
  <si>
    <t>totale was-wordt lijst t.b.v. handboek BOEI</t>
  </si>
  <si>
    <t>SBL  omschrijving
v 2024</t>
  </si>
  <si>
    <t>SBL Code
v 2024</t>
  </si>
  <si>
    <t>Vakgebied</t>
  </si>
  <si>
    <t>Mogelijke relatie met EML codes</t>
  </si>
  <si>
    <t>Theoretisch gebrek van toepassing?</t>
  </si>
  <si>
    <t>Cycli</t>
  </si>
  <si>
    <r>
      <t xml:space="preserve">§ </t>
    </r>
    <r>
      <rPr>
        <i/>
        <sz val="8"/>
        <rFont val="Verdana"/>
        <family val="2"/>
      </rPr>
      <t xml:space="preserve">RVB </t>
    </r>
    <r>
      <rPr>
        <sz val="8"/>
        <rFont val="Verdana"/>
        <family val="2"/>
      </rPr>
      <t>BOEI
v 2024</t>
    </r>
  </si>
  <si>
    <t>Mogelijke invloed vanuit energielabel plicht</t>
  </si>
  <si>
    <t>EML plicht (RVB)
Ja/Nee</t>
  </si>
  <si>
    <t>DZH-2025
plicht
Ja/Nee</t>
  </si>
  <si>
    <t>Opmerking (niet monumentaal)</t>
  </si>
  <si>
    <t>Opmerking (monumentaal)</t>
  </si>
  <si>
    <t>SEL  code
v 2012</t>
  </si>
  <si>
    <t>SEL  omschrijving
v 2012</t>
  </si>
  <si>
    <t>RBI component code 
v 2022</t>
  </si>
  <si>
    <t>RBI  component omschrijving
v 2022</t>
  </si>
  <si>
    <t>Afwerklaag gevel</t>
  </si>
  <si>
    <r>
      <t>m</t>
    </r>
    <r>
      <rPr>
        <vertAlign val="superscript"/>
        <sz val="8"/>
        <color rgb="FF000000"/>
        <rFont val="Verdana"/>
        <family val="2"/>
      </rPr>
      <t>2</t>
    </r>
  </si>
  <si>
    <t xml:space="preserve">GB1, </t>
  </si>
  <si>
    <t>N</t>
  </si>
  <si>
    <t>B 2.3.1</t>
  </si>
  <si>
    <t>N.v.t.</t>
  </si>
  <si>
    <t>Bedrijfsdeuren</t>
  </si>
  <si>
    <t>B 2.6.1</t>
  </si>
  <si>
    <t>nieuw</t>
  </si>
  <si>
    <t>31.30.01.00</t>
  </si>
  <si>
    <t>Bedrijfsdeur</t>
  </si>
  <si>
    <t>Beglazing buiten</t>
  </si>
  <si>
    <t>FH1, GB5 en GB6</t>
  </si>
  <si>
    <t>Beglazing isolatieglas buiten</t>
  </si>
  <si>
    <t>Beglazing veiligheidsglas buiten</t>
  </si>
  <si>
    <t>Beglazing veiligheidsglas buit.</t>
  </si>
  <si>
    <t>Bekleding gevel</t>
  </si>
  <si>
    <t>Binnenwanden</t>
  </si>
  <si>
    <t>FH5 (wanden zwembad)</t>
  </si>
  <si>
    <t>Dak constructie</t>
  </si>
  <si>
    <t>FH8, GB2 en GB4 (alleen platte daken)</t>
  </si>
  <si>
    <t>B 2.4.1</t>
  </si>
  <si>
    <t>Dakbedekking  vlak dak</t>
  </si>
  <si>
    <t>FH8, FK1, GB2, GB4 en GH1</t>
  </si>
  <si>
    <t>Dakbedekking vlak dak</t>
  </si>
  <si>
    <t>47.21.01.00</t>
  </si>
  <si>
    <t>Dak vlak</t>
  </si>
  <si>
    <t>Dakbedekking hellend dak</t>
  </si>
  <si>
    <t>m2</t>
  </si>
  <si>
    <t>FK1 en GH1</t>
  </si>
  <si>
    <t>J*</t>
  </si>
  <si>
    <t>Pannen / natuurleien / tegels: oneindig
Riet: 20-25 jaar
Leien: oneindig
Lood / zink: oneindig</t>
  </si>
  <si>
    <t>47.22.02.00</t>
  </si>
  <si>
    <t>Dak hellend</t>
  </si>
  <si>
    <t>Gevel</t>
  </si>
  <si>
    <t>Kozijnwerk buiten</t>
  </si>
  <si>
    <t>Skeletdeel binnen</t>
  </si>
  <si>
    <t>GB1 (indien opgenomen in gevel)</t>
  </si>
  <si>
    <t>B 2.1.1</t>
  </si>
  <si>
    <t>Skeletdeel buiten</t>
  </si>
  <si>
    <t>Vliesgevel</t>
  </si>
  <si>
    <t>Uitgebreide beschrijving soort gebrek</t>
  </si>
  <si>
    <t>Ernstig</t>
  </si>
  <si>
    <t>W-BK</t>
  </si>
  <si>
    <t>wettelijk basiskwaliteit</t>
  </si>
  <si>
    <t>Wetsgebrek</t>
  </si>
  <si>
    <t>Eind</t>
  </si>
  <si>
    <t>G-PO</t>
  </si>
  <si>
    <t>onderhoud</t>
  </si>
  <si>
    <t>Gering</t>
  </si>
  <si>
    <t>Gevorderd</t>
  </si>
  <si>
    <t>T-87,5</t>
  </si>
  <si>
    <t>Verval  ≥ 87,5%</t>
  </si>
  <si>
    <t>Theoretisch</t>
  </si>
  <si>
    <t>T-75</t>
  </si>
  <si>
    <t>≥75% verval &lt;87,5%</t>
  </si>
  <si>
    <t>T-50</t>
  </si>
  <si>
    <t>≥50% verval &lt;75%</t>
  </si>
  <si>
    <t>Begin</t>
  </si>
  <si>
    <t>T-0</t>
  </si>
  <si>
    <t>Verval &lt; 50%</t>
  </si>
  <si>
    <t>GG</t>
  </si>
  <si>
    <t>Geen gebrek</t>
  </si>
  <si>
    <t>Geen</t>
  </si>
  <si>
    <t>Duurzaamheidsbijdrage</t>
  </si>
  <si>
    <t>Voldoet aan hoogste eisen</t>
  </si>
  <si>
    <t>Volstaat aan eisen DZH</t>
  </si>
  <si>
    <t>Voldoet niet aan DZH-lijn</t>
  </si>
  <si>
    <t>Voldoet niet aan vigerende W&amp;R</t>
  </si>
  <si>
    <t>In oorspronkelijke toestend</t>
  </si>
  <si>
    <t>Materiaaltoepassing</t>
  </si>
  <si>
    <t>Oorspronkelijk</t>
  </si>
  <si>
    <t>Afwijkend</t>
  </si>
  <si>
    <t>Hoog</t>
  </si>
  <si>
    <t>Positief</t>
  </si>
  <si>
    <t>Indifferent</t>
  </si>
  <si>
    <t>Nader te bepalen</t>
  </si>
  <si>
    <t>Brandveiligheidsfunctie</t>
  </si>
  <si>
    <t>Niet te beoordelen</t>
  </si>
  <si>
    <t>Waterveiligheidsfunctie</t>
  </si>
  <si>
    <t>Niet beoordeeld</t>
  </si>
  <si>
    <t>Asbestvrij</t>
  </si>
  <si>
    <t>Asbestschoon</t>
  </si>
  <si>
    <t>Asbesthoudend</t>
  </si>
  <si>
    <t>VWoH</t>
  </si>
  <si>
    <t>Bouwkunde</t>
  </si>
  <si>
    <t>Elektrotechniek</t>
  </si>
  <si>
    <t>Thema BOEI</t>
  </si>
  <si>
    <t>I</t>
  </si>
  <si>
    <t>herstel
maatregel
code</t>
  </si>
  <si>
    <t>omschrijving</t>
  </si>
  <si>
    <t>toelichting</t>
  </si>
  <si>
    <t>R0 Refuse</t>
  </si>
  <si>
    <t>R1 Rethink</t>
  </si>
  <si>
    <t>R2 Reduce</t>
  </si>
  <si>
    <t>R3 Re-use</t>
  </si>
  <si>
    <t>R4 Repair</t>
  </si>
  <si>
    <t>R5 Refurbish</t>
  </si>
  <si>
    <t>R6 Remanufacture</t>
  </si>
  <si>
    <t>R7 Repurpose</t>
  </si>
  <si>
    <t>R8 Recycle</t>
  </si>
  <si>
    <t>R9 Recover</t>
  </si>
  <si>
    <t>bepalen</t>
  </si>
  <si>
    <t>Reinigen, doorspuiten, conserveren</t>
  </si>
  <si>
    <r>
      <t xml:space="preserve">Het bestaande bouwdeel blijft zoveel mogelijk intact. Eventuele ingrepen dienen alleen om het verval te stoppen of verdere aantastingen van het bouwdeel te voorkomen, zoals reinigen of het aanbrengen van beschermende middelen/ opofferingslaag.
</t>
    </r>
    <r>
      <rPr>
        <i/>
        <sz val="8"/>
        <color rgb="FF0070C0"/>
        <rFont val="Verdana"/>
        <family val="2"/>
      </rPr>
      <t>NB: Deze code is niet bedoeld voor het reguliere schoonmaakonderhoud zoals glasbewassing en stof afnemen.</t>
    </r>
  </si>
  <si>
    <t>Bijstellen, naregelen, meten, nalopen</t>
  </si>
  <si>
    <t>Allerlei herstelmaatregelen waarbij bouwdelen niet worden vervangen, gerepareerd of gewijzigd, maar weer gaat functioneren conform de basiskwaliteit.</t>
  </si>
  <si>
    <t>3a</t>
  </si>
  <si>
    <t>Aanbrengen vervolgsysteem</t>
  </si>
  <si>
    <t>Het zodanig bewerken van het bestaande bouwdeel dat het herstelde bouwdeel weer een bepaalde “glans” krijgt. Het gaat hierbij vooral om het aanbrengen van nieuwe lagen over oude lagen.</t>
  </si>
  <si>
    <t>3b</t>
  </si>
  <si>
    <t>Revisie</t>
  </si>
  <si>
    <t>Her plaatsen, her monteren, her dekken, enz. van het bouwdeel, het vervangen van defecte componenten of onderdelen of het reviseren van (installatie) onderdelen/componenten.</t>
  </si>
  <si>
    <t>Reparatie</t>
  </si>
  <si>
    <r>
      <t xml:space="preserve">Allerlei vormen van (kleinschalige en/of spoedeisende) reparaties aan/van bouwdelen welke op korte termijn dienen te worden verholpen.
</t>
    </r>
    <r>
      <rPr>
        <i/>
        <sz val="8"/>
        <color rgb="FF0070C0"/>
        <rFont val="Verdana"/>
        <family val="2"/>
      </rPr>
      <t>Let wel goed op dat niet meer materiaal wordt vervangen of toegevoegd dan strikt nodig is.</t>
    </r>
  </si>
  <si>
    <t>5a</t>
  </si>
  <si>
    <t>Vernieuwen – kopiëren</t>
  </si>
  <si>
    <t>Het verwijderen, demonteren, slopen en afvoeren van (een deel van) de bestaande onderdelen/ componenten van een bouwdeel waarvoor vervolgens nieuwe onderdelen/componenten worden aangebracht. De aangebrachte nieuwe onderdelen/componenten zijn een exacte kopie van het origineel waarbij de oorspronkelijke detaillering zonder verbeteringen of aanpassingen van het bouwdeel wordt gerealiseerd.</t>
  </si>
  <si>
    <t>5b</t>
  </si>
  <si>
    <t>Integraal vervangen – imiteren</t>
  </si>
  <si>
    <t>Het verwijderen, demonteren, slopen en afvoeren van het gehele bouwdeel. Het originele oorspronkelijke ontwerp van het gehele bouwdeel wordt zoveel als mogelijk nagevolgd, met gebruikmaking van moderne technieken en/of andere materialen.
Het vervangend bouwdeel kan ook een verbeterde versie zijn in aansluiting op nieuwe (wettelijke) eisen.</t>
  </si>
  <si>
    <t>5c</t>
  </si>
  <si>
    <t>Verbeteren – modificeren</t>
  </si>
  <si>
    <r>
      <t xml:space="preserve">Het verwijderen, demonteren, slopen en afvoeren van een deel van de bestaande onderdelen/ componenten van een bouwdeel. De uitgangspunten van het bestaande ontwerp blijven zoveel mogelijk intact maar op onderdelen wordt het ontwerp aangepast (verbeterd) door toevoeging van (onderdelen van) componenten om aan moderne en of wettelijke eisen te voldoen. 
</t>
    </r>
    <r>
      <rPr>
        <i/>
        <sz val="8"/>
        <color rgb="FF0070C0"/>
        <rFont val="Verdana"/>
        <family val="2"/>
      </rPr>
      <t>NB: meestal gebeurt dit op aanwijzing vanuit een specialistisch onderzoekrapportage.</t>
    </r>
  </si>
  <si>
    <t>Specialistisch onderzoek</t>
  </si>
  <si>
    <t>Adviseren tot nader onderzoek, omdat reguliere zintuiglijke en niet-destructieve inspectie ontoereikend is, aangetroffen gebreken moeilijk te verklaren zijn en aanvullende expertise noodzakelijk is.</t>
  </si>
  <si>
    <t>Toevoeging nieuwe bouwdelen, uitbreiding</t>
  </si>
  <si>
    <r>
      <t xml:space="preserve">Het aanbrengen van een nieuw bouwdeel of in aantal uitbreiden van het bestaande bouwdelen die voorheen niet aanwezig waren. 
</t>
    </r>
    <r>
      <rPr>
        <i/>
        <sz val="8"/>
        <color rgb="FF0070C0"/>
        <rFont val="Verdana"/>
        <family val="2"/>
      </rPr>
      <t>NB: meestal gebeurt dit na een specialistisch onderzoek.</t>
    </r>
  </si>
  <si>
    <t>Slopen, verwijderen</t>
  </si>
  <si>
    <t>Het slopen, verwijderen en afvoeren van een bouwdeel zonder de intentie om het gesloopte en verwijderde bouwdeel te vervangen.</t>
  </si>
  <si>
    <t>Elders opgenomen</t>
  </si>
  <si>
    <t>Overlappende herstelmaatregelen of geringe herstelmaatregelen die kunnen worden samengevoegd met andere herstelmaatregelen, kunnen onder deze noemer met onderlinge verwijzingen naar het betreffende bouwdeel worden gekoppeld.</t>
  </si>
  <si>
    <t>Inventarisatie elektrotechniek</t>
  </si>
  <si>
    <t>Deuren buiten</t>
  </si>
  <si>
    <t>Stuks</t>
  </si>
  <si>
    <r>
      <t>m</t>
    </r>
    <r>
      <rPr>
        <vertAlign val="superscript"/>
        <sz val="8"/>
        <rFont val="Verdana"/>
        <family val="2"/>
      </rPr>
      <t>2</t>
    </r>
  </si>
  <si>
    <t>Deuren elektrisch</t>
  </si>
  <si>
    <t>Laagspanning</t>
  </si>
  <si>
    <r>
      <t>m</t>
    </r>
    <r>
      <rPr>
        <vertAlign val="superscript"/>
        <sz val="8"/>
        <rFont val="Verdana"/>
        <family val="2"/>
      </rPr>
      <t>2</t>
    </r>
    <r>
      <rPr>
        <sz val="8"/>
        <rFont val="Verdana"/>
        <family val="2"/>
      </rPr>
      <t xml:space="preserve"> BVO</t>
    </r>
  </si>
  <si>
    <t>Noodverlichting centraal/decentraal</t>
  </si>
  <si>
    <t>GF2 t/m GF15
Branduren zijn n.v.t. Defensie wilt volledig over op LED.</t>
  </si>
  <si>
    <t>Photovoltaïsch systeem gebouwgebonden</t>
  </si>
  <si>
    <t>W peik</t>
  </si>
  <si>
    <t>Verlichting standaard armaturen</t>
  </si>
  <si>
    <t>Werktuigbouwkunde</t>
  </si>
  <si>
    <t>combi</t>
  </si>
  <si>
    <t>prioriteit</t>
  </si>
  <si>
    <t>trede - positie</t>
  </si>
  <si>
    <t>gebrek</t>
  </si>
  <si>
    <t>trede</t>
  </si>
  <si>
    <t>5.1</t>
  </si>
  <si>
    <t>E-WP</t>
  </si>
  <si>
    <t>werking primair.</t>
  </si>
  <si>
    <t>5.2</t>
  </si>
  <si>
    <t>E-CP</t>
  </si>
  <si>
    <t>constructief primair.</t>
  </si>
  <si>
    <t>5.3</t>
  </si>
  <si>
    <t>E-MI</t>
  </si>
  <si>
    <t>materiaal intrisiek.</t>
  </si>
  <si>
    <t>5.4</t>
  </si>
  <si>
    <t>E-BK</t>
  </si>
  <si>
    <t>basiskwaliteit.</t>
  </si>
  <si>
    <t>5.5</t>
  </si>
  <si>
    <t>S-WS</t>
  </si>
  <si>
    <t>werking secundair.</t>
  </si>
  <si>
    <t>5.6</t>
  </si>
  <si>
    <t>S-CS</t>
  </si>
  <si>
    <t>constructief secundair.</t>
  </si>
  <si>
    <t>5.7</t>
  </si>
  <si>
    <t>S-MO</t>
  </si>
  <si>
    <t>materiaal oppervlak.</t>
  </si>
  <si>
    <t>5.8</t>
  </si>
  <si>
    <t>S-BK</t>
  </si>
  <si>
    <t>basiskwaliteit en veroudering componenten.</t>
  </si>
  <si>
    <t>5.9</t>
  </si>
  <si>
    <t>wettelijk basiskwaliteit.</t>
  </si>
  <si>
    <t>5.10</t>
  </si>
  <si>
    <t>W-PK</t>
  </si>
  <si>
    <t>bovenwettelijke basiskwaliteit.</t>
  </si>
  <si>
    <t>5.11</t>
  </si>
  <si>
    <t>onderhoud.</t>
  </si>
  <si>
    <t>5.12</t>
  </si>
  <si>
    <t>G-AF</t>
  </si>
  <si>
    <t>afwerking.</t>
  </si>
  <si>
    <t>5.13</t>
  </si>
  <si>
    <t>G-BK</t>
  </si>
  <si>
    <t>basiskwaliteit en veroudering onderdelen van componenten.</t>
  </si>
  <si>
    <t>5.14</t>
  </si>
  <si>
    <t>verval  ≥ 87,5%</t>
  </si>
  <si>
    <t>5.15</t>
  </si>
  <si>
    <t>≥75% verval&lt;87,5%.</t>
  </si>
  <si>
    <t>5.16</t>
  </si>
  <si>
    <t xml:space="preserve">≥50% verval&lt;75%. </t>
  </si>
  <si>
    <t>T-05</t>
  </si>
  <si>
    <t>5.17</t>
  </si>
  <si>
    <t>verval &lt; 50%</t>
  </si>
  <si>
    <t>GG5</t>
  </si>
  <si>
    <t>5.18</t>
  </si>
  <si>
    <t>geen gebrek</t>
  </si>
  <si>
    <t>nader te bepalen</t>
  </si>
  <si>
    <t>4.1</t>
  </si>
  <si>
    <t>4.2</t>
  </si>
  <si>
    <t>4.3</t>
  </si>
  <si>
    <t>4.4</t>
  </si>
  <si>
    <t>4.5</t>
  </si>
  <si>
    <t>4.6</t>
  </si>
  <si>
    <t>4.7</t>
  </si>
  <si>
    <t>4.8</t>
  </si>
  <si>
    <t>4.9</t>
  </si>
  <si>
    <t>4.10</t>
  </si>
  <si>
    <t>4.11</t>
  </si>
  <si>
    <t>4.12</t>
  </si>
  <si>
    <t>4.13</t>
  </si>
  <si>
    <t>4.14</t>
  </si>
  <si>
    <t>4.15</t>
  </si>
  <si>
    <t>4.16</t>
  </si>
  <si>
    <t>T-04</t>
  </si>
  <si>
    <t>4.17</t>
  </si>
  <si>
    <t>4.18</t>
  </si>
  <si>
    <t>4.19</t>
  </si>
  <si>
    <t>3.1</t>
  </si>
  <si>
    <t>3.2</t>
  </si>
  <si>
    <t>3.3</t>
  </si>
  <si>
    <t>3.4</t>
  </si>
  <si>
    <t>3.5</t>
  </si>
  <si>
    <t>3.6</t>
  </si>
  <si>
    <t>3.7</t>
  </si>
  <si>
    <t>3.8</t>
  </si>
  <si>
    <t>3.9</t>
  </si>
  <si>
    <t>3.10</t>
  </si>
  <si>
    <t>3.11</t>
  </si>
  <si>
    <t>3.12</t>
  </si>
  <si>
    <t>3.13</t>
  </si>
  <si>
    <t>3.14</t>
  </si>
  <si>
    <t>3.15</t>
  </si>
  <si>
    <t>3.16</t>
  </si>
  <si>
    <t>T-03</t>
  </si>
  <si>
    <t>3.17</t>
  </si>
  <si>
    <t>3.18</t>
  </si>
  <si>
    <t>3.19</t>
  </si>
  <si>
    <t>2.1</t>
  </si>
  <si>
    <t>2.2</t>
  </si>
  <si>
    <t>2.3</t>
  </si>
  <si>
    <t>2.4</t>
  </si>
  <si>
    <t>2.5</t>
  </si>
  <si>
    <t>2.6</t>
  </si>
  <si>
    <t>2.7</t>
  </si>
  <si>
    <t>2.8</t>
  </si>
  <si>
    <t>2.9</t>
  </si>
  <si>
    <t>2.10</t>
  </si>
  <si>
    <t>2.11</t>
  </si>
  <si>
    <t>2.12</t>
  </si>
  <si>
    <t>2.13</t>
  </si>
  <si>
    <t>2.14</t>
  </si>
  <si>
    <t>2.15</t>
  </si>
  <si>
    <t>2.16</t>
  </si>
  <si>
    <t>T-02</t>
  </si>
  <si>
    <t>2.17</t>
  </si>
  <si>
    <t>2.18</t>
  </si>
  <si>
    <t>2.19</t>
  </si>
  <si>
    <t>1.1</t>
  </si>
  <si>
    <t>1.2</t>
  </si>
  <si>
    <t>1.3</t>
  </si>
  <si>
    <t>1.4</t>
  </si>
  <si>
    <t>1.5</t>
  </si>
  <si>
    <t>1.6</t>
  </si>
  <si>
    <t>1.7</t>
  </si>
  <si>
    <t>1.8</t>
  </si>
  <si>
    <t>1.9</t>
  </si>
  <si>
    <t>1.10</t>
  </si>
  <si>
    <t>1.11</t>
  </si>
  <si>
    <t>1.12</t>
  </si>
  <si>
    <t>1.13</t>
  </si>
  <si>
    <t>1.14</t>
  </si>
  <si>
    <t>1.15</t>
  </si>
  <si>
    <t>1.16</t>
  </si>
  <si>
    <t>T-01</t>
  </si>
  <si>
    <t>1.17</t>
  </si>
  <si>
    <t>1.18</t>
  </si>
  <si>
    <t>1.19</t>
  </si>
  <si>
    <t>Inspecteren elektrotechniek</t>
  </si>
  <si>
    <t>Afgifte element warmte</t>
  </si>
  <si>
    <t>kW</t>
  </si>
  <si>
    <t>FB4 en GC6</t>
  </si>
  <si>
    <t>Afzuiginstallaties</t>
  </si>
  <si>
    <r>
      <t>m</t>
    </r>
    <r>
      <rPr>
        <vertAlign val="superscript"/>
        <sz val="8"/>
        <color rgb="FF000000"/>
        <rFont val="Verdana"/>
        <family val="2"/>
      </rPr>
      <t>3</t>
    </r>
    <r>
      <rPr>
        <sz val="8"/>
        <color rgb="FF000000"/>
        <rFont val="Verdana"/>
        <family val="2"/>
      </rPr>
      <t>/sec.</t>
    </r>
  </si>
  <si>
    <t>GD2 t/m GD7</t>
  </si>
  <si>
    <t>Bodemenergiesysteem</t>
  </si>
  <si>
    <r>
      <t>m</t>
    </r>
    <r>
      <rPr>
        <vertAlign val="superscript"/>
        <sz val="8"/>
        <color rgb="FF000000"/>
        <rFont val="Verdana"/>
        <family val="2"/>
      </rPr>
      <t>3</t>
    </r>
    <r>
      <rPr>
        <sz val="8"/>
        <color rgb="FF000000"/>
        <rFont val="Verdana"/>
        <family val="2"/>
      </rPr>
      <t>/uur</t>
    </r>
  </si>
  <si>
    <t>FC2 en FC4</t>
  </si>
  <si>
    <t>Buffervaten proceswater</t>
  </si>
  <si>
    <t>Liter</t>
  </si>
  <si>
    <t>Direct gestookte luchtverhitter</t>
  </si>
  <si>
    <t>FB4, FC4, GC2 en GC8
Indien een zwembad aanwezig dan ook FH7</t>
  </si>
  <si>
    <t>Douchegroep</t>
  </si>
  <si>
    <t>Koelcel inclusief aggregaat</t>
  </si>
  <si>
    <t>FC4, FD5, FD7 T/M FD12 en FD14</t>
  </si>
  <si>
    <t>Koeltoren</t>
  </si>
  <si>
    <t xml:space="preserve">FC2, FC4, </t>
  </si>
  <si>
    <t>Koelvitrine voedsel inclusief aggregaat</t>
  </si>
  <si>
    <t>FC4 en FD5</t>
  </si>
  <si>
    <t>Koude opwekeenheid</t>
  </si>
  <si>
    <t>FC2, FC4 en FI5.
LET OP: bij splitunit altijd aangeven of deze 'kan alleen koelen', 'kan alleen verwarmen' of 'kan verwarmen &amp; koelen'!</t>
  </si>
  <si>
    <t>Leidingen, appendages en toebehoren water</t>
  </si>
  <si>
    <r>
      <t>m</t>
    </r>
    <r>
      <rPr>
        <vertAlign val="superscript"/>
        <sz val="8"/>
        <color rgb="FF000000"/>
        <rFont val="Verdana"/>
        <family val="2"/>
      </rPr>
      <t>2</t>
    </r>
    <r>
      <rPr>
        <sz val="8"/>
        <color rgb="FF000000"/>
        <rFont val="Verdana"/>
        <family val="2"/>
      </rPr>
      <t xml:space="preserve"> BVO</t>
    </r>
  </si>
  <si>
    <t>Leidingnet en appendages verwarmen</t>
  </si>
  <si>
    <t>FB6, FB8, GC4 EN GC7</t>
  </si>
  <si>
    <t>Luchtbehandelingskasten (lbk's)</t>
  </si>
  <si>
    <t>FC2, FC4 en GD1 t/m GD7
Indien een zwembad aanwezig dan ook FH9</t>
  </si>
  <si>
    <t>Luchtkanalen, appendages en isolatie</t>
  </si>
  <si>
    <t xml:space="preserve">FA2, FA4 en GC5, </t>
  </si>
  <si>
    <t>Mechanische luchtbehandeling</t>
  </si>
  <si>
    <t>GD1 t/m GD7
Indien een zwembad aanwezig dan ook FH9</t>
  </si>
  <si>
    <t>Persluchtcompressor</t>
  </si>
  <si>
    <t>FA2, FA4, FC2, FC3 en FC4</t>
  </si>
  <si>
    <t>Pompen &gt;2kW, fundatiepomp verwarmen</t>
  </si>
  <si>
    <t>Rookgascondensor</t>
  </si>
  <si>
    <t>FB2, FB3 en FC4</t>
  </si>
  <si>
    <t>Stoomketel</t>
  </si>
  <si>
    <t>FB1, FB2, FB3, FB5, FC2, FC4, GC2 en GE3
Indien een zwembad aanwezig dan ook FH7</t>
  </si>
  <si>
    <t>Vacuümpomp</t>
  </si>
  <si>
    <t>Vaste keukenapparatuur</t>
  </si>
  <si>
    <t>FD5, FE2 en FE4</t>
  </si>
  <si>
    <t>VAV-box</t>
  </si>
  <si>
    <t>Ventilatorconvector</t>
  </si>
  <si>
    <t>Verdeler/verzamelaar verwarmen</t>
  </si>
  <si>
    <t>Groepen</t>
  </si>
  <si>
    <t>FC2, FC4, GC4 en GC7</t>
  </si>
  <si>
    <t>Verwarmd tapwater boiler</t>
  </si>
  <si>
    <t>Verwarmd tapwater geiser</t>
  </si>
  <si>
    <t>Verwarming opwekking centraal</t>
  </si>
  <si>
    <t>FB8, FC2, FC4, GC2, GC3 en GE3
Indien een zwembad aanwezig dan ook FH2 EN FH7</t>
  </si>
  <si>
    <t>Verwarming opwekking lokaal</t>
  </si>
  <si>
    <t>FC2, FC4, GC2, GC3 en GE3
Indien een zwembad aanwezig dan ook FH7</t>
  </si>
  <si>
    <t>Vriescel inclusief aggregaat</t>
  </si>
  <si>
    <t>FC4, FD5, FD6, FD14, FD15</t>
  </si>
  <si>
    <t>Warm-/heetwaterketel</t>
  </si>
  <si>
    <t>Warmtekrachtkoppeling (WKK) en toebehoren</t>
  </si>
  <si>
    <t>FC2, FC4, GC2, en GE3
Indien een zwembad aanwezig dan ook FH7</t>
  </si>
  <si>
    <t>Warmtepomp</t>
  </si>
  <si>
    <t>FC2, FC4, GC2 en GC3 
Indien een zwembad aanwezig dan ook FH7</t>
  </si>
  <si>
    <t>Waterbehandelingsinstallatie</t>
  </si>
  <si>
    <t xml:space="preserve">FB7, FC2, FC4, </t>
  </si>
  <si>
    <t>Zwembadwaterinstallatie</t>
  </si>
  <si>
    <t>Indien een zwembad aanwezig; FC2, FC4, FH2 en FH6</t>
  </si>
  <si>
    <t>Inventarisatie werktuigbouwkunde</t>
  </si>
  <si>
    <t>Inspecteren werktuigbouwkunde</t>
  </si>
  <si>
    <t>FUTP code</t>
  </si>
  <si>
    <t>WTB</t>
  </si>
  <si>
    <t>53.10.10-01</t>
  </si>
  <si>
    <t>Wim</t>
  </si>
  <si>
    <t>53.10.10-01 Verduurzamen EML - warm waterleidingen isoleren</t>
  </si>
  <si>
    <t>53.21.00-01</t>
  </si>
  <si>
    <t>53.21.00-01 Integraal vervangen - warm tapwater installatie</t>
  </si>
  <si>
    <t>55.21.00-02</t>
  </si>
  <si>
    <t>55.21.00-02 verduurzamen EML opwekeenheid verwarmen - hybride opstelling en of warmtepomp</t>
  </si>
  <si>
    <t>Oscar</t>
  </si>
  <si>
    <t>56.21.00-02 Toepassen frequentiegeregelde circulatiepomp</t>
  </si>
  <si>
    <t xml:space="preserve">56.21.00-02 </t>
  </si>
  <si>
    <t>56.21.00-02 Integraal vervangen CV opwekeenheid centraal</t>
  </si>
  <si>
    <t>56.90.30-01</t>
  </si>
  <si>
    <t>56.90.30-01 Verduurzamen EML leidingen en appendages isoleren</t>
  </si>
  <si>
    <t>57.40.00-01</t>
  </si>
  <si>
    <t>57.40.00-01 Verduurzamen EML vervangen slakkenhuis ventilator en ventilatormotor</t>
  </si>
  <si>
    <t>57.40.00-01 Verduurzamen EML Twin coil</t>
  </si>
  <si>
    <t>57.90.40-01</t>
  </si>
  <si>
    <t>57.90.40-01 Verduurzamen EML vervangen mechanische luchtbehandeling</t>
  </si>
  <si>
    <t>21.00.00-01</t>
  </si>
  <si>
    <t>Simon</t>
  </si>
  <si>
    <t>31.20.00-01</t>
  </si>
  <si>
    <t>47.10.00-01</t>
  </si>
  <si>
    <t>47.10.00-01 Verduurzamen schil gebouw - Omgekeerd plat dak</t>
  </si>
  <si>
    <t>47.10.00-02</t>
  </si>
  <si>
    <t>47.10.00-02 Verduurzamen schil gebouw - Warm plat dak</t>
  </si>
  <si>
    <t>63.20.10-01</t>
  </si>
  <si>
    <t>Edwin</t>
  </si>
  <si>
    <t>63.20.10-01 Verduurzamen EML - verlichtingsarmaturen standaard</t>
  </si>
  <si>
    <t>FC4; GB3; GB7; GB8 (+ alternatief)</t>
  </si>
  <si>
    <t>Voldoen aan advies</t>
  </si>
  <si>
    <t>Voldoet wel</t>
  </si>
  <si>
    <t>Voldoet niet</t>
  </si>
  <si>
    <t>FUTP's</t>
  </si>
  <si>
    <t>Leidingen; appendages en toebehoren water</t>
  </si>
  <si>
    <t>Luchtkanalen; appendages en isolatie</t>
  </si>
  <si>
    <t>Pompen &gt;2kW; fundatiepomp koelen</t>
  </si>
  <si>
    <t>Pompen &gt;2kW; fundatiepomp verwarmen</t>
  </si>
  <si>
    <t xml:space="preserve">FB6 </t>
  </si>
  <si>
    <t xml:space="preserve">FB8 </t>
  </si>
  <si>
    <t xml:space="preserve">GC4 </t>
  </si>
  <si>
    <t xml:space="preserve">GC7 </t>
  </si>
  <si>
    <t xml:space="preserve">FB2 </t>
  </si>
  <si>
    <t xml:space="preserve">FB3 </t>
  </si>
  <si>
    <t xml:space="preserve">FB1 </t>
  </si>
  <si>
    <t xml:space="preserve">FB7 </t>
  </si>
  <si>
    <t/>
  </si>
  <si>
    <t>Voldoet</t>
  </si>
  <si>
    <t xml:space="preserve">GD2  </t>
  </si>
  <si>
    <t xml:space="preserve">GD1  </t>
  </si>
  <si>
    <t xml:space="preserve">GF2  </t>
  </si>
  <si>
    <t>m²</t>
  </si>
  <si>
    <t>FC2 (mits &gt; 4 kW)</t>
  </si>
  <si>
    <t>FC2 (mits &gt; 4 kW), FC4, GC4, 
Indien een zwembad aanwezig dan ook FH2</t>
  </si>
  <si>
    <t>NEE</t>
  </si>
  <si>
    <t>Status schouw</t>
  </si>
  <si>
    <t>Aantal (EURO's)</t>
  </si>
  <si>
    <t>Voorstel RVB uitvoering</t>
  </si>
  <si>
    <t>Stoom aanwezig</t>
  </si>
  <si>
    <t>Zwembad aanwezig</t>
  </si>
  <si>
    <t>Niet aanwezig</t>
  </si>
  <si>
    <t>Voldoet aan gestelde eisen</t>
  </si>
  <si>
    <t>Doorgeschoven naar natuurlijk moment</t>
  </si>
  <si>
    <t>Alternatief uitgevoerd: ...</t>
  </si>
  <si>
    <t>Uitgevoerde deel ... %</t>
  </si>
  <si>
    <t>Zie project / opdracht ...</t>
  </si>
  <si>
    <t>Uit te voeren acties: ...</t>
  </si>
  <si>
    <t>Instandhoudingslabel</t>
  </si>
  <si>
    <t>Gebouwnummer:</t>
  </si>
  <si>
    <t>E 2.6.1</t>
  </si>
  <si>
    <t>Algemeen: oneindig
Accu: volgens opgave fabrikant</t>
  </si>
  <si>
    <t>Noodverlichtingsarmatuur</t>
  </si>
  <si>
    <t>Noodverlichting centraal</t>
  </si>
  <si>
    <t>E 2.3.1</t>
  </si>
  <si>
    <t>Photo-voltage-cellen</t>
  </si>
  <si>
    <t>61.15.00.00</t>
  </si>
  <si>
    <t>Fotovoltaïsch systeem gebouwgebonden</t>
  </si>
  <si>
    <t>Verlichtingsarmaturen</t>
  </si>
  <si>
    <t>W 2.14.1</t>
  </si>
  <si>
    <t>W 2.5.1</t>
  </si>
  <si>
    <t>57.71.01.00</t>
  </si>
  <si>
    <t>Mechanische luchtbehandeling (attribuutwaarde afzuiging (industrieel))</t>
  </si>
  <si>
    <t>W 2.1.1</t>
  </si>
  <si>
    <t>Bodemopslag warmte</t>
  </si>
  <si>
    <t>51.54.00.00</t>
  </si>
  <si>
    <t>W 2.2.1</t>
  </si>
  <si>
    <t>Buffervaten</t>
  </si>
  <si>
    <t>W 2.3.1</t>
  </si>
  <si>
    <t>51.10.02.00</t>
  </si>
  <si>
    <t>Luchtverhitter</t>
  </si>
  <si>
    <t>W 2.21.1</t>
  </si>
  <si>
    <t>W 2.19.1</t>
  </si>
  <si>
    <t>Koelcel incl. aggregaat</t>
  </si>
  <si>
    <t>73.22.02.00</t>
  </si>
  <si>
    <t>Vaste keukenvoorzieningen; bijzonder keukenapparatuur</t>
  </si>
  <si>
    <t>W 2.4.1</t>
  </si>
  <si>
    <t>55.20.02.00</t>
  </si>
  <si>
    <t>Natte koeltoren</t>
  </si>
  <si>
    <t>Koelvitrine voedsel incl aggr.</t>
  </si>
  <si>
    <t>Koudeopwekeenheid centraal</t>
  </si>
  <si>
    <t>55.20.01.00</t>
  </si>
  <si>
    <t>Koelinstallatie centraal</t>
  </si>
  <si>
    <t>W 2.13.1</t>
  </si>
  <si>
    <t>Algemeen: oneindig
Niet controleerbare tegenstroombeveiliging: 10 jaar</t>
  </si>
  <si>
    <t>Algemeen: oneindig</t>
  </si>
  <si>
    <t>Leidingn, app. + toebeh drinkwater</t>
  </si>
  <si>
    <t>53.10.01.00</t>
  </si>
  <si>
    <t>Leidingwaterinstallatie in gebouw</t>
  </si>
  <si>
    <t>W 2.9.1</t>
  </si>
  <si>
    <t>Leidingnet, appendages en toebehoren</t>
  </si>
  <si>
    <t>Luchtbehandelingskasten (LBK's)</t>
  </si>
  <si>
    <t>Mechanische luchtbehandeling (attribuutwaarde LBK luchttoevoer, LBK lucht afvoer/retour, LBK combinatie van toe- en afvoer)</t>
  </si>
  <si>
    <t>W 2.11.1</t>
  </si>
  <si>
    <t>Luchtkanalen, app. en isolatie</t>
  </si>
  <si>
    <t>W 2.6.1</t>
  </si>
  <si>
    <t>Pompen &gt; 2kW, fundatiepompen</t>
  </si>
  <si>
    <t>Algemeen: oneindig
Maximaal thermostaat: 5 jaar
Niveau beveiliging: 5 jaar</t>
  </si>
  <si>
    <t>Stoomketel lage druk &lt;0,5 bar</t>
  </si>
  <si>
    <t>53.40.01.00</t>
  </si>
  <si>
    <t>Mechanische luchtbehandeling (attribuutwaarde ventilatorconvector)</t>
  </si>
  <si>
    <t>Verdeler/verzamelaar</t>
  </si>
  <si>
    <t>W 2.7.1</t>
  </si>
  <si>
    <t>Boiler gas</t>
  </si>
  <si>
    <t>51.20.03.00</t>
  </si>
  <si>
    <t>Verwarmd waterinstallatie boiler</t>
  </si>
  <si>
    <t>51.20.02.00</t>
  </si>
  <si>
    <t>Verwarmd waterinstallatie geiser</t>
  </si>
  <si>
    <t>Warmte opwekeenheid centraal</t>
  </si>
  <si>
    <t>51.20.01.00</t>
  </si>
  <si>
    <t>CV ketel</t>
  </si>
  <si>
    <t>Warmte opwekeenheid lokaal</t>
  </si>
  <si>
    <t>51.10.01.00</t>
  </si>
  <si>
    <t>Kachel</t>
  </si>
  <si>
    <t>Vriescel incl. aggregaat</t>
  </si>
  <si>
    <t>Warm / heetwaterketel</t>
  </si>
  <si>
    <t>53.40.02.00</t>
  </si>
  <si>
    <t>Heetwaterketel</t>
  </si>
  <si>
    <t>Warmte- &amp; elektr opwekeenheid (WKK)</t>
  </si>
  <si>
    <t>51.41.01.00</t>
  </si>
  <si>
    <t>Warmte-krachtkoppeling</t>
  </si>
  <si>
    <t>Warmtepomp (WKO installatie)</t>
  </si>
  <si>
    <t>51.51.01.01</t>
  </si>
  <si>
    <t>W 2.16.1</t>
  </si>
  <si>
    <t>Waterbehandeling</t>
  </si>
  <si>
    <t>53.31.01.00</t>
  </si>
  <si>
    <t>53.34.01.00</t>
  </si>
  <si>
    <r>
      <t xml:space="preserve">§ </t>
    </r>
    <r>
      <rPr>
        <i/>
        <sz val="8"/>
        <color theme="0"/>
        <rFont val="Verdana"/>
        <family val="2"/>
      </rPr>
      <t xml:space="preserve">RVB </t>
    </r>
    <r>
      <rPr>
        <sz val="8"/>
        <color theme="0"/>
        <rFont val="Verdana"/>
        <family val="2"/>
      </rPr>
      <t>BOEI
v 2024</t>
    </r>
  </si>
  <si>
    <r>
      <t xml:space="preserve">§ </t>
    </r>
    <r>
      <rPr>
        <i/>
        <sz val="11"/>
        <color theme="0"/>
        <rFont val="Aptos Narrow"/>
        <family val="2"/>
        <scheme val="minor"/>
      </rPr>
      <t xml:space="preserve">RVB </t>
    </r>
    <r>
      <rPr>
        <sz val="11"/>
        <color theme="0"/>
        <rFont val="Aptos Narrow"/>
        <family val="2"/>
        <scheme val="minor"/>
      </rPr>
      <t>BOEI
v 2024</t>
    </r>
  </si>
  <si>
    <t>Pompen &gt;2kw, fundatiepomp koelen</t>
  </si>
  <si>
    <t>Theoretische levensduur</t>
  </si>
  <si>
    <t>21.00.00-02</t>
  </si>
  <si>
    <t>21.00.00-02 verduurzamen schil gebouw - Spouwmuurisolatie</t>
  </si>
  <si>
    <t>-</t>
  </si>
  <si>
    <t>21.00.00-01 Verduurzamen schil gebouw - Buitenwanden</t>
  </si>
  <si>
    <t>31.20.00-01 Verduurzamen schil gebouw - HR++ beglazing en kozijnen</t>
  </si>
  <si>
    <t>53.21.00-01 Plaatsen elektrische boiler installatie</t>
  </si>
  <si>
    <t>56.21.00-01</t>
  </si>
  <si>
    <t>GC4, FD5</t>
  </si>
  <si>
    <t>90.63.10</t>
  </si>
  <si>
    <t>90.63.10-01&amp;11 Verduurzaming EML - verduurzamen &amp; integraal vervangen terreinverlichting</t>
  </si>
  <si>
    <t>W piek</t>
  </si>
  <si>
    <t>Inspecteur B:</t>
  </si>
  <si>
    <t>Inspecteur E:</t>
  </si>
  <si>
    <t>Inspecteur W:</t>
  </si>
  <si>
    <t>Inspectiebureau:</t>
  </si>
  <si>
    <t>Complex / locatie:</t>
  </si>
  <si>
    <t>Soort inventarisatie:</t>
  </si>
  <si>
    <r>
      <t xml:space="preserve">nul inventarisatie / </t>
    </r>
    <r>
      <rPr>
        <b/>
        <strike/>
        <sz val="9"/>
        <color rgb="FF0070C0"/>
        <rFont val="Verdana"/>
        <family val="2"/>
      </rPr>
      <t>her inventarisatie</t>
    </r>
    <r>
      <rPr>
        <b/>
        <sz val="9"/>
        <color rgb="FF0070C0"/>
        <rFont val="Verdana"/>
        <family val="2"/>
      </rPr>
      <t>*</t>
    </r>
  </si>
  <si>
    <t>Object code:</t>
  </si>
  <si>
    <t>Soort inspectie:</t>
  </si>
  <si>
    <r>
      <t xml:space="preserve">nul inspectie / </t>
    </r>
    <r>
      <rPr>
        <b/>
        <strike/>
        <sz val="9"/>
        <color rgb="FF0070C0"/>
        <rFont val="Verdana"/>
        <family val="2"/>
      </rPr>
      <t>her inspectie</t>
    </r>
    <r>
      <rPr>
        <b/>
        <sz val="9"/>
        <color rgb="FF0070C0"/>
        <rFont val="Verdana"/>
        <family val="2"/>
      </rPr>
      <t>*</t>
    </r>
  </si>
  <si>
    <t>Monument:</t>
  </si>
  <si>
    <t>Ja/Nee*</t>
  </si>
  <si>
    <t>BVO:</t>
  </si>
  <si>
    <r>
      <t>m</t>
    </r>
    <r>
      <rPr>
        <b/>
        <vertAlign val="superscript"/>
        <sz val="9"/>
        <color rgb="FF0070C0"/>
        <rFont val="Verdana"/>
        <family val="2"/>
      </rPr>
      <t>2</t>
    </r>
    <r>
      <rPr>
        <b/>
        <sz val="9"/>
        <color rgb="FF0070C0"/>
        <rFont val="Verdana"/>
        <family val="2"/>
      </rPr>
      <t xml:space="preserve"> BVO</t>
    </r>
  </si>
  <si>
    <t>Instandhoudingslabel:</t>
  </si>
  <si>
    <t>Basis</t>
  </si>
  <si>
    <t>Datum beoordeling (RVB):</t>
  </si>
  <si>
    <t>Behandeld door RVB medewerker:</t>
  </si>
  <si>
    <t>Aangehouden DZH tabel:</t>
  </si>
  <si>
    <t>DZH Prog EML Defensie</t>
  </si>
  <si>
    <r>
      <rPr>
        <b/>
        <sz val="7"/>
        <color rgb="FF0070C0"/>
        <rFont val="Verdana"/>
        <family val="2"/>
      </rPr>
      <t>*</t>
    </r>
    <r>
      <rPr>
        <sz val="7"/>
        <color rgb="FFC00000"/>
        <rFont val="Verdana"/>
        <family val="2"/>
      </rPr>
      <t>: weghalen wat niet van toepassing is.</t>
    </r>
  </si>
  <si>
    <t>Versie beoordeling:</t>
  </si>
  <si>
    <t>Vakgebied:</t>
  </si>
  <si>
    <t>Wegfactor</t>
  </si>
  <si>
    <t>score</t>
  </si>
  <si>
    <t>punten</t>
  </si>
  <si>
    <t>Opmerking / toelichting</t>
  </si>
  <si>
    <t>Inventariseren</t>
  </si>
  <si>
    <t xml:space="preserve">Algemene opmerkingen:
</t>
  </si>
  <si>
    <t>Kennis van vereiste en gewenste inventarisatie gegevens</t>
  </si>
  <si>
    <t>Het verzamelen en weergeven van de vereiste informatie volgens het handboek RVB BOEI.</t>
  </si>
  <si>
    <t>Het verzamelen en weergeven van de vereiste informatie volgens de Energie- en duurzaamheidstabel van de huidige aanwezige waarde of techniek.</t>
  </si>
  <si>
    <t>Kennis van afbakening van bouwdelen</t>
  </si>
  <si>
    <t>Leesbaarheid geheel</t>
  </si>
  <si>
    <t>Het eenduidig houden van de informatie zonder in herhaling te vallen.</t>
  </si>
  <si>
    <t>Integrale Vervangingswaarde (IVW)</t>
  </si>
  <si>
    <t>Realistische waardebepaling.</t>
  </si>
  <si>
    <t>Rapportcijfer:</t>
  </si>
  <si>
    <t>Inspecteren</t>
  </si>
  <si>
    <t>Kennis van de BOEI 2.0 methodiek</t>
  </si>
  <si>
    <t>Functioneel (functie - proces - omgeving) en technisch vertalen van thema O a.d.h.v. de geldende relevante inspectiepunten.</t>
  </si>
  <si>
    <t>Functioneel (functie - proces - omgeving) en technisch vertalen van thema E  a.d.h.v. de geldende energie- en duurzaamheidstabel.</t>
  </si>
  <si>
    <t>Kennis van wet- en regelgeving en geldende normen</t>
  </si>
  <si>
    <t>Het kunnen omzetten van EML regelgeving naar gebreken per bouwdeeltype.</t>
  </si>
  <si>
    <t>Kennis van de beginselen, logica en variabelen met betrekking tot de werking en het gebruik van het bouwdeel, in combinatie met degradatie- en schademechanismen</t>
  </si>
  <si>
    <t>Kennis van gebreken met betrekking tot materiaal en constructie.</t>
  </si>
  <si>
    <t>Kennis van logica van LOGRO</t>
  </si>
  <si>
    <t>Herkennen van de primaire oorzaak / de bron van het gebrek, het vaststellen van de (exacte) locatie van het gebrek en het kunnen vertalen naar het gevolg en (gebruiks-)risico en daaropvolgend kunnen bepalen en uitwerken van een duurzame technisch en financieel proportionele oplossing.</t>
  </si>
  <si>
    <t>SMART; Specifiek blijven, Meetbaar maken, Acceptabele toelichtingen, Realistische blijven en met de juiste Tijdsplanning.</t>
  </si>
  <si>
    <t>De beschreven gebrek annotatie / toelichting moet volledig en eenduidig zijn voor elke lezer nu en straks zodat uitvoering volledig transparant en uniek is.</t>
  </si>
  <si>
    <t>Kostenraming</t>
  </si>
  <si>
    <t>Reëel bedragen bij thema's B-O-I en hanteren van een overzichtelijke opbouw naar budgetitems.</t>
  </si>
  <si>
    <t>Vertalen van specialisten / expert rapportages en/of logboeken.</t>
  </si>
  <si>
    <t>Kunnen interpreteren en controleren van gebreken uit specialistische en expert rapportages en volledig en correct omzetten a.d.h.v. de RVB beslisboom soort gebrek.</t>
  </si>
  <si>
    <t>Foto's</t>
  </si>
  <si>
    <t>De overzichts- / detailfoto's moeten scherp en leesbaar zijn. Op de foto mogen geen gevoelige informatie of personen zichtbaar zijn.</t>
  </si>
  <si>
    <t>B, E en W</t>
  </si>
  <si>
    <t>Gecertificeerd onderhoudskundig inspecteur B:</t>
  </si>
  <si>
    <t>Gecertificeerd onderhoudskundig inspecteur E:</t>
  </si>
  <si>
    <t>Gecertificeerd onderhoudskundig inspecteur W:</t>
  </si>
  <si>
    <t>100 jaar</t>
  </si>
  <si>
    <t>Aluminium 75 jaar
Staal 100 jaar
Zachthout 35 jaar
Hardhout 50 jaar
PVC 40 jaar</t>
  </si>
  <si>
    <t>Folie zwembad 13 jaar
Polyesther / monoblock zwembad 32 jaar
Betonnen zwembad 45 jaar</t>
  </si>
  <si>
    <t>Beton / metaal 100 jaar
Hout 75 jaar</t>
  </si>
  <si>
    <t>75 jaar</t>
  </si>
  <si>
    <t>30 jaar</t>
  </si>
  <si>
    <t>Aluminium 30 jaar
Staal 20 jaar
Hout 25 jaar</t>
  </si>
  <si>
    <t>Pleisterwerk, cement- en kalkpleister 25 jaar
Leempleister 15 jaar</t>
  </si>
  <si>
    <t>Betongevelplaat 75 jaar
Polyesterbeton 40 jaar
Leien  40 jaar
Natuursteen 75 jaar
Keramiek miet gelijmd 75 jaar
Keramiek gelijmd 40 jaar
Europees zachthout niet verduurzaamd 15 jaar
Europees zachthout verduurzaamd 30 jaar
Europees hardhout niet verduurzaamd 30 jaar
Europees zachthout verduurzaamd 40 jaar
Tropisch hardhoud afgewerkt 60 jaar
Tropisch hardhout niet afgewerkt 50 jaar
Eiken / Robinie / Western Red Cedar 60 jaar
Merantie 40 jaar
Multiplex 30 jaar
Houtwolcementplaat 25 jaar
Zink felsgevel 25 jaar
Metaal thermisch verzinkt  of geanodiserd 30 jaar
Metaal thermisch verzinkt en/of gecoat 40 jaar
Metaal gemoffeld 60 jaar
Koper felsgevel 100 jaar</t>
  </si>
  <si>
    <t>(Gemodificeerde) bitumen, PVC, EPDM, POCB 30 jaar
Aluminium gecoat 40 jaar
Aluminium gemoffeld 60 jaar
Staal thermisch verzinkt 15 jaar
Staal thermisch verzikt en gecoat 50 jaar
Koper en zink 75 jaar
Groen dak (sedum) 40 jaar</t>
  </si>
  <si>
    <t>Dakpan / leien beton 50 jaar
Dakpan / leien keramisch 75 jaar
Dakpan / leien keramisch geglazuurd 100 jaar
Natuursteen leien 75 jaar
Metaal thermisch verzinkt 20 jaar
Metaal gemoffeld of gecoat 50 jaar
Zink 40 jaar
Koper 100 jaar
Riet 40 jaar
Bitumineuae shingles 15 jaar
Groen dak / betumen of EPDM 40 jaar</t>
  </si>
  <si>
    <t>Tot 130 kW nominaal vermogen 20 jaar
Vanaf 130 kW nominaal vermogen 25 jaar</t>
  </si>
  <si>
    <t>Elektrische boiler 14 jaar
Direct gestookte boiler 18 jaar
Indirect gestookte boiler 22 jaar</t>
  </si>
  <si>
    <t>Open geiser (atmosferisch) 10 jaar
Gesloten HR geiser 14 jaar
RVS/condensatie geiser 16 jaar</t>
  </si>
  <si>
    <t>20 jaar</t>
  </si>
  <si>
    <t>15 jaar</t>
  </si>
  <si>
    <t>Splitunit 15 jaar
Waterkoelaggregaat 12 jaar
Koelmachine / koelcompessor 15 jaar</t>
  </si>
  <si>
    <t>25 jaar</t>
  </si>
  <si>
    <t>Open systeem 20 jaar
Gesloten systeem 50 jaar</t>
  </si>
  <si>
    <t>Kleine ketels 12 jaar
Utiliteit / RVS 20 jaar
Industriële uitvoering 25 jaar</t>
  </si>
  <si>
    <t>Tot 30 kW nominaal vermogen 15 jaar
Van 30 kW tot 130 kW nominaal vermogen 18 jaar
Van 130 kW tot 600 kW nominaal vermogen 20 jaar
Meer dan 600 kW nominale vermogen  25 jaar</t>
  </si>
  <si>
    <t>tot 30 kW nominaal vermogen 15 jaar
van 30 kW tot 130 kW nominaal vermogen 18 jaar
van 130 kW tot 600 kW nominaal vermogen 20 jaar
meer dan 600 kW nominale vermogen  25 jaar</t>
  </si>
  <si>
    <t>radiatoren staal 30 jaar
radiatoren gietijzer 40 jaar
convectoren 35 jaar</t>
  </si>
  <si>
    <t>Lokaal 15 jaar
Centraal 20 jaar</t>
  </si>
  <si>
    <t>Ventilatorconvector 12 jaar
Luchtverhitter indirect gestookt 25 jaar
Luchtgordijn 15 jaar</t>
  </si>
  <si>
    <t>Lokaal / kleine capaciteit 15 jaar
Centraal / grote capaciteit 20 jaar</t>
  </si>
  <si>
    <t>Metaal 35 jaar
Aluminium 20 jaar
PVC 40 jaar
flexibele buis 25 jaar</t>
  </si>
  <si>
    <t>Binnenarmaturen:
Gesloten TL armatuur 15 jaar
Open TL armatuur 25 jaar 
PL en gloeilamp armatuur 20 jaar
Buitenarmaturen: 15 jaar</t>
  </si>
  <si>
    <t>Afzuigkap 15 jaar
Kookapparatuur 10 jaar
Friteuze 8 jaar
Vaatwasser 8 jaar
Uitgifte buffet 15 jaar</t>
  </si>
  <si>
    <t>Douchekop:
kunststof 5 jaar
metaal 11 jaar
RVS 15 jaar</t>
  </si>
  <si>
    <t>Duurzaamheid bijdrage</t>
  </si>
  <si>
    <t>Naam bedrijf</t>
  </si>
  <si>
    <t>Jan</t>
  </si>
  <si>
    <t>Willem</t>
  </si>
  <si>
    <t>Hugo</t>
  </si>
  <si>
    <t>Voorbeeld</t>
  </si>
  <si>
    <t>Kantoor</t>
  </si>
  <si>
    <t>1, 2, 3, 4, 6, 7, 8, 11, 12</t>
  </si>
  <si>
    <t>1, 2, 3, 4, 6, 6a, 7, 8, 11, 12</t>
  </si>
  <si>
    <t>1, 2, 3, 4, 7, 8, 11 en 12</t>
  </si>
  <si>
    <t>Onbekend</t>
  </si>
  <si>
    <t>Metselwerk geschilderd</t>
  </si>
  <si>
    <t>Houten kozijnen dekkend geschilderd</t>
  </si>
  <si>
    <t>Stalen kozijnen</t>
  </si>
  <si>
    <t>Enkelglas</t>
  </si>
  <si>
    <t>SANCO dubbelglas</t>
  </si>
  <si>
    <t>Dakpannen keramisch</t>
  </si>
  <si>
    <t>SANCO</t>
  </si>
  <si>
    <t>Spouwbreedte 5cm. Geen isolatie in spouw. RC=0,5.
Metselwerk staand verband.
Orientatie: 43m2 Noord, 110m2 Oost, 43m2 Zuid, 114m2 West.
Dekkend geschilderd wit.
Dragend.
Wandopeningen van Hout en glas.
Vogelwering aanwezig.
Hoogte gevel is 2,85m.</t>
  </si>
  <si>
    <t>Voorzien van isolatieglas.
Houten kozijn, 90 graden, draairamen en vaste ramen.
Orientantie: 9m2 Noord, 36,5m2 Oost, 9m2 Zuid, 40,5m2 West. 
Dekkend geschilderd wit. 
Sponning is 2cm.</t>
  </si>
  <si>
    <t>Betreft dakramen. Voorzien van enkelglas. 
Stalen kozijn, 45 graden, draairamen.
Oriëntatie: 2m2 Oost. 2m2 west. 
Dekkend afgewerkt coating. 
Onbeschut.
Rondom keramische dakpannen.
Niet thermisch onderbroken</t>
  </si>
  <si>
    <t>Enkelglas 4mm in dakramen.
Droog in stalen kozijn gelegd.</t>
  </si>
  <si>
    <t>Dubbelglas 18mm (4-10-4) Sanco.
Glaslatten met kitwerk.
Beglazing is aanwezig in ramen en deuren. Beglazing is identiek.</t>
  </si>
  <si>
    <t>Geen zonnepanelen aanwezig.
Totale lengte goot = 70 m1, 70m1 aan nokvorstren keramisch.
420m2 aan oppervlakte. 
Geen bliksemvoorziening aanweizg.
Geen aanwezigheid van valbeveiliging.
RC waarde is 0 ivm ontbreken isolatie</t>
  </si>
  <si>
    <t>471210-1</t>
  </si>
  <si>
    <t>8 (buitenzijde)</t>
  </si>
  <si>
    <t>Thermische scheurvorming</t>
  </si>
  <si>
    <t>Ontwerp o.b.v. oude wetgeving</t>
  </si>
  <si>
    <t xml:space="preserve">Slechte afwerklaag. Onvoldoende bescherming. </t>
  </si>
  <si>
    <t>Door bereiken einde levensduur</t>
  </si>
  <si>
    <t>Verouderde beglazing</t>
  </si>
  <si>
    <t>niet van toepassing</t>
  </si>
  <si>
    <t>Erg verouderde dakafwerking</t>
  </si>
  <si>
    <t>Begroeïng rondom gebouw zorgt voor alg en mosgroei op het dak.</t>
  </si>
  <si>
    <t>Constructieve verzwakking, zetting, vervorming wanden en vloeren, vochtproblemen.</t>
  </si>
  <si>
    <t>Houtrot aanwezig op verbindingsstukken. Onvoldoende waterkering en stabiliteit en vochtdoorslag</t>
  </si>
  <si>
    <t>barsten, afbladderen en krijten. Beschermlaag onvoldoende om het kozijn optimaal te beschermen en houtrot kan ontstaan</t>
  </si>
  <si>
    <t>Toename gebreken, niet functioneren delen</t>
  </si>
  <si>
    <t>Uitzakken glaswerk, sneller breuk in glaswerk. Comfort vermindering</t>
  </si>
  <si>
    <t>Matig comfort en verhoogde energieverbruik</t>
  </si>
  <si>
    <t>Toename gebreken - onvoldoende primaire functie behouden - lekkages</t>
  </si>
  <si>
    <t>Aantasten schutlaag dakpannen, verstoppingen door vervuiling, onvoldoende afschot voor regenwater</t>
  </si>
  <si>
    <t>Scheurvorming herstellen/dichtzetten. Nader onderzoek scheurvorming wordt geadviseerd.</t>
  </si>
  <si>
    <t xml:space="preserve">Partieel herstellen </t>
  </si>
  <si>
    <t xml:space="preserve">Planmatig vervangen op basis van leeftijd door houten kozijnen volgens hoogste eisen uit dzh-tabel: minimaal RC waarde 5 </t>
  </si>
  <si>
    <t>Partieel reinigen mits integraal vervangen niet toegepast gaat worden.</t>
  </si>
  <si>
    <t>Na-isolereren op een natuurlijk moment volgens FUTP. Bij na isoleren van de spouwmuur wordt een RC van 5 behaald en wordt dus voldaan aan de hoogste eisen uit de dzh-tabel</t>
  </si>
  <si>
    <t>Planmatig vervangen op basis van leeftijd door houten kozijnen volgens hoogste eisen uit dzh-tabel.  Voor vervangen kozijnen zie FUTP</t>
  </si>
  <si>
    <t>Vervangen beglazing.  Vervang beglazing volgens FUTP. Enkelglas vervangen voor HR++ glas. Na aanbrengen voldoet het aan de hoogste eis van de DZH-tabel.</t>
  </si>
  <si>
    <t>Vervang beglazing volgens FUTP. Kosten zijn opgnomen bij EML. 312050-1-2</t>
  </si>
  <si>
    <t>Vervang beglazing volgens FUTP. Dubbelglas vervangen voor HR++ glas. Sponning is 4cm. Na aanbrengen voldoet het aan de hoogste eis van de DZH-tabel.</t>
  </si>
  <si>
    <t>EML kan niet worden toegepast. In de huidige stalen kozijnen (dakramen) is het uitvoeren van GB5 niet mogelijk omdat hier geen ruimte is voor HR++ glas. Sponningsdiepte is kleiner dan 2cm.</t>
  </si>
  <si>
    <t xml:space="preserve">EML niet van toepassing. Dakoppervlak is kleiner dan de benodigde 2000m2. </t>
  </si>
  <si>
    <t>EML niet uitgevoerd en kan toegepast worden. Sponning is groter dan 2cm en ruimten worden verwarmt tot 18 graden of hoger.</t>
  </si>
  <si>
    <t>EML nog niet uitgevoerd. Spouwbreedte &gt;5cm. Geen isolatie in spouwmuur aanwezig. RC is 0,5. De goothoogte is 2,70m. Het is niet noodzakelijk om steigerwerk op te bouwen voor het na-isoleren van deze gevel.</t>
  </si>
  <si>
    <t>FUTP niet van toepassing</t>
  </si>
  <si>
    <t xml:space="preserve">B </t>
  </si>
  <si>
    <t>1, 1A, 9, 7</t>
  </si>
  <si>
    <t>1–12, 1A, 6A, 9A–C, 10A, 12A en 106</t>
  </si>
  <si>
    <t>LED</t>
  </si>
  <si>
    <t>TL</t>
  </si>
  <si>
    <t>Van Lien</t>
  </si>
  <si>
    <t>Philips, Mazdafluor, Meyer</t>
  </si>
  <si>
    <t>Aantal vluchtwegarmaturen: 8,
aantal noodverlichting: 8</t>
  </si>
  <si>
    <t>Type verlichting:
TL ingebouwde plafond armaturen, aantallen naar type: 57 armaturen,
TL montagebalken, aantallen naar type: 6 armaturen.
Schakeling in alle ruimtes gaat met conventionele lichtknoppen</t>
  </si>
  <si>
    <t>Element vervangen in 2019, levensduur beslaat 20 jaar. Element heeft 35% van theoretische levensduur gehaald</t>
  </si>
  <si>
    <t>Vervangen voor LED verlichting in 2019</t>
  </si>
  <si>
    <t>Functieverlies, toename aan gebreken/verstoringen</t>
  </si>
  <si>
    <t>GF15 is uitgevoerd, LED verlichting voor noodverlichting toegepast</t>
  </si>
  <si>
    <t>Planmatig vervangen op basis van leeftijd volgens FUTP. Vervangen voor wederom een LED armatuur. Voldoet zowel in huidige situatie als na vervanging aan hoogste eisen DHZ-tabel.</t>
  </si>
  <si>
    <t>632010-1</t>
  </si>
  <si>
    <t>6&amp;7</t>
  </si>
  <si>
    <t>1–5 8-12, 1A, 6A, 9A–C, 10A, 12A en 106</t>
  </si>
  <si>
    <t>Element heeft &gt;100% van theoretische levensduur gehaald</t>
  </si>
  <si>
    <t>Ontwerp van destijds</t>
  </si>
  <si>
    <t>GF1 is niet uitgevoerd, conventionele lichtknoppen aanwezig, geen beweginssensoren</t>
  </si>
  <si>
    <t>GF6 is niet uitgevoerd, TL8 montagebalken aanwezig</t>
  </si>
  <si>
    <t>GF14 is niet uitgevoerd, TL8 buizen aanwezig in ingebouwde plafondarmaturen</t>
  </si>
  <si>
    <t>Planmatig vervangen op basis van leeftijd volgens FUTP.Kosten opgenomen onder bouwdeeltype 632010-1 gebrek 2, 3 en 4.
Voldoet na invoeren oplossing aan hoogste technische eis DHZ-tabel (LED-armaturen).</t>
  </si>
  <si>
    <t>Bewegingssensoren plaatsen ter vervanging van lichtknoppen volgens FUTP.Voldoet na invoeren oplossing aan hoogste technische eis DHZ-tabel (LED-armaturen).</t>
  </si>
  <si>
    <t>Conventionele verlichting vervangen voor LED volgens FUTP. Voldoet na invoeren oplossing aan hoogste technische eis DHZ-tabel (LED-armaturen).</t>
  </si>
  <si>
    <t>Conventionele verlichting vervangen voor LED volgens FUTP.Voldoet na invoeren oplossing aan hoogste technische eis DHZ-tabel (LED-armaturen).</t>
  </si>
  <si>
    <t>[objectcode.gebouwnummer] LED vluchtweg overzicht, [objectcode.gebouwnummer] LED vluchtweg detail</t>
  </si>
  <si>
    <t>[objectcode.gebouwnummer]aan-uit schakeling</t>
  </si>
  <si>
    <t>[objectcode.gebouwnummer] TL lamp overzicht, [objectcode.gebouwnummer] TL lamp overzicht2, [objectcode.gebouwnummer] TL lamp detail, [objectcode.gebouwnummer] TL lamp detail2</t>
  </si>
  <si>
    <t>[objectcode.gebouwnummer] TL overzicht3</t>
  </si>
  <si>
    <t>5A</t>
  </si>
  <si>
    <t>6</t>
  </si>
  <si>
    <t>2,3,4,5,7,8,11,12</t>
  </si>
  <si>
    <t>1 t/m 12 en 106</t>
  </si>
  <si>
    <t>Metaal</t>
  </si>
  <si>
    <t>900036611</t>
  </si>
  <si>
    <t>9629594</t>
  </si>
  <si>
    <t>07.10.18.041</t>
  </si>
  <si>
    <t>900118890</t>
  </si>
  <si>
    <t>1996Z663011260</t>
  </si>
  <si>
    <t>07.02.28.631</t>
  </si>
  <si>
    <t>AS-24H</t>
  </si>
  <si>
    <t>Quinta ACE 115</t>
  </si>
  <si>
    <t>900000472 - 
63AQ6520</t>
  </si>
  <si>
    <t>Gas 3000 ECO 11 reminox</t>
  </si>
  <si>
    <t>Radiatoren</t>
  </si>
  <si>
    <t>900055374</t>
  </si>
  <si>
    <t>Arctic 950 L CC</t>
  </si>
  <si>
    <t>Daalderop</t>
  </si>
  <si>
    <t>Fujitsu</t>
  </si>
  <si>
    <t>Carrier</t>
  </si>
  <si>
    <t>Remeha</t>
  </si>
  <si>
    <t>Unica</t>
  </si>
  <si>
    <t xml:space="preserve">Biral, Grundfos, </t>
  </si>
  <si>
    <t>Niet bekend</t>
  </si>
  <si>
    <t>J.E. Stork Air</t>
  </si>
  <si>
    <t>2 meter leiding, ongeïsoleerd in verwarmde ruimte, geen circulatieleiding, boiler bevindt zich binnen twee meter van tappunt, metalen leiding</t>
  </si>
  <si>
    <t>Mono koper; 450 W, 30 liter, geen circulatieleiding, elektrische boiler</t>
  </si>
  <si>
    <t>onder spoelbak pantry (195)
Close-in. Conform werkafspraken niet geïnspecteerd.</t>
  </si>
  <si>
    <t>Kan verwarmen en koelen, 2,5 kW nominaal e-vermogen, l-l warmtepomp, koelt/verwarmt enkel de ruimte waar die staat, compressiekoelmachine SEER &lt; 3 (gebaseerd op basis van bouwjaar)</t>
  </si>
  <si>
    <t>Kan verwarmen en koelen, vermogen onbekend, l-l warmtepomp, koelt/verwarmt enkel de ruimte waar die staat,  compressiekoelmachine SEER &lt; 3 (gebaseerd op basis van bouwjaar)</t>
  </si>
  <si>
    <t>Aardgas, HR, cv-installatie verwarmd gebouwen 45H07.002, 45H07.003 &amp; 45H07.004, 107 kW nominaal vermogen, een weersafhankelijke regeling is aanwezig, cascade opstelling</t>
  </si>
  <si>
    <t xml:space="preserve">Ketel 1 atmos.brander; Deze ketel is vervangen door de andere ketels en niet meer aanwezig.
294 kW nom.verm.//302 kW nom.bel.Hs//. Conform werkafspraken niet geïnspecteerd. </t>
  </si>
  <si>
    <t xml:space="preserve">2x pomp biral NRF 14T (50 W) (niet frequentiegeregeld),  
1x pomp grundfos MAGNA3 25-40  (50W) (frequentiegeregeld), 
1x biral D 32-8 180 RED (134 W)  (frequentiegeregeld,
1x pomp grundfos Alpha2 25-40/130 (18 W) (fequentiegeregeld), 
isolatie leidingen en appendages is toegepast,
metalen leidingen </t>
  </si>
  <si>
    <t>Radiatoren allen voorzien van thermosstaatknoppen, waterzijdig verwarmingssyteem, vermogen ingeschat op basis van aantal radiatoren</t>
  </si>
  <si>
    <t>30 meter leiding (metalen leiding) ongeïsoleerd in onverwarmde ruimte (ruimte 106), 2x pomp grundfos MAGNA3 25-40  (50W) (frequentiegeregeld)</t>
  </si>
  <si>
    <t>994 Watt nominaal vermogen; klokregeling toegepast, 2 ventilatoren 100 W en IE1 klasse (bepaald o.b.v. leeftijd); 3.000 draaiuren per jaar</t>
  </si>
  <si>
    <t>3 meter aanzuigkanalen in onverwarmde ruimte (ruimte 106) geïsoleerd en 30 meter afzuigkanalen ongeïsoleerd (ruimte 106) , metalen luchtkanalen</t>
  </si>
  <si>
    <t>531010-1</t>
  </si>
  <si>
    <t>532110-1</t>
  </si>
  <si>
    <t>552110-1</t>
  </si>
  <si>
    <t>552110-2</t>
  </si>
  <si>
    <t>562110-1</t>
  </si>
  <si>
    <t>562110-2</t>
  </si>
  <si>
    <t>563010-1</t>
  </si>
  <si>
    <t>568010-1</t>
  </si>
  <si>
    <t>569030-1</t>
  </si>
  <si>
    <t>573020-1</t>
  </si>
  <si>
    <t>579040-1</t>
  </si>
  <si>
    <t>Element heeft een 100%  van theoretische levensduur gehaald</t>
  </si>
  <si>
    <t>Element heeft 100% van theoretische levensduur gehaald</t>
  </si>
  <si>
    <t>Element heeft 10% van theoretische levensduur gehaald</t>
  </si>
  <si>
    <t>ontwerp van destijds</t>
  </si>
  <si>
    <t>Element heeft 90% van theoretische levensduur gehaald</t>
  </si>
  <si>
    <t>Functieverlies installatie, toename aan gebreken / verstoringen</t>
  </si>
  <si>
    <t>GE1 is niet van toepassing omdat er geen circulatieleiding aanwezig is</t>
  </si>
  <si>
    <t>GE3 niet van toepassing. Betreft een elektrisch verwarmde boiler.</t>
  </si>
  <si>
    <t>GC2 is niet van toepassing doordat isolatie van de gebouwen niet voldoet aan eisen uit bouwbesluit van 1 oktober 1992. (Rc schil gebouw &lt; 2,5 m2K/W)</t>
  </si>
  <si>
    <t>GC3 is niet van toepassing want het betreft een lucht-lucht warmtepomp en in een airco is geen verwarmingswater aanwezig</t>
  </si>
  <si>
    <t>GC3 is niet van toepassing want het betreft een airco en in een airco is geen verwarmingswater aanwezig</t>
  </si>
  <si>
    <t>GC3 is uitgevoerd omdat een weersafhankelijke regeling is toegepast</t>
  </si>
  <si>
    <t>GC2 is niet van toepassing doordat isolatie van de gebouwen voldoet niet aan eisen uit bouwbesluit van 1 oktober 1992. (Rc schil gebouw &lt; 2,5 m2K/W)</t>
  </si>
  <si>
    <t>GC1 is uitgevoerd doordat een klokregeling op de w-installatie is toegepast</t>
  </si>
  <si>
    <t>FC2 niet van toepassing want  er is geen pomp aanwezig op cv installatie</t>
  </si>
  <si>
    <t>FC4 niet van toepassing want er is geen elektromotor aanwezig</t>
  </si>
  <si>
    <t>GE3 niet van toepassing want er is geen verbeterd rendement (VR) ketel of 
conventionele ketel en opgeslagen in een buffervat aanwezig. Bovendien cv-installatie dient enkel als verwarmingsinstallatie</t>
  </si>
  <si>
    <t>FC2 niet van toepassing want geen pomp aanwezig op cv installatie</t>
  </si>
  <si>
    <t>FC4 niet van toepassing want geen elektromotor aanwezig</t>
  </si>
  <si>
    <t>GE3 niet van toepassing want geen verbeterd rendement (VR) ketel of 
conventionele ketel en opgeslagen in een buffervat aanwezig. Bovendien cv-installatie dient enkel als verwarmingsinstallatie</t>
  </si>
  <si>
    <t>GC4 is uitgevoerd doordat alle leidingen en appendages zijn geïsoleerd</t>
  </si>
  <si>
    <t>GC7 is niet uitgevoerd doordat twee circulatiepompen niet frequentiegeregeld zijn waardoor elektriciteitsverlies optreedt</t>
  </si>
  <si>
    <t>FC2 niet van toepassing want elektromotor kleiner dan 4 kW</t>
  </si>
  <si>
    <t>FC4 niet van toepassing want elektromotor van ten minste 0,75 kW niet aanwezig</t>
  </si>
  <si>
    <t xml:space="preserve">GC6 is uitgevoerd want alle radiatoren zijn voorzien van thermostaatknoppen </t>
  </si>
  <si>
    <t>GC4 Is niet uitgevoerd want isolatie leidingen en appendages ontbreekt waardoor warmteverlies optreedt</t>
  </si>
  <si>
    <t>GC7 is uitgevoerd doordat de circulatiepompen frequentie geregeld zijn</t>
  </si>
  <si>
    <t>GD1 is uitgevoerd want klokregeling is toegepast</t>
  </si>
  <si>
    <t>GD2 is  uitgevoerd want warmteterugwinning  op het balansventilatiesysteem is toegepast</t>
  </si>
  <si>
    <t>GD3 is niet van toepassing want het vermogen van de IE1 ventilatoren is kleiner dan 5,5 kW</t>
  </si>
  <si>
    <t>GD4 niet van toepassing want geen indirect aangedreven IE1 slakkenhuisventilatoren aanwezig</t>
  </si>
  <si>
    <t>GD5 niet van toepassing want geen indirect aangedreven IE2 slakkenhuisventilatoren aanwezig</t>
  </si>
  <si>
    <t>GD6 niet van toepassing want geen indirect aangedreven IE3 slakkenhuisventilatoren aanwezig</t>
  </si>
  <si>
    <t>GD7 niet van toepassing want geen IE2 of IE3 ventilatoren aanwezig</t>
  </si>
  <si>
    <t>GC5 is uitgevoerd want ventilatiekanalen waar warme lucht doorstroomd zijn geïsoleerd</t>
  </si>
  <si>
    <t>Planmatig vervangen op basis van leeftijd volgens hoogste eisen uit de duurzaamheidstabel: Tappunten binnen straal van 3 meter van opwektoestel plaatsen en leidingen isoleren.</t>
  </si>
  <si>
    <t>Planmatig vervangen op basis van leeftijd volgens hoogste eisen uit de duurzaamheidstabel: Warmtepomp, zonneboiler of elektrische doorstromer direct bij tappunt Volgens FUTP 53.21.00-01 plaatsen elektrische boiler installatie.</t>
  </si>
  <si>
    <t>Planmatig vervangen op basis van leeftijd. Bij vervangen voldoen aan duurzaamheidstabel: toepassen van een l-l warmtepomp met een natuurlijk koudemiddel en een SEER &gt; 3. Niet mogelijk om te voldoen aan hoogste eisen dzh-tabel want koeling benodigd door slechte isolatie en koudeopslag niet logisch gezien de geringe koudevraag</t>
  </si>
  <si>
    <t xml:space="preserve">Planmatig vervangen op basis van leeftijd aan de hand van 56.21.00-02; Integrale vervanging – gasgestookt CV opwekeenheid centraal. Bij vervanging voldoen aan de duurzaamheidstabel:weersafhankelijke regeling en hybride warmtepomp toepassen. Volledige elektrische verwarming niet mogelijk vanwege de beperkte isolatie van het pand
</t>
  </si>
  <si>
    <t>Planmatig vervangen op basis van leeftijd volgens hoogste eisen uit de duurzaamheidstabel: vervangen door kuntstofleidingen en frequentiegeregelde pompen</t>
  </si>
  <si>
    <t>Circulatiepompen vervangen door een frequentiegeregelde variant aan de hand van FUTP 56.21.00-01; Pas frequentiegeregelde circulatiepompen toe</t>
  </si>
  <si>
    <t>Planmatig vervangen op basis van leeftijd volgens hoogste eisen uit de duurzaamheidstabel: individuele temperatuurregeling per ruimte wordt gewaarborgd</t>
  </si>
  <si>
    <t>Leiding isoleren in ruimte 106 volgens FUTP 56.90.30-01 Verduurzamen EML  leidingen, kanalen en appendages- isoleren verwarmen</t>
  </si>
  <si>
    <t>Planmatig vervangen op basis van leeftijd volgens een deel hoogste eisen dzh-tabel: Direct gedreven IE 4 ventilator en CO2 gestuurd.  Daarnaast planmatig vervangen waarbij wordt voldaan aan de dzh-tabel op het volgende punt: warmteterugwinning d.m.v. warmtepomp.</t>
  </si>
  <si>
    <t>Planmatig vervangen op basis van leeftijd volgens hoogste eisen uit de duurzaamheidstabel door geïsoleerde metalen luchtkanalen</t>
  </si>
  <si>
    <t>net van toepassing</t>
  </si>
  <si>
    <t>210010-1</t>
  </si>
  <si>
    <t>210010-1-3</t>
  </si>
  <si>
    <t>210010-1-1</t>
  </si>
  <si>
    <t>312010-2</t>
  </si>
  <si>
    <t>312010-2-1</t>
  </si>
  <si>
    <t>312030-1</t>
  </si>
  <si>
    <t>312030-1-1</t>
  </si>
  <si>
    <t>312030-1-2</t>
  </si>
  <si>
    <t>312050-1</t>
  </si>
  <si>
    <t>312050-1-1</t>
  </si>
  <si>
    <t>312050-1-2</t>
  </si>
  <si>
    <t>471210-1-1</t>
  </si>
  <si>
    <t>471210-1-2</t>
  </si>
  <si>
    <t>471210-1-3</t>
  </si>
  <si>
    <t>632010-1-1</t>
  </si>
  <si>
    <t>632010-1-2</t>
  </si>
  <si>
    <t>632010-1-3</t>
  </si>
  <si>
    <t>632010-1-4</t>
  </si>
  <si>
    <t>312010-1</t>
  </si>
  <si>
    <t>634010-1</t>
  </si>
  <si>
    <t>m3/sec.</t>
  </si>
  <si>
    <t>312010-1-1</t>
  </si>
  <si>
    <t>312010-1-3</t>
  </si>
  <si>
    <t>634010-1-1</t>
  </si>
  <si>
    <t>634010-1-2</t>
  </si>
  <si>
    <t xml:space="preserve"> uit te voeren acties: spouwmuur isoleren </t>
  </si>
  <si>
    <t xml:space="preserve"> niet aanwezig </t>
  </si>
  <si>
    <t xml:space="preserve"> in bestaande kozijn kan geen HR++ worden geplaatst </t>
  </si>
  <si>
    <t xml:space="preserve"> uit te voeren acties: hr++-glas plaatsen </t>
  </si>
  <si>
    <t xml:space="preserve"> voldoet aan gestelde eisen </t>
  </si>
  <si>
    <t xml:space="preserve"> gebouw voldoet niet aan eisen uit bouwbesluit van 1 oktober 1992. (Rc schil gebouw &lt; 2,5 m2K/W) </t>
  </si>
  <si>
    <t xml:space="preserve"> uit te voeren acties: isoleren appendages in ruimte 106 </t>
  </si>
  <si>
    <t xml:space="preserve"> uit te voeren acties: frequentieregeling toepassen op circulatiepompen </t>
  </si>
  <si>
    <t xml:space="preserve"> N.V.T. </t>
  </si>
  <si>
    <t xml:space="preserve"> vermogen ventilator &lt; 5,5 kW </t>
  </si>
  <si>
    <t xml:space="preserve"> uit te voeren acties: Bewegingssensoren plaatsen ter vervanging van lichtknoppen </t>
  </si>
  <si>
    <t xml:space="preserve"> uit te voeren acties: Vervangen van TL lampen voor LED verlichting </t>
  </si>
  <si>
    <t xml:space="preserve"> geen 2.000 m2 beschikbaar </t>
  </si>
  <si>
    <t xml:space="preserve"> In beheer bij Defensie </t>
  </si>
  <si>
    <t xml:space="preserve"> geen centrale toerengeregelde persluchtcompressor(en) en buffervat aanwezig </t>
  </si>
  <si>
    <t xml:space="preserve"> geen centrale persluchtnet aanwezig </t>
  </si>
  <si>
    <t xml:space="preserve"> geen centraal stoomnet aanwezig </t>
  </si>
  <si>
    <t xml:space="preserve"> geen stoomgevoede luchtverhitter aanwezig </t>
  </si>
  <si>
    <t>bestaande pomp &lt;4 kW en/of elektromotor beter dan IE2. Pompen alleen aanwezig op verdeler verzamelaar en leidingen en appendages verwarmen</t>
  </si>
  <si>
    <t>vermogen motor &lt;0,75 kW. Elektromotoren alleen aanwezig op verdeler verzamelaar en leidingen en appendages verwarmen</t>
  </si>
  <si>
    <t xml:space="preserve"> Zie schouwformulier terrein </t>
  </si>
  <si>
    <t>532110-1-1</t>
  </si>
  <si>
    <t>532110-1-2</t>
  </si>
  <si>
    <t>552110-1-1</t>
  </si>
  <si>
    <t>552110-1-2</t>
  </si>
  <si>
    <t>552110-1-3</t>
  </si>
  <si>
    <t>552110-2-1</t>
  </si>
  <si>
    <t>552110-2-2</t>
  </si>
  <si>
    <t>552110-2-3</t>
  </si>
  <si>
    <t>562110-1-1</t>
  </si>
  <si>
    <t>562110-1-2</t>
  </si>
  <si>
    <t>562110-1-3</t>
  </si>
  <si>
    <t>562110-1-4</t>
  </si>
  <si>
    <t>562110-1-6</t>
  </si>
  <si>
    <t>562110-1-7</t>
  </si>
  <si>
    <t>562110-1-8</t>
  </si>
  <si>
    <t>562110-2-1</t>
  </si>
  <si>
    <t>562110-2-2</t>
  </si>
  <si>
    <t>562110-2-3</t>
  </si>
  <si>
    <t>562110-2-4</t>
  </si>
  <si>
    <t>562110-2-6</t>
  </si>
  <si>
    <t>562110-2-7</t>
  </si>
  <si>
    <t>562110-2-8</t>
  </si>
  <si>
    <t>563010-1-1</t>
  </si>
  <si>
    <t>563010-1-2</t>
  </si>
  <si>
    <t>563010-1-3</t>
  </si>
  <si>
    <t>563010-1-4</t>
  </si>
  <si>
    <t>563010-1-5</t>
  </si>
  <si>
    <t>568010-1-1</t>
  </si>
  <si>
    <t>568010-1-2</t>
  </si>
  <si>
    <t>569030-1-1</t>
  </si>
  <si>
    <t>569030-1-2</t>
  </si>
  <si>
    <t>569030-1-3</t>
  </si>
  <si>
    <t>569030-1-6</t>
  </si>
  <si>
    <t>573020-1-1</t>
  </si>
  <si>
    <t>573020-1-2</t>
  </si>
  <si>
    <t>573020-1-3</t>
  </si>
  <si>
    <t>573020-1-4</t>
  </si>
  <si>
    <t>573020-1-5</t>
  </si>
  <si>
    <t>573020-1-6</t>
  </si>
  <si>
    <t>573020-1-7</t>
  </si>
  <si>
    <t>573020-1-8</t>
  </si>
  <si>
    <t>579040-1-1</t>
  </si>
  <si>
    <t>579040-1-2</t>
  </si>
  <si>
    <t>[objectcode.gebouwnummer]-532110-1-Overzicht</t>
  </si>
  <si>
    <t>[objectcode.gebouwnummer] -532110-1-Overzicht; [objectcode.gebouwnummer] 532110-1-type</t>
  </si>
  <si>
    <t>[objectcode.gebouwnummer] -552010-Overzicht; [objectcode.gebouwnummer] -552010-1-Type; [objectcode.gebouwnummer] -552010-1-Overzicht</t>
  </si>
  <si>
    <t>[objectcode.gebouwnummer] -552010-Overzicht; [objectcode.gebouwnummer] -552010-2-Overzicht; [objectcode.gebouwnummer] -552010-2-Type</t>
  </si>
  <si>
    <t>[objectcode.gebouwnummer] -562110-Overzicht; [objectcode.gebouwnummer] -562110-1-type</t>
  </si>
  <si>
    <t>[objectcode.gebouwnummer] -562110-Overzicht; [objectcode.gebouwnummer] -562110-2-type</t>
  </si>
  <si>
    <t>[objectcode.gebouwnummer] -563010-overzicht; [objectcode.gebouwnummer] -563010-pomp1;[objectcode.gebouwnummer] -563010-pomp2; [objectcode.gebouwnummer] -563010-pomp3; [objectcode.gebouwnummer] -563010-pomp4; [objectcode.gebouwnummer] -563010-pomp5;</t>
  </si>
  <si>
    <t>[objectcode.gebouwnummer] -568010</t>
  </si>
  <si>
    <t>[objectcode.gebouwnummer] -531010-overzicht1; [objectcode.gebouwnummer] -531010-overzicht2</t>
  </si>
  <si>
    <t>[objectcode.gebouwnummer] -573020-overzicht; [objectcode.gebouwnummer] -573020-type</t>
  </si>
  <si>
    <t>[objectcode.gebouwnummer] -579040-overzicht1</t>
  </si>
  <si>
    <t xml:space="preserve">[objectcode.gebouwnummer] -532110-1-Overzicht; </t>
  </si>
  <si>
    <t>[objectcode.gebouwnummer] -532110-1-Overzicht</t>
  </si>
  <si>
    <t>[objectcode.gebouwnummer] -562110-Overzicht</t>
  </si>
  <si>
    <t>[objectcode.gebouwnummer] -563010-overzicht</t>
  </si>
  <si>
    <t>[objectcode.gebouwnummer] -563010-pomp1; [objectcode.gebouwnummer] -563010-pomp2; [objectcode.gebouwnummer] -563010-pomp3; [objectcode.gebouwnummer] -563010-pomp4;[objectcode.gebouwnummer] -563010-pomp5;</t>
  </si>
  <si>
    <t>[objectcode.gebouwnummer] -563010-pomp1</t>
  </si>
  <si>
    <t>[objectcode.gebouwnummer] -531010-overzicht1;[objectcode.gebouwnummer] -531010-overzicht2</t>
  </si>
  <si>
    <t>[objectcode.gebouwnummer] -573020-Klokregeling</t>
  </si>
  <si>
    <t>[objectcode.gebouwnummer] -579040-overzicht; [objectcode.gebouwnummer] -579040-overzicht1</t>
  </si>
  <si>
    <t>[objectcode.gebouwnummer] -210010-1</t>
  </si>
  <si>
    <t>[objectcode.gebouwnummer] -312010-1</t>
  </si>
  <si>
    <t>[objectcode.gebouwnummer] -312010-2</t>
  </si>
  <si>
    <t>[objectcode.gebouwnummer] -312030-1</t>
  </si>
  <si>
    <t>[objectcode.gebouwnummer] -312050-1</t>
  </si>
  <si>
    <t>[objectcode.gebouwnummer] -471210-1</t>
  </si>
  <si>
    <t>Omschrijving</t>
  </si>
  <si>
    <t>Overlast</t>
  </si>
  <si>
    <t>nvt</t>
  </si>
  <si>
    <t>Verwaarloosbaar</t>
  </si>
  <si>
    <t>Isoleren binnenzijde</t>
  </si>
  <si>
    <t>Beperkt</t>
  </si>
  <si>
    <t>Merkbaar</t>
  </si>
  <si>
    <t>ATB GBS</t>
  </si>
  <si>
    <t>Programma zon op dak</t>
  </si>
  <si>
    <t>GB1-A1</t>
  </si>
  <si>
    <t>Gevelisolatie (Rc = 3,7)</t>
  </si>
  <si>
    <t>GB1-A2</t>
  </si>
  <si>
    <t>Gevelisolatie (Rc = 4,7)</t>
  </si>
  <si>
    <t>GB1-A3</t>
  </si>
  <si>
    <t>Extra gevelisolatie (Rc = 4,7)</t>
  </si>
  <si>
    <t>GB4-A1</t>
  </si>
  <si>
    <t>Dakisolatie (+dakbedekking) (Rc = 6,3)</t>
  </si>
  <si>
    <t>GB4-A2</t>
  </si>
  <si>
    <t>Extra dakisolatie (+dakbedekking) (Rc = 6,3)</t>
  </si>
  <si>
    <t>LC1</t>
  </si>
  <si>
    <t>Isolatie hellend dak (Rc = 3,7)</t>
  </si>
  <si>
    <t>47.10.00-03 Verduurzamen schil gebouw - Hellend dak isolatie</t>
  </si>
  <si>
    <t>LC2</t>
  </si>
  <si>
    <t>Isolatie hellend dak (Rc = 6,3)</t>
  </si>
  <si>
    <t>LC3</t>
  </si>
  <si>
    <t>Extra isolatie hellend dak (Rc = 6,3)</t>
  </si>
  <si>
    <t>GB2-A1</t>
  </si>
  <si>
    <t>Isoleren zoldervloer (Rc = 2,5)</t>
  </si>
  <si>
    <t>LC4</t>
  </si>
  <si>
    <t>Isolatie vloer - kruipruimte (Rc = 3,7)</t>
  </si>
  <si>
    <t>LC5</t>
  </si>
  <si>
    <t>Isolatie houten vloer - kruipruimte (Rc = 3,7)</t>
  </si>
  <si>
    <t>GB5/GB6-A1</t>
  </si>
  <si>
    <t>HR++ glas met nieuwe houten kozijnen</t>
  </si>
  <si>
    <t>GB5/GB6-A2</t>
  </si>
  <si>
    <t>HR++ glas met nieuwe kozijnen (TOM)</t>
  </si>
  <si>
    <t>LC6</t>
  </si>
  <si>
    <t>Geïsoleerde panelen (Rc=1,5 / U=0,67)</t>
  </si>
  <si>
    <t>GC2-A1</t>
  </si>
  <si>
    <t>Warmtepomp (buitenlucht)</t>
  </si>
  <si>
    <t>GC2-A2</t>
  </si>
  <si>
    <t>Warmtepomp (buitenlucht) &amp; LT-verwarming</t>
  </si>
  <si>
    <t>LC7</t>
  </si>
  <si>
    <t>Passieve koeling icm WKO</t>
  </si>
  <si>
    <t>LC8</t>
  </si>
  <si>
    <t>Passieve koeling icm WKO &amp; LT-verwarming</t>
  </si>
  <si>
    <t>GE3-A1</t>
  </si>
  <si>
    <t>Elektrisch warmtapwatersysteem</t>
  </si>
  <si>
    <t>GE3-A2</t>
  </si>
  <si>
    <t>Lokale elektrische warmtapwatersystemen</t>
  </si>
  <si>
    <t>LC9</t>
  </si>
  <si>
    <t>Zelfregelende ventilatieroosters (nat.ventilatie)</t>
  </si>
  <si>
    <t>GD2-A1</t>
  </si>
  <si>
    <t>Balansventilatie met WTW en CO2-regeling</t>
  </si>
  <si>
    <t>Niet bruikbaar</t>
  </si>
  <si>
    <t>FUTPs Afgerond</t>
  </si>
  <si>
    <t>Update :</t>
  </si>
  <si>
    <t>RVB FUTP titel</t>
  </si>
  <si>
    <t>Recente versie</t>
  </si>
  <si>
    <t>Datum van wijziging</t>
  </si>
  <si>
    <t>Afronding eerste versie</t>
  </si>
  <si>
    <t>Invloed E-Label</t>
  </si>
  <si>
    <t>Uitvoerder Next step</t>
  </si>
  <si>
    <t>Toetsing RVB</t>
  </si>
  <si>
    <t>Opmerkingen</t>
  </si>
  <si>
    <t>Concept
nummer</t>
  </si>
  <si>
    <t>Verzonden</t>
  </si>
  <si>
    <t>Kennis coörd.</t>
  </si>
  <si>
    <t>RVB BOEI</t>
  </si>
  <si>
    <t>KCK</t>
  </si>
  <si>
    <t>Duurzaamheid</t>
  </si>
  <si>
    <t>Inspecties I&amp;I</t>
  </si>
  <si>
    <t>Adsviseurs I&amp;I</t>
  </si>
  <si>
    <t>Contracten</t>
  </si>
  <si>
    <t>Kennislijn</t>
  </si>
  <si>
    <t>Monumenten</t>
  </si>
  <si>
    <t>Opmerkingen constructies
(zie mail Jurgen Hielema hierover)</t>
  </si>
  <si>
    <t>D1.3</t>
  </si>
  <si>
    <t>Afgerond</t>
  </si>
  <si>
    <t>Nog check TE</t>
  </si>
  <si>
    <t>D1.2</t>
  </si>
  <si>
    <t>D1.1</t>
  </si>
  <si>
    <t>GB5, GB6</t>
  </si>
  <si>
    <t>D1.5</t>
  </si>
  <si>
    <t>D1.0</t>
  </si>
  <si>
    <t>GD 4t/m7</t>
  </si>
  <si>
    <t>FD14, GF 1 t/m 15</t>
  </si>
  <si>
    <t>D2.1</t>
  </si>
  <si>
    <t>Nog check TE; versie D2.0</t>
  </si>
  <si>
    <t>Versie D2.0 verzonden; nog niets vernomen</t>
  </si>
  <si>
    <t>GG1, GG2 GG3, GG4 FG1 tm FG5</t>
  </si>
  <si>
    <t>nee</t>
  </si>
  <si>
    <t>NVT</t>
  </si>
  <si>
    <t>Raming kosten 
excl. BTW</t>
  </si>
  <si>
    <t>Datum advies RVB:</t>
  </si>
  <si>
    <t>Gele velden invullen door Opdrachtnemer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</si>
</sst>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42" formatCode="_ &quot;€&quot;\ * #,##0_ ;_ &quot;€&quot;\ * \-#,##0_ ;_ &quot;€&quot;\ * &quot;-&quot;_ ;_ @_ "/>
    <numFmt numFmtId="44" formatCode="_ &quot;€&quot;\ * #,##0.00_ ;_ &quot;€&quot;\ * \-#,##0.00_ ;_ &quot;€&quot;\ * &quot;-&quot;??_ ;_ @_ "/>
    <numFmt numFmtId="43" formatCode="_ * #,##0.00_ ;_ * \-#,##0.00_ ;_ * &quot;-&quot;??_ ;_ @_ "/>
    <numFmt numFmtId="164" formatCode="d/mm/yy;@"/>
    <numFmt numFmtId="165" formatCode="_ [$€-413]\ * #,##0.00_ ;_ [$€-413]\ * \-#,##0.00_ ;_ [$€-413]\ * &quot;-&quot;??_ ;_ @_ "/>
    <numFmt numFmtId="166" formatCode="yyyy/mm/dd;@"/>
    <numFmt numFmtId="167" formatCode="0;;;@"/>
    <numFmt numFmtId="168" formatCode="&quot;€&quot;\ #,##0"/>
    <numFmt numFmtId="169" formatCode="#,##0.0\ &quot;kWh/kWh&quot;"/>
    <numFmt numFmtId="170" formatCode="#,##0.00\ &quot;kWh/m³&quot;"/>
    <numFmt numFmtId="171" formatCode="#,##0.00\ &quot;kWh/GJ&quot;"/>
    <numFmt numFmtId="172" formatCode="#,##0.00000\ &quot;ton/kWh&quot;"/>
    <numFmt numFmtId="173" formatCode="#,##0.000000\ &quot;ton/kWh&quot;"/>
    <numFmt numFmtId="174" formatCode="#,##0.00000\ &quot;ton/GJ&quot;"/>
    <numFmt numFmtId="175" formatCode="_ [$€-2]\ * #,##0.00_ ;_ [$€-2]\ * \-#,##0.00_ ;_ [$€-2]\ * &quot;-&quot;??_ ;_ @_ "/>
    <numFmt numFmtId="176" formatCode="#,##0_ ;\-#,##0\ "/>
  </numFmts>
  <fonts count="69" x14ac:knownFonts="1">
    <font>
      <sz val="11"/>
      <color theme="1"/>
      <name val="Aptos Narrow"/>
      <family val="2"/>
      <scheme val="minor"/>
    </font>
    <font>
      <sz val="11"/>
      <color theme="1"/>
      <name val="Aptos Narrow"/>
      <family val="2"/>
      <scheme val="minor"/>
    </font>
    <font>
      <sz val="11"/>
      <color theme="0"/>
      <name val="Aptos Narrow"/>
      <family val="2"/>
      <scheme val="minor"/>
    </font>
    <font>
      <b/>
      <sz val="11"/>
      <color theme="1"/>
      <name val="Aptos Narrow"/>
      <family val="2"/>
      <scheme val="minor"/>
    </font>
    <font>
      <b/>
      <sz val="20"/>
      <color theme="1"/>
      <name val="Aptos Narrow"/>
      <family val="2"/>
      <scheme val="minor"/>
    </font>
    <font>
      <sz val="11"/>
      <name val="Aptos Narrow"/>
      <family val="2"/>
      <scheme val="minor"/>
    </font>
    <font>
      <b/>
      <sz val="11"/>
      <name val="Aptos Narrow"/>
      <family val="2"/>
      <scheme val="minor"/>
    </font>
    <font>
      <sz val="8"/>
      <name val="Aptos Narrow"/>
      <family val="2"/>
      <scheme val="minor"/>
    </font>
    <font>
      <sz val="11"/>
      <color rgb="FF0070C0"/>
      <name val="Aptos Narrow"/>
      <family val="2"/>
      <scheme val="minor"/>
    </font>
    <font>
      <i/>
      <sz val="11"/>
      <color rgb="FFFF0000"/>
      <name val="Aptos Narrow"/>
      <family val="2"/>
      <scheme val="minor"/>
    </font>
    <font>
      <sz val="9"/>
      <color theme="0"/>
      <name val="Verdana"/>
      <family val="2"/>
    </font>
    <font>
      <sz val="9"/>
      <name val="Verdana"/>
      <family val="2"/>
    </font>
    <font>
      <vertAlign val="superscript"/>
      <sz val="11"/>
      <color theme="1"/>
      <name val="Aptos Narrow"/>
      <family val="2"/>
      <scheme val="minor"/>
    </font>
    <font>
      <sz val="11"/>
      <name val="Aptos Narrow"/>
      <family val="2"/>
    </font>
    <font>
      <sz val="11"/>
      <color theme="1"/>
      <name val="Calibri"/>
      <family val="2"/>
    </font>
    <font>
      <u/>
      <sz val="11"/>
      <color theme="1"/>
      <name val="Aptos Narrow"/>
      <family val="2"/>
      <scheme val="minor"/>
    </font>
    <font>
      <vertAlign val="subscript"/>
      <sz val="11"/>
      <color theme="1"/>
      <name val="Aptos Narrow"/>
      <family val="2"/>
      <scheme val="minor"/>
    </font>
    <font>
      <b/>
      <sz val="11"/>
      <color theme="0" tint="-4.9989318521683403E-2"/>
      <name val="Aptos Narrow"/>
      <family val="2"/>
      <scheme val="minor"/>
    </font>
    <font>
      <sz val="11"/>
      <color theme="1"/>
      <name val="Aptos Narrow"/>
      <family val="2"/>
    </font>
    <font>
      <b/>
      <sz val="20"/>
      <color theme="1"/>
      <name val="Verdana"/>
      <family val="2"/>
    </font>
    <font>
      <sz val="11"/>
      <color theme="1"/>
      <name val="Verdana"/>
      <family val="2"/>
    </font>
    <font>
      <i/>
      <sz val="20"/>
      <color theme="1"/>
      <name val="Verdana"/>
      <family val="2"/>
    </font>
    <font>
      <vertAlign val="superscript"/>
      <sz val="11"/>
      <color theme="1"/>
      <name val="Verdana"/>
      <family val="2"/>
    </font>
    <font>
      <sz val="8"/>
      <color theme="0"/>
      <name val="Verdana"/>
      <family val="2"/>
    </font>
    <font>
      <sz val="8"/>
      <color theme="1"/>
      <name val="Verdana"/>
      <family val="2"/>
    </font>
    <font>
      <i/>
      <sz val="11"/>
      <color theme="1"/>
      <name val="Verdana"/>
      <family val="2"/>
    </font>
    <font>
      <sz val="24"/>
      <color theme="1"/>
      <name val="Verdana"/>
      <family val="2"/>
    </font>
    <font>
      <sz val="18"/>
      <color theme="1"/>
      <name val="Verdana"/>
      <family val="2"/>
    </font>
    <font>
      <sz val="10"/>
      <color theme="0"/>
      <name val="Verdana"/>
      <family val="2"/>
    </font>
    <font>
      <sz val="8"/>
      <name val="Verdana"/>
      <family val="2"/>
    </font>
    <font>
      <sz val="8"/>
      <color theme="8"/>
      <name val="Verdana"/>
      <family val="2"/>
    </font>
    <font>
      <vertAlign val="superscript"/>
      <sz val="8"/>
      <color theme="1"/>
      <name val="Verdana"/>
      <family val="2"/>
    </font>
    <font>
      <b/>
      <sz val="10"/>
      <color theme="1"/>
      <name val="Verdana"/>
      <family val="2"/>
    </font>
    <font>
      <b/>
      <sz val="9"/>
      <color theme="0"/>
      <name val="Verdana"/>
      <family val="2"/>
    </font>
    <font>
      <sz val="9"/>
      <color indexed="81"/>
      <name val="Tahoma"/>
      <family val="2"/>
    </font>
    <font>
      <sz val="12"/>
      <color theme="1"/>
      <name val="Verdana"/>
      <family val="2"/>
    </font>
    <font>
      <b/>
      <sz val="12"/>
      <color theme="0"/>
      <name val="Verdana"/>
      <family val="2"/>
    </font>
    <font>
      <sz val="12"/>
      <color theme="2" tint="-0.249977111117893"/>
      <name val="Verdana"/>
      <family val="2"/>
    </font>
    <font>
      <sz val="8"/>
      <color indexed="81"/>
      <name val="Verdana"/>
      <family val="2"/>
    </font>
    <font>
      <sz val="24"/>
      <color rgb="FF0070C0"/>
      <name val="Verdana"/>
      <family val="2"/>
    </font>
    <font>
      <sz val="8"/>
      <color rgb="FFFFFFFF"/>
      <name val="Verdana"/>
      <family val="2"/>
    </font>
    <font>
      <i/>
      <sz val="8"/>
      <name val="Verdana"/>
      <family val="2"/>
    </font>
    <font>
      <sz val="8"/>
      <color rgb="FF000000"/>
      <name val="Verdana"/>
      <family val="2"/>
    </font>
    <font>
      <vertAlign val="superscript"/>
      <sz val="8"/>
      <color rgb="FF000000"/>
      <name val="Verdana"/>
      <family val="2"/>
    </font>
    <font>
      <b/>
      <sz val="8"/>
      <color rgb="FFFFFFFF"/>
      <name val="Verdana"/>
      <family val="2"/>
    </font>
    <font>
      <b/>
      <sz val="8"/>
      <name val="Verdana"/>
      <family val="2"/>
    </font>
    <font>
      <sz val="10"/>
      <color theme="1"/>
      <name val="Verdana"/>
      <family val="2"/>
    </font>
    <font>
      <sz val="7"/>
      <color theme="1"/>
      <name val="Verdana"/>
      <family val="2"/>
    </font>
    <font>
      <i/>
      <sz val="8"/>
      <color rgb="FF0070C0"/>
      <name val="Verdana"/>
      <family val="2"/>
    </font>
    <font>
      <vertAlign val="superscript"/>
      <sz val="8"/>
      <name val="Verdana"/>
      <family val="2"/>
    </font>
    <font>
      <sz val="9"/>
      <color theme="1"/>
      <name val="Verdana"/>
      <family val="2"/>
    </font>
    <font>
      <sz val="12"/>
      <color theme="0" tint="-0.34998626667073579"/>
      <name val="Verdana"/>
      <family val="2"/>
    </font>
    <font>
      <i/>
      <sz val="8"/>
      <color theme="0"/>
      <name val="Verdana"/>
      <family val="2"/>
    </font>
    <font>
      <sz val="11"/>
      <color theme="0"/>
      <name val="Verdana"/>
      <family val="2"/>
    </font>
    <font>
      <b/>
      <sz val="8"/>
      <color theme="0"/>
      <name val="Verdana"/>
      <family val="2"/>
    </font>
    <font>
      <i/>
      <sz val="11"/>
      <color theme="0"/>
      <name val="Aptos Narrow"/>
      <family val="2"/>
      <scheme val="minor"/>
    </font>
    <font>
      <b/>
      <sz val="9"/>
      <color rgb="FF0070C0"/>
      <name val="Verdana"/>
      <family val="2"/>
    </font>
    <font>
      <b/>
      <strike/>
      <sz val="9"/>
      <color rgb="FF0070C0"/>
      <name val="Verdana"/>
      <family val="2"/>
    </font>
    <font>
      <b/>
      <vertAlign val="superscript"/>
      <sz val="9"/>
      <color rgb="FF0070C0"/>
      <name val="Verdana"/>
      <family val="2"/>
    </font>
    <font>
      <sz val="9"/>
      <color rgb="FFFF0000"/>
      <name val="Verdana"/>
      <family val="2"/>
    </font>
    <font>
      <sz val="7"/>
      <color rgb="FFC00000"/>
      <name val="Verdana"/>
      <family val="2"/>
    </font>
    <font>
      <b/>
      <sz val="7"/>
      <color rgb="FF0070C0"/>
      <name val="Verdana"/>
      <family val="2"/>
    </font>
    <font>
      <sz val="9"/>
      <color rgb="FFFFFFFF"/>
      <name val="Verdana"/>
      <family val="2"/>
    </font>
    <font>
      <sz val="18"/>
      <color rgb="FF000000"/>
      <name val="Verdana"/>
      <family val="2"/>
    </font>
    <font>
      <sz val="9"/>
      <color rgb="FF000000"/>
      <name val="Verdana"/>
      <family val="2"/>
    </font>
    <font>
      <sz val="12"/>
      <color theme="0"/>
      <name val="Verdana"/>
      <family val="2"/>
    </font>
    <font>
      <sz val="11"/>
      <color rgb="FF154273"/>
      <name val="Aptos Narrow"/>
      <family val="2"/>
      <scheme val="minor"/>
    </font>
    <font>
      <sz val="8"/>
      <color rgb="FF154273"/>
      <name val="Verdana"/>
      <family val="2"/>
    </font>
    <font>
      <b/>
      <sz val="9"/>
      <color theme="1"/>
      <name val="Verdana"/>
      <family val="2"/>
    </font>
  </fonts>
  <fills count="34">
    <fill>
      <patternFill patternType="none"/>
    </fill>
    <fill>
      <patternFill patternType="gray125"/>
    </fill>
    <fill>
      <patternFill patternType="solid">
        <fgColor rgb="FF154273"/>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6" tint="0.79998168889431442"/>
        <bgColor theme="6" tint="0.79998168889431442"/>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rgb="FF002060"/>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rgb="FFC00000"/>
        <bgColor indexed="64"/>
      </patternFill>
    </fill>
    <fill>
      <patternFill patternType="solid">
        <fgColor rgb="FFB3FFFF"/>
        <bgColor indexed="64"/>
      </patternFill>
    </fill>
    <fill>
      <patternFill patternType="solid">
        <fgColor rgb="FFD6DCE4"/>
        <bgColor indexed="64"/>
      </patternFill>
    </fill>
    <fill>
      <patternFill patternType="solid">
        <fgColor theme="9" tint="-0.249977111117893"/>
        <bgColor indexed="64"/>
      </patternFill>
    </fill>
    <fill>
      <patternFill patternType="solid">
        <fgColor theme="4" tint="-0.249977111117893"/>
        <bgColor indexed="64"/>
      </patternFill>
    </fill>
    <fill>
      <patternFill patternType="solid">
        <fgColor theme="8" tint="0.59999389629810485"/>
        <bgColor indexed="64"/>
      </patternFill>
    </fill>
    <fill>
      <patternFill patternType="solid">
        <fgColor theme="4"/>
        <bgColor theme="4"/>
      </patternFill>
    </fill>
    <fill>
      <patternFill patternType="solid">
        <fgColor rgb="FF548235"/>
        <bgColor indexed="64"/>
      </patternFill>
    </fill>
    <fill>
      <patternFill patternType="solid">
        <fgColor theme="7" tint="0.59999389629810485"/>
        <bgColor theme="4"/>
      </patternFill>
    </fill>
    <fill>
      <patternFill patternType="solid">
        <fgColor theme="4"/>
        <bgColor indexed="64"/>
      </patternFill>
    </fill>
    <fill>
      <patternFill patternType="solid">
        <fgColor rgb="FF9CC2E5"/>
        <bgColor indexed="64"/>
      </patternFill>
    </fill>
    <fill>
      <patternFill patternType="solid">
        <fgColor theme="9" tint="-0.499984740745262"/>
        <bgColor indexed="64"/>
      </patternFill>
    </fill>
    <fill>
      <patternFill patternType="solid">
        <fgColor theme="4" tint="0.79998168889431442"/>
        <bgColor theme="4" tint="0.79998168889431442"/>
      </patternFill>
    </fill>
    <fill>
      <patternFill patternType="solid">
        <fgColor theme="5" tint="0.39997558519241921"/>
        <bgColor indexed="64"/>
      </patternFill>
    </fill>
    <fill>
      <patternFill patternType="solid">
        <fgColor theme="0"/>
        <bgColor theme="4" tint="0.79998168889431442"/>
      </patternFill>
    </fill>
    <fill>
      <patternFill patternType="solid">
        <fgColor rgb="FFFFFF00"/>
        <bgColor indexed="64"/>
      </patternFill>
    </fill>
  </fills>
  <borders count="210">
    <border>
      <left/>
      <right/>
      <top/>
      <bottom/>
      <diagonal/>
    </border>
    <border>
      <left/>
      <right/>
      <top style="thin">
        <color theme="6" tint="0.3999755851924192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thin">
        <color theme="6" tint="0.39997558519241921"/>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theme="0" tint="-0.249977111117893"/>
      </left>
      <right/>
      <top/>
      <bottom/>
      <diagonal/>
    </border>
    <border>
      <left/>
      <right style="thin">
        <color rgb="FF000000"/>
      </right>
      <top/>
      <bottom/>
      <diagonal/>
    </border>
    <border>
      <left style="thin">
        <color rgb="FF000000"/>
      </left>
      <right/>
      <top style="thin">
        <color rgb="FF000000"/>
      </top>
      <bottom/>
      <diagonal/>
    </border>
    <border>
      <left/>
      <right/>
      <top style="thin">
        <color rgb="FF000000"/>
      </top>
      <bottom/>
      <diagonal/>
    </border>
    <border>
      <left style="thin">
        <color theme="0" tint="-0.249977111117893"/>
      </left>
      <right/>
      <top style="thin">
        <color rgb="FF000000"/>
      </top>
      <bottom/>
      <diagonal/>
    </border>
    <border>
      <left/>
      <right style="thin">
        <color theme="0"/>
      </right>
      <top style="thin">
        <color rgb="FF000000"/>
      </top>
      <bottom/>
      <diagonal/>
    </border>
    <border>
      <left style="thin">
        <color theme="0"/>
      </left>
      <right/>
      <top style="thin">
        <color rgb="FF000000"/>
      </top>
      <bottom/>
      <diagonal/>
    </border>
    <border>
      <left style="thin">
        <color rgb="FF000000"/>
      </left>
      <right/>
      <top/>
      <bottom/>
      <diagonal/>
    </border>
    <border>
      <left style="thin">
        <color rgb="FF000000"/>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indexed="64"/>
      </top>
      <bottom/>
      <diagonal/>
    </border>
    <border>
      <left/>
      <right style="thin">
        <color rgb="FF000000"/>
      </right>
      <top style="thin">
        <color indexed="64"/>
      </top>
      <bottom/>
      <diagonal/>
    </border>
    <border>
      <left/>
      <right style="thin">
        <color rgb="FF000000"/>
      </right>
      <top style="thin">
        <color theme="6" tint="0.39997558519241921"/>
      </top>
      <bottom/>
      <diagonal/>
    </border>
    <border>
      <left/>
      <right style="thin">
        <color rgb="FF000000"/>
      </right>
      <top/>
      <bottom style="thin">
        <color indexed="64"/>
      </bottom>
      <diagonal/>
    </border>
    <border>
      <left/>
      <right style="thin">
        <color rgb="FF000000"/>
      </right>
      <top style="thin">
        <color theme="6" tint="0.39997558519241921"/>
      </top>
      <bottom style="thin">
        <color indexed="64"/>
      </bottom>
      <diagonal/>
    </border>
    <border>
      <left style="thin">
        <color rgb="FF000000"/>
      </left>
      <right/>
      <top style="thin">
        <color theme="6" tint="0.39997558519241921"/>
      </top>
      <bottom style="thin">
        <color indexed="64"/>
      </bottom>
      <diagonal/>
    </border>
    <border>
      <left style="thin">
        <color rgb="FF000000"/>
      </left>
      <right/>
      <top style="thin">
        <color theme="6" tint="0.39997558519241921"/>
      </top>
      <bottom/>
      <diagonal/>
    </border>
    <border>
      <left/>
      <right/>
      <top/>
      <bottom style="thin">
        <color rgb="FF000000"/>
      </bottom>
      <diagonal/>
    </border>
    <border>
      <left/>
      <right/>
      <top style="thin">
        <color theme="6" tint="0.39997558519241921"/>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theme="0" tint="-0.249977111117893"/>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style="thin">
        <color indexed="64"/>
      </top>
      <bottom style="thin">
        <color theme="0"/>
      </bottom>
      <diagonal/>
    </border>
    <border>
      <left/>
      <right style="thin">
        <color indexed="64"/>
      </right>
      <top style="thin">
        <color theme="0"/>
      </top>
      <bottom style="thin">
        <color theme="0"/>
      </bottom>
      <diagonal/>
    </border>
    <border>
      <left style="thin">
        <color indexed="64"/>
      </left>
      <right style="thin">
        <color theme="0"/>
      </right>
      <top/>
      <bottom style="thin">
        <color theme="0"/>
      </bottom>
      <diagonal/>
    </border>
    <border>
      <left style="thin">
        <color indexed="64"/>
      </left>
      <right style="thin">
        <color theme="0"/>
      </right>
      <top style="thin">
        <color theme="0"/>
      </top>
      <bottom style="thin">
        <color theme="0"/>
      </bottom>
      <diagonal/>
    </border>
    <border>
      <left style="thin">
        <color indexed="64"/>
      </left>
      <right style="thin">
        <color theme="0"/>
      </right>
      <top style="thin">
        <color theme="0"/>
      </top>
      <bottom style="thin">
        <color indexed="64"/>
      </bottom>
      <diagonal/>
    </border>
    <border>
      <left/>
      <right style="thin">
        <color theme="0" tint="-0.249977111117893"/>
      </right>
      <top style="thin">
        <color rgb="FF000000"/>
      </top>
      <bottom style="thin">
        <color indexed="64"/>
      </bottom>
      <diagonal/>
    </border>
    <border>
      <left/>
      <right style="thin">
        <color theme="0" tint="-0.249977111117893"/>
      </right>
      <top style="thin">
        <color indexed="64"/>
      </top>
      <bottom/>
      <diagonal/>
    </border>
    <border>
      <left/>
      <right style="thin">
        <color theme="0" tint="-0.249977111117893"/>
      </right>
      <top/>
      <bottom/>
      <diagonal/>
    </border>
    <border>
      <left/>
      <right style="thin">
        <color theme="0" tint="-0.249977111117893"/>
      </right>
      <top style="thin">
        <color theme="6" tint="0.39997558519241921"/>
      </top>
      <bottom/>
      <diagonal/>
    </border>
    <border>
      <left/>
      <right style="thin">
        <color theme="0" tint="-0.249977111117893"/>
      </right>
      <top/>
      <bottom style="thin">
        <color indexed="64"/>
      </bottom>
      <diagonal/>
    </border>
    <border>
      <left/>
      <right style="thin">
        <color theme="0" tint="-0.249977111117893"/>
      </right>
      <top style="thin">
        <color indexed="64"/>
      </top>
      <bottom style="thin">
        <color rgb="FF000000"/>
      </bottom>
      <diagonal/>
    </border>
    <border>
      <left/>
      <right style="thin">
        <color theme="0" tint="-0.249977111117893"/>
      </right>
      <top style="thin">
        <color theme="6" tint="0.39997558519241921"/>
      </top>
      <bottom style="thin">
        <color indexed="64"/>
      </bottom>
      <diagonal/>
    </border>
    <border>
      <left/>
      <right style="thin">
        <color theme="0" tint="-0.249977111117893"/>
      </right>
      <top style="thin">
        <color indexed="64"/>
      </top>
      <bottom style="thin">
        <color indexed="64"/>
      </bottom>
      <diagonal/>
    </border>
    <border>
      <left style="thin">
        <color theme="0" tint="-0.249977111117893"/>
      </left>
      <right/>
      <top style="thin">
        <color rgb="FF000000"/>
      </top>
      <bottom style="thin">
        <color indexed="64"/>
      </bottom>
      <diagonal/>
    </border>
    <border>
      <left style="thin">
        <color theme="0" tint="-0.249977111117893"/>
      </left>
      <right/>
      <top style="thin">
        <color indexed="64"/>
      </top>
      <bottom/>
      <diagonal/>
    </border>
    <border>
      <left style="thin">
        <color theme="0" tint="-0.249977111117893"/>
      </left>
      <right/>
      <top style="thin">
        <color theme="6" tint="0.39997558519241921"/>
      </top>
      <bottom/>
      <diagonal/>
    </border>
    <border>
      <left style="thin">
        <color theme="0" tint="-0.249977111117893"/>
      </left>
      <right/>
      <top style="thin">
        <color theme="6" tint="0.39997558519241921"/>
      </top>
      <bottom style="thin">
        <color indexed="64"/>
      </bottom>
      <diagonal/>
    </border>
    <border>
      <left style="thin">
        <color theme="0" tint="-0.249977111117893"/>
      </left>
      <right/>
      <top style="thin">
        <color indexed="64"/>
      </top>
      <bottom style="thin">
        <color rgb="FF000000"/>
      </bottom>
      <diagonal/>
    </border>
    <border>
      <left style="thin">
        <color theme="0" tint="-0.249977111117893"/>
      </left>
      <right/>
      <top style="thin">
        <color indexed="64"/>
      </top>
      <bottom style="thin">
        <color indexed="64"/>
      </bottom>
      <diagonal/>
    </border>
    <border>
      <left style="thin">
        <color theme="0" tint="-0.249977111117893"/>
      </left>
      <right/>
      <top style="thin">
        <color theme="6" tint="0.39997558519241921"/>
      </top>
      <bottom style="thin">
        <color rgb="FF000000"/>
      </bottom>
      <diagonal/>
    </border>
    <border>
      <left style="thin">
        <color indexed="64"/>
      </left>
      <right/>
      <top/>
      <bottom style="thin">
        <color theme="6" tint="0.39997558519241921"/>
      </bottom>
      <diagonal/>
    </border>
    <border>
      <left style="thin">
        <color indexed="64"/>
      </left>
      <right/>
      <top style="thin">
        <color theme="6" tint="0.39997558519241921"/>
      </top>
      <bottom style="thin">
        <color theme="6" tint="0.39997558519241921"/>
      </bottom>
      <diagonal/>
    </border>
    <border>
      <left style="thin">
        <color indexed="64"/>
      </left>
      <right/>
      <top style="thin">
        <color theme="6" tint="0.39997558519241921"/>
      </top>
      <bottom style="thin">
        <color rgb="FF000000"/>
      </bottom>
      <diagonal/>
    </border>
    <border>
      <left style="thin">
        <color theme="1" tint="0.499984740745262"/>
      </left>
      <right style="thin">
        <color theme="1" tint="0.499984740745262"/>
      </right>
      <top style="thin">
        <color theme="1" tint="0.499984740745262"/>
      </top>
      <bottom style="thin">
        <color theme="1" tint="0.499984740745262"/>
      </bottom>
      <diagonal/>
    </border>
    <border diagonalUp="1" diagonalDown="1">
      <left style="thin">
        <color theme="0" tint="-0.249977111117893"/>
      </left>
      <right/>
      <top style="thin">
        <color indexed="64"/>
      </top>
      <bottom/>
      <diagonal style="thin">
        <color rgb="FFC00000"/>
      </diagonal>
    </border>
    <border diagonalUp="1" diagonalDown="1">
      <left style="thin">
        <color theme="0" tint="-0.249977111117893"/>
      </left>
      <right/>
      <top style="thin">
        <color theme="6" tint="0.39997558519241921"/>
      </top>
      <bottom/>
      <diagonal style="thin">
        <color rgb="FFC00000"/>
      </diagonal>
    </border>
    <border diagonalUp="1" diagonalDown="1">
      <left style="thin">
        <color theme="0" tint="-0.249977111117893"/>
      </left>
      <right/>
      <top style="thin">
        <color theme="6" tint="0.39997558519241921"/>
      </top>
      <bottom style="thin">
        <color indexed="64"/>
      </bottom>
      <diagonal style="thin">
        <color rgb="FFC00000"/>
      </diagonal>
    </border>
    <border>
      <left style="thin">
        <color theme="0" tint="-0.249977111117893"/>
      </left>
      <right/>
      <top style="thin">
        <color theme="6" tint="0.39997558519241921"/>
      </top>
      <bottom style="thin">
        <color theme="6" tint="0.39997558519241921"/>
      </bottom>
      <diagonal/>
    </border>
    <border diagonalUp="1" diagonalDown="1">
      <left style="thin">
        <color theme="0" tint="-0.249977111117893"/>
      </left>
      <right/>
      <top style="thin">
        <color indexed="64"/>
      </top>
      <bottom style="thin">
        <color rgb="FF000000"/>
      </bottom>
      <diagonal style="thin">
        <color rgb="FFC00000"/>
      </diagonal>
    </border>
    <border diagonalUp="1" diagonalDown="1">
      <left style="thin">
        <color theme="0" tint="-0.249977111117893"/>
      </left>
      <right/>
      <top style="thin">
        <color indexed="64"/>
      </top>
      <bottom style="thin">
        <color indexed="64"/>
      </bottom>
      <diagonal style="thin">
        <color rgb="FFC00000"/>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rgb="FF000000"/>
      </left>
      <right style="thin">
        <color theme="1" tint="0.499984740745262"/>
      </right>
      <top style="thin">
        <color theme="1" tint="0.499984740745262"/>
      </top>
      <bottom style="thin">
        <color theme="1" tint="0.499984740745262"/>
      </bottom>
      <diagonal/>
    </border>
    <border>
      <left style="thin">
        <color rgb="FF000000"/>
      </left>
      <right style="thin">
        <color rgb="FF000000"/>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style="thin">
        <color rgb="FF000000"/>
      </left>
      <right/>
      <top style="thin">
        <color theme="1" tint="0.499984740745262"/>
      </top>
      <bottom style="thin">
        <color theme="1" tint="0.499984740745262"/>
      </bottom>
      <diagonal/>
    </border>
    <border>
      <left style="thin">
        <color theme="0"/>
      </left>
      <right style="thin">
        <color theme="0"/>
      </right>
      <top style="thin">
        <color theme="0"/>
      </top>
      <bottom style="thin">
        <color theme="0"/>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left>
      <right style="thin">
        <color theme="0"/>
      </right>
      <top/>
      <bottom style="thin">
        <color theme="0"/>
      </bottom>
      <diagonal/>
    </border>
    <border>
      <left style="thin">
        <color theme="0" tint="-0.24994659260841701"/>
      </left>
      <right style="thin">
        <color theme="0" tint="-0.24994659260841701"/>
      </right>
      <top/>
      <bottom style="thin">
        <color theme="0" tint="-0.24994659260841701"/>
      </bottom>
      <diagonal/>
    </border>
    <border>
      <left style="medium">
        <color theme="9" tint="-0.24994659260841701"/>
      </left>
      <right style="medium">
        <color theme="9" tint="-0.24994659260841701"/>
      </right>
      <top style="medium">
        <color theme="9" tint="-0.24994659260841701"/>
      </top>
      <bottom style="medium">
        <color theme="9" tint="-0.24994659260841701"/>
      </bottom>
      <diagonal/>
    </border>
    <border>
      <left/>
      <right/>
      <top style="medium">
        <color theme="9" tint="-0.24994659260841701"/>
      </top>
      <bottom style="medium">
        <color theme="9" tint="-0.24994659260841701"/>
      </bottom>
      <diagonal/>
    </border>
    <border>
      <left/>
      <right style="medium">
        <color theme="9" tint="-0.24994659260841701"/>
      </right>
      <top style="medium">
        <color theme="9" tint="-0.24994659260841701"/>
      </top>
      <bottom style="medium">
        <color theme="9" tint="-0.24994659260841701"/>
      </bottom>
      <diagonal/>
    </border>
    <border>
      <left style="medium">
        <color theme="7" tint="-0.24994659260841701"/>
      </left>
      <right/>
      <top style="medium">
        <color theme="7" tint="-0.24994659260841701"/>
      </top>
      <bottom style="medium">
        <color theme="7" tint="-0.24994659260841701"/>
      </bottom>
      <diagonal/>
    </border>
    <border>
      <left/>
      <right style="medium">
        <color theme="7" tint="-0.24994659260841701"/>
      </right>
      <top style="medium">
        <color theme="7" tint="-0.24994659260841701"/>
      </top>
      <bottom style="medium">
        <color theme="7" tint="-0.24994659260841701"/>
      </bottom>
      <diagonal/>
    </border>
    <border>
      <left/>
      <right/>
      <top style="medium">
        <color theme="7" tint="-0.24994659260841701"/>
      </top>
      <bottom style="medium">
        <color theme="7" tint="-0.24994659260841701"/>
      </bottom>
      <diagonal/>
    </border>
    <border>
      <left style="thick">
        <color rgb="FFC00000"/>
      </left>
      <right style="thick">
        <color rgb="FFC00000"/>
      </right>
      <top style="thick">
        <color rgb="FFC00000"/>
      </top>
      <bottom style="thick">
        <color rgb="FFC00000"/>
      </bottom>
      <diagonal/>
    </border>
    <border>
      <left/>
      <right/>
      <top style="thick">
        <color rgb="FFC00000"/>
      </top>
      <bottom style="thick">
        <color rgb="FFC00000"/>
      </bottom>
      <diagonal/>
    </border>
    <border>
      <left/>
      <right style="thick">
        <color rgb="FFC00000"/>
      </right>
      <top style="thick">
        <color rgb="FFC00000"/>
      </top>
      <bottom style="thick">
        <color rgb="FFC00000"/>
      </bottom>
      <diagonal/>
    </border>
    <border>
      <left style="thin">
        <color theme="1" tint="0.34998626667073579"/>
      </left>
      <right style="thin">
        <color theme="1" tint="0.34998626667073579"/>
      </right>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top/>
      <bottom/>
      <diagonal/>
    </border>
    <border>
      <left style="thin">
        <color theme="1" tint="0.34998626667073579"/>
      </left>
      <right style="thin">
        <color theme="1" tint="0.34998626667073579"/>
      </right>
      <top/>
      <bottom/>
      <diagonal/>
    </border>
    <border>
      <left style="thin">
        <color theme="1" tint="0.34998626667073579"/>
      </left>
      <right/>
      <top/>
      <bottom style="thin">
        <color theme="1" tint="0.34998626667073579"/>
      </bottom>
      <diagonal/>
    </border>
    <border>
      <left style="thick">
        <color rgb="FFC00000"/>
      </left>
      <right style="thin">
        <color theme="1" tint="0.34998626667073579"/>
      </right>
      <top/>
      <bottom/>
      <diagonal/>
    </border>
    <border>
      <left style="thin">
        <color theme="1" tint="0.34998626667073579"/>
      </left>
      <right style="thick">
        <color rgb="FFC00000"/>
      </right>
      <top/>
      <bottom/>
      <diagonal/>
    </border>
    <border>
      <left style="thick">
        <color rgb="FFC00000"/>
      </left>
      <right style="thin">
        <color theme="1" tint="0.34998626667073579"/>
      </right>
      <top/>
      <bottom style="thin">
        <color theme="1" tint="0.34998626667073579"/>
      </bottom>
      <diagonal/>
    </border>
    <border>
      <left style="thin">
        <color theme="1" tint="0.34998626667073579"/>
      </left>
      <right style="thick">
        <color rgb="FFC00000"/>
      </right>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rgb="FF595959"/>
      </left>
      <right style="thin">
        <color theme="1" tint="0.34998626667073579"/>
      </right>
      <top style="thin">
        <color rgb="FF595959"/>
      </top>
      <bottom style="thin">
        <color rgb="FF595959"/>
      </bottom>
      <diagonal/>
    </border>
    <border>
      <left style="thin">
        <color theme="1" tint="0.34998626667073579"/>
      </left>
      <right/>
      <top style="thin">
        <color theme="1" tint="0.34998626667073579"/>
      </top>
      <bottom style="thin">
        <color theme="1" tint="0.34998626667073579"/>
      </bottom>
      <diagonal/>
    </border>
    <border>
      <left style="thick">
        <color rgb="FFC00000"/>
      </left>
      <right style="thin">
        <color theme="1" tint="0.34998626667073579"/>
      </right>
      <top style="thin">
        <color rgb="FF595959"/>
      </top>
      <bottom style="thin">
        <color rgb="FF595959"/>
      </bottom>
      <diagonal/>
    </border>
    <border>
      <left style="thin">
        <color rgb="FF595959"/>
      </left>
      <right style="thick">
        <color rgb="FFC00000"/>
      </right>
      <top style="thin">
        <color rgb="FF595959"/>
      </top>
      <bottom style="thin">
        <color rgb="FF595959"/>
      </bottom>
      <diagonal/>
    </border>
    <border>
      <left style="thick">
        <color rgb="FFC00000"/>
      </left>
      <right style="thin">
        <color theme="1" tint="0.34998626667073579"/>
      </right>
      <top style="thin">
        <color theme="1" tint="0.34998626667073579"/>
      </top>
      <bottom style="thin">
        <color theme="1" tint="0.34998626667073579"/>
      </bottom>
      <diagonal/>
    </border>
    <border>
      <left/>
      <right style="thick">
        <color rgb="FFC00000"/>
      </right>
      <top style="thin">
        <color theme="1" tint="0.34998626667073579"/>
      </top>
      <bottom style="thin">
        <color theme="1" tint="0.34998626667073579"/>
      </bottom>
      <diagonal/>
    </border>
    <border>
      <left style="double">
        <color theme="1" tint="0.34998626667073579"/>
      </left>
      <right style="thin">
        <color theme="1" tint="0.34998626667073579"/>
      </right>
      <top/>
      <bottom style="thin">
        <color theme="1" tint="0.34998626667073579"/>
      </bottom>
      <diagonal/>
    </border>
    <border>
      <left/>
      <right/>
      <top style="thin">
        <color theme="1" tint="0.34998626667073579"/>
      </top>
      <bottom style="thin">
        <color theme="1" tint="0.34998626667073579"/>
      </bottom>
      <diagonal/>
    </border>
    <border>
      <left style="double">
        <color theme="1" tint="0.34998626667073579"/>
      </left>
      <right style="thin">
        <color theme="1" tint="0.34998626667073579"/>
      </right>
      <top style="thin">
        <color theme="1" tint="0.34998626667073579"/>
      </top>
      <bottom style="thin">
        <color theme="1" tint="0.34998626667073579"/>
      </bottom>
      <diagonal/>
    </border>
    <border>
      <left style="thick">
        <color rgb="FFC00000"/>
      </left>
      <right style="thin">
        <color rgb="FF595959"/>
      </right>
      <top style="thin">
        <color rgb="FF595959"/>
      </top>
      <bottom style="thin">
        <color rgb="FF595959"/>
      </bottom>
      <diagonal/>
    </border>
    <border>
      <left style="thin">
        <color theme="1" tint="0.34998626667073579"/>
      </left>
      <right style="thin">
        <color theme="1" tint="0.34998626667073579"/>
      </right>
      <top style="thin">
        <color rgb="FF595959"/>
      </top>
      <bottom style="thin">
        <color rgb="FF595959"/>
      </bottom>
      <diagonal/>
    </border>
    <border>
      <left style="thin">
        <color theme="1" tint="0.34998626667073579"/>
      </left>
      <right style="thick">
        <color rgb="FFC00000"/>
      </right>
      <top style="thin">
        <color theme="1" tint="0.34998626667073579"/>
      </top>
      <bottom style="thin">
        <color theme="1" tint="0.34998626667073579"/>
      </bottom>
      <diagonal/>
    </border>
    <border>
      <left style="thin">
        <color theme="1" tint="0.34998626667073579"/>
      </left>
      <right style="thin">
        <color theme="1" tint="0.34998626667073579"/>
      </right>
      <top style="thin">
        <color auto="1"/>
      </top>
      <bottom style="thin">
        <color auto="1"/>
      </bottom>
      <diagonal/>
    </border>
    <border>
      <left/>
      <right style="thin">
        <color rgb="FF000000"/>
      </right>
      <top/>
      <bottom style="thin">
        <color rgb="FF000000"/>
      </bottom>
      <diagonal/>
    </border>
    <border diagonalUp="1" diagonalDown="1">
      <left style="thin">
        <color theme="0" tint="-0.249977111117893"/>
      </left>
      <right/>
      <top style="thin">
        <color theme="6" tint="0.39997558519241921"/>
      </top>
      <bottom style="thin">
        <color rgb="FF000000"/>
      </bottom>
      <diagonal style="thin">
        <color rgb="FFC00000"/>
      </diagonal>
    </border>
    <border>
      <left/>
      <right style="thin">
        <color theme="0" tint="-0.249977111117893"/>
      </right>
      <top/>
      <bottom style="thin">
        <color rgb="FF000000"/>
      </bottom>
      <diagonal/>
    </border>
    <border>
      <left style="thin">
        <color rgb="FF000000"/>
      </left>
      <right style="thin">
        <color rgb="FF000000"/>
      </right>
      <top style="thin">
        <color theme="1" tint="0.499984740745262"/>
      </top>
      <bottom/>
      <diagonal/>
    </border>
    <border>
      <left style="thick">
        <color rgb="FF0070C0"/>
      </left>
      <right style="thick">
        <color rgb="FF0070C0"/>
      </right>
      <top style="thick">
        <color rgb="FF0070C0"/>
      </top>
      <bottom style="thick">
        <color rgb="FF0070C0"/>
      </bottom>
      <diagonal/>
    </border>
    <border>
      <left style="thin">
        <color rgb="FF000000"/>
      </left>
      <right style="thin">
        <color rgb="FF000000"/>
      </right>
      <top/>
      <bottom style="thin">
        <color theme="1" tint="0.499984740745262"/>
      </bottom>
      <diagonal/>
    </border>
    <border>
      <left style="thin">
        <color theme="0" tint="-0.249977111117893"/>
      </left>
      <right/>
      <top/>
      <bottom style="thin">
        <color theme="6" tint="0.39997558519241921"/>
      </bottom>
      <diagonal/>
    </border>
    <border>
      <left style="thin">
        <color rgb="FFC9C9C9"/>
      </left>
      <right/>
      <top style="thin">
        <color theme="6" tint="0.39997558519241921"/>
      </top>
      <bottom style="thin">
        <color theme="6" tint="0.39997558519241921"/>
      </bottom>
      <diagonal/>
    </border>
    <border>
      <left/>
      <right/>
      <top style="thin">
        <color theme="6" tint="0.39997558519241921"/>
      </top>
      <bottom style="thin">
        <color theme="6" tint="0.39997558519241921"/>
      </bottom>
      <diagonal/>
    </border>
    <border>
      <left style="thin">
        <color auto="1"/>
      </left>
      <right style="thin">
        <color auto="1"/>
      </right>
      <top style="thin">
        <color auto="1"/>
      </top>
      <bottom style="thin">
        <color auto="1"/>
      </bottom>
      <diagonal/>
    </border>
    <border>
      <left style="thick">
        <color rgb="FF0070C0"/>
      </left>
      <right/>
      <top style="thick">
        <color rgb="FF0070C0"/>
      </top>
      <bottom style="thick">
        <color rgb="FF0070C0"/>
      </bottom>
      <diagonal/>
    </border>
    <border>
      <left style="thin">
        <color theme="0"/>
      </left>
      <right/>
      <top/>
      <bottom/>
      <diagonal/>
    </border>
    <border>
      <left style="thin">
        <color theme="0" tint="-0.24994659260841701"/>
      </left>
      <right/>
      <top/>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top style="thin">
        <color theme="0" tint="-0.24994659260841701"/>
      </top>
      <bottom/>
      <diagonal/>
    </border>
    <border>
      <left/>
      <right/>
      <top style="thin">
        <color theme="0" tint="-0.24994659260841701"/>
      </top>
      <bottom/>
      <diagonal/>
    </border>
    <border>
      <left style="thick">
        <color theme="1" tint="0.34998626667073579"/>
      </left>
      <right style="thin">
        <color theme="1" tint="0.34998626667073579"/>
      </right>
      <top style="thin">
        <color theme="1" tint="0.34998626667073579"/>
      </top>
      <bottom style="thin">
        <color theme="1" tint="0.34998626667073579"/>
      </bottom>
      <diagonal/>
    </border>
    <border>
      <left/>
      <right/>
      <top/>
      <bottom style="thin">
        <color theme="1" tint="0.34998626667073579"/>
      </bottom>
      <diagonal/>
    </border>
    <border>
      <left style="medium">
        <color theme="9" tint="-0.24994659260841701"/>
      </left>
      <right/>
      <top style="medium">
        <color theme="9" tint="-0.24994659260841701"/>
      </top>
      <bottom style="medium">
        <color theme="9" tint="-0.24994659260841701"/>
      </bottom>
      <diagonal/>
    </border>
    <border>
      <left style="thick">
        <color rgb="FFC00000"/>
      </left>
      <right/>
      <top style="thick">
        <color rgb="FFC00000"/>
      </top>
      <bottom style="thick">
        <color rgb="FFC00000"/>
      </bottom>
      <diagonal/>
    </border>
    <border>
      <left style="thick">
        <color rgb="FFC00000"/>
      </left>
      <right/>
      <top style="thick">
        <color rgb="FFC00000"/>
      </top>
      <bottom/>
      <diagonal/>
    </border>
    <border>
      <left/>
      <right/>
      <top style="thick">
        <color rgb="FFC00000"/>
      </top>
      <bottom/>
      <diagonal/>
    </border>
    <border>
      <left/>
      <right style="thick">
        <color rgb="FFC00000"/>
      </right>
      <top style="thick">
        <color rgb="FFC00000"/>
      </top>
      <bottom/>
      <diagonal/>
    </border>
    <border>
      <left style="thin">
        <color rgb="FF595959"/>
      </left>
      <right style="thin">
        <color rgb="FF595959"/>
      </right>
      <top style="thin">
        <color rgb="FF595959"/>
      </top>
      <bottom style="thin">
        <color rgb="FF595959"/>
      </bottom>
      <diagonal/>
    </border>
    <border>
      <left style="thin">
        <color theme="1" tint="0.34998626667073579"/>
      </left>
      <right style="thin">
        <color theme="1" tint="0.34998626667073579"/>
      </right>
      <top style="thin">
        <color theme="1" tint="0.34998626667073579"/>
      </top>
      <bottom/>
      <diagonal/>
    </border>
    <border>
      <left/>
      <right style="thin">
        <color theme="1" tint="0.34998626667073579"/>
      </right>
      <top style="thin">
        <color theme="1" tint="0.34998626667073579"/>
      </top>
      <bottom/>
      <diagonal/>
    </border>
    <border>
      <left style="thin">
        <color theme="1" tint="0.34998626667073579"/>
      </left>
      <right/>
      <top style="thin">
        <color theme="1" tint="0.34998626667073579"/>
      </top>
      <bottom/>
      <diagonal/>
    </border>
    <border>
      <left style="thick">
        <color theme="1" tint="0.34998626667073579"/>
      </left>
      <right style="thin">
        <color theme="1" tint="0.34998626667073579"/>
      </right>
      <top/>
      <bottom style="thin">
        <color theme="1" tint="0.34998626667073579"/>
      </bottom>
      <diagonal/>
    </border>
    <border>
      <left/>
      <right/>
      <top style="thin">
        <color theme="4" tint="0.39997558519241921"/>
      </top>
      <bottom style="thin">
        <color theme="4" tint="0.39997558519241921"/>
      </bottom>
      <diagonal/>
    </border>
    <border>
      <left style="thin">
        <color rgb="FFA6A6A6"/>
      </left>
      <right style="thin">
        <color rgb="FFA6A6A6"/>
      </right>
      <top/>
      <bottom style="thin">
        <color rgb="FFA6A6A6"/>
      </bottom>
      <diagonal/>
    </border>
    <border>
      <left style="thin">
        <color rgb="FFA6A6A6"/>
      </left>
      <right/>
      <top style="thin">
        <color rgb="FFA6A6A6"/>
      </top>
      <bottom style="thin">
        <color rgb="FFA6A6A6"/>
      </bottom>
      <diagonal/>
    </border>
    <border>
      <left style="thin">
        <color rgb="FFA6A6A6"/>
      </left>
      <right style="thin">
        <color rgb="FFA6A6A6"/>
      </right>
      <top style="thin">
        <color rgb="FFA6A6A6"/>
      </top>
      <bottom/>
      <diagonal/>
    </border>
    <border>
      <left/>
      <right style="thin">
        <color rgb="FFA6A6A6"/>
      </right>
      <top style="thin">
        <color rgb="FFA6A6A6"/>
      </top>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diagonal/>
    </border>
    <border>
      <left style="thin">
        <color rgb="FFA6A6A6"/>
      </left>
      <right style="thin">
        <color rgb="FFA6A6A6"/>
      </right>
      <top style="thin">
        <color rgb="FFA6A6A6"/>
      </top>
      <bottom style="thin">
        <color theme="4" tint="0.39997558519241921"/>
      </bottom>
      <diagonal/>
    </border>
    <border>
      <left/>
      <right style="thin">
        <color rgb="FFA6A6A6"/>
      </right>
      <top style="thin">
        <color rgb="FFA6A6A6"/>
      </top>
      <bottom style="thin">
        <color theme="4" tint="0.39997558519241921"/>
      </bottom>
      <diagonal/>
    </border>
    <border>
      <left style="thin">
        <color rgb="FFA6A6A6"/>
      </left>
      <right/>
      <top/>
      <bottom style="thin">
        <color rgb="FFA6A6A6"/>
      </bottom>
      <diagonal/>
    </border>
    <border>
      <left/>
      <right style="thin">
        <color theme="2" tint="-0.24994659260841701"/>
      </right>
      <top/>
      <bottom style="thin">
        <color theme="2" tint="-0.24994659260841701"/>
      </bottom>
      <diagonal/>
    </border>
    <border>
      <left style="thin">
        <color theme="2" tint="-0.24994659260841701"/>
      </left>
      <right style="thin">
        <color theme="2" tint="-0.24994659260841701"/>
      </right>
      <top/>
      <bottom style="thin">
        <color theme="2" tint="-0.24994659260841701"/>
      </bottom>
      <diagonal/>
    </border>
    <border>
      <left style="thin">
        <color theme="2" tint="-0.24994659260841701"/>
      </left>
      <right style="thick">
        <color theme="2" tint="-0.24994659260841701"/>
      </right>
      <top/>
      <bottom style="thin">
        <color theme="2" tint="-0.24994659260841701"/>
      </bottom>
      <diagonal/>
    </border>
    <border>
      <left style="thin">
        <color theme="2" tint="-0.24994659260841701"/>
      </left>
      <right/>
      <top/>
      <bottom style="thin">
        <color theme="2" tint="-0.24994659260841701"/>
      </bottom>
      <diagonal/>
    </border>
    <border>
      <left/>
      <right style="thin">
        <color theme="2" tint="-0.24994659260841701"/>
      </right>
      <top style="thin">
        <color theme="2" tint="-0.24994659260841701"/>
      </top>
      <bottom style="thin">
        <color theme="2" tint="-0.24994659260841701"/>
      </bottom>
      <diagonal/>
    </border>
    <border>
      <left style="thin">
        <color theme="2" tint="-0.24994659260841701"/>
      </left>
      <right style="thin">
        <color theme="2" tint="-0.24994659260841701"/>
      </right>
      <top style="thin">
        <color theme="2" tint="-0.24994659260841701"/>
      </top>
      <bottom style="thin">
        <color theme="2" tint="-0.24994659260841701"/>
      </bottom>
      <diagonal/>
    </border>
    <border>
      <left style="thin">
        <color theme="2" tint="-0.24994659260841701"/>
      </left>
      <right style="thick">
        <color theme="2" tint="-0.24994659260841701"/>
      </right>
      <top style="thin">
        <color theme="2" tint="-0.24994659260841701"/>
      </top>
      <bottom style="thin">
        <color theme="2" tint="-0.24994659260841701"/>
      </bottom>
      <diagonal/>
    </border>
    <border>
      <left style="thin">
        <color theme="2" tint="-0.24994659260841701"/>
      </left>
      <right/>
      <top style="thin">
        <color theme="2" tint="-0.24994659260841701"/>
      </top>
      <bottom style="thin">
        <color theme="2" tint="-0.24994659260841701"/>
      </bottom>
      <diagonal/>
    </border>
    <border>
      <left style="thick">
        <color theme="2" tint="-0.24994659260841701"/>
      </left>
      <right style="thin">
        <color theme="2" tint="-0.24994659260841701"/>
      </right>
      <top style="thick">
        <color theme="2" tint="-0.24994659260841701"/>
      </top>
      <bottom style="thin">
        <color theme="2" tint="-0.24994659260841701"/>
      </bottom>
      <diagonal/>
    </border>
    <border>
      <left style="thin">
        <color theme="2" tint="-0.24994659260841701"/>
      </left>
      <right style="thin">
        <color theme="2" tint="-0.24994659260841701"/>
      </right>
      <top style="thick">
        <color theme="2" tint="-0.24994659260841701"/>
      </top>
      <bottom style="thin">
        <color theme="2" tint="-0.24994659260841701"/>
      </bottom>
      <diagonal/>
    </border>
    <border>
      <left style="thin">
        <color theme="2" tint="-0.24994659260841701"/>
      </left>
      <right style="thick">
        <color theme="2" tint="-0.24994659260841701"/>
      </right>
      <top style="thick">
        <color theme="2" tint="-0.24994659260841701"/>
      </top>
      <bottom style="thin">
        <color theme="2" tint="-0.24994659260841701"/>
      </bottom>
      <diagonal/>
    </border>
    <border>
      <left style="thick">
        <color theme="2" tint="-0.24994659260841701"/>
      </left>
      <right style="thin">
        <color theme="2" tint="-0.24994659260841701"/>
      </right>
      <top style="thin">
        <color theme="2" tint="-0.24994659260841701"/>
      </top>
      <bottom style="thin">
        <color theme="2" tint="-0.24994659260841701"/>
      </bottom>
      <diagonal/>
    </border>
    <border>
      <left style="thick">
        <color theme="2" tint="-0.24994659260841701"/>
      </left>
      <right style="thin">
        <color theme="2" tint="-0.24994659260841701"/>
      </right>
      <top style="thin">
        <color theme="2" tint="-0.24994659260841701"/>
      </top>
      <bottom style="thick">
        <color theme="2" tint="-0.24994659260841701"/>
      </bottom>
      <diagonal/>
    </border>
    <border>
      <left style="thin">
        <color theme="2" tint="-0.24994659260841701"/>
      </left>
      <right style="thin">
        <color theme="2" tint="-0.24994659260841701"/>
      </right>
      <top style="thin">
        <color theme="2" tint="-0.24994659260841701"/>
      </top>
      <bottom style="thick">
        <color theme="2" tint="-0.24994659260841701"/>
      </bottom>
      <diagonal/>
    </border>
    <border>
      <left style="thin">
        <color theme="2" tint="-0.24994659260841701"/>
      </left>
      <right style="thick">
        <color theme="2" tint="-0.24994659260841701"/>
      </right>
      <top style="thin">
        <color theme="2" tint="-0.24994659260841701"/>
      </top>
      <bottom style="thick">
        <color theme="2" tint="-0.24994659260841701"/>
      </bottom>
      <diagonal/>
    </border>
    <border>
      <left/>
      <right style="thin">
        <color rgb="FFA6A6A6"/>
      </right>
      <top style="thin">
        <color rgb="FFA6A6A6"/>
      </top>
      <bottom style="thin">
        <color rgb="FFA6A6A6"/>
      </bottom>
      <diagonal/>
    </border>
    <border>
      <left/>
      <right style="thin">
        <color rgb="FFA6A6A6"/>
      </right>
      <top/>
      <bottom style="thin">
        <color rgb="FFA6A6A6"/>
      </bottom>
      <diagonal/>
    </border>
    <border>
      <left style="thin">
        <color theme="2" tint="-0.24994659260841701"/>
      </left>
      <right style="thin">
        <color theme="2" tint="-0.24994659260841701"/>
      </right>
      <top style="thin">
        <color theme="2" tint="-0.24994659260841701"/>
      </top>
      <bottom/>
      <diagonal/>
    </border>
    <border>
      <left style="thin">
        <color theme="2" tint="-0.24994659260841701"/>
      </left>
      <right/>
      <top style="thin">
        <color theme="2" tint="-0.24994659260841701"/>
      </top>
      <bottom/>
      <diagonal/>
    </border>
    <border>
      <left/>
      <right/>
      <top/>
      <bottom style="thin">
        <color theme="4" tint="0.39997558519241921"/>
      </bottom>
      <diagonal/>
    </border>
    <border>
      <left style="medium">
        <color rgb="FFA6A6A6"/>
      </left>
      <right/>
      <top/>
      <bottom style="medium">
        <color rgb="FFA6A6A6"/>
      </bottom>
      <diagonal/>
    </border>
    <border>
      <left style="medium">
        <color rgb="FFA6A6A6"/>
      </left>
      <right style="medium">
        <color rgb="FFA6A6A6"/>
      </right>
      <top/>
      <bottom style="medium">
        <color rgb="FF9BC2E6"/>
      </bottom>
      <diagonal/>
    </border>
    <border>
      <left/>
      <right style="medium">
        <color rgb="FFA6A6A6"/>
      </right>
      <top/>
      <bottom style="medium">
        <color rgb="FF9BC2E6"/>
      </bottom>
      <diagonal/>
    </border>
    <border>
      <left/>
      <right style="medium">
        <color rgb="FFA6A6A6"/>
      </right>
      <top/>
      <bottom style="medium">
        <color rgb="FFA6A6A6"/>
      </bottom>
      <diagonal/>
    </border>
    <border>
      <left style="thin">
        <color theme="4" tint="0.39997558519241921"/>
      </left>
      <right/>
      <top style="thin">
        <color theme="4" tint="0.39997558519241921"/>
      </top>
      <bottom style="thin">
        <color theme="4" tint="0.39997558519241921"/>
      </bottom>
      <diagonal/>
    </border>
    <border>
      <left style="thin">
        <color rgb="FF595959"/>
      </left>
      <right style="medium">
        <color theme="0"/>
      </right>
      <top style="thin">
        <color rgb="FF595959"/>
      </top>
      <bottom style="thin">
        <color rgb="FF595959"/>
      </bottom>
      <diagonal/>
    </border>
    <border>
      <left style="medium">
        <color theme="0"/>
      </left>
      <right style="medium">
        <color theme="0"/>
      </right>
      <top style="thin">
        <color rgb="FF595959"/>
      </top>
      <bottom style="thin">
        <color rgb="FF595959"/>
      </bottom>
      <diagonal/>
    </border>
    <border>
      <left style="medium">
        <color theme="0"/>
      </left>
      <right/>
      <top style="thin">
        <color rgb="FF595959"/>
      </top>
      <bottom style="thin">
        <color rgb="FF595959"/>
      </bottom>
      <diagonal/>
    </border>
    <border>
      <left/>
      <right/>
      <top style="thin">
        <color rgb="FF595959"/>
      </top>
      <bottom style="thin">
        <color rgb="FF595959"/>
      </bottom>
      <diagonal/>
    </border>
    <border>
      <left/>
      <right style="thin">
        <color rgb="FF595959"/>
      </right>
      <top style="thin">
        <color rgb="FF595959"/>
      </top>
      <bottom style="thin">
        <color rgb="FF595959"/>
      </bottom>
      <diagonal/>
    </border>
    <border>
      <left style="thin">
        <color rgb="FF595959"/>
      </left>
      <right/>
      <top style="thin">
        <color rgb="FF595959"/>
      </top>
      <bottom style="thin">
        <color rgb="FF595959"/>
      </bottom>
      <diagonal/>
    </border>
    <border>
      <left style="thin">
        <color rgb="FF595959"/>
      </left>
      <right style="thin">
        <color rgb="FF595959"/>
      </right>
      <top style="thin">
        <color rgb="FF595959"/>
      </top>
      <bottom/>
      <diagonal/>
    </border>
    <border>
      <left style="thin">
        <color rgb="FF595959"/>
      </left>
      <right style="thin">
        <color rgb="FF595959"/>
      </right>
      <top/>
      <bottom style="thin">
        <color rgb="FF595959"/>
      </bottom>
      <diagonal/>
    </border>
    <border>
      <left style="thin">
        <color rgb="FF595959"/>
      </left>
      <right/>
      <top style="double">
        <color rgb="FF595959"/>
      </top>
      <bottom style="medium">
        <color rgb="FF595959"/>
      </bottom>
      <diagonal/>
    </border>
    <border>
      <left/>
      <right style="thin">
        <color rgb="FF595959"/>
      </right>
      <top style="double">
        <color rgb="FF595959"/>
      </top>
      <bottom style="medium">
        <color rgb="FF595959"/>
      </bottom>
      <diagonal/>
    </border>
    <border>
      <left style="thin">
        <color rgb="FF595959"/>
      </left>
      <right style="thin">
        <color rgb="FF595959"/>
      </right>
      <top style="double">
        <color rgb="FF595959"/>
      </top>
      <bottom style="medium">
        <color rgb="FF595959"/>
      </bottom>
      <diagonal/>
    </border>
    <border>
      <left/>
      <right/>
      <top style="double">
        <color rgb="FF595959"/>
      </top>
      <bottom style="medium">
        <color rgb="FF595959"/>
      </bottom>
      <diagonal/>
    </border>
    <border>
      <left style="thin">
        <color rgb="FF595959"/>
      </left>
      <right/>
      <top/>
      <bottom style="thin">
        <color rgb="FF595959"/>
      </bottom>
      <diagonal/>
    </border>
    <border>
      <left/>
      <right/>
      <top/>
      <bottom style="thin">
        <color rgb="FF595959"/>
      </bottom>
      <diagonal/>
    </border>
    <border>
      <left/>
      <right style="thin">
        <color rgb="FF595959"/>
      </right>
      <top/>
      <bottom style="thin">
        <color rgb="FF595959"/>
      </bottom>
      <diagonal/>
    </border>
    <border>
      <left style="thin">
        <color rgb="FF595959"/>
      </left>
      <right/>
      <top/>
      <bottom/>
      <diagonal/>
    </border>
    <border>
      <left/>
      <right style="thin">
        <color rgb="FF595959"/>
      </right>
      <top/>
      <bottom/>
      <diagonal/>
    </border>
    <border>
      <left style="thin">
        <color rgb="FF595959"/>
      </left>
      <right style="thin">
        <color rgb="FF595959"/>
      </right>
      <top/>
      <bottom/>
      <diagonal/>
    </border>
    <border>
      <left style="thin">
        <color rgb="FF595959"/>
      </left>
      <right/>
      <top style="thin">
        <color rgb="FF595959"/>
      </top>
      <bottom style="double">
        <color rgb="FF595959"/>
      </bottom>
      <diagonal/>
    </border>
    <border>
      <left/>
      <right/>
      <top style="thin">
        <color rgb="FF595959"/>
      </top>
      <bottom style="double">
        <color rgb="FF595959"/>
      </bottom>
      <diagonal/>
    </border>
    <border>
      <left/>
      <right style="thin">
        <color rgb="FF595959"/>
      </right>
      <top style="thin">
        <color rgb="FF595959"/>
      </top>
      <bottom style="double">
        <color rgb="FF595959"/>
      </bottom>
      <diagonal/>
    </border>
    <border>
      <left style="thin">
        <color rgb="FF595959"/>
      </left>
      <right style="thin">
        <color theme="1" tint="0.34998626667073579"/>
      </right>
      <top style="thin">
        <color theme="1" tint="0.34998626667073579"/>
      </top>
      <bottom style="thin">
        <color theme="1" tint="0.34998626667073579"/>
      </bottom>
      <diagonal/>
    </border>
    <border>
      <left style="medium">
        <color rgb="FFC00000"/>
      </left>
      <right style="medium">
        <color rgb="FFC00000"/>
      </right>
      <top style="medium">
        <color rgb="FFC00000"/>
      </top>
      <bottom style="thick">
        <color rgb="FFC00000"/>
      </bottom>
      <diagonal/>
    </border>
    <border>
      <left style="medium">
        <color rgb="FFC00000"/>
      </left>
      <right style="medium">
        <color rgb="FFC00000"/>
      </right>
      <top style="thick">
        <color rgb="FFC00000"/>
      </top>
      <bottom/>
      <diagonal/>
    </border>
    <border>
      <left style="medium">
        <color rgb="FFC00000"/>
      </left>
      <right style="medium">
        <color rgb="FFC00000"/>
      </right>
      <top/>
      <bottom style="thin">
        <color theme="1" tint="0.34998626667073579"/>
      </bottom>
      <diagonal/>
    </border>
    <border>
      <left style="medium">
        <color rgb="FFC00000"/>
      </left>
      <right style="medium">
        <color rgb="FFC00000"/>
      </right>
      <top style="thin">
        <color theme="1" tint="0.34998626667073579"/>
      </top>
      <bottom style="thin">
        <color theme="1" tint="0.34998626667073579"/>
      </bottom>
      <diagonal/>
    </border>
    <border>
      <left style="medium">
        <color rgb="FFC00000"/>
      </left>
      <right style="medium">
        <color rgb="FFC00000"/>
      </right>
      <top style="thin">
        <color theme="1" tint="0.34998626667073579"/>
      </top>
      <bottom style="medium">
        <color rgb="FFC00000"/>
      </bottom>
      <diagonal/>
    </border>
    <border>
      <left style="thin">
        <color theme="1" tint="0.34998626667073579"/>
      </left>
      <right style="thin">
        <color rgb="FF595959"/>
      </right>
      <top style="thin">
        <color theme="1" tint="0.34998626667073579"/>
      </top>
      <bottom style="thin">
        <color theme="1" tint="0.34998626667073579"/>
      </bottom>
      <diagonal/>
    </border>
    <border>
      <left style="thin">
        <color theme="1" tint="0.34998626667073579"/>
      </left>
      <right/>
      <top style="thin">
        <color rgb="FF595959"/>
      </top>
      <bottom style="thin">
        <color rgb="FF595959"/>
      </bottom>
      <diagonal/>
    </border>
    <border>
      <left style="thick">
        <color rgb="FFC00000"/>
      </left>
      <right/>
      <top style="thin">
        <color theme="1" tint="0.34998626667073579"/>
      </top>
      <bottom style="thin">
        <color theme="1" tint="0.34998626667073579"/>
      </bottom>
      <diagonal/>
    </border>
    <border>
      <left style="thin">
        <color rgb="FFC9C9C9"/>
      </left>
      <right/>
      <top style="thin">
        <color indexed="64"/>
      </top>
      <bottom style="thin">
        <color indexed="64"/>
      </bottom>
      <diagonal/>
    </border>
    <border>
      <left/>
      <right/>
      <top style="double">
        <color rgb="FF595959"/>
      </top>
      <bottom/>
      <diagonal/>
    </border>
    <border>
      <left/>
      <right style="thin">
        <color rgb="FF595959"/>
      </right>
      <top style="double">
        <color rgb="FF595959"/>
      </top>
      <bottom/>
      <diagonal/>
    </border>
    <border>
      <left style="thin">
        <color theme="4" tint="0.39997558519241921"/>
      </left>
      <right/>
      <top/>
      <bottom style="thin">
        <color theme="4" tint="0.39997558519241921"/>
      </bottom>
      <diagonal/>
    </border>
    <border>
      <left/>
      <right/>
      <top style="thin">
        <color theme="4"/>
      </top>
      <bottom/>
      <diagonal/>
    </border>
    <border>
      <left/>
      <right style="thin">
        <color theme="4" tint="0.39997558519241921"/>
      </right>
      <top style="thin">
        <color theme="4" tint="0.39997558519241921"/>
      </top>
      <bottom style="thin">
        <color theme="4" tint="0.39997558519241921"/>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9" fontId="1" fillId="0" borderId="0"/>
  </cellStyleXfs>
  <cellXfs count="870">
    <xf numFmtId="0" fontId="0" fillId="0" borderId="0" xfId="0"/>
    <xf numFmtId="0" fontId="0" fillId="0" borderId="0" xfId="0" applyAlignment="1">
      <alignment horizontal="left"/>
    </xf>
    <xf numFmtId="0" fontId="3" fillId="0" borderId="0" xfId="0" applyFont="1"/>
    <xf numFmtId="0" fontId="9" fillId="0" borderId="0" xfId="0" applyFont="1" applyAlignment="1">
      <alignment horizontal="left"/>
    </xf>
    <xf numFmtId="0" fontId="4" fillId="0" borderId="0" xfId="0" applyFont="1" applyAlignment="1">
      <alignment horizontal="left" vertical="top"/>
    </xf>
    <xf numFmtId="0" fontId="0" fillId="0" borderId="0" xfId="0" applyAlignment="1">
      <alignment horizontal="left" vertical="top"/>
    </xf>
    <xf numFmtId="0" fontId="0" fillId="0" borderId="0" xfId="0" applyAlignment="1">
      <alignment horizontal="left" vertical="top" wrapText="1"/>
    </xf>
    <xf numFmtId="0" fontId="2" fillId="2" borderId="13" xfId="0" applyFont="1" applyFill="1" applyBorder="1" applyAlignment="1">
      <alignment horizontal="left" vertical="top"/>
    </xf>
    <xf numFmtId="0" fontId="2" fillId="2" borderId="10" xfId="0" applyFont="1" applyFill="1" applyBorder="1" applyAlignment="1">
      <alignment horizontal="left" vertical="top"/>
    </xf>
    <xf numFmtId="0" fontId="2" fillId="2" borderId="11" xfId="0" applyFont="1" applyFill="1" applyBorder="1" applyAlignment="1">
      <alignment horizontal="left" vertical="top"/>
    </xf>
    <xf numFmtId="0" fontId="5" fillId="0" borderId="2" xfId="0" applyFont="1" applyBorder="1" applyAlignment="1">
      <alignment horizontal="left" vertical="top"/>
    </xf>
    <xf numFmtId="0" fontId="6" fillId="0" borderId="3" xfId="0" applyFont="1" applyBorder="1" applyAlignment="1">
      <alignment horizontal="left" vertical="top"/>
    </xf>
    <xf numFmtId="0" fontId="0" fillId="0" borderId="4" xfId="0" applyBorder="1" applyAlignment="1">
      <alignment horizontal="left" vertical="top"/>
    </xf>
    <xf numFmtId="43" fontId="5" fillId="0" borderId="7" xfId="1" applyFont="1" applyFill="1" applyBorder="1" applyAlignment="1">
      <alignment horizontal="left" vertical="top"/>
    </xf>
    <xf numFmtId="43" fontId="5" fillId="0" borderId="0" xfId="1" applyFont="1" applyFill="1" applyBorder="1" applyAlignment="1">
      <alignment horizontal="left" vertical="top"/>
    </xf>
    <xf numFmtId="0" fontId="0" fillId="0" borderId="8" xfId="0" applyBorder="1" applyAlignment="1">
      <alignment horizontal="left" vertical="top"/>
    </xf>
    <xf numFmtId="0" fontId="0" fillId="0" borderId="7" xfId="0" applyBorder="1" applyAlignment="1">
      <alignment horizontal="left" vertical="top"/>
    </xf>
    <xf numFmtId="0" fontId="0" fillId="0" borderId="12" xfId="0" applyBorder="1" applyAlignment="1">
      <alignment horizontal="left" vertical="top"/>
    </xf>
    <xf numFmtId="43" fontId="5" fillId="0" borderId="5" xfId="1" applyFont="1" applyFill="1" applyBorder="1" applyAlignment="1">
      <alignment horizontal="left" vertical="top"/>
    </xf>
    <xf numFmtId="0" fontId="0" fillId="0" borderId="9" xfId="0" applyBorder="1" applyAlignment="1">
      <alignment horizontal="left" vertical="top"/>
    </xf>
    <xf numFmtId="0" fontId="0" fillId="0" borderId="2" xfId="0" applyBorder="1" applyAlignment="1">
      <alignment horizontal="left" vertical="top"/>
    </xf>
    <xf numFmtId="43" fontId="5" fillId="0" borderId="3" xfId="1" applyFont="1" applyFill="1" applyBorder="1" applyAlignment="1">
      <alignment horizontal="left" vertical="top"/>
    </xf>
    <xf numFmtId="0" fontId="8" fillId="4" borderId="4" xfId="0" applyFont="1" applyFill="1" applyBorder="1" applyAlignment="1">
      <alignment horizontal="left" vertical="top"/>
    </xf>
    <xf numFmtId="3" fontId="0" fillId="0" borderId="8" xfId="0" applyNumberFormat="1" applyBorder="1" applyAlignment="1">
      <alignment horizontal="left" vertical="top"/>
    </xf>
    <xf numFmtId="0" fontId="0" fillId="0" borderId="5" xfId="0" applyBorder="1" applyAlignment="1">
      <alignment horizontal="left" vertical="top"/>
    </xf>
    <xf numFmtId="14" fontId="8" fillId="4" borderId="37" xfId="0" applyNumberFormat="1" applyFont="1" applyFill="1" applyBorder="1" applyAlignment="1">
      <alignment horizontal="left" vertical="top"/>
    </xf>
    <xf numFmtId="14" fontId="8" fillId="4" borderId="38" xfId="0" applyNumberFormat="1" applyFont="1" applyFill="1" applyBorder="1" applyAlignment="1">
      <alignment horizontal="left" vertical="top"/>
    </xf>
    <xf numFmtId="0" fontId="8" fillId="4" borderId="9" xfId="0" applyFont="1" applyFill="1" applyBorder="1" applyAlignment="1">
      <alignment horizontal="left" vertical="top"/>
    </xf>
    <xf numFmtId="0" fontId="9" fillId="0" borderId="0" xfId="0" applyFont="1" applyAlignment="1">
      <alignment horizontal="left" vertical="top"/>
    </xf>
    <xf numFmtId="0" fontId="9" fillId="0" borderId="0" xfId="0" applyFont="1" applyAlignment="1">
      <alignment horizontal="left" vertical="top" wrapText="1"/>
    </xf>
    <xf numFmtId="0" fontId="5" fillId="0" borderId="39" xfId="0" applyFont="1" applyBorder="1" applyAlignment="1">
      <alignment horizontal="center" vertical="top"/>
    </xf>
    <xf numFmtId="0" fontId="5" fillId="0" borderId="40" xfId="0" applyFont="1" applyBorder="1" applyAlignment="1">
      <alignment horizontal="center" vertical="top"/>
    </xf>
    <xf numFmtId="0" fontId="5" fillId="11" borderId="40" xfId="0" applyFont="1" applyFill="1" applyBorder="1" applyAlignment="1">
      <alignment horizontal="center" vertical="top"/>
    </xf>
    <xf numFmtId="0" fontId="5" fillId="11" borderId="41" xfId="0" applyFont="1" applyFill="1" applyBorder="1" applyAlignment="1">
      <alignment horizontal="center" vertical="top"/>
    </xf>
    <xf numFmtId="0" fontId="0" fillId="0" borderId="0" xfId="0" applyBorder="1" applyAlignment="1">
      <alignment horizontal="left" vertical="top"/>
    </xf>
    <xf numFmtId="0" fontId="2" fillId="2" borderId="16" xfId="0" applyFont="1" applyFill="1" applyBorder="1" applyAlignment="1">
      <alignment horizontal="left" vertical="top"/>
    </xf>
    <xf numFmtId="0" fontId="2" fillId="2" borderId="17" xfId="0" applyFont="1" applyFill="1" applyBorder="1" applyAlignment="1">
      <alignment horizontal="left" vertical="top"/>
    </xf>
    <xf numFmtId="0" fontId="2" fillId="2" borderId="17" xfId="0" applyFont="1" applyFill="1" applyBorder="1" applyAlignment="1">
      <alignment horizontal="left" vertical="top" wrapText="1"/>
    </xf>
    <xf numFmtId="0" fontId="6" fillId="3" borderId="33" xfId="0" applyFont="1" applyFill="1" applyBorder="1" applyAlignment="1">
      <alignment horizontal="left" vertical="top"/>
    </xf>
    <xf numFmtId="0" fontId="6" fillId="3" borderId="34" xfId="0" applyFont="1" applyFill="1" applyBorder="1" applyAlignment="1">
      <alignment horizontal="left" vertical="top"/>
    </xf>
    <xf numFmtId="0" fontId="6" fillId="3" borderId="34" xfId="0" applyFont="1" applyFill="1" applyBorder="1" applyAlignment="1">
      <alignment horizontal="left" vertical="top" wrapText="1"/>
    </xf>
    <xf numFmtId="43" fontId="6" fillId="8" borderId="22" xfId="1" applyFont="1" applyFill="1" applyBorder="1" applyAlignment="1">
      <alignment horizontal="left" vertical="top"/>
    </xf>
    <xf numFmtId="43" fontId="6" fillId="8" borderId="10" xfId="1" applyFont="1" applyFill="1" applyBorder="1" applyAlignment="1">
      <alignment horizontal="left" vertical="top"/>
    </xf>
    <xf numFmtId="43" fontId="6" fillId="8" borderId="10" xfId="1" applyFont="1" applyFill="1" applyBorder="1" applyAlignment="1">
      <alignment horizontal="left" vertical="top" wrapText="1"/>
    </xf>
    <xf numFmtId="43" fontId="6" fillId="7" borderId="24" xfId="1" applyFont="1" applyFill="1" applyBorder="1" applyAlignment="1">
      <alignment horizontal="left" vertical="top"/>
    </xf>
    <xf numFmtId="43" fontId="6" fillId="7" borderId="3" xfId="1" applyFont="1" applyFill="1" applyBorder="1" applyAlignment="1">
      <alignment horizontal="left" vertical="top"/>
    </xf>
    <xf numFmtId="43" fontId="5" fillId="0" borderId="21" xfId="1" applyFont="1" applyFill="1" applyBorder="1" applyAlignment="1">
      <alignment horizontal="left" vertical="top"/>
    </xf>
    <xf numFmtId="43" fontId="5" fillId="0" borderId="0" xfId="1" applyFont="1" applyFill="1" applyBorder="1" applyAlignment="1">
      <alignment horizontal="left" vertical="top" wrapText="1"/>
    </xf>
    <xf numFmtId="43" fontId="5" fillId="0" borderId="1" xfId="1" applyFont="1" applyFill="1" applyBorder="1" applyAlignment="1">
      <alignment horizontal="left" vertical="top"/>
    </xf>
    <xf numFmtId="43" fontId="5" fillId="0" borderId="1" xfId="1" applyFont="1" applyFill="1" applyBorder="1" applyAlignment="1">
      <alignment horizontal="left" vertical="top" wrapText="1"/>
    </xf>
    <xf numFmtId="43" fontId="5" fillId="0" borderId="5" xfId="1" applyFont="1" applyFill="1" applyBorder="1" applyAlignment="1">
      <alignment horizontal="left" vertical="top" wrapText="1"/>
    </xf>
    <xf numFmtId="43" fontId="6" fillId="7" borderId="21" xfId="1" applyFont="1" applyFill="1" applyBorder="1" applyAlignment="1">
      <alignment horizontal="left" vertical="top"/>
    </xf>
    <xf numFmtId="43" fontId="6" fillId="7" borderId="0" xfId="1" applyFont="1" applyFill="1" applyBorder="1" applyAlignment="1">
      <alignment horizontal="left" vertical="top"/>
    </xf>
    <xf numFmtId="43" fontId="6" fillId="7" borderId="10" xfId="1" applyFont="1" applyFill="1" applyBorder="1" applyAlignment="1">
      <alignment horizontal="left" vertical="top"/>
    </xf>
    <xf numFmtId="43" fontId="6" fillId="7" borderId="10" xfId="1" applyFont="1" applyFill="1" applyBorder="1" applyAlignment="1">
      <alignment horizontal="left" vertical="top" wrapText="1"/>
    </xf>
    <xf numFmtId="43" fontId="5" fillId="0" borderId="6" xfId="1" applyFont="1" applyFill="1" applyBorder="1" applyAlignment="1">
      <alignment horizontal="left" vertical="top"/>
    </xf>
    <xf numFmtId="43" fontId="5" fillId="0" borderId="6" xfId="1" applyFont="1" applyFill="1" applyBorder="1" applyAlignment="1">
      <alignment horizontal="left" vertical="top" wrapText="1"/>
    </xf>
    <xf numFmtId="0" fontId="0" fillId="0" borderId="0" xfId="0" applyAlignment="1">
      <alignment vertical="top" wrapText="1"/>
    </xf>
    <xf numFmtId="0" fontId="0" fillId="0" borderId="5" xfId="0" applyBorder="1" applyAlignment="1">
      <alignment vertical="top" wrapText="1"/>
    </xf>
    <xf numFmtId="43" fontId="5" fillId="0" borderId="29" xfId="1" applyFont="1" applyFill="1" applyBorder="1" applyAlignment="1">
      <alignment horizontal="left" vertical="top"/>
    </xf>
    <xf numFmtId="43" fontId="6" fillId="9" borderId="22" xfId="1" applyFont="1" applyFill="1" applyBorder="1" applyAlignment="1">
      <alignment horizontal="left" vertical="top"/>
    </xf>
    <xf numFmtId="43" fontId="6" fillId="9" borderId="10" xfId="1" applyFont="1" applyFill="1" applyBorder="1" applyAlignment="1">
      <alignment horizontal="left" vertical="top"/>
    </xf>
    <xf numFmtId="43" fontId="6" fillId="9" borderId="10" xfId="1" applyFont="1" applyFill="1" applyBorder="1" applyAlignment="1">
      <alignment horizontal="left" vertical="top" wrapText="1"/>
    </xf>
    <xf numFmtId="43" fontId="6" fillId="6" borderId="21" xfId="1" applyFont="1" applyFill="1" applyBorder="1" applyAlignment="1">
      <alignment horizontal="left" vertical="top"/>
    </xf>
    <xf numFmtId="43" fontId="6" fillId="6" borderId="0" xfId="1" applyFont="1" applyFill="1" applyBorder="1" applyAlignment="1">
      <alignment horizontal="left" vertical="top"/>
    </xf>
    <xf numFmtId="43" fontId="6" fillId="6" borderId="10" xfId="1" applyFont="1" applyFill="1" applyBorder="1" applyAlignment="1">
      <alignment horizontal="left" vertical="top"/>
    </xf>
    <xf numFmtId="43" fontId="6" fillId="6" borderId="10" xfId="1" applyFont="1" applyFill="1" applyBorder="1" applyAlignment="1">
      <alignment horizontal="left" vertical="top" wrapText="1"/>
    </xf>
    <xf numFmtId="43" fontId="5" fillId="0" borderId="10" xfId="1" applyFont="1" applyFill="1" applyBorder="1" applyAlignment="1">
      <alignment horizontal="left" vertical="top"/>
    </xf>
    <xf numFmtId="43" fontId="5" fillId="0" borderId="10" xfId="1" applyFont="1" applyFill="1" applyBorder="1" applyAlignment="1">
      <alignment horizontal="left" vertical="top" wrapText="1"/>
    </xf>
    <xf numFmtId="43" fontId="6" fillId="10" borderId="22" xfId="1" applyFont="1" applyFill="1" applyBorder="1" applyAlignment="1">
      <alignment horizontal="left" vertical="top"/>
    </xf>
    <xf numFmtId="43" fontId="6" fillId="10" borderId="10" xfId="1" applyFont="1" applyFill="1" applyBorder="1" applyAlignment="1">
      <alignment horizontal="left" vertical="top"/>
    </xf>
    <xf numFmtId="43" fontId="6" fillId="10" borderId="10" xfId="1" applyFont="1" applyFill="1" applyBorder="1" applyAlignment="1">
      <alignment horizontal="left" vertical="top" wrapText="1"/>
    </xf>
    <xf numFmtId="43" fontId="6" fillId="5" borderId="21" xfId="1" applyFont="1" applyFill="1" applyBorder="1" applyAlignment="1">
      <alignment horizontal="left" vertical="top"/>
    </xf>
    <xf numFmtId="43" fontId="6" fillId="5" borderId="0" xfId="1" applyFont="1" applyFill="1" applyBorder="1" applyAlignment="1">
      <alignment horizontal="left" vertical="top"/>
    </xf>
    <xf numFmtId="43" fontId="6" fillId="5" borderId="10" xfId="1" applyFont="1" applyFill="1" applyBorder="1" applyAlignment="1">
      <alignment horizontal="left" vertical="top"/>
    </xf>
    <xf numFmtId="43" fontId="6" fillId="5" borderId="10" xfId="1" applyFont="1" applyFill="1" applyBorder="1" applyAlignment="1">
      <alignment horizontal="left" vertical="top" wrapText="1"/>
    </xf>
    <xf numFmtId="43" fontId="5" fillId="0" borderId="3" xfId="1" applyFont="1" applyFill="1" applyBorder="1" applyAlignment="1">
      <alignment horizontal="left" vertical="top" wrapText="1"/>
    </xf>
    <xf numFmtId="43" fontId="5" fillId="0" borderId="30" xfId="1" applyFont="1" applyFill="1" applyBorder="1" applyAlignment="1">
      <alignment horizontal="left" vertical="top"/>
    </xf>
    <xf numFmtId="43" fontId="6" fillId="5" borderId="7" xfId="1" applyFont="1" applyFill="1" applyBorder="1" applyAlignment="1">
      <alignment horizontal="left" vertical="top"/>
    </xf>
    <xf numFmtId="43" fontId="5" fillId="0" borderId="57" xfId="1" applyFont="1" applyFill="1" applyBorder="1" applyAlignment="1">
      <alignment horizontal="left" vertical="top"/>
    </xf>
    <xf numFmtId="43" fontId="5" fillId="0" borderId="58" xfId="1" applyFont="1" applyFill="1" applyBorder="1" applyAlignment="1">
      <alignment horizontal="left" vertical="top"/>
    </xf>
    <xf numFmtId="43" fontId="5" fillId="0" borderId="59" xfId="1" applyFont="1" applyFill="1" applyBorder="1" applyAlignment="1">
      <alignment horizontal="left" vertical="top"/>
    </xf>
    <xf numFmtId="43" fontId="5" fillId="0" borderId="31" xfId="1" applyFont="1" applyFill="1" applyBorder="1" applyAlignment="1">
      <alignment horizontal="left" vertical="top"/>
    </xf>
    <xf numFmtId="43" fontId="5" fillId="0" borderId="32" xfId="1" applyFont="1" applyFill="1" applyBorder="1" applyAlignment="1">
      <alignment horizontal="left" vertical="top"/>
    </xf>
    <xf numFmtId="43" fontId="5" fillId="0" borderId="32" xfId="1" applyFont="1" applyFill="1" applyBorder="1" applyAlignment="1">
      <alignment horizontal="left" vertical="top" wrapText="1"/>
    </xf>
    <xf numFmtId="0" fontId="0" fillId="0" borderId="0" xfId="0" applyAlignment="1">
      <alignment vertical="top"/>
    </xf>
    <xf numFmtId="0" fontId="6" fillId="3" borderId="35" xfId="0" applyFont="1" applyFill="1" applyBorder="1" applyAlignment="1">
      <alignment horizontal="left" vertical="top"/>
    </xf>
    <xf numFmtId="0" fontId="6" fillId="8" borderId="55" xfId="0" applyFont="1" applyFill="1" applyBorder="1" applyAlignment="1">
      <alignment horizontal="center" vertical="top"/>
    </xf>
    <xf numFmtId="44" fontId="6" fillId="8" borderId="50" xfId="1" applyNumberFormat="1" applyFont="1" applyFill="1" applyBorder="1" applyAlignment="1">
      <alignment horizontal="left" vertical="top"/>
    </xf>
    <xf numFmtId="44" fontId="6" fillId="8" borderId="42" xfId="1" applyNumberFormat="1" applyFont="1" applyFill="1" applyBorder="1" applyAlignment="1">
      <alignment horizontal="left" vertical="top"/>
    </xf>
    <xf numFmtId="0" fontId="3" fillId="0" borderId="0" xfId="0" applyFont="1" applyAlignment="1">
      <alignment vertical="top"/>
    </xf>
    <xf numFmtId="0" fontId="6" fillId="7" borderId="51" xfId="0" applyFont="1" applyFill="1" applyBorder="1" applyAlignment="1">
      <alignment horizontal="center" vertical="top"/>
    </xf>
    <xf numFmtId="0" fontId="5" fillId="0" borderId="51" xfId="0" applyFont="1" applyBorder="1" applyAlignment="1">
      <alignment horizontal="center" vertical="top"/>
    </xf>
    <xf numFmtId="0" fontId="5" fillId="0" borderId="61" xfId="0" applyFont="1" applyBorder="1" applyAlignment="1">
      <alignment horizontal="center" vertical="top"/>
    </xf>
    <xf numFmtId="0" fontId="5" fillId="0" borderId="14" xfId="0" applyFont="1" applyBorder="1" applyAlignment="1">
      <alignment horizontal="center" vertical="top"/>
    </xf>
    <xf numFmtId="0" fontId="5" fillId="0" borderId="52" xfId="0" applyFont="1" applyBorder="1" applyAlignment="1">
      <alignment horizontal="center" vertical="top"/>
    </xf>
    <xf numFmtId="0" fontId="5" fillId="0" borderId="62" xfId="0" applyFont="1" applyBorder="1" applyAlignment="1">
      <alignment horizontal="center" vertical="top"/>
    </xf>
    <xf numFmtId="0" fontId="5" fillId="0" borderId="53" xfId="0" applyFont="1" applyBorder="1" applyAlignment="1">
      <alignment horizontal="center" vertical="top"/>
    </xf>
    <xf numFmtId="0" fontId="5" fillId="0" borderId="63" xfId="0" applyFont="1" applyBorder="1" applyAlignment="1">
      <alignment horizontal="center" vertical="top"/>
    </xf>
    <xf numFmtId="0" fontId="6" fillId="7" borderId="55" xfId="0" applyFont="1" applyFill="1" applyBorder="1" applyAlignment="1">
      <alignment horizontal="center" vertical="top"/>
    </xf>
    <xf numFmtId="0" fontId="5" fillId="0" borderId="55" xfId="0" applyFont="1" applyBorder="1" applyAlignment="1">
      <alignment horizontal="center" vertical="top"/>
    </xf>
    <xf numFmtId="44" fontId="6" fillId="7" borderId="65" xfId="1" applyNumberFormat="1" applyFont="1" applyFill="1" applyBorder="1" applyAlignment="1">
      <alignment horizontal="left" vertical="top"/>
    </xf>
    <xf numFmtId="0" fontId="6" fillId="9" borderId="55" xfId="0" applyFont="1" applyFill="1" applyBorder="1" applyAlignment="1">
      <alignment horizontal="center" vertical="top"/>
    </xf>
    <xf numFmtId="44" fontId="6" fillId="9" borderId="55" xfId="1" applyNumberFormat="1" applyFont="1" applyFill="1" applyBorder="1" applyAlignment="1">
      <alignment horizontal="left" vertical="top"/>
    </xf>
    <xf numFmtId="0" fontId="6" fillId="6" borderId="55" xfId="0" applyFont="1" applyFill="1" applyBorder="1" applyAlignment="1">
      <alignment horizontal="center" vertical="top"/>
    </xf>
    <xf numFmtId="44" fontId="6" fillId="6" borderId="54" xfId="1" applyNumberFormat="1" applyFont="1" applyFill="1" applyBorder="1" applyAlignment="1">
      <alignment horizontal="left" vertical="top"/>
    </xf>
    <xf numFmtId="0" fontId="6" fillId="10" borderId="55" xfId="0" applyFont="1" applyFill="1" applyBorder="1" applyAlignment="1">
      <alignment horizontal="center" vertical="top"/>
    </xf>
    <xf numFmtId="44" fontId="6" fillId="10" borderId="55" xfId="1" applyNumberFormat="1" applyFont="1" applyFill="1" applyBorder="1" applyAlignment="1">
      <alignment horizontal="left" vertical="top"/>
    </xf>
    <xf numFmtId="0" fontId="6" fillId="5" borderId="55" xfId="0" applyFont="1" applyFill="1" applyBorder="1" applyAlignment="1">
      <alignment horizontal="center" vertical="top"/>
    </xf>
    <xf numFmtId="44" fontId="6" fillId="5" borderId="66" xfId="1" applyNumberFormat="1" applyFont="1" applyFill="1" applyBorder="1" applyAlignment="1">
      <alignment horizontal="left" vertical="top"/>
    </xf>
    <xf numFmtId="43" fontId="5" fillId="0" borderId="56" xfId="1" applyFont="1" applyFill="1" applyBorder="1" applyAlignment="1">
      <alignment horizontal="center" vertical="top"/>
    </xf>
    <xf numFmtId="0" fontId="0" fillId="0" borderId="0" xfId="0" applyAlignment="1">
      <alignment horizontal="center" vertical="center"/>
    </xf>
    <xf numFmtId="0" fontId="0" fillId="0" borderId="60" xfId="0" applyBorder="1" applyAlignment="1">
      <alignment horizontal="center" vertical="center"/>
    </xf>
    <xf numFmtId="0" fontId="3" fillId="0" borderId="60" xfId="0" applyFont="1" applyBorder="1" applyAlignment="1">
      <alignment horizontal="center" vertical="center"/>
    </xf>
    <xf numFmtId="0" fontId="0" fillId="0" borderId="67" xfId="0" applyBorder="1" applyAlignment="1">
      <alignment horizontal="left" vertical="top"/>
    </xf>
    <xf numFmtId="0" fontId="0" fillId="0" borderId="0" xfId="0" applyFill="1" applyBorder="1" applyAlignment="1">
      <alignment vertical="top"/>
    </xf>
    <xf numFmtId="0" fontId="10" fillId="0" borderId="0" xfId="0" applyFont="1" applyFill="1" applyBorder="1" applyAlignment="1">
      <alignment horizontal="center" vertical="center" wrapText="1"/>
    </xf>
    <xf numFmtId="43" fontId="13" fillId="0" borderId="0" xfId="1" applyFont="1" applyFill="1" applyBorder="1" applyAlignment="1">
      <alignment horizontal="left" vertical="top"/>
    </xf>
    <xf numFmtId="0" fontId="2" fillId="2" borderId="20" xfId="0" applyFont="1" applyFill="1" applyBorder="1" applyAlignment="1">
      <alignment horizontal="center" vertical="top"/>
    </xf>
    <xf numFmtId="43" fontId="13" fillId="0" borderId="70" xfId="1" applyFont="1" applyFill="1" applyBorder="1" applyAlignment="1">
      <alignment horizontal="left" vertical="top"/>
    </xf>
    <xf numFmtId="0" fontId="3" fillId="0" borderId="69" xfId="0" applyFont="1" applyBorder="1" applyAlignment="1">
      <alignment horizontal="center" vertical="center"/>
    </xf>
    <xf numFmtId="0" fontId="0" fillId="0" borderId="69" xfId="0" applyBorder="1" applyAlignment="1">
      <alignment horizontal="center" vertical="center"/>
    </xf>
    <xf numFmtId="0" fontId="11" fillId="12" borderId="69" xfId="0" applyFont="1" applyFill="1" applyBorder="1" applyAlignment="1">
      <alignment horizontal="center" vertical="center" wrapText="1"/>
    </xf>
    <xf numFmtId="0" fontId="0" fillId="0" borderId="0" xfId="0" quotePrefix="1"/>
    <xf numFmtId="0" fontId="0" fillId="0" borderId="0" xfId="0" applyBorder="1" applyAlignment="1">
      <alignment horizontal="center" vertical="center"/>
    </xf>
    <xf numFmtId="0" fontId="0" fillId="0" borderId="0" xfId="0" applyBorder="1" applyAlignment="1">
      <alignment horizontal="center" vertical="top" wrapText="1"/>
    </xf>
    <xf numFmtId="0" fontId="0" fillId="0" borderId="60" xfId="0" applyBorder="1" applyAlignment="1">
      <alignment horizontal="center" vertical="top"/>
    </xf>
    <xf numFmtId="0" fontId="0" fillId="0" borderId="68" xfId="0" applyBorder="1" applyAlignment="1">
      <alignment horizontal="left" vertical="top"/>
    </xf>
    <xf numFmtId="44" fontId="6" fillId="7" borderId="43" xfId="2" applyFont="1" applyFill="1" applyBorder="1" applyAlignment="1">
      <alignment horizontal="left" vertical="top"/>
    </xf>
    <xf numFmtId="44" fontId="5" fillId="0" borderId="43" xfId="2" applyFont="1" applyFill="1" applyBorder="1" applyAlignment="1">
      <alignment horizontal="left" vertical="top"/>
    </xf>
    <xf numFmtId="44" fontId="5" fillId="0" borderId="44" xfId="2" applyFont="1" applyFill="1" applyBorder="1" applyAlignment="1">
      <alignment horizontal="left" vertical="top"/>
    </xf>
    <xf numFmtId="44" fontId="5" fillId="0" borderId="45" xfId="2" applyFont="1" applyFill="1" applyBorder="1" applyAlignment="1">
      <alignment horizontal="left" vertical="top"/>
    </xf>
    <xf numFmtId="44" fontId="5" fillId="0" borderId="46" xfId="2" applyFont="1" applyFill="1" applyBorder="1" applyAlignment="1">
      <alignment horizontal="left" vertical="top"/>
    </xf>
    <xf numFmtId="44" fontId="6" fillId="7" borderId="47" xfId="2" applyFont="1" applyFill="1" applyBorder="1" applyAlignment="1">
      <alignment horizontal="left" vertical="top"/>
    </xf>
    <xf numFmtId="44" fontId="5" fillId="0" borderId="48" xfId="2" applyFont="1" applyFill="1" applyBorder="1" applyAlignment="1">
      <alignment horizontal="left" vertical="top"/>
    </xf>
    <xf numFmtId="44" fontId="6" fillId="10" borderId="49" xfId="2" applyFont="1" applyFill="1" applyBorder="1" applyAlignment="1">
      <alignment horizontal="left" vertical="top"/>
    </xf>
    <xf numFmtId="44" fontId="6" fillId="5" borderId="49" xfId="2" applyFont="1" applyFill="1" applyBorder="1" applyAlignment="1">
      <alignment horizontal="left" vertical="top"/>
    </xf>
    <xf numFmtId="0" fontId="0" fillId="0" borderId="60" xfId="0" applyBorder="1" applyAlignment="1">
      <alignment horizontal="center" vertical="center"/>
    </xf>
    <xf numFmtId="0" fontId="0" fillId="0" borderId="69" xfId="0" applyFont="1" applyBorder="1" applyAlignment="1">
      <alignment horizontal="center" vertical="center"/>
    </xf>
    <xf numFmtId="0" fontId="2" fillId="0" borderId="60" xfId="0" applyFont="1" applyBorder="1" applyAlignment="1">
      <alignment horizontal="center" vertical="center"/>
    </xf>
    <xf numFmtId="0" fontId="17" fillId="0" borderId="60" xfId="0" applyFont="1" applyBorder="1" applyAlignment="1">
      <alignment horizontal="center" vertical="center"/>
    </xf>
    <xf numFmtId="0" fontId="10" fillId="13" borderId="69" xfId="0" applyFont="1" applyFill="1" applyBorder="1" applyAlignment="1">
      <alignment horizontal="center" vertical="top" wrapText="1"/>
    </xf>
    <xf numFmtId="0" fontId="10" fillId="13" borderId="60" xfId="0" applyFont="1" applyFill="1" applyBorder="1" applyAlignment="1">
      <alignment horizontal="center" vertical="top" wrapText="1"/>
    </xf>
    <xf numFmtId="0" fontId="2" fillId="2" borderId="17" xfId="0" applyFont="1" applyFill="1" applyBorder="1" applyAlignment="1">
      <alignment horizontal="center" vertical="top"/>
    </xf>
    <xf numFmtId="0" fontId="0" fillId="0" borderId="71" xfId="0" applyBorder="1" applyAlignment="1">
      <alignment horizontal="left" vertical="top"/>
    </xf>
    <xf numFmtId="43" fontId="13" fillId="0" borderId="72" xfId="1" applyFont="1" applyFill="1" applyBorder="1" applyAlignment="1">
      <alignment horizontal="left" vertical="top"/>
    </xf>
    <xf numFmtId="0" fontId="19" fillId="0" borderId="0" xfId="0" applyFont="1"/>
    <xf numFmtId="0" fontId="20" fillId="0" borderId="0" xfId="0" applyFont="1"/>
    <xf numFmtId="0" fontId="21" fillId="0" borderId="0" xfId="0" applyFont="1"/>
    <xf numFmtId="0" fontId="20" fillId="4" borderId="0" xfId="0" applyFont="1" applyFill="1"/>
    <xf numFmtId="0" fontId="20" fillId="4" borderId="0" xfId="0" applyFont="1" applyFill="1" applyAlignment="1">
      <alignment horizontal="left"/>
    </xf>
    <xf numFmtId="3" fontId="20" fillId="4" borderId="0" xfId="0" applyNumberFormat="1" applyFont="1" applyFill="1" applyAlignment="1">
      <alignment horizontal="left"/>
    </xf>
    <xf numFmtId="0" fontId="23" fillId="15" borderId="73" xfId="0" applyFont="1" applyFill="1" applyBorder="1" applyAlignment="1">
      <alignment vertical="top" wrapText="1"/>
    </xf>
    <xf numFmtId="165" fontId="23" fillId="15" borderId="73" xfId="0" applyNumberFormat="1" applyFont="1" applyFill="1" applyBorder="1" applyAlignment="1">
      <alignment vertical="top" wrapText="1"/>
    </xf>
    <xf numFmtId="0" fontId="24" fillId="0" borderId="74" xfId="0" applyFont="1" applyBorder="1" applyAlignment="1">
      <alignment vertical="top" wrapText="1"/>
    </xf>
    <xf numFmtId="165" fontId="24" fillId="0" borderId="74" xfId="0" applyNumberFormat="1" applyFont="1" applyBorder="1" applyAlignment="1">
      <alignment vertical="top" wrapText="1"/>
    </xf>
    <xf numFmtId="0" fontId="24" fillId="10" borderId="74" xfId="0" applyFont="1" applyFill="1" applyBorder="1" applyAlignment="1">
      <alignment horizontal="right" vertical="top" wrapText="1"/>
    </xf>
    <xf numFmtId="165" fontId="24" fillId="10" borderId="74" xfId="0" applyNumberFormat="1" applyFont="1" applyFill="1" applyBorder="1" applyAlignment="1">
      <alignment vertical="top" wrapText="1"/>
    </xf>
    <xf numFmtId="0" fontId="24" fillId="10" borderId="74" xfId="0" applyFont="1" applyFill="1" applyBorder="1" applyAlignment="1">
      <alignment vertical="top" wrapText="1"/>
    </xf>
    <xf numFmtId="44" fontId="20" fillId="0" borderId="0" xfId="2" applyFont="1"/>
    <xf numFmtId="0" fontId="24" fillId="0" borderId="74" xfId="0" applyFont="1" applyBorder="1" applyAlignment="1">
      <alignment vertical="top"/>
    </xf>
    <xf numFmtId="0" fontId="24" fillId="0" borderId="0" xfId="0" applyFont="1"/>
    <xf numFmtId="0" fontId="23" fillId="15" borderId="75" xfId="0" applyFont="1" applyFill="1" applyBorder="1" applyAlignment="1">
      <alignment vertical="top" wrapText="1"/>
    </xf>
    <xf numFmtId="165" fontId="23" fillId="15" borderId="75" xfId="0" applyNumberFormat="1" applyFont="1" applyFill="1" applyBorder="1" applyAlignment="1">
      <alignment vertical="top" wrapText="1"/>
    </xf>
    <xf numFmtId="0" fontId="24" fillId="10" borderId="76" xfId="0" applyFont="1" applyFill="1" applyBorder="1" applyAlignment="1">
      <alignment vertical="top" wrapText="1"/>
    </xf>
    <xf numFmtId="165" fontId="24" fillId="10" borderId="76" xfId="0" applyNumberFormat="1" applyFont="1" applyFill="1" applyBorder="1" applyAlignment="1">
      <alignment vertical="top" wrapText="1"/>
    </xf>
    <xf numFmtId="0" fontId="25" fillId="0" borderId="0" xfId="0" applyFont="1"/>
    <xf numFmtId="164" fontId="20" fillId="4" borderId="0" xfId="0" applyNumberFormat="1" applyFont="1" applyFill="1" applyAlignment="1">
      <alignment horizontal="left"/>
    </xf>
    <xf numFmtId="0" fontId="26" fillId="0" borderId="0" xfId="0" applyFont="1" applyAlignment="1">
      <alignment vertical="top"/>
    </xf>
    <xf numFmtId="0" fontId="24" fillId="0" borderId="0" xfId="0" applyFont="1" applyAlignment="1">
      <alignment vertical="top"/>
    </xf>
    <xf numFmtId="0" fontId="24" fillId="0" borderId="0" xfId="0" applyFont="1" applyAlignment="1">
      <alignment vertical="top" wrapText="1"/>
    </xf>
    <xf numFmtId="0" fontId="24" fillId="0" borderId="0" xfId="0" applyFont="1" applyAlignment="1" applyProtection="1">
      <alignment vertical="top"/>
      <protection locked="0"/>
    </xf>
    <xf numFmtId="42" fontId="24" fillId="0" borderId="0" xfId="0" applyNumberFormat="1" applyFont="1" applyAlignment="1">
      <alignment vertical="top"/>
    </xf>
    <xf numFmtId="0" fontId="27" fillId="0" borderId="0" xfId="0" applyFont="1" applyAlignment="1">
      <alignment horizontal="right" vertical="top"/>
    </xf>
    <xf numFmtId="0" fontId="24" fillId="16" borderId="77" xfId="0" applyFont="1" applyFill="1" applyBorder="1" applyAlignment="1" applyProtection="1">
      <alignment horizontal="center" vertical="center"/>
      <protection locked="0"/>
    </xf>
    <xf numFmtId="0" fontId="24" fillId="17" borderId="80" xfId="0" applyFont="1" applyFill="1" applyBorder="1" applyAlignment="1">
      <alignment horizontal="center" vertical="center"/>
    </xf>
    <xf numFmtId="0" fontId="24" fillId="17" borderId="81" xfId="0" applyFont="1" applyFill="1" applyBorder="1" applyAlignment="1" applyProtection="1">
      <alignment horizontal="center" vertical="center"/>
      <protection locked="0"/>
    </xf>
    <xf numFmtId="0" fontId="24" fillId="17" borderId="80" xfId="0" applyFont="1" applyFill="1" applyBorder="1" applyAlignment="1" applyProtection="1">
      <alignment horizontal="right" vertical="center"/>
      <protection locked="0"/>
    </xf>
    <xf numFmtId="9" fontId="24" fillId="0" borderId="0" xfId="4" applyFont="1" applyAlignment="1">
      <alignment vertical="top"/>
    </xf>
    <xf numFmtId="0" fontId="24" fillId="0" borderId="86" xfId="0" applyFont="1" applyBorder="1" applyAlignment="1" applyProtection="1">
      <alignment vertical="top" wrapText="1"/>
      <protection locked="0"/>
    </xf>
    <xf numFmtId="0" fontId="24" fillId="0" borderId="86" xfId="0" applyFont="1" applyBorder="1" applyAlignment="1">
      <alignment vertical="top" wrapText="1"/>
    </xf>
    <xf numFmtId="0" fontId="24" fillId="0" borderId="87" xfId="0" applyFont="1" applyBorder="1" applyAlignment="1">
      <alignment vertical="top" wrapText="1"/>
    </xf>
    <xf numFmtId="42" fontId="24" fillId="0" borderId="88" xfId="0" applyNumberFormat="1" applyFont="1" applyBorder="1" applyAlignment="1">
      <alignment horizontal="left" vertical="top" wrapText="1"/>
    </xf>
    <xf numFmtId="0" fontId="24" fillId="0" borderId="89" xfId="0" applyFont="1" applyBorder="1" applyAlignment="1">
      <alignment vertical="top" wrapText="1"/>
    </xf>
    <xf numFmtId="0" fontId="24" fillId="0" borderId="90" xfId="0" applyFont="1" applyBorder="1" applyAlignment="1">
      <alignment vertical="top" wrapText="1"/>
    </xf>
    <xf numFmtId="0" fontId="24" fillId="0" borderId="91" xfId="0" applyFont="1" applyBorder="1" applyAlignment="1">
      <alignment vertical="top" wrapText="1"/>
    </xf>
    <xf numFmtId="0" fontId="24" fillId="0" borderId="92" xfId="0" applyFont="1" applyBorder="1" applyAlignment="1">
      <alignment vertical="top" wrapText="1"/>
    </xf>
    <xf numFmtId="0" fontId="24" fillId="0" borderId="93" xfId="0" applyFont="1" applyBorder="1" applyAlignment="1">
      <alignment vertical="top" wrapText="1"/>
    </xf>
    <xf numFmtId="0" fontId="24" fillId="0" borderId="94" xfId="0" applyFont="1" applyBorder="1" applyAlignment="1">
      <alignment vertical="top" wrapText="1"/>
    </xf>
    <xf numFmtId="0" fontId="29" fillId="0" borderId="95" xfId="0" applyFont="1" applyBorder="1" applyAlignment="1" applyProtection="1">
      <alignment vertical="top"/>
      <protection locked="0"/>
    </xf>
    <xf numFmtId="0" fontId="29" fillId="0" borderId="96" xfId="0" applyFont="1" applyBorder="1" applyAlignment="1">
      <alignment vertical="top"/>
    </xf>
    <xf numFmtId="0" fontId="29" fillId="0" borderId="96" xfId="0" applyFont="1" applyBorder="1" applyAlignment="1" applyProtection="1">
      <alignment horizontal="left" vertical="top"/>
      <protection locked="0"/>
    </xf>
    <xf numFmtId="0" fontId="29" fillId="0" borderId="96" xfId="0" quotePrefix="1" applyFont="1" applyBorder="1" applyAlignment="1" applyProtection="1">
      <alignment vertical="top" wrapText="1"/>
      <protection locked="0"/>
    </xf>
    <xf numFmtId="0" fontId="29" fillId="0" borderId="95" xfId="0" quotePrefix="1" applyFont="1" applyBorder="1" applyAlignment="1" applyProtection="1">
      <alignment vertical="top" wrapText="1"/>
      <protection locked="0"/>
    </xf>
    <xf numFmtId="166" fontId="29" fillId="0" borderId="96" xfId="0" applyNumberFormat="1" applyFont="1" applyBorder="1" applyAlignment="1">
      <alignment vertical="top"/>
    </xf>
    <xf numFmtId="0" fontId="29" fillId="0" borderId="97" xfId="0" applyFont="1" applyBorder="1" applyAlignment="1" applyProtection="1">
      <alignment vertical="top"/>
      <protection locked="0"/>
    </xf>
    <xf numFmtId="0" fontId="29" fillId="0" borderId="96" xfId="0" applyFont="1" applyBorder="1" applyAlignment="1" applyProtection="1">
      <alignment vertical="top"/>
      <protection locked="0"/>
    </xf>
    <xf numFmtId="0" fontId="29" fillId="0" borderId="98" xfId="0" applyFont="1" applyBorder="1" applyAlignment="1">
      <alignment vertical="top"/>
    </xf>
    <xf numFmtId="0" fontId="29" fillId="0" borderId="99" xfId="0" applyFont="1" applyBorder="1" applyAlignment="1" applyProtection="1">
      <alignment vertical="top"/>
      <protection locked="0"/>
    </xf>
    <xf numFmtId="0" fontId="29" fillId="0" borderId="97" xfId="0" applyFont="1" applyBorder="1" applyAlignment="1" applyProtection="1">
      <alignment vertical="top" wrapText="1"/>
      <protection locked="0"/>
    </xf>
    <xf numFmtId="0" fontId="29" fillId="0" borderId="100" xfId="0" applyFont="1" applyBorder="1" applyAlignment="1" applyProtection="1">
      <alignment vertical="top"/>
      <protection locked="0"/>
    </xf>
    <xf numFmtId="0" fontId="29" fillId="0" borderId="98" xfId="0" applyFont="1" applyBorder="1" applyAlignment="1" applyProtection="1">
      <alignment vertical="top"/>
      <protection locked="0"/>
    </xf>
    <xf numFmtId="0" fontId="29" fillId="0" borderId="101" xfId="0" applyFont="1" applyBorder="1" applyAlignment="1" applyProtection="1">
      <alignment vertical="top" wrapText="1"/>
      <protection locked="0"/>
    </xf>
    <xf numFmtId="0" fontId="29" fillId="0" borderId="95" xfId="0" applyFont="1" applyBorder="1" applyAlignment="1" applyProtection="1">
      <alignment vertical="top" wrapText="1"/>
      <protection locked="0"/>
    </xf>
    <xf numFmtId="0" fontId="29" fillId="0" borderId="102" xfId="0" applyFont="1" applyBorder="1" applyAlignment="1" applyProtection="1">
      <alignment vertical="top" wrapText="1"/>
      <protection locked="0"/>
    </xf>
    <xf numFmtId="2" fontId="29" fillId="0" borderId="96" xfId="0" applyNumberFormat="1" applyFont="1" applyBorder="1" applyAlignment="1">
      <alignment vertical="top"/>
    </xf>
    <xf numFmtId="0" fontId="29" fillId="0" borderId="96" xfId="0" applyFont="1" applyBorder="1" applyAlignment="1" applyProtection="1">
      <alignment vertical="top" wrapText="1"/>
      <protection locked="0"/>
    </xf>
    <xf numFmtId="2" fontId="29" fillId="0" borderId="96" xfId="0" applyNumberFormat="1" applyFont="1" applyBorder="1" applyAlignment="1" applyProtection="1">
      <alignment vertical="top"/>
      <protection locked="0"/>
    </xf>
    <xf numFmtId="0" fontId="30" fillId="14" borderId="86" xfId="0" applyFont="1" applyFill="1" applyBorder="1" applyAlignment="1" applyProtection="1">
      <alignment vertical="top" wrapText="1"/>
      <protection locked="0"/>
    </xf>
    <xf numFmtId="0" fontId="30" fillId="14" borderId="86" xfId="0" applyFont="1" applyFill="1" applyBorder="1" applyAlignment="1">
      <alignment vertical="top" wrapText="1"/>
    </xf>
    <xf numFmtId="0" fontId="30" fillId="14" borderId="103" xfId="0" applyFont="1" applyFill="1" applyBorder="1" applyAlignment="1">
      <alignment vertical="top" wrapText="1"/>
    </xf>
    <xf numFmtId="0" fontId="30" fillId="14" borderId="90" xfId="0" applyFont="1" applyFill="1" applyBorder="1" applyAlignment="1">
      <alignment vertical="top" wrapText="1"/>
    </xf>
    <xf numFmtId="0" fontId="30" fillId="14" borderId="86" xfId="0" applyFont="1" applyFill="1" applyBorder="1" applyAlignment="1" applyProtection="1">
      <alignment horizontal="center" vertical="top" wrapText="1"/>
      <protection locked="0"/>
    </xf>
    <xf numFmtId="0" fontId="30" fillId="14" borderId="87" xfId="0" applyFont="1" applyFill="1" applyBorder="1" applyAlignment="1">
      <alignment vertical="top" wrapText="1"/>
    </xf>
    <xf numFmtId="0" fontId="30" fillId="14" borderId="87" xfId="0" applyFont="1" applyFill="1" applyBorder="1" applyAlignment="1" applyProtection="1">
      <alignment horizontal="center" vertical="top" wrapText="1"/>
      <protection locked="0"/>
    </xf>
    <xf numFmtId="42" fontId="30" fillId="14" borderId="86" xfId="0" applyNumberFormat="1" applyFont="1" applyFill="1" applyBorder="1" applyAlignment="1">
      <alignment vertical="top" wrapText="1"/>
    </xf>
    <xf numFmtId="0" fontId="24" fillId="0" borderId="0" xfId="0" applyFont="1" applyAlignment="1" applyProtection="1">
      <alignment horizontal="center" vertical="top"/>
      <protection locked="0"/>
    </xf>
    <xf numFmtId="0" fontId="24" fillId="0" borderId="0" xfId="0" applyFont="1" applyAlignment="1" applyProtection="1">
      <alignment vertical="top" wrapText="1"/>
      <protection locked="0"/>
    </xf>
    <xf numFmtId="3" fontId="24" fillId="17" borderId="81" xfId="0" applyNumberFormat="1" applyFont="1" applyFill="1" applyBorder="1" applyAlignment="1" applyProtection="1">
      <alignment horizontal="center" vertical="center"/>
      <protection locked="0"/>
    </xf>
    <xf numFmtId="0" fontId="29" fillId="0" borderId="96" xfId="0" applyNumberFormat="1" applyFont="1" applyFill="1" applyBorder="1" applyAlignment="1" applyProtection="1">
      <alignment vertical="top"/>
      <protection locked="0"/>
    </xf>
    <xf numFmtId="0" fontId="29" fillId="0" borderId="96" xfId="0" applyFont="1" applyFill="1" applyBorder="1" applyAlignment="1" applyProtection="1">
      <alignment horizontal="left" vertical="top"/>
      <protection locked="0"/>
    </xf>
    <xf numFmtId="0" fontId="29" fillId="0" borderId="96" xfId="0" applyFont="1" applyFill="1" applyBorder="1" applyAlignment="1" applyProtection="1">
      <alignment vertical="top"/>
      <protection locked="0"/>
    </xf>
    <xf numFmtId="0" fontId="29" fillId="0" borderId="96" xfId="0" quotePrefix="1" applyFont="1" applyFill="1" applyBorder="1" applyAlignment="1" applyProtection="1">
      <alignment vertical="top" wrapText="1"/>
      <protection locked="0"/>
    </xf>
    <xf numFmtId="14" fontId="29" fillId="0" borderId="96" xfId="0" applyNumberFormat="1" applyFont="1" applyFill="1" applyBorder="1" applyAlignment="1" applyProtection="1">
      <alignment vertical="top"/>
      <protection locked="0"/>
    </xf>
    <xf numFmtId="166" fontId="29" fillId="0" borderId="96" xfId="0" applyNumberFormat="1" applyFont="1" applyFill="1" applyBorder="1" applyAlignment="1" applyProtection="1">
      <alignment vertical="top"/>
      <protection locked="0"/>
    </xf>
    <xf numFmtId="2" fontId="29" fillId="0" borderId="96" xfId="0" applyNumberFormat="1" applyFont="1" applyFill="1" applyBorder="1" applyAlignment="1" applyProtection="1">
      <alignment vertical="top"/>
      <protection locked="0"/>
    </xf>
    <xf numFmtId="0" fontId="29" fillId="0" borderId="106" xfId="0" applyFont="1" applyFill="1" applyBorder="1" applyAlignment="1" applyProtection="1">
      <alignment vertical="top"/>
      <protection locked="0"/>
    </xf>
    <xf numFmtId="0" fontId="29" fillId="0" borderId="107" xfId="0" applyFont="1" applyFill="1" applyBorder="1" applyAlignment="1" applyProtection="1">
      <alignment vertical="top" wrapText="1"/>
      <protection locked="0"/>
    </xf>
    <xf numFmtId="0" fontId="29" fillId="0" borderId="107" xfId="0" applyFont="1" applyFill="1" applyBorder="1" applyAlignment="1" applyProtection="1">
      <alignment vertical="top"/>
      <protection locked="0"/>
    </xf>
    <xf numFmtId="0" fontId="29" fillId="0" borderId="95" xfId="0" applyFont="1" applyFill="1" applyBorder="1" applyAlignment="1" applyProtection="1">
      <alignment vertical="top"/>
      <protection locked="0"/>
    </xf>
    <xf numFmtId="0" fontId="29" fillId="0" borderId="108" xfId="0" applyFont="1" applyFill="1" applyBorder="1" applyAlignment="1" applyProtection="1">
      <alignment vertical="top"/>
      <protection locked="0"/>
    </xf>
    <xf numFmtId="0" fontId="29" fillId="0" borderId="101" xfId="0" applyFont="1" applyFill="1" applyBorder="1" applyAlignment="1" applyProtection="1">
      <alignment vertical="top" wrapText="1"/>
      <protection locked="0"/>
    </xf>
    <xf numFmtId="0" fontId="29" fillId="0" borderId="96" xfId="0" applyFont="1" applyFill="1" applyBorder="1" applyAlignment="1" applyProtection="1">
      <alignment vertical="top" wrapText="1"/>
      <protection locked="0"/>
    </xf>
    <xf numFmtId="0" fontId="29" fillId="0" borderId="96" xfId="0" applyNumberFormat="1" applyFont="1" applyBorder="1" applyAlignment="1" applyProtection="1">
      <alignment vertical="top"/>
      <protection locked="0"/>
    </xf>
    <xf numFmtId="0" fontId="29" fillId="0" borderId="107" xfId="0" applyFont="1" applyBorder="1" applyAlignment="1" applyProtection="1">
      <alignment vertical="top" wrapText="1"/>
      <protection locked="0"/>
    </xf>
    <xf numFmtId="0" fontId="29" fillId="0" borderId="107" xfId="0" applyFont="1" applyBorder="1" applyAlignment="1" applyProtection="1">
      <alignment vertical="top"/>
      <protection locked="0"/>
    </xf>
    <xf numFmtId="0" fontId="24" fillId="0" borderId="0" xfId="0" applyFont="1" applyFill="1" applyAlignment="1">
      <alignment vertical="top"/>
    </xf>
    <xf numFmtId="166" fontId="29" fillId="0" borderId="107" xfId="0" applyNumberFormat="1" applyFont="1" applyBorder="1" applyAlignment="1" applyProtection="1">
      <alignment vertical="top"/>
      <protection locked="0"/>
    </xf>
    <xf numFmtId="2" fontId="29" fillId="0" borderId="107" xfId="0" applyNumberFormat="1" applyFont="1" applyBorder="1" applyAlignment="1">
      <alignment vertical="top"/>
    </xf>
    <xf numFmtId="42" fontId="29" fillId="0" borderId="107" xfId="0" applyNumberFormat="1" applyFont="1" applyBorder="1" applyAlignment="1">
      <alignment vertical="top"/>
    </xf>
    <xf numFmtId="0" fontId="29" fillId="0" borderId="96" xfId="0" applyNumberFormat="1" applyFont="1" applyFill="1" applyBorder="1" applyAlignment="1" applyProtection="1">
      <alignment vertical="top"/>
    </xf>
    <xf numFmtId="0" fontId="29" fillId="0" borderId="96" xfId="0" quotePrefix="1" applyNumberFormat="1" applyFont="1" applyFill="1" applyBorder="1" applyAlignment="1" applyProtection="1">
      <alignment vertical="top" wrapText="1"/>
      <protection locked="0"/>
    </xf>
    <xf numFmtId="42" fontId="29" fillId="0" borderId="107" xfId="0" applyNumberFormat="1" applyFont="1" applyFill="1" applyBorder="1" applyAlignment="1" applyProtection="1">
      <alignment vertical="top"/>
      <protection locked="0"/>
    </xf>
    <xf numFmtId="42" fontId="29" fillId="0" borderId="109" xfId="0" applyNumberFormat="1" applyFont="1" applyFill="1" applyBorder="1" applyAlignment="1" applyProtection="1">
      <alignment vertical="top"/>
      <protection locked="0"/>
    </xf>
    <xf numFmtId="167" fontId="29" fillId="0" borderId="104" xfId="0" applyNumberFormat="1" applyFont="1" applyFill="1" applyBorder="1" applyAlignment="1">
      <alignment horizontal="left" vertical="top" wrapText="1"/>
    </xf>
    <xf numFmtId="0" fontId="29" fillId="0" borderId="96" xfId="0" applyFont="1" applyFill="1" applyBorder="1" applyAlignment="1">
      <alignment vertical="top"/>
    </xf>
    <xf numFmtId="0" fontId="29" fillId="0" borderId="96" xfId="0" applyFont="1" applyFill="1" applyBorder="1" applyAlignment="1">
      <alignment vertical="top" wrapText="1"/>
    </xf>
    <xf numFmtId="0" fontId="29" fillId="0" borderId="105" xfId="0" applyFont="1" applyFill="1" applyBorder="1" applyAlignment="1" applyProtection="1">
      <alignment vertical="top"/>
      <protection locked="0"/>
    </xf>
    <xf numFmtId="9" fontId="29" fillId="0" borderId="96" xfId="4" applyFont="1" applyFill="1" applyBorder="1" applyAlignment="1" applyProtection="1">
      <alignment vertical="top"/>
      <protection locked="0"/>
    </xf>
    <xf numFmtId="0" fontId="29" fillId="0" borderId="98" xfId="0" applyFont="1" applyFill="1" applyBorder="1" applyAlignment="1">
      <alignment vertical="top"/>
    </xf>
    <xf numFmtId="0" fontId="29" fillId="0" borderId="96" xfId="0" applyFont="1" applyFill="1" applyBorder="1" applyAlignment="1" applyProtection="1">
      <alignment horizontal="center" vertical="top"/>
      <protection locked="0"/>
    </xf>
    <xf numFmtId="0" fontId="29" fillId="0" borderId="95" xfId="0" applyFont="1" applyFill="1" applyBorder="1" applyAlignment="1">
      <alignment vertical="top"/>
    </xf>
    <xf numFmtId="0" fontId="29" fillId="0" borderId="95" xfId="0" applyFont="1" applyFill="1" applyBorder="1" applyAlignment="1" applyProtection="1">
      <alignment horizontal="center" vertical="top"/>
      <protection locked="0"/>
    </xf>
    <xf numFmtId="42" fontId="29" fillId="0" borderId="96" xfId="0" applyNumberFormat="1" applyFont="1" applyFill="1" applyBorder="1" applyAlignment="1" applyProtection="1">
      <alignment vertical="top"/>
      <protection locked="0"/>
    </xf>
    <xf numFmtId="42" fontId="29" fillId="0" borderId="96" xfId="0" applyNumberFormat="1" applyFont="1" applyFill="1" applyBorder="1" applyAlignment="1">
      <alignment vertical="top"/>
    </xf>
    <xf numFmtId="0" fontId="29" fillId="0" borderId="105" xfId="0" applyFont="1" applyFill="1" applyBorder="1" applyAlignment="1" applyProtection="1">
      <alignment vertical="top" wrapText="1"/>
      <protection locked="0"/>
    </xf>
    <xf numFmtId="9" fontId="29" fillId="0" borderId="96" xfId="4" applyFont="1" applyFill="1" applyBorder="1" applyAlignment="1" applyProtection="1">
      <alignment vertical="top" wrapText="1"/>
      <protection locked="0"/>
    </xf>
    <xf numFmtId="0" fontId="29" fillId="0" borderId="98" xfId="0" applyFont="1" applyFill="1" applyBorder="1" applyAlignment="1">
      <alignment vertical="top" wrapText="1"/>
    </xf>
    <xf numFmtId="0" fontId="29" fillId="0" borderId="96" xfId="0" applyFont="1" applyFill="1" applyBorder="1" applyAlignment="1" applyProtection="1">
      <alignment horizontal="center" vertical="top" wrapText="1"/>
      <protection locked="0"/>
    </xf>
    <xf numFmtId="0" fontId="29" fillId="0" borderId="95" xfId="0" applyFont="1" applyFill="1" applyBorder="1" applyAlignment="1">
      <alignment vertical="top" wrapText="1"/>
    </xf>
    <xf numFmtId="0" fontId="29" fillId="0" borderId="95" xfId="0" applyFont="1" applyFill="1" applyBorder="1" applyAlignment="1" applyProtection="1">
      <alignment horizontal="center" vertical="top" wrapText="1"/>
      <protection locked="0"/>
    </xf>
    <xf numFmtId="42" fontId="29" fillId="0" borderId="96" xfId="0" applyNumberFormat="1" applyFont="1" applyFill="1" applyBorder="1" applyAlignment="1" applyProtection="1">
      <alignment vertical="top" wrapText="1"/>
      <protection locked="0"/>
    </xf>
    <xf numFmtId="42" fontId="29" fillId="0" borderId="96" xfId="0" applyNumberFormat="1" applyFont="1" applyFill="1" applyBorder="1" applyAlignment="1">
      <alignment vertical="top" wrapText="1"/>
    </xf>
    <xf numFmtId="0" fontId="24" fillId="0" borderId="96" xfId="0" applyFont="1" applyFill="1" applyBorder="1" applyAlignment="1" applyProtection="1">
      <alignment vertical="top"/>
      <protection locked="0"/>
    </xf>
    <xf numFmtId="0" fontId="24" fillId="0" borderId="105" xfId="0" applyFont="1" applyFill="1" applyBorder="1" applyAlignment="1" applyProtection="1">
      <alignment vertical="top"/>
      <protection locked="0"/>
    </xf>
    <xf numFmtId="0" fontId="24" fillId="0" borderId="96" xfId="0" applyFont="1" applyFill="1" applyBorder="1" applyAlignment="1">
      <alignment vertical="top"/>
    </xf>
    <xf numFmtId="9" fontId="24" fillId="0" borderId="96" xfId="4" applyFont="1" applyFill="1" applyBorder="1" applyAlignment="1" applyProtection="1">
      <alignment vertical="top"/>
      <protection locked="0"/>
    </xf>
    <xf numFmtId="0" fontId="24" fillId="0" borderId="98" xfId="0" applyFont="1" applyFill="1" applyBorder="1" applyAlignment="1">
      <alignment vertical="top"/>
    </xf>
    <xf numFmtId="0" fontId="24" fillId="0" borderId="96" xfId="0" applyFont="1" applyFill="1" applyBorder="1" applyAlignment="1" applyProtection="1">
      <alignment horizontal="center" vertical="top"/>
      <protection locked="0"/>
    </xf>
    <xf numFmtId="0" fontId="24" fillId="0" borderId="104" xfId="0" applyFont="1" applyFill="1" applyBorder="1" applyAlignment="1">
      <alignment vertical="top"/>
    </xf>
    <xf numFmtId="0" fontId="24" fillId="0" borderId="98" xfId="0" applyFont="1" applyFill="1" applyBorder="1" applyAlignment="1" applyProtection="1">
      <alignment horizontal="center" vertical="top"/>
      <protection locked="0"/>
    </xf>
    <xf numFmtId="0" fontId="24" fillId="0" borderId="96" xfId="0" applyFont="1" applyFill="1" applyBorder="1" applyAlignment="1" applyProtection="1">
      <alignment vertical="top" wrapText="1"/>
      <protection locked="0"/>
    </xf>
    <xf numFmtId="168" fontId="24" fillId="0" borderId="96" xfId="0" applyNumberFormat="1" applyFont="1" applyFill="1" applyBorder="1" applyAlignment="1">
      <alignment vertical="top"/>
    </xf>
    <xf numFmtId="167" fontId="29" fillId="0" borderId="104" xfId="0" applyNumberFormat="1" applyFont="1" applyFill="1" applyBorder="1" applyAlignment="1" applyProtection="1">
      <alignment horizontal="left" vertical="top" wrapText="1"/>
    </xf>
    <xf numFmtId="0" fontId="29" fillId="0" borderId="96" xfId="0" applyNumberFormat="1" applyFont="1" applyFill="1" applyBorder="1" applyAlignment="1" applyProtection="1">
      <alignment vertical="top" wrapText="1"/>
    </xf>
    <xf numFmtId="0" fontId="24" fillId="0" borderId="96" xfId="0" applyFont="1" applyFill="1" applyBorder="1" applyAlignment="1" applyProtection="1">
      <alignment vertical="top"/>
    </xf>
    <xf numFmtId="0" fontId="24" fillId="0" borderId="96" xfId="0" applyNumberFormat="1" applyFont="1" applyFill="1" applyBorder="1" applyAlignment="1" applyProtection="1">
      <alignment vertical="top"/>
    </xf>
    <xf numFmtId="0" fontId="24" fillId="0" borderId="96" xfId="0" applyNumberFormat="1" applyFont="1" applyFill="1" applyBorder="1" applyAlignment="1">
      <alignment vertical="top" wrapText="1"/>
    </xf>
    <xf numFmtId="9" fontId="24" fillId="0" borderId="96" xfId="3" applyFont="1" applyFill="1" applyBorder="1" applyAlignment="1" applyProtection="1">
      <alignment vertical="top"/>
      <protection locked="0"/>
    </xf>
    <xf numFmtId="0" fontId="24" fillId="0" borderId="98" xfId="0" applyNumberFormat="1" applyFont="1" applyFill="1" applyBorder="1" applyAlignment="1" applyProtection="1">
      <alignment vertical="top"/>
    </xf>
    <xf numFmtId="0" fontId="24" fillId="0" borderId="104" xfId="0" applyNumberFormat="1" applyFont="1" applyFill="1" applyBorder="1" applyAlignment="1" applyProtection="1">
      <alignment vertical="top"/>
    </xf>
    <xf numFmtId="0" fontId="24" fillId="0" borderId="96" xfId="0" applyNumberFormat="1" applyFont="1" applyFill="1" applyBorder="1" applyAlignment="1" applyProtection="1">
      <alignment vertical="top" wrapText="1"/>
      <protection locked="0"/>
    </xf>
    <xf numFmtId="0" fontId="29" fillId="0" borderId="96" xfId="0" applyFont="1" applyFill="1" applyBorder="1" applyAlignment="1" applyProtection="1">
      <alignment vertical="top" wrapText="1"/>
    </xf>
    <xf numFmtId="168" fontId="24" fillId="0" borderId="96" xfId="0" applyNumberFormat="1" applyFont="1" applyFill="1" applyBorder="1" applyAlignment="1" applyProtection="1">
      <alignment vertical="top"/>
    </xf>
    <xf numFmtId="2" fontId="29" fillId="0" borderId="96" xfId="0" applyNumberFormat="1" applyFont="1" applyFill="1" applyBorder="1" applyAlignment="1" applyProtection="1">
      <alignment vertical="top" wrapText="1"/>
      <protection locked="0"/>
    </xf>
    <xf numFmtId="0" fontId="0" fillId="0" borderId="71" xfId="0" applyBorder="1" applyAlignment="1">
      <alignment horizontal="left" vertical="top"/>
    </xf>
    <xf numFmtId="0" fontId="2" fillId="2" borderId="17" xfId="0" applyFont="1" applyFill="1" applyBorder="1" applyAlignment="1">
      <alignment horizontal="center" vertical="top"/>
    </xf>
    <xf numFmtId="0" fontId="10" fillId="13" borderId="70" xfId="0" applyFont="1" applyFill="1" applyBorder="1" applyAlignment="1">
      <alignment horizontal="center" vertical="top" wrapText="1"/>
    </xf>
    <xf numFmtId="0" fontId="10" fillId="13" borderId="72" xfId="0" applyFont="1" applyFill="1" applyBorder="1" applyAlignment="1">
      <alignment horizontal="center" vertical="top" wrapText="1"/>
    </xf>
    <xf numFmtId="44" fontId="13" fillId="0" borderId="70" xfId="2" applyFont="1" applyFill="1" applyBorder="1" applyAlignment="1">
      <alignment horizontal="left" vertical="top"/>
    </xf>
    <xf numFmtId="0" fontId="5" fillId="0" borderId="111" xfId="0" applyFont="1" applyBorder="1" applyAlignment="1">
      <alignment horizontal="center" vertical="top"/>
    </xf>
    <xf numFmtId="44" fontId="5" fillId="0" borderId="112" xfId="2" applyFont="1" applyFill="1" applyBorder="1" applyAlignment="1">
      <alignment horizontal="left" vertical="top"/>
    </xf>
    <xf numFmtId="43" fontId="6" fillId="7" borderId="49" xfId="1" applyFont="1" applyFill="1" applyBorder="1" applyAlignment="1">
      <alignment horizontal="left" vertical="top" wrapText="1"/>
    </xf>
    <xf numFmtId="0" fontId="24" fillId="0" borderId="74" xfId="0" applyFont="1" applyBorder="1" applyAlignment="1">
      <alignment horizontal="left" vertical="top" wrapText="1"/>
    </xf>
    <xf numFmtId="165" fontId="24" fillId="0" borderId="74" xfId="0" applyNumberFormat="1" applyFont="1" applyBorder="1" applyAlignment="1">
      <alignment horizontal="left" vertical="top" wrapText="1"/>
    </xf>
    <xf numFmtId="0" fontId="20" fillId="0" borderId="0" xfId="0" applyFont="1" applyAlignment="1">
      <alignment horizontal="left"/>
    </xf>
    <xf numFmtId="20" fontId="24" fillId="0" borderId="0" xfId="0" quotePrefix="1" applyNumberFormat="1" applyFont="1"/>
    <xf numFmtId="0" fontId="24" fillId="0" borderId="0" xfId="0" quotePrefix="1" applyFont="1"/>
    <xf numFmtId="0" fontId="20" fillId="0" borderId="0" xfId="0" applyFont="1" applyAlignment="1">
      <alignment wrapText="1"/>
    </xf>
    <xf numFmtId="43" fontId="13" fillId="0" borderId="113" xfId="1" applyFont="1" applyFill="1" applyBorder="1" applyAlignment="1">
      <alignment horizontal="left" vertical="top"/>
    </xf>
    <xf numFmtId="43" fontId="13" fillId="19" borderId="114" xfId="1" applyFont="1" applyFill="1" applyBorder="1" applyAlignment="1">
      <alignment horizontal="left" vertical="top"/>
    </xf>
    <xf numFmtId="43" fontId="13" fillId="0" borderId="115" xfId="1" applyFont="1" applyFill="1" applyBorder="1" applyAlignment="1">
      <alignment horizontal="left" vertical="top"/>
    </xf>
    <xf numFmtId="43" fontId="13" fillId="19" borderId="114" xfId="1" applyFont="1" applyFill="1" applyBorder="1" applyAlignment="1">
      <alignment horizontal="left" vertical="top" wrapText="1"/>
    </xf>
    <xf numFmtId="0" fontId="2" fillId="2" borderId="17" xfId="0" applyFont="1" applyFill="1" applyBorder="1" applyAlignment="1">
      <alignment horizontal="center" vertical="top"/>
    </xf>
    <xf numFmtId="0" fontId="0" fillId="0" borderId="67" xfId="0" applyBorder="1" applyAlignment="1">
      <alignment vertical="top"/>
    </xf>
    <xf numFmtId="0" fontId="0" fillId="0" borderId="71" xfId="0" applyBorder="1" applyAlignment="1">
      <alignment vertical="top"/>
    </xf>
    <xf numFmtId="0" fontId="0" fillId="0" borderId="68" xfId="0" applyBorder="1" applyAlignment="1">
      <alignment vertical="top"/>
    </xf>
    <xf numFmtId="3" fontId="20" fillId="4" borderId="0" xfId="1" applyNumberFormat="1" applyFont="1" applyFill="1" applyAlignment="1">
      <alignment horizontal="left"/>
    </xf>
    <xf numFmtId="0" fontId="32" fillId="20" borderId="119" xfId="0" applyFont="1" applyFill="1" applyBorder="1" applyAlignment="1">
      <alignment vertical="top"/>
    </xf>
    <xf numFmtId="0" fontId="24" fillId="0" borderId="13" xfId="0" applyFont="1" applyBorder="1" applyAlignment="1">
      <alignment vertical="center"/>
    </xf>
    <xf numFmtId="169" fontId="24" fillId="0" borderId="13" xfId="0" applyNumberFormat="1" applyFont="1" applyBorder="1" applyAlignment="1">
      <alignment vertical="center"/>
    </xf>
    <xf numFmtId="170" fontId="24" fillId="0" borderId="13" xfId="0" applyNumberFormat="1" applyFont="1" applyBorder="1" applyAlignment="1">
      <alignment vertical="center"/>
    </xf>
    <xf numFmtId="171" fontId="24" fillId="0" borderId="13" xfId="0" applyNumberFormat="1" applyFont="1" applyBorder="1" applyAlignment="1">
      <alignment vertical="center"/>
    </xf>
    <xf numFmtId="172" fontId="24" fillId="0" borderId="13" xfId="0" applyNumberFormat="1" applyFont="1" applyBorder="1" applyAlignment="1">
      <alignment vertical="center"/>
    </xf>
    <xf numFmtId="173" fontId="24" fillId="0" borderId="13" xfId="0" applyNumberFormat="1" applyFont="1" applyBorder="1" applyAlignment="1">
      <alignment vertical="center"/>
    </xf>
    <xf numFmtId="174" fontId="24" fillId="0" borderId="13" xfId="0" applyNumberFormat="1" applyFont="1" applyBorder="1" applyAlignment="1">
      <alignment vertical="center"/>
    </xf>
    <xf numFmtId="0" fontId="24" fillId="0" borderId="0" xfId="0" applyFont="1" applyAlignment="1">
      <alignment vertical="center"/>
    </xf>
    <xf numFmtId="44" fontId="0" fillId="0" borderId="0" xfId="2" applyFont="1"/>
    <xf numFmtId="0" fontId="5" fillId="0" borderId="0" xfId="0" applyFont="1"/>
    <xf numFmtId="43" fontId="6" fillId="6" borderId="117" xfId="1" applyFont="1" applyFill="1" applyBorder="1" applyAlignment="1">
      <alignment horizontal="left" vertical="top"/>
    </xf>
    <xf numFmtId="43" fontId="6" fillId="6" borderId="118" xfId="1" applyFont="1" applyFill="1" applyBorder="1" applyAlignment="1">
      <alignment horizontal="left" vertical="top"/>
    </xf>
    <xf numFmtId="43" fontId="13" fillId="11" borderId="72" xfId="1" applyFont="1" applyFill="1" applyBorder="1" applyAlignment="1">
      <alignment horizontal="left" vertical="top"/>
    </xf>
    <xf numFmtId="43" fontId="6" fillId="0" borderId="0" xfId="1" applyFont="1" applyFill="1" applyBorder="1" applyAlignment="1">
      <alignment horizontal="left" vertical="top"/>
    </xf>
    <xf numFmtId="44" fontId="13" fillId="0" borderId="0" xfId="2" applyFont="1" applyFill="1" applyBorder="1" applyAlignment="1">
      <alignment horizontal="left" vertical="top"/>
    </xf>
    <xf numFmtId="43" fontId="5" fillId="0" borderId="117" xfId="1" applyFont="1" applyBorder="1" applyAlignment="1">
      <alignment horizontal="left" vertical="top"/>
    </xf>
    <xf numFmtId="43" fontId="5" fillId="0" borderId="118" xfId="1" applyFont="1" applyBorder="1" applyAlignment="1">
      <alignment horizontal="left" vertical="top"/>
    </xf>
    <xf numFmtId="43" fontId="13" fillId="0" borderId="72" xfId="1" applyFont="1" applyBorder="1" applyAlignment="1">
      <alignment horizontal="left" vertical="top"/>
    </xf>
    <xf numFmtId="43" fontId="5" fillId="0" borderId="0" xfId="1" applyFont="1" applyFill="1" applyBorder="1" applyAlignment="1">
      <alignment horizontal="left"/>
    </xf>
    <xf numFmtId="43" fontId="5" fillId="11" borderId="117" xfId="1" applyFont="1" applyFill="1" applyBorder="1" applyAlignment="1">
      <alignment horizontal="left" vertical="top"/>
    </xf>
    <xf numFmtId="43" fontId="5" fillId="11" borderId="118" xfId="1" applyFont="1" applyFill="1" applyBorder="1" applyAlignment="1">
      <alignment horizontal="left" vertical="top"/>
    </xf>
    <xf numFmtId="43" fontId="5" fillId="11" borderId="6" xfId="1" applyFont="1" applyFill="1" applyBorder="1" applyAlignment="1">
      <alignment horizontal="left" vertical="top"/>
    </xf>
    <xf numFmtId="43" fontId="13" fillId="19" borderId="120" xfId="1" applyFont="1" applyFill="1" applyBorder="1" applyAlignment="1">
      <alignment horizontal="left" vertical="top"/>
    </xf>
    <xf numFmtId="1" fontId="20" fillId="4" borderId="0" xfId="0" applyNumberFormat="1" applyFont="1" applyFill="1" applyAlignment="1">
      <alignment horizontal="left"/>
    </xf>
    <xf numFmtId="165" fontId="24" fillId="0" borderId="124" xfId="0" applyNumberFormat="1" applyFont="1" applyBorder="1" applyAlignment="1">
      <alignment vertical="top" wrapText="1"/>
    </xf>
    <xf numFmtId="165" fontId="24" fillId="0" borderId="123" xfId="0" applyNumberFormat="1" applyFont="1" applyBorder="1" applyAlignment="1">
      <alignment vertical="top" wrapText="1"/>
    </xf>
    <xf numFmtId="175" fontId="24" fillId="0" borderId="74" xfId="0" applyNumberFormat="1" applyFont="1" applyBorder="1" applyAlignment="1">
      <alignment vertical="top" wrapText="1"/>
    </xf>
    <xf numFmtId="0" fontId="24" fillId="17" borderId="81" xfId="0" applyFont="1" applyFill="1" applyBorder="1" applyAlignment="1" applyProtection="1">
      <alignment vertical="center" wrapText="1"/>
      <protection locked="0"/>
    </xf>
    <xf numFmtId="0" fontId="24" fillId="0" borderId="96" xfId="0" applyFont="1" applyBorder="1" applyAlignment="1" applyProtection="1">
      <alignment vertical="top"/>
      <protection locked="0"/>
    </xf>
    <xf numFmtId="0" fontId="24" fillId="0" borderId="105" xfId="0" applyFont="1" applyBorder="1" applyAlignment="1" applyProtection="1">
      <alignment vertical="top"/>
      <protection locked="0"/>
    </xf>
    <xf numFmtId="0" fontId="24" fillId="0" borderId="96" xfId="0" applyFont="1" applyBorder="1" applyAlignment="1" applyProtection="1">
      <alignment horizontal="center" vertical="top"/>
      <protection locked="0"/>
    </xf>
    <xf numFmtId="42" fontId="29" fillId="0" borderId="96" xfId="0" applyNumberFormat="1" applyFont="1" applyBorder="1" applyAlignment="1" applyProtection="1">
      <alignment vertical="top"/>
      <protection locked="0"/>
    </xf>
    <xf numFmtId="0" fontId="24" fillId="6" borderId="0" xfId="0" applyFont="1" applyFill="1" applyAlignment="1">
      <alignment horizontal="right" vertical="top"/>
    </xf>
    <xf numFmtId="0" fontId="24" fillId="6" borderId="0" xfId="0" applyFont="1" applyFill="1" applyAlignment="1">
      <alignment horizontal="left" vertical="top"/>
    </xf>
    <xf numFmtId="0" fontId="24" fillId="6" borderId="0" xfId="0" applyFont="1" applyFill="1" applyAlignment="1">
      <alignment vertical="top"/>
    </xf>
    <xf numFmtId="0" fontId="24" fillId="17" borderId="80" xfId="0" applyFont="1" applyFill="1" applyBorder="1" applyAlignment="1">
      <alignment horizontal="right" vertical="center"/>
    </xf>
    <xf numFmtId="14" fontId="24" fillId="17" borderId="81" xfId="0" applyNumberFormat="1" applyFont="1" applyFill="1" applyBorder="1" applyAlignment="1">
      <alignment horizontal="left" vertical="center"/>
    </xf>
    <xf numFmtId="14" fontId="24" fillId="17" borderId="81" xfId="0" applyNumberFormat="1" applyFont="1" applyFill="1" applyBorder="1" applyAlignment="1">
      <alignment horizontal="left" vertical="top"/>
    </xf>
    <xf numFmtId="14" fontId="24" fillId="0" borderId="0" xfId="0" applyNumberFormat="1" applyFont="1" applyAlignment="1">
      <alignment horizontal="left" vertical="center"/>
    </xf>
    <xf numFmtId="0" fontId="24" fillId="0" borderId="0" xfId="0" applyFont="1" applyAlignment="1">
      <alignment horizontal="right" vertical="center"/>
    </xf>
    <xf numFmtId="0" fontId="24" fillId="0" borderId="0" xfId="0" applyFont="1" applyAlignment="1">
      <alignment horizontal="center" vertical="center"/>
    </xf>
    <xf numFmtId="14" fontId="24" fillId="0" borderId="0" xfId="0" applyNumberFormat="1" applyFont="1" applyAlignment="1">
      <alignment horizontal="left" vertical="top"/>
    </xf>
    <xf numFmtId="0" fontId="24" fillId="0" borderId="0" xfId="0" applyFont="1" applyAlignment="1">
      <alignment horizontal="left" vertical="top"/>
    </xf>
    <xf numFmtId="0" fontId="24" fillId="17" borderId="81" xfId="0" applyFont="1" applyFill="1" applyBorder="1" applyAlignment="1">
      <alignment vertical="top"/>
    </xf>
    <xf numFmtId="0" fontId="24" fillId="0" borderId="0" xfId="0" applyFont="1" applyAlignment="1">
      <alignment horizontal="left" vertical="center"/>
    </xf>
    <xf numFmtId="0" fontId="24" fillId="16" borderId="77" xfId="0" applyFont="1" applyFill="1" applyBorder="1" applyAlignment="1">
      <alignment horizontal="center" vertical="center"/>
    </xf>
    <xf numFmtId="9" fontId="24" fillId="0" borderId="0" xfId="3" applyFont="1" applyFill="1" applyAlignment="1">
      <alignment vertical="top"/>
    </xf>
    <xf numFmtId="0" fontId="23" fillId="21" borderId="0" xfId="0" applyFont="1" applyFill="1" applyAlignment="1">
      <alignment vertical="top"/>
    </xf>
    <xf numFmtId="0" fontId="23" fillId="22" borderId="0" xfId="0" applyFont="1" applyFill="1" applyAlignment="1">
      <alignment vertical="top"/>
    </xf>
    <xf numFmtId="0" fontId="24" fillId="6" borderId="0" xfId="0" applyFont="1" applyFill="1" applyAlignment="1" applyProtection="1">
      <alignment vertical="top"/>
      <protection locked="0"/>
    </xf>
    <xf numFmtId="0" fontId="23" fillId="22" borderId="131" xfId="0" applyFont="1" applyFill="1" applyBorder="1" applyAlignment="1">
      <alignment vertical="top"/>
    </xf>
    <xf numFmtId="0" fontId="23" fillId="22" borderId="132" xfId="0" applyFont="1" applyFill="1" applyBorder="1" applyAlignment="1">
      <alignment vertical="top"/>
    </xf>
    <xf numFmtId="0" fontId="24" fillId="6" borderId="133" xfId="0" applyFont="1" applyFill="1" applyBorder="1" applyAlignment="1">
      <alignment vertical="top"/>
    </xf>
    <xf numFmtId="0" fontId="23" fillId="22" borderId="133" xfId="0" applyFont="1" applyFill="1" applyBorder="1" applyAlignment="1">
      <alignment vertical="top"/>
    </xf>
    <xf numFmtId="42" fontId="24" fillId="0" borderId="88" xfId="0" applyNumberFormat="1" applyFont="1" applyBorder="1" applyAlignment="1">
      <alignment vertical="top" wrapText="1"/>
    </xf>
    <xf numFmtId="0" fontId="29" fillId="16" borderId="87" xfId="0" applyFont="1" applyFill="1" applyBorder="1" applyAlignment="1" applyProtection="1">
      <alignment vertical="top"/>
      <protection locked="0"/>
    </xf>
    <xf numFmtId="0" fontId="29" fillId="16" borderId="96" xfId="0" applyFont="1" applyFill="1" applyBorder="1" applyAlignment="1">
      <alignment vertical="top"/>
    </xf>
    <xf numFmtId="0" fontId="29" fillId="23" borderId="134" xfId="0" applyFont="1" applyFill="1" applyBorder="1" applyAlignment="1" applyProtection="1">
      <alignment vertical="top" wrapText="1"/>
      <protection locked="0"/>
    </xf>
    <xf numFmtId="0" fontId="29" fillId="0" borderId="134" xfId="0" applyFont="1" applyBorder="1" applyAlignment="1" applyProtection="1">
      <alignment vertical="top"/>
      <protection locked="0"/>
    </xf>
    <xf numFmtId="0" fontId="29" fillId="16" borderId="134" xfId="0" applyFont="1" applyFill="1" applyBorder="1" applyAlignment="1" applyProtection="1">
      <alignment vertical="top"/>
      <protection locked="0"/>
    </xf>
    <xf numFmtId="0" fontId="29" fillId="16" borderId="95" xfId="0" applyFont="1" applyFill="1" applyBorder="1" applyAlignment="1" applyProtection="1">
      <alignment vertical="top"/>
      <protection locked="0"/>
    </xf>
    <xf numFmtId="166" fontId="29" fillId="0" borderId="134" xfId="0" applyNumberFormat="1" applyFont="1" applyBorder="1" applyAlignment="1" applyProtection="1">
      <alignment vertical="top"/>
      <protection locked="0"/>
    </xf>
    <xf numFmtId="166" fontId="29" fillId="16" borderId="134" xfId="0" applyNumberFormat="1" applyFont="1" applyFill="1" applyBorder="1" applyAlignment="1" applyProtection="1">
      <alignment vertical="top"/>
      <protection locked="0"/>
    </xf>
    <xf numFmtId="42" fontId="29" fillId="0" borderId="134" xfId="0" applyNumberFormat="1" applyFont="1" applyBorder="1" applyAlignment="1">
      <alignment vertical="top"/>
    </xf>
    <xf numFmtId="0" fontId="29" fillId="23" borderId="99" xfId="0" applyFont="1" applyFill="1" applyBorder="1" applyAlignment="1" applyProtection="1">
      <alignment vertical="top"/>
      <protection locked="0"/>
    </xf>
    <xf numFmtId="0" fontId="29" fillId="23" borderId="97" xfId="0" applyFont="1" applyFill="1" applyBorder="1" applyAlignment="1" applyProtection="1">
      <alignment vertical="top" wrapText="1"/>
      <protection locked="0"/>
    </xf>
    <xf numFmtId="0" fontId="29" fillId="23" borderId="97" xfId="0" applyFont="1" applyFill="1" applyBorder="1" applyAlignment="1" applyProtection="1">
      <alignment vertical="top"/>
      <protection locked="0"/>
    </xf>
    <xf numFmtId="0" fontId="29" fillId="23" borderId="95" xfId="0" quotePrefix="1" applyFont="1" applyFill="1" applyBorder="1" applyAlignment="1" applyProtection="1">
      <alignment vertical="top" wrapText="1"/>
      <protection locked="0"/>
    </xf>
    <xf numFmtId="0" fontId="29" fillId="23" borderId="101" xfId="0" applyFont="1" applyFill="1" applyBorder="1" applyAlignment="1" applyProtection="1">
      <alignment vertical="top"/>
      <protection locked="0"/>
    </xf>
    <xf numFmtId="0" fontId="29" fillId="23" borderId="95" xfId="0" applyFont="1" applyFill="1" applyBorder="1" applyAlignment="1" applyProtection="1">
      <alignment vertical="top"/>
      <protection locked="0"/>
    </xf>
    <xf numFmtId="0" fontId="29" fillId="23" borderId="102" xfId="0" applyFont="1" applyFill="1" applyBorder="1" applyAlignment="1" applyProtection="1">
      <alignment vertical="top"/>
      <protection locked="0"/>
    </xf>
    <xf numFmtId="0" fontId="29" fillId="16" borderId="95" xfId="0" quotePrefix="1" applyFont="1" applyFill="1" applyBorder="1" applyAlignment="1" applyProtection="1">
      <alignment vertical="top" wrapText="1"/>
      <protection locked="0"/>
    </xf>
    <xf numFmtId="166" fontId="29" fillId="16" borderId="96" xfId="0" applyNumberFormat="1" applyFont="1" applyFill="1" applyBorder="1" applyAlignment="1">
      <alignment vertical="top"/>
    </xf>
    <xf numFmtId="0" fontId="29" fillId="16" borderId="95" xfId="0" applyFont="1" applyFill="1" applyBorder="1" applyAlignment="1" applyProtection="1">
      <alignment vertical="top" wrapText="1"/>
      <protection locked="0"/>
    </xf>
    <xf numFmtId="0" fontId="29" fillId="0" borderId="96" xfId="0" applyFont="1" applyBorder="1" applyAlignment="1" applyProtection="1">
      <alignment horizontal="left" vertical="top" wrapText="1"/>
      <protection locked="0"/>
    </xf>
    <xf numFmtId="0" fontId="29" fillId="16" borderId="135" xfId="0" applyFont="1" applyFill="1" applyBorder="1" applyAlignment="1">
      <alignment vertical="top"/>
    </xf>
    <xf numFmtId="0" fontId="29" fillId="0" borderId="135" xfId="0" applyFont="1" applyBorder="1" applyAlignment="1">
      <alignment vertical="top"/>
    </xf>
    <xf numFmtId="0" fontId="29" fillId="0" borderId="135" xfId="0" applyFont="1" applyBorder="1" applyAlignment="1" applyProtection="1">
      <alignment horizontal="left" vertical="top" wrapText="1"/>
      <protection locked="0"/>
    </xf>
    <xf numFmtId="0" fontId="29" fillId="16" borderId="136" xfId="0" applyFont="1" applyFill="1" applyBorder="1" applyAlignment="1" applyProtection="1">
      <alignment vertical="top"/>
      <protection locked="0"/>
    </xf>
    <xf numFmtId="0" fontId="29" fillId="0" borderId="136" xfId="0" applyFont="1" applyBorder="1" applyAlignment="1" applyProtection="1">
      <alignment vertical="top"/>
      <protection locked="0"/>
    </xf>
    <xf numFmtId="2" fontId="29" fillId="0" borderId="135" xfId="0" applyNumberFormat="1" applyFont="1" applyBorder="1" applyAlignment="1">
      <alignment vertical="top"/>
    </xf>
    <xf numFmtId="166" fontId="29" fillId="16" borderId="135" xfId="0" applyNumberFormat="1" applyFont="1" applyFill="1" applyBorder="1" applyAlignment="1">
      <alignment vertical="top"/>
    </xf>
    <xf numFmtId="0" fontId="29" fillId="0" borderId="135" xfId="0" applyFont="1" applyBorder="1" applyAlignment="1" applyProtection="1">
      <alignment vertical="top"/>
      <protection locked="0"/>
    </xf>
    <xf numFmtId="0" fontId="29" fillId="0" borderId="137" xfId="0" applyFont="1" applyBorder="1" applyAlignment="1">
      <alignment vertical="top"/>
    </xf>
    <xf numFmtId="0" fontId="29" fillId="0" borderId="136" xfId="0" applyFont="1" applyBorder="1" applyAlignment="1" applyProtection="1">
      <alignment vertical="top" wrapText="1"/>
      <protection locked="0"/>
    </xf>
    <xf numFmtId="0" fontId="29" fillId="16" borderId="95" xfId="0" applyFont="1" applyFill="1" applyBorder="1" applyAlignment="1">
      <alignment vertical="top"/>
    </xf>
    <xf numFmtId="0" fontId="29" fillId="0" borderId="95" xfId="0" applyFont="1" applyBorder="1" applyAlignment="1">
      <alignment vertical="top"/>
    </xf>
    <xf numFmtId="0" fontId="35" fillId="0" borderId="0" xfId="0" applyFont="1" applyAlignment="1">
      <alignment vertical="top"/>
    </xf>
    <xf numFmtId="0" fontId="35" fillId="0" borderId="0" xfId="0" applyFont="1"/>
    <xf numFmtId="0" fontId="35" fillId="0" borderId="0" xfId="0" applyFont="1" applyAlignment="1" applyProtection="1">
      <alignment horizontal="center"/>
      <protection locked="0"/>
    </xf>
    <xf numFmtId="0" fontId="24" fillId="0" borderId="0" xfId="0" applyFont="1" applyAlignment="1">
      <alignment horizontal="right" vertical="top"/>
    </xf>
    <xf numFmtId="0" fontId="24" fillId="0" borderId="0" xfId="0" applyFont="1" applyAlignment="1" applyProtection="1">
      <alignment horizontal="center" vertical="top" wrapText="1"/>
      <protection locked="0"/>
    </xf>
    <xf numFmtId="0" fontId="36" fillId="24" borderId="96" xfId="0" applyFont="1" applyFill="1" applyBorder="1" applyAlignment="1">
      <alignment horizontal="right" vertical="top" wrapText="1"/>
    </xf>
    <xf numFmtId="0" fontId="37" fillId="17" borderId="0" xfId="0" applyFont="1" applyFill="1" applyAlignment="1" applyProtection="1">
      <alignment horizontal="center" vertical="top"/>
      <protection locked="0"/>
    </xf>
    <xf numFmtId="0" fontId="37" fillId="0" borderId="0" xfId="0" applyFont="1" applyAlignment="1">
      <alignment horizontal="right" vertical="top"/>
    </xf>
    <xf numFmtId="14" fontId="24" fillId="17" borderId="0" xfId="0" applyNumberFormat="1" applyFont="1" applyFill="1" applyAlignment="1">
      <alignment horizontal="left" vertical="center"/>
    </xf>
    <xf numFmtId="0" fontId="24" fillId="0" borderId="0" xfId="0" applyFont="1" applyAlignment="1" applyProtection="1">
      <alignment horizontal="left" vertical="top"/>
      <protection locked="0"/>
    </xf>
    <xf numFmtId="0" fontId="24" fillId="16" borderId="0" xfId="0" applyFont="1" applyFill="1" applyAlignment="1">
      <alignment vertical="top"/>
    </xf>
    <xf numFmtId="0" fontId="24" fillId="6" borderId="0" xfId="0" applyFont="1" applyFill="1" applyAlignment="1" applyProtection="1">
      <alignment horizontal="center" vertical="top" wrapText="1"/>
      <protection locked="0"/>
    </xf>
    <xf numFmtId="0" fontId="24" fillId="0" borderId="138" xfId="0" applyFont="1" applyBorder="1" applyAlignment="1">
      <alignment vertical="top" wrapText="1"/>
    </xf>
    <xf numFmtId="0" fontId="24" fillId="0" borderId="128" xfId="0" applyFont="1" applyBorder="1" applyAlignment="1">
      <alignment vertical="top" wrapText="1"/>
    </xf>
    <xf numFmtId="167" fontId="29" fillId="16" borderId="104" xfId="0" applyNumberFormat="1" applyFont="1" applyFill="1" applyBorder="1" applyAlignment="1">
      <alignment horizontal="left" vertical="top" wrapText="1"/>
    </xf>
    <xf numFmtId="0" fontId="29" fillId="16" borderId="96" xfId="0" applyFont="1" applyFill="1" applyBorder="1" applyAlignment="1">
      <alignment vertical="top" wrapText="1"/>
    </xf>
    <xf numFmtId="0" fontId="24" fillId="0" borderId="96" xfId="0" applyFont="1" applyBorder="1" applyAlignment="1">
      <alignment vertical="top"/>
    </xf>
    <xf numFmtId="0" fontId="24" fillId="16" borderId="96" xfId="0" applyFont="1" applyFill="1" applyBorder="1" applyAlignment="1">
      <alignment vertical="top"/>
    </xf>
    <xf numFmtId="9" fontId="24" fillId="0" borderId="96" xfId="3" applyFont="1" applyBorder="1" applyAlignment="1" applyProtection="1">
      <alignment vertical="top" wrapText="1"/>
      <protection locked="0"/>
    </xf>
    <xf numFmtId="0" fontId="24" fillId="16" borderId="98" xfId="0" applyFont="1" applyFill="1" applyBorder="1" applyAlignment="1">
      <alignment vertical="top"/>
    </xf>
    <xf numFmtId="0" fontId="24" fillId="16" borderId="95" xfId="0" applyFont="1" applyFill="1" applyBorder="1" applyAlignment="1">
      <alignment vertical="top"/>
    </xf>
    <xf numFmtId="0" fontId="24" fillId="0" borderId="95" xfId="0" applyFont="1" applyBorder="1" applyAlignment="1" applyProtection="1">
      <alignment horizontal="center" vertical="top"/>
      <protection locked="0"/>
    </xf>
    <xf numFmtId="0" fontId="24" fillId="0" borderId="96" xfId="0" applyFont="1" applyBorder="1" applyAlignment="1">
      <alignment vertical="top" wrapText="1"/>
    </xf>
    <xf numFmtId="0" fontId="29" fillId="0" borderId="96" xfId="0" applyFont="1" applyBorder="1" applyAlignment="1">
      <alignment vertical="top" wrapText="1"/>
    </xf>
    <xf numFmtId="1" fontId="29" fillId="0" borderId="96" xfId="0" applyNumberFormat="1" applyFont="1" applyBorder="1" applyAlignment="1" applyProtection="1">
      <alignment vertical="top"/>
      <protection locked="0"/>
    </xf>
    <xf numFmtId="42" fontId="24" fillId="16" borderId="96" xfId="0" applyNumberFormat="1" applyFont="1" applyFill="1" applyBorder="1" applyAlignment="1">
      <alignment vertical="top"/>
    </xf>
    <xf numFmtId="0" fontId="24" fillId="16" borderId="127" xfId="3" applyNumberFormat="1" applyFont="1" applyFill="1" applyBorder="1" applyAlignment="1" applyProtection="1">
      <alignment vertical="top"/>
    </xf>
    <xf numFmtId="0" fontId="24" fillId="16" borderId="98" xfId="3" applyNumberFormat="1" applyFont="1" applyFill="1" applyBorder="1" applyAlignment="1" applyProtection="1">
      <alignment vertical="top"/>
    </xf>
    <xf numFmtId="14" fontId="24" fillId="16" borderId="98" xfId="0" applyNumberFormat="1" applyFont="1" applyFill="1" applyBorder="1" applyAlignment="1">
      <alignment vertical="top"/>
    </xf>
    <xf numFmtId="9" fontId="24" fillId="0" borderId="96" xfId="3" applyFont="1" applyBorder="1" applyAlignment="1" applyProtection="1">
      <alignment vertical="top"/>
      <protection locked="0"/>
    </xf>
    <xf numFmtId="0" fontId="24" fillId="16" borderId="135" xfId="0" applyFont="1" applyFill="1" applyBorder="1" applyAlignment="1">
      <alignment vertical="top"/>
    </xf>
    <xf numFmtId="14" fontId="24" fillId="16" borderId="137" xfId="0" applyNumberFormat="1" applyFont="1" applyFill="1" applyBorder="1" applyAlignment="1">
      <alignment vertical="top"/>
    </xf>
    <xf numFmtId="0" fontId="46" fillId="0" borderId="149" xfId="0" applyFont="1" applyBorder="1" applyAlignment="1">
      <alignment vertical="top"/>
    </xf>
    <xf numFmtId="0" fontId="46" fillId="0" borderId="150" xfId="0" applyFont="1" applyBorder="1" applyAlignment="1">
      <alignment vertical="top"/>
    </xf>
    <xf numFmtId="0" fontId="46" fillId="0" borderId="151" xfId="0" applyFont="1" applyBorder="1" applyAlignment="1">
      <alignment vertical="top"/>
    </xf>
    <xf numFmtId="0" fontId="46" fillId="0" borderId="152" xfId="0" applyFont="1" applyBorder="1" applyAlignment="1">
      <alignment vertical="top"/>
    </xf>
    <xf numFmtId="0" fontId="24" fillId="0" borderId="153" xfId="0" applyFont="1" applyBorder="1" applyAlignment="1">
      <alignment vertical="top"/>
    </xf>
    <xf numFmtId="0" fontId="24" fillId="0" borderId="154" xfId="0" applyFont="1" applyBorder="1" applyAlignment="1">
      <alignment horizontal="left" vertical="top" wrapText="1"/>
    </xf>
    <xf numFmtId="0" fontId="24" fillId="0" borderId="155" xfId="0" applyFont="1" applyBorder="1" applyAlignment="1">
      <alignment vertical="top" wrapText="1"/>
    </xf>
    <xf numFmtId="0" fontId="24" fillId="0" borderId="156" xfId="0" applyFont="1" applyBorder="1" applyAlignment="1">
      <alignment vertical="top" wrapText="1"/>
    </xf>
    <xf numFmtId="0" fontId="46" fillId="0" borderId="0" xfId="0" applyFont="1" applyAlignment="1">
      <alignment vertical="top"/>
    </xf>
    <xf numFmtId="0" fontId="47" fillId="0" borderId="0" xfId="0" applyFont="1" applyAlignment="1">
      <alignment horizontal="left" vertical="center"/>
    </xf>
    <xf numFmtId="0" fontId="47" fillId="0" borderId="0" xfId="0" applyFont="1" applyAlignment="1">
      <alignment vertical="center"/>
    </xf>
    <xf numFmtId="49" fontId="24" fillId="17" borderId="81" xfId="0" applyNumberFormat="1" applyFont="1" applyFill="1" applyBorder="1" applyAlignment="1">
      <alignment horizontal="left" vertical="center"/>
    </xf>
    <xf numFmtId="0" fontId="45" fillId="14" borderId="158" xfId="0" applyFont="1" applyFill="1" applyBorder="1" applyAlignment="1">
      <alignment horizontal="center" vertical="center" textRotation="90" wrapText="1"/>
    </xf>
    <xf numFmtId="0" fontId="45" fillId="14" borderId="159" xfId="0" applyFont="1" applyFill="1" applyBorder="1" applyAlignment="1">
      <alignment horizontal="center" vertical="center" textRotation="90" wrapText="1"/>
    </xf>
    <xf numFmtId="0" fontId="20" fillId="14" borderId="0" xfId="0" applyFont="1" applyFill="1"/>
    <xf numFmtId="0" fontId="20" fillId="14" borderId="0" xfId="0" applyFont="1" applyFill="1" applyAlignment="1">
      <alignment wrapText="1"/>
    </xf>
    <xf numFmtId="0" fontId="46" fillId="14" borderId="157" xfId="0" applyFont="1" applyFill="1" applyBorder="1" applyAlignment="1">
      <alignment vertical="top" wrapText="1"/>
    </xf>
    <xf numFmtId="0" fontId="46" fillId="14" borderId="158" xfId="0" applyFont="1" applyFill="1" applyBorder="1" applyAlignment="1">
      <alignment vertical="top" wrapText="1"/>
    </xf>
    <xf numFmtId="0" fontId="46" fillId="14" borderId="158" xfId="0" applyFont="1" applyFill="1" applyBorder="1" applyAlignment="1">
      <alignment vertical="top"/>
    </xf>
    <xf numFmtId="0" fontId="46" fillId="14" borderId="160" xfId="0" applyFont="1" applyFill="1" applyBorder="1" applyAlignment="1">
      <alignment horizontal="right" vertical="top"/>
    </xf>
    <xf numFmtId="0" fontId="46" fillId="14" borderId="154" xfId="0" applyFont="1" applyFill="1" applyBorder="1" applyAlignment="1">
      <alignment vertical="top" wrapText="1"/>
    </xf>
    <xf numFmtId="0" fontId="24" fillId="14" borderId="154" xfId="0" applyFont="1" applyFill="1" applyBorder="1" applyAlignment="1">
      <alignment vertical="top" wrapText="1"/>
    </xf>
    <xf numFmtId="0" fontId="20" fillId="14" borderId="154" xfId="0" applyFont="1" applyFill="1" applyBorder="1" applyAlignment="1">
      <alignment horizontal="center" vertical="center"/>
    </xf>
    <xf numFmtId="0" fontId="20" fillId="14" borderId="155" xfId="0" applyFont="1" applyFill="1" applyBorder="1" applyAlignment="1">
      <alignment horizontal="center" vertical="center"/>
    </xf>
    <xf numFmtId="0" fontId="46" fillId="14" borderId="161" xfId="0" applyFont="1" applyFill="1" applyBorder="1" applyAlignment="1">
      <alignment horizontal="right" vertical="top"/>
    </xf>
    <xf numFmtId="0" fontId="46" fillId="14" borderId="162" xfId="0" applyFont="1" applyFill="1" applyBorder="1" applyAlignment="1">
      <alignment vertical="top" wrapText="1"/>
    </xf>
    <xf numFmtId="0" fontId="24" fillId="14" borderId="162" xfId="0" applyFont="1" applyFill="1" applyBorder="1" applyAlignment="1">
      <alignment vertical="center" wrapText="1"/>
    </xf>
    <xf numFmtId="0" fontId="20" fillId="14" borderId="162" xfId="0" applyFont="1" applyFill="1" applyBorder="1" applyAlignment="1">
      <alignment horizontal="center" vertical="center"/>
    </xf>
    <xf numFmtId="0" fontId="20" fillId="14" borderId="163" xfId="0" applyFont="1" applyFill="1" applyBorder="1" applyAlignment="1">
      <alignment horizontal="center" vertical="center"/>
    </xf>
    <xf numFmtId="0" fontId="0" fillId="14" borderId="0" xfId="0" applyFill="1"/>
    <xf numFmtId="0" fontId="46" fillId="0" borderId="150" xfId="0" applyFont="1" applyFill="1" applyBorder="1" applyAlignment="1">
      <alignment vertical="top"/>
    </xf>
    <xf numFmtId="0" fontId="46" fillId="0" borderId="152" xfId="0" applyFont="1" applyFill="1" applyBorder="1" applyAlignment="1">
      <alignment vertical="top"/>
    </xf>
    <xf numFmtId="0" fontId="46" fillId="0" borderId="149" xfId="0" applyFont="1" applyFill="1" applyBorder="1" applyAlignment="1">
      <alignment vertical="top" wrapText="1"/>
    </xf>
    <xf numFmtId="0" fontId="24" fillId="0" borderId="154" xfId="0" applyFont="1" applyFill="1" applyBorder="1" applyAlignment="1">
      <alignment vertical="top"/>
    </xf>
    <xf numFmtId="0" fontId="24" fillId="0" borderId="156" xfId="0" applyFont="1" applyFill="1" applyBorder="1" applyAlignment="1">
      <alignment vertical="top" wrapText="1"/>
    </xf>
    <xf numFmtId="0" fontId="46" fillId="0" borderId="153" xfId="0" applyFont="1" applyFill="1" applyBorder="1" applyAlignment="1">
      <alignment vertical="top"/>
    </xf>
    <xf numFmtId="0" fontId="24" fillId="0" borderId="154" xfId="0" applyFont="1" applyFill="1" applyBorder="1" applyAlignment="1">
      <alignment horizontal="left" vertical="top" wrapText="1"/>
    </xf>
    <xf numFmtId="0" fontId="24" fillId="0" borderId="166" xfId="0" applyFont="1" applyFill="1" applyBorder="1" applyAlignment="1">
      <alignment vertical="top"/>
    </xf>
    <xf numFmtId="0" fontId="24" fillId="0" borderId="167" xfId="0" applyFont="1" applyFill="1" applyBorder="1" applyAlignment="1">
      <alignment vertical="top" wrapText="1"/>
    </xf>
    <xf numFmtId="0" fontId="20" fillId="14" borderId="0" xfId="0" applyFont="1" applyFill="1" applyAlignment="1">
      <alignment horizontal="center" vertical="center"/>
    </xf>
    <xf numFmtId="0" fontId="39" fillId="14" borderId="0" xfId="0" applyFont="1" applyFill="1" applyAlignment="1">
      <alignment horizontal="left"/>
    </xf>
    <xf numFmtId="0" fontId="39" fillId="14" borderId="0" xfId="0" applyFont="1" applyFill="1"/>
    <xf numFmtId="0" fontId="40" fillId="14" borderId="140" xfId="0" applyFont="1" applyFill="1" applyBorder="1" applyAlignment="1">
      <alignment vertical="top" wrapText="1"/>
    </xf>
    <xf numFmtId="0" fontId="29" fillId="14" borderId="140" xfId="0" applyFont="1" applyFill="1" applyBorder="1" applyAlignment="1">
      <alignment vertical="top" wrapText="1"/>
    </xf>
    <xf numFmtId="0" fontId="42" fillId="14" borderId="144" xfId="0" applyFont="1" applyFill="1" applyBorder="1" applyAlignment="1">
      <alignment horizontal="left" vertical="top" wrapText="1"/>
    </xf>
    <xf numFmtId="0" fontId="24" fillId="14" borderId="144" xfId="0" applyFont="1" applyFill="1" applyBorder="1" applyAlignment="1">
      <alignment horizontal="center" vertical="top"/>
    </xf>
    <xf numFmtId="0" fontId="24" fillId="14" borderId="144" xfId="0" applyFont="1" applyFill="1" applyBorder="1" applyAlignment="1">
      <alignment horizontal="center" vertical="top" wrapText="1"/>
    </xf>
    <xf numFmtId="0" fontId="24" fillId="14" borderId="144" xfId="0" applyFont="1" applyFill="1" applyBorder="1" applyAlignment="1">
      <alignment horizontal="left" vertical="top"/>
    </xf>
    <xf numFmtId="0" fontId="24" fillId="14" borderId="144" xfId="0" applyFont="1" applyFill="1" applyBorder="1" applyAlignment="1">
      <alignment vertical="top" wrapText="1"/>
    </xf>
    <xf numFmtId="0" fontId="29" fillId="14" borderId="144" xfId="0" applyFont="1" applyFill="1" applyBorder="1" applyAlignment="1">
      <alignment horizontal="left" vertical="top" wrapText="1"/>
    </xf>
    <xf numFmtId="0" fontId="42" fillId="0" borderId="141" xfId="0" applyFont="1" applyFill="1" applyBorder="1" applyAlignment="1">
      <alignment horizontal="left" vertical="top" wrapText="1"/>
    </xf>
    <xf numFmtId="0" fontId="29" fillId="0" borderId="142" xfId="0" applyFont="1" applyFill="1" applyBorder="1" applyAlignment="1">
      <alignment horizontal="left" vertical="top" wrapText="1"/>
    </xf>
    <xf numFmtId="0" fontId="42" fillId="0" borderId="143" xfId="0" applyFont="1" applyFill="1" applyBorder="1" applyAlignment="1">
      <alignment horizontal="center" vertical="top" wrapText="1"/>
    </xf>
    <xf numFmtId="0" fontId="42" fillId="0" borderId="144" xfId="0" applyFont="1" applyFill="1" applyBorder="1" applyAlignment="1">
      <alignment horizontal="center" vertical="top" wrapText="1"/>
    </xf>
    <xf numFmtId="0" fontId="42" fillId="0" borderId="144" xfId="0" applyFont="1" applyFill="1" applyBorder="1" applyAlignment="1">
      <alignment horizontal="left" vertical="top" wrapText="1"/>
    </xf>
    <xf numFmtId="0" fontId="29" fillId="0" borderId="141" xfId="0" applyFont="1" applyFill="1" applyBorder="1" applyAlignment="1">
      <alignment horizontal="left" vertical="top" wrapText="1"/>
    </xf>
    <xf numFmtId="0" fontId="29" fillId="0" borderId="143" xfId="0" applyFont="1" applyFill="1" applyBorder="1" applyAlignment="1">
      <alignment horizontal="center" vertical="top" wrapText="1"/>
    </xf>
    <xf numFmtId="0" fontId="29" fillId="0" borderId="144" xfId="0" applyFont="1" applyFill="1" applyBorder="1" applyAlignment="1">
      <alignment horizontal="left" vertical="top" wrapText="1"/>
    </xf>
    <xf numFmtId="0" fontId="44" fillId="0" borderId="165" xfId="0" applyFont="1" applyFill="1" applyBorder="1" applyAlignment="1">
      <alignment vertical="top" wrapText="1"/>
    </xf>
    <xf numFmtId="0" fontId="44" fillId="0" borderId="140" xfId="0" applyFont="1" applyFill="1" applyBorder="1" applyAlignment="1">
      <alignment vertical="top" wrapText="1"/>
    </xf>
    <xf numFmtId="0" fontId="44" fillId="0" borderId="148" xfId="0" applyFont="1" applyFill="1" applyBorder="1" applyAlignment="1">
      <alignment vertical="top" wrapText="1"/>
    </xf>
    <xf numFmtId="0" fontId="42" fillId="0" borderId="164" xfId="0" applyFont="1" applyFill="1" applyBorder="1" applyAlignment="1">
      <alignment horizontal="left" vertical="top" wrapText="1"/>
    </xf>
    <xf numFmtId="0" fontId="29" fillId="0" borderId="144" xfId="0" applyFont="1" applyFill="1" applyBorder="1" applyAlignment="1">
      <alignment horizontal="center" vertical="top" wrapText="1"/>
    </xf>
    <xf numFmtId="0" fontId="29" fillId="0" borderId="164" xfId="0" applyFont="1" applyFill="1" applyBorder="1" applyAlignment="1">
      <alignment horizontal="left" vertical="top" wrapText="1"/>
    </xf>
    <xf numFmtId="0" fontId="29" fillId="0" borderId="143" xfId="0" applyFont="1" applyFill="1" applyBorder="1" applyAlignment="1">
      <alignment horizontal="left" vertical="top" wrapText="1"/>
    </xf>
    <xf numFmtId="0" fontId="29" fillId="0" borderId="142" xfId="0" applyFont="1" applyFill="1" applyBorder="1" applyAlignment="1">
      <alignment horizontal="center" vertical="top" wrapText="1"/>
    </xf>
    <xf numFmtId="0" fontId="29" fillId="0" borderId="145" xfId="0" applyFont="1" applyFill="1" applyBorder="1" applyAlignment="1">
      <alignment horizontal="left" vertical="top" wrapText="1"/>
    </xf>
    <xf numFmtId="0" fontId="23" fillId="25" borderId="0" xfId="0" applyFont="1" applyFill="1" applyAlignment="1">
      <alignment vertical="top"/>
    </xf>
    <xf numFmtId="14" fontId="0" fillId="0" borderId="0" xfId="0" applyNumberFormat="1"/>
    <xf numFmtId="0" fontId="29" fillId="0" borderId="0" xfId="0" applyFont="1" applyBorder="1" applyAlignment="1" applyProtection="1">
      <alignment vertical="top" wrapText="1"/>
      <protection locked="0"/>
    </xf>
    <xf numFmtId="0" fontId="40" fillId="0" borderId="140" xfId="0" applyFont="1" applyBorder="1" applyAlignment="1">
      <alignment vertical="top" wrapText="1"/>
    </xf>
    <xf numFmtId="0" fontId="42" fillId="0" borderId="141" xfId="0" applyFont="1" applyBorder="1" applyAlignment="1">
      <alignment horizontal="left" vertical="top" wrapText="1"/>
    </xf>
    <xf numFmtId="0" fontId="29" fillId="0" borderId="142" xfId="0" applyFont="1" applyBorder="1" applyAlignment="1">
      <alignment horizontal="left" vertical="top" wrapText="1"/>
    </xf>
    <xf numFmtId="0" fontId="42" fillId="0" borderId="143" xfId="0" applyFont="1" applyBorder="1" applyAlignment="1">
      <alignment horizontal="center" vertical="top" wrapText="1"/>
    </xf>
    <xf numFmtId="0" fontId="42" fillId="0" borderId="144" xfId="0" applyFont="1" applyBorder="1" applyAlignment="1">
      <alignment horizontal="center" vertical="top" wrapText="1"/>
    </xf>
    <xf numFmtId="0" fontId="42" fillId="0" borderId="144" xfId="0" applyFont="1" applyBorder="1" applyAlignment="1">
      <alignment horizontal="left" vertical="top" wrapText="1"/>
    </xf>
    <xf numFmtId="0" fontId="29" fillId="0" borderId="141" xfId="0" applyFont="1" applyBorder="1" applyAlignment="1">
      <alignment horizontal="left" vertical="top" wrapText="1"/>
    </xf>
    <xf numFmtId="0" fontId="29" fillId="0" borderId="143" xfId="0" applyFont="1" applyBorder="1" applyAlignment="1">
      <alignment horizontal="center" vertical="top" wrapText="1"/>
    </xf>
    <xf numFmtId="0" fontId="29" fillId="0" borderId="144" xfId="0" applyFont="1" applyBorder="1" applyAlignment="1">
      <alignment horizontal="left" vertical="top" wrapText="1"/>
    </xf>
    <xf numFmtId="0" fontId="44" fillId="0" borderId="165" xfId="0" applyFont="1" applyBorder="1" applyAlignment="1">
      <alignment vertical="top" wrapText="1"/>
    </xf>
    <xf numFmtId="0" fontId="44" fillId="0" borderId="140" xfId="0" applyFont="1" applyBorder="1" applyAlignment="1">
      <alignment vertical="top" wrapText="1"/>
    </xf>
    <xf numFmtId="0" fontId="44" fillId="0" borderId="148" xfId="0" applyFont="1" applyBorder="1" applyAlignment="1">
      <alignment vertical="top" wrapText="1"/>
    </xf>
    <xf numFmtId="0" fontId="42" fillId="0" borderId="164" xfId="0" applyFont="1" applyBorder="1" applyAlignment="1">
      <alignment horizontal="left" vertical="top" wrapText="1"/>
    </xf>
    <xf numFmtId="0" fontId="29" fillId="0" borderId="144" xfId="0" applyFont="1" applyBorder="1" applyAlignment="1">
      <alignment horizontal="center" vertical="top" wrapText="1"/>
    </xf>
    <xf numFmtId="0" fontId="29" fillId="0" borderId="164" xfId="0" applyFont="1" applyBorder="1" applyAlignment="1">
      <alignment horizontal="left" vertical="top" wrapText="1"/>
    </xf>
    <xf numFmtId="0" fontId="29" fillId="0" borderId="143" xfId="0" applyFont="1" applyBorder="1" applyAlignment="1">
      <alignment horizontal="left" vertical="top" wrapText="1"/>
    </xf>
    <xf numFmtId="0" fontId="29" fillId="0" borderId="142" xfId="0" applyFont="1" applyBorder="1" applyAlignment="1">
      <alignment horizontal="center" vertical="top" wrapText="1"/>
    </xf>
    <xf numFmtId="0" fontId="42" fillId="0" borderId="147" xfId="0" applyFont="1" applyBorder="1" applyAlignment="1">
      <alignment horizontal="left" vertical="top" wrapText="1"/>
    </xf>
    <xf numFmtId="0" fontId="29" fillId="0" borderId="146" xfId="0" applyFont="1" applyBorder="1" applyAlignment="1">
      <alignment horizontal="left" vertical="top" wrapText="1"/>
    </xf>
    <xf numFmtId="0" fontId="42" fillId="0" borderId="143" xfId="0" applyFont="1" applyBorder="1" applyAlignment="1">
      <alignment horizontal="left" vertical="top" wrapText="1"/>
    </xf>
    <xf numFmtId="0" fontId="42" fillId="0" borderId="142" xfId="0" applyFont="1" applyBorder="1" applyAlignment="1">
      <alignment horizontal="center" vertical="top" wrapText="1"/>
    </xf>
    <xf numFmtId="0" fontId="42" fillId="0" borderId="145" xfId="0" applyFont="1" applyBorder="1" applyAlignment="1">
      <alignment horizontal="left" vertical="top" wrapText="1"/>
    </xf>
    <xf numFmtId="0" fontId="29" fillId="0" borderId="147" xfId="0" applyFont="1" applyBorder="1" applyAlignment="1">
      <alignment horizontal="left" vertical="top" wrapText="1"/>
    </xf>
    <xf numFmtId="2" fontId="24" fillId="0" borderId="74" xfId="0" applyNumberFormat="1" applyFont="1" applyBorder="1" applyAlignment="1">
      <alignment vertical="top" wrapText="1"/>
    </xf>
    <xf numFmtId="2" fontId="24" fillId="10" borderId="74" xfId="0" applyNumberFormat="1" applyFont="1" applyFill="1" applyBorder="1" applyAlignment="1">
      <alignment vertical="top" wrapText="1"/>
    </xf>
    <xf numFmtId="2" fontId="23" fillId="15" borderId="73" xfId="0" applyNumberFormat="1" applyFont="1" applyFill="1" applyBorder="1" applyAlignment="1">
      <alignment vertical="top" wrapText="1"/>
    </xf>
    <xf numFmtId="0" fontId="24" fillId="0" borderId="74" xfId="0" applyNumberFormat="1" applyFont="1" applyBorder="1" applyAlignment="1">
      <alignment vertical="top" wrapText="1"/>
    </xf>
    <xf numFmtId="0" fontId="24" fillId="16" borderId="129" xfId="0" applyFont="1" applyFill="1" applyBorder="1" applyAlignment="1">
      <alignment horizontal="center" vertical="center"/>
    </xf>
    <xf numFmtId="0" fontId="37" fillId="17" borderId="0" xfId="0" applyFont="1" applyFill="1" applyAlignment="1">
      <alignment vertical="top"/>
    </xf>
    <xf numFmtId="0" fontId="36" fillId="24" borderId="96" xfId="0" applyFont="1" applyFill="1" applyBorder="1" applyAlignment="1">
      <alignment vertical="top" wrapText="1"/>
    </xf>
    <xf numFmtId="0" fontId="36" fillId="24" borderId="98" xfId="0" applyFont="1" applyFill="1" applyBorder="1" applyAlignment="1">
      <alignment horizontal="right" vertical="top" wrapText="1"/>
    </xf>
    <xf numFmtId="0" fontId="36" fillId="27" borderId="119" xfId="0" applyFont="1" applyFill="1" applyBorder="1" applyAlignment="1">
      <alignment vertical="top"/>
    </xf>
    <xf numFmtId="0" fontId="51" fillId="26" borderId="0" xfId="0" applyFont="1" applyFill="1" applyBorder="1" applyAlignment="1">
      <alignment vertical="top" wrapText="1"/>
    </xf>
    <xf numFmtId="0" fontId="20" fillId="4" borderId="0" xfId="0" applyNumberFormat="1" applyFont="1" applyFill="1" applyAlignment="1">
      <alignment horizontal="left"/>
    </xf>
    <xf numFmtId="0" fontId="29" fillId="0" borderId="140" xfId="0" applyFont="1" applyFill="1" applyBorder="1" applyAlignment="1">
      <alignment horizontal="center" vertical="top" wrapText="1"/>
    </xf>
    <xf numFmtId="0" fontId="24" fillId="0" borderId="144" xfId="0" applyFont="1" applyFill="1" applyBorder="1" applyAlignment="1">
      <alignment horizontal="center" vertical="top"/>
    </xf>
    <xf numFmtId="0" fontId="24" fillId="0" borderId="144" xfId="0" applyFont="1" applyFill="1" applyBorder="1" applyAlignment="1">
      <alignment horizontal="center" vertical="top" wrapText="1"/>
    </xf>
    <xf numFmtId="0" fontId="23" fillId="0" borderId="140" xfId="0" applyFont="1" applyFill="1" applyBorder="1" applyAlignment="1">
      <alignment vertical="top" wrapText="1"/>
    </xf>
    <xf numFmtId="0" fontId="53" fillId="14" borderId="0" xfId="0" applyFont="1" applyFill="1"/>
    <xf numFmtId="0" fontId="54" fillId="0" borderId="140" xfId="0" applyFont="1" applyFill="1" applyBorder="1" applyAlignment="1">
      <alignment vertical="top" wrapText="1"/>
    </xf>
    <xf numFmtId="0" fontId="42" fillId="0" borderId="142" xfId="0" applyFont="1" applyFill="1" applyBorder="1" applyAlignment="1">
      <alignment horizontal="left" vertical="top" wrapText="1"/>
    </xf>
    <xf numFmtId="0" fontId="42" fillId="0" borderId="171" xfId="0" applyFont="1" applyFill="1" applyBorder="1" applyAlignment="1">
      <alignment horizontal="center" vertical="center" wrapText="1"/>
    </xf>
    <xf numFmtId="0" fontId="42" fillId="0" borderId="172" xfId="0" applyFont="1" applyFill="1" applyBorder="1" applyAlignment="1">
      <alignment horizontal="center" vertical="center" wrapText="1"/>
    </xf>
    <xf numFmtId="0" fontId="42" fillId="0" borderId="144" xfId="0" applyFont="1" applyFill="1" applyBorder="1" applyAlignment="1">
      <alignment horizontal="center" vertical="top"/>
    </xf>
    <xf numFmtId="0" fontId="42" fillId="0" borderId="170" xfId="0" applyFont="1" applyFill="1" applyBorder="1" applyAlignment="1">
      <alignment horizontal="center" vertical="center" wrapText="1"/>
    </xf>
    <xf numFmtId="0" fontId="29" fillId="0" borderId="164" xfId="0" applyFont="1" applyFill="1" applyBorder="1" applyAlignment="1">
      <alignment horizontal="center" vertical="top" wrapText="1"/>
    </xf>
    <xf numFmtId="0" fontId="42" fillId="0" borderId="169" xfId="0" applyFont="1" applyFill="1" applyBorder="1" applyAlignment="1">
      <alignment horizontal="left" vertical="center" wrapText="1"/>
    </xf>
    <xf numFmtId="0" fontId="42" fillId="0" borderId="172" xfId="0" applyFont="1" applyFill="1" applyBorder="1" applyAlignment="1">
      <alignment horizontal="left" vertical="center" wrapText="1"/>
    </xf>
    <xf numFmtId="0" fontId="50" fillId="0" borderId="0" xfId="0" applyFont="1" applyFill="1"/>
    <xf numFmtId="49" fontId="24" fillId="0" borderId="0" xfId="0" applyNumberFormat="1" applyFont="1" applyAlignment="1">
      <alignment vertical="top"/>
    </xf>
    <xf numFmtId="0" fontId="50" fillId="0" borderId="0" xfId="0" applyFont="1" applyAlignment="1">
      <alignment horizontal="right"/>
    </xf>
    <xf numFmtId="14" fontId="56" fillId="0" borderId="0" xfId="0" applyNumberFormat="1" applyFont="1" applyAlignment="1">
      <alignment horizontal="left" vertical="top"/>
    </xf>
    <xf numFmtId="0" fontId="50" fillId="0" borderId="0" xfId="0" applyFont="1"/>
    <xf numFmtId="0" fontId="56" fillId="0" borderId="0" xfId="0" applyFont="1" applyAlignment="1">
      <alignment horizontal="left" vertical="top"/>
    </xf>
    <xf numFmtId="0" fontId="56" fillId="0" borderId="0" xfId="0" applyFont="1"/>
    <xf numFmtId="0" fontId="56" fillId="0" borderId="0" xfId="1" applyNumberFormat="1" applyFont="1" applyAlignment="1">
      <alignment horizontal="left" vertical="top"/>
    </xf>
    <xf numFmtId="0" fontId="50" fillId="0" borderId="0" xfId="0" applyFont="1" applyAlignment="1">
      <alignment horizontal="right" vertical="top"/>
    </xf>
    <xf numFmtId="0" fontId="56" fillId="0" borderId="0" xfId="0" applyFont="1" applyAlignment="1">
      <alignment vertical="top"/>
    </xf>
    <xf numFmtId="176" fontId="56" fillId="0" borderId="0" xfId="1" applyNumberFormat="1" applyFont="1" applyAlignment="1">
      <alignment horizontal="left" vertical="top"/>
    </xf>
    <xf numFmtId="0" fontId="50" fillId="0" borderId="0" xfId="0" applyFont="1" applyAlignment="1">
      <alignment horizontal="right" vertical="top" wrapText="1"/>
    </xf>
    <xf numFmtId="0" fontId="50" fillId="0" borderId="0" xfId="0" applyFont="1" applyAlignment="1">
      <alignment vertical="top"/>
    </xf>
    <xf numFmtId="0" fontId="59" fillId="0" borderId="0" xfId="0" applyFont="1" applyAlignment="1">
      <alignment horizontal="right" vertical="top"/>
    </xf>
    <xf numFmtId="0" fontId="60" fillId="0" borderId="0" xfId="0" applyFont="1"/>
    <xf numFmtId="0" fontId="50" fillId="0" borderId="0" xfId="0" applyFont="1" applyAlignment="1">
      <alignment vertical="top" wrapText="1"/>
    </xf>
    <xf numFmtId="0" fontId="10" fillId="15" borderId="174" xfId="0" applyFont="1" applyFill="1" applyBorder="1" applyAlignment="1">
      <alignment vertical="center" wrapText="1"/>
    </xf>
    <xf numFmtId="0" fontId="62" fillId="15" borderId="175" xfId="0" applyFont="1" applyFill="1" applyBorder="1" applyAlignment="1">
      <alignment vertical="center" wrapText="1"/>
    </xf>
    <xf numFmtId="0" fontId="62" fillId="15" borderId="175" xfId="0" applyFont="1" applyFill="1" applyBorder="1" applyAlignment="1">
      <alignment vertical="top" wrapText="1"/>
    </xf>
    <xf numFmtId="0" fontId="24" fillId="0" borderId="134" xfId="0" applyFont="1" applyBorder="1" applyAlignment="1">
      <alignment vertical="top" wrapText="1"/>
    </xf>
    <xf numFmtId="10" fontId="50" fillId="0" borderId="134" xfId="3" applyNumberFormat="1" applyFont="1" applyBorder="1" applyAlignment="1">
      <alignment horizontal="center" vertical="center"/>
    </xf>
    <xf numFmtId="0" fontId="50" fillId="0" borderId="134" xfId="0" applyFont="1" applyBorder="1" applyAlignment="1">
      <alignment horizontal="center" vertical="center"/>
    </xf>
    <xf numFmtId="0" fontId="50" fillId="0" borderId="179" xfId="0" applyFont="1" applyBorder="1" applyAlignment="1">
      <alignment horizontal="left" vertical="top" wrapText="1"/>
    </xf>
    <xf numFmtId="0" fontId="11" fillId="0" borderId="179" xfId="0" applyFont="1" applyBorder="1" applyAlignment="1">
      <alignment horizontal="left" vertical="top" wrapText="1"/>
    </xf>
    <xf numFmtId="0" fontId="29" fillId="0" borderId="134" xfId="0" applyFont="1" applyBorder="1" applyAlignment="1">
      <alignment vertical="top" wrapText="1"/>
    </xf>
    <xf numFmtId="10" fontId="50" fillId="0" borderId="184" xfId="3" applyNumberFormat="1" applyFont="1" applyBorder="1" applyAlignment="1">
      <alignment horizontal="center" vertical="center"/>
    </xf>
    <xf numFmtId="0" fontId="50" fillId="0" borderId="184" xfId="0" applyFont="1" applyBorder="1" applyAlignment="1">
      <alignment horizontal="right" vertical="center"/>
    </xf>
    <xf numFmtId="0" fontId="65" fillId="29" borderId="184" xfId="0" applyFont="1" applyFill="1" applyBorder="1" applyAlignment="1">
      <alignment horizontal="center" vertical="center"/>
    </xf>
    <xf numFmtId="0" fontId="50" fillId="0" borderId="134" xfId="0" applyFont="1" applyBorder="1" applyAlignment="1">
      <alignment vertical="top" wrapText="1"/>
    </xf>
    <xf numFmtId="0" fontId="50" fillId="0" borderId="180" xfId="0" applyFont="1" applyBorder="1" applyAlignment="1">
      <alignment vertical="top" wrapText="1"/>
    </xf>
    <xf numFmtId="0" fontId="11" fillId="0" borderId="180" xfId="0" applyFont="1" applyBorder="1" applyAlignment="1">
      <alignment vertical="top" wrapText="1"/>
    </xf>
    <xf numFmtId="0" fontId="11" fillId="0" borderId="189" xfId="0" applyFont="1" applyBorder="1" applyAlignment="1">
      <alignment vertical="top" wrapText="1"/>
    </xf>
    <xf numFmtId="0" fontId="29" fillId="0" borderId="190" xfId="0" applyFont="1" applyBorder="1" applyAlignment="1">
      <alignment vertical="top" wrapText="1"/>
    </xf>
    <xf numFmtId="10" fontId="11" fillId="0" borderId="191" xfId="3" applyNumberFormat="1" applyFont="1" applyBorder="1" applyAlignment="1">
      <alignment horizontal="center" vertical="center"/>
    </xf>
    <xf numFmtId="0" fontId="11" fillId="0" borderId="191" xfId="0" applyFont="1" applyBorder="1" applyAlignment="1">
      <alignment horizontal="center" vertical="center"/>
    </xf>
    <xf numFmtId="10" fontId="50" fillId="0" borderId="184" xfId="3" applyNumberFormat="1" applyFont="1" applyBorder="1" applyAlignment="1">
      <alignment vertical="center"/>
    </xf>
    <xf numFmtId="0" fontId="50" fillId="0" borderId="184" xfId="0" applyFont="1" applyBorder="1"/>
    <xf numFmtId="0" fontId="62" fillId="15" borderId="176" xfId="0" applyFont="1" applyFill="1" applyBorder="1" applyAlignment="1">
      <alignment vertical="center" wrapText="1"/>
    </xf>
    <xf numFmtId="0" fontId="64" fillId="14" borderId="177" xfId="0" applyFont="1" applyFill="1" applyBorder="1" applyAlignment="1">
      <alignment horizontal="left" vertical="top" wrapText="1"/>
    </xf>
    <xf numFmtId="0" fontId="64" fillId="14" borderId="177" xfId="0" applyFont="1" applyFill="1" applyBorder="1" applyAlignment="1">
      <alignment horizontal="center" vertical="top" wrapText="1"/>
    </xf>
    <xf numFmtId="0" fontId="64" fillId="14" borderId="178" xfId="0" applyFont="1" applyFill="1" applyBorder="1" applyAlignment="1">
      <alignment horizontal="left" vertical="top" wrapText="1"/>
    </xf>
    <xf numFmtId="49" fontId="56" fillId="0" borderId="0" xfId="0" applyNumberFormat="1" applyFont="1" applyAlignment="1">
      <alignment horizontal="left" vertical="top"/>
    </xf>
    <xf numFmtId="0" fontId="24" fillId="0" borderId="144" xfId="0" applyFont="1" applyFill="1" applyBorder="1" applyAlignment="1">
      <alignment vertical="top" wrapText="1"/>
    </xf>
    <xf numFmtId="0" fontId="24" fillId="0" borderId="142" xfId="0" applyFont="1" applyFill="1" applyBorder="1" applyAlignment="1">
      <alignment vertical="top" wrapText="1"/>
    </xf>
    <xf numFmtId="0" fontId="29" fillId="0" borderId="144" xfId="0" applyFont="1" applyFill="1" applyBorder="1" applyAlignment="1">
      <alignment vertical="top" wrapText="1"/>
    </xf>
    <xf numFmtId="0" fontId="66" fillId="14" borderId="0" xfId="0" applyFont="1" applyFill="1" applyAlignment="1">
      <alignment vertical="top" wrapText="1"/>
    </xf>
    <xf numFmtId="44" fontId="66" fillId="14" borderId="0" xfId="2" applyFont="1" applyFill="1" applyAlignment="1">
      <alignment vertical="top" wrapText="1"/>
    </xf>
    <xf numFmtId="0" fontId="67" fillId="0" borderId="86" xfId="0" applyFont="1" applyBorder="1" applyAlignment="1" applyProtection="1">
      <alignment vertical="top" wrapText="1"/>
      <protection locked="0"/>
    </xf>
    <xf numFmtId="167" fontId="29" fillId="16" borderId="104" xfId="0" applyNumberFormat="1" applyFont="1" applyFill="1" applyBorder="1" applyAlignment="1" applyProtection="1">
      <alignment horizontal="left" vertical="top" wrapText="1"/>
    </xf>
    <xf numFmtId="0" fontId="25" fillId="4" borderId="0" xfId="0" applyFont="1" applyFill="1"/>
    <xf numFmtId="0" fontId="29" fillId="0" borderId="135" xfId="0" applyFont="1" applyBorder="1" applyAlignment="1" applyProtection="1">
      <alignment vertical="top" wrapText="1"/>
      <protection locked="0"/>
    </xf>
    <xf numFmtId="0" fontId="29" fillId="0" borderId="142" xfId="0" applyNumberFormat="1" applyFont="1" applyFill="1" applyBorder="1" applyAlignment="1">
      <alignment horizontal="left" vertical="top" wrapText="1"/>
    </xf>
    <xf numFmtId="0" fontId="42" fillId="14" borderId="144" xfId="0" applyFont="1" applyFill="1" applyBorder="1" applyAlignment="1">
      <alignment horizontal="center" vertical="top"/>
    </xf>
    <xf numFmtId="0" fontId="42" fillId="14" borderId="144" xfId="0" applyFont="1" applyFill="1" applyBorder="1" applyAlignment="1">
      <alignment horizontal="center" vertical="top" wrapText="1"/>
    </xf>
    <xf numFmtId="0" fontId="42" fillId="14" borderId="144" xfId="0" applyFont="1" applyFill="1" applyBorder="1" applyAlignment="1">
      <alignment horizontal="left" vertical="top"/>
    </xf>
    <xf numFmtId="0" fontId="29" fillId="16" borderId="98" xfId="0" applyFont="1" applyFill="1" applyBorder="1" applyAlignment="1">
      <alignment vertical="top"/>
    </xf>
    <xf numFmtId="0" fontId="23" fillId="22" borderId="197" xfId="0" applyFont="1" applyFill="1" applyBorder="1" applyAlignment="1">
      <alignment vertical="top"/>
    </xf>
    <xf numFmtId="0" fontId="24" fillId="0" borderId="198" xfId="0" applyFont="1" applyBorder="1" applyAlignment="1">
      <alignment vertical="top" wrapText="1"/>
    </xf>
    <xf numFmtId="0" fontId="29" fillId="23" borderId="199" xfId="0" applyFont="1" applyFill="1" applyBorder="1" applyAlignment="1" applyProtection="1">
      <alignment vertical="top"/>
      <protection locked="0"/>
    </xf>
    <xf numFmtId="0" fontId="29" fillId="23" borderId="200" xfId="0" applyFont="1" applyFill="1" applyBorder="1" applyAlignment="1" applyProtection="1">
      <alignment vertical="top"/>
      <protection locked="0"/>
    </xf>
    <xf numFmtId="0" fontId="29" fillId="0" borderId="95" xfId="0" applyNumberFormat="1" applyFont="1" applyBorder="1" applyAlignment="1" applyProtection="1">
      <alignment vertical="top"/>
      <protection locked="0"/>
    </xf>
    <xf numFmtId="0" fontId="29" fillId="16" borderId="201" xfId="0" applyNumberFormat="1" applyFont="1" applyFill="1" applyBorder="1" applyAlignment="1" applyProtection="1">
      <alignment vertical="top"/>
    </xf>
    <xf numFmtId="0" fontId="29" fillId="16" borderId="96" xfId="0" applyNumberFormat="1" applyFont="1" applyFill="1" applyBorder="1" applyAlignment="1" applyProtection="1">
      <alignment vertical="top"/>
      <protection locked="0"/>
    </xf>
    <xf numFmtId="0" fontId="29" fillId="16" borderId="98" xfId="0" applyNumberFormat="1" applyFont="1" applyFill="1" applyBorder="1" applyAlignment="1" applyProtection="1">
      <alignment vertical="top"/>
    </xf>
    <xf numFmtId="0" fontId="29" fillId="16" borderId="95" xfId="0" applyNumberFormat="1" applyFont="1" applyFill="1" applyBorder="1" applyAlignment="1" applyProtection="1">
      <alignment vertical="top"/>
      <protection locked="0"/>
    </xf>
    <xf numFmtId="166" fontId="29" fillId="16" borderId="96" xfId="0" applyNumberFormat="1" applyFont="1" applyFill="1" applyBorder="1" applyAlignment="1" applyProtection="1">
      <alignment vertical="top"/>
      <protection locked="0"/>
    </xf>
    <xf numFmtId="0" fontId="29" fillId="23" borderId="106" xfId="0" applyFont="1" applyFill="1" applyBorder="1" applyAlignment="1" applyProtection="1">
      <alignment vertical="top"/>
      <protection locked="0"/>
    </xf>
    <xf numFmtId="0" fontId="29" fillId="23" borderId="107" xfId="0" applyFont="1" applyFill="1" applyBorder="1" applyAlignment="1" applyProtection="1">
      <alignment vertical="top" wrapText="1"/>
      <protection locked="0"/>
    </xf>
    <xf numFmtId="0" fontId="29" fillId="23" borderId="107" xfId="0" applyFont="1" applyFill="1" applyBorder="1" applyAlignment="1" applyProtection="1">
      <alignment vertical="top"/>
      <protection locked="0"/>
    </xf>
    <xf numFmtId="0" fontId="29" fillId="16" borderId="202" xfId="0" applyFont="1" applyFill="1" applyBorder="1" applyAlignment="1" applyProtection="1">
      <alignment vertical="top"/>
      <protection locked="0"/>
    </xf>
    <xf numFmtId="0" fontId="29" fillId="23" borderId="203" xfId="0" applyFont="1" applyFill="1" applyBorder="1" applyAlignment="1" applyProtection="1">
      <alignment vertical="top"/>
      <protection locked="0"/>
    </xf>
    <xf numFmtId="0" fontId="29" fillId="23" borderId="96" xfId="0" applyFont="1" applyFill="1" applyBorder="1" applyAlignment="1" applyProtection="1">
      <alignment vertical="top"/>
      <protection locked="0"/>
    </xf>
    <xf numFmtId="0" fontId="29" fillId="0" borderId="95" xfId="0" applyFont="1" applyBorder="1" applyAlignment="1">
      <alignment vertical="top" wrapText="1"/>
    </xf>
    <xf numFmtId="0" fontId="29" fillId="23" borderId="101" xfId="0" applyFont="1" applyFill="1" applyBorder="1" applyAlignment="1" applyProtection="1">
      <alignment vertical="top" wrapText="1"/>
      <protection locked="0"/>
    </xf>
    <xf numFmtId="0" fontId="24" fillId="16" borderId="96" xfId="0" applyNumberFormat="1" applyFont="1" applyFill="1" applyBorder="1" applyAlignment="1" applyProtection="1">
      <alignment vertical="top"/>
    </xf>
    <xf numFmtId="0" fontId="24" fillId="16" borderId="96" xfId="0" applyNumberFormat="1" applyFont="1" applyFill="1" applyBorder="1" applyAlignment="1">
      <alignment vertical="top"/>
    </xf>
    <xf numFmtId="0" fontId="24" fillId="16" borderId="98" xfId="0" applyNumberFormat="1" applyFont="1" applyFill="1" applyBorder="1" applyAlignment="1" applyProtection="1">
      <alignment vertical="top"/>
    </xf>
    <xf numFmtId="0" fontId="24" fillId="16" borderId="104" xfId="0" applyNumberFormat="1" applyFont="1" applyFill="1" applyBorder="1" applyAlignment="1" applyProtection="1">
      <alignment vertical="top"/>
    </xf>
    <xf numFmtId="168" fontId="24" fillId="16" borderId="96" xfId="0" applyNumberFormat="1" applyFont="1" applyFill="1" applyBorder="1" applyAlignment="1" applyProtection="1">
      <alignment vertical="top"/>
    </xf>
    <xf numFmtId="0" fontId="24" fillId="16" borderId="96" xfId="3" applyNumberFormat="1" applyFont="1" applyFill="1" applyBorder="1" applyAlignment="1" applyProtection="1">
      <alignment vertical="top"/>
    </xf>
    <xf numFmtId="0" fontId="29" fillId="16" borderId="96" xfId="0" applyNumberFormat="1" applyFont="1" applyFill="1" applyBorder="1" applyAlignment="1" applyProtection="1">
      <alignment vertical="top"/>
    </xf>
    <xf numFmtId="0" fontId="29" fillId="16" borderId="96" xfId="0" applyNumberFormat="1" applyFont="1" applyFill="1" applyBorder="1" applyAlignment="1" applyProtection="1">
      <alignment vertical="top" wrapText="1"/>
    </xf>
    <xf numFmtId="0" fontId="24" fillId="0" borderId="105" xfId="0" applyNumberFormat="1" applyFont="1" applyBorder="1" applyAlignment="1" applyProtection="1">
      <alignment vertical="top"/>
      <protection locked="0"/>
    </xf>
    <xf numFmtId="0" fontId="24" fillId="0" borderId="96" xfId="0" applyNumberFormat="1" applyFont="1" applyFill="1" applyBorder="1" applyAlignment="1" applyProtection="1">
      <alignment vertical="top"/>
      <protection locked="0"/>
    </xf>
    <xf numFmtId="0" fontId="29" fillId="0" borderId="0" xfId="0" applyFont="1" applyAlignment="1" applyProtection="1">
      <alignment vertical="top" wrapText="1"/>
      <protection locked="0"/>
    </xf>
    <xf numFmtId="0" fontId="24" fillId="17" borderId="81" xfId="0" applyFont="1" applyFill="1" applyBorder="1" applyAlignment="1" applyProtection="1">
      <alignment horizontal="center" vertical="center" wrapText="1"/>
      <protection locked="0"/>
    </xf>
    <xf numFmtId="0" fontId="0" fillId="0" borderId="0" xfId="0" applyAlignment="1">
      <alignment wrapText="1"/>
    </xf>
    <xf numFmtId="0" fontId="0" fillId="0" borderId="0" xfId="0" applyBorder="1" applyAlignment="1">
      <alignment horizontal="left" vertical="top" wrapText="1"/>
    </xf>
    <xf numFmtId="0" fontId="2" fillId="2" borderId="20" xfId="0" applyFont="1" applyFill="1" applyBorder="1" applyAlignment="1">
      <alignment horizontal="center" vertical="top" wrapText="1"/>
    </xf>
    <xf numFmtId="0" fontId="6" fillId="3" borderId="36" xfId="0" applyFont="1" applyFill="1" applyBorder="1" applyAlignment="1">
      <alignment horizontal="left" vertical="top" wrapText="1"/>
    </xf>
    <xf numFmtId="43" fontId="6" fillId="8" borderId="23" xfId="1" applyFont="1" applyFill="1" applyBorder="1" applyAlignment="1">
      <alignment horizontal="left" vertical="top" wrapText="1"/>
    </xf>
    <xf numFmtId="43" fontId="6" fillId="7" borderId="23" xfId="1" applyFont="1" applyFill="1" applyBorder="1" applyAlignment="1">
      <alignment horizontal="left" vertical="top" wrapText="1"/>
    </xf>
    <xf numFmtId="43" fontId="5" fillId="0" borderId="25" xfId="1" applyFont="1" applyFill="1" applyBorder="1" applyAlignment="1">
      <alignment horizontal="left" vertical="top" wrapText="1"/>
    </xf>
    <xf numFmtId="43" fontId="5" fillId="0" borderId="15" xfId="1" applyFont="1" applyFill="1" applyBorder="1" applyAlignment="1">
      <alignment horizontal="left" vertical="top" wrapText="1"/>
    </xf>
    <xf numFmtId="43" fontId="5" fillId="0" borderId="26" xfId="1" applyFont="1" applyFill="1" applyBorder="1" applyAlignment="1">
      <alignment horizontal="left" vertical="top" wrapText="1"/>
    </xf>
    <xf numFmtId="43" fontId="5" fillId="0" borderId="27" xfId="1" applyFont="1" applyFill="1" applyBorder="1" applyAlignment="1">
      <alignment horizontal="left" vertical="top" wrapText="1"/>
    </xf>
    <xf numFmtId="43" fontId="5" fillId="0" borderId="28" xfId="1" applyFont="1" applyFill="1" applyBorder="1" applyAlignment="1">
      <alignment horizontal="left" vertical="top" wrapText="1"/>
    </xf>
    <xf numFmtId="43" fontId="6" fillId="9" borderId="23" xfId="1" applyFont="1" applyFill="1" applyBorder="1" applyAlignment="1">
      <alignment horizontal="left" vertical="top" wrapText="1"/>
    </xf>
    <xf numFmtId="43" fontId="6" fillId="6" borderId="23" xfId="1" applyFont="1" applyFill="1" applyBorder="1" applyAlignment="1">
      <alignment horizontal="left" vertical="top" wrapText="1"/>
    </xf>
    <xf numFmtId="43" fontId="6" fillId="10" borderId="23" xfId="1" applyFont="1" applyFill="1" applyBorder="1" applyAlignment="1">
      <alignment horizontal="left" vertical="top" wrapText="1"/>
    </xf>
    <xf numFmtId="43" fontId="6" fillId="5" borderId="23" xfId="1" applyFont="1" applyFill="1" applyBorder="1" applyAlignment="1">
      <alignment horizontal="left" vertical="top" wrapText="1"/>
    </xf>
    <xf numFmtId="43" fontId="5" fillId="0" borderId="110" xfId="1" applyFont="1" applyFill="1" applyBorder="1" applyAlignment="1">
      <alignment horizontal="left" vertical="top" wrapText="1"/>
    </xf>
    <xf numFmtId="0" fontId="50" fillId="0" borderId="189" xfId="0" applyFont="1" applyBorder="1"/>
    <xf numFmtId="0" fontId="50" fillId="0" borderId="0" xfId="0" applyFont="1" applyBorder="1"/>
    <xf numFmtId="0" fontId="50" fillId="0" borderId="0" xfId="0" applyFont="1" applyFill="1" applyAlignment="1">
      <alignment wrapText="1"/>
    </xf>
    <xf numFmtId="0" fontId="24" fillId="0" borderId="96" xfId="0" applyFont="1" applyFill="1" applyBorder="1" applyAlignment="1">
      <alignment vertical="top" wrapText="1"/>
    </xf>
    <xf numFmtId="43" fontId="6" fillId="9" borderId="204" xfId="1" applyFont="1" applyFill="1" applyBorder="1" applyAlignment="1">
      <alignment horizontal="left" vertical="top"/>
    </xf>
    <xf numFmtId="43" fontId="6" fillId="9" borderId="0" xfId="1" applyFont="1" applyFill="1" applyBorder="1" applyAlignment="1">
      <alignment horizontal="left" vertical="top"/>
    </xf>
    <xf numFmtId="43" fontId="5" fillId="11" borderId="10" xfId="1" applyFont="1" applyFill="1" applyBorder="1" applyAlignment="1">
      <alignment horizontal="left" vertical="top" wrapText="1"/>
    </xf>
    <xf numFmtId="43" fontId="5" fillId="11" borderId="0" xfId="1" applyFont="1" applyFill="1" applyBorder="1" applyAlignment="1">
      <alignment horizontal="left" vertical="top"/>
    </xf>
    <xf numFmtId="43" fontId="5" fillId="0" borderId="118" xfId="1" applyFont="1" applyBorder="1" applyAlignment="1">
      <alignment horizontal="left" vertical="top" wrapText="1"/>
    </xf>
    <xf numFmtId="0" fontId="50" fillId="0" borderId="208" xfId="0" applyFont="1" applyBorder="1" applyAlignment="1">
      <alignment horizontal="left" wrapText="1"/>
    </xf>
    <xf numFmtId="43" fontId="5" fillId="11" borderId="118" xfId="1" applyFont="1" applyFill="1" applyBorder="1" applyAlignment="1">
      <alignment horizontal="left" vertical="top" wrapText="1"/>
    </xf>
    <xf numFmtId="43" fontId="5" fillId="0" borderId="6" xfId="1" applyFont="1" applyBorder="1" applyAlignment="1">
      <alignment horizontal="left" vertical="top"/>
    </xf>
    <xf numFmtId="43" fontId="5" fillId="0" borderId="6" xfId="1" applyFont="1" applyBorder="1" applyAlignment="1">
      <alignment horizontal="left" vertical="top" wrapText="1"/>
    </xf>
    <xf numFmtId="43" fontId="6" fillId="31" borderId="10" xfId="1" applyFont="1" applyFill="1" applyBorder="1" applyAlignment="1">
      <alignment horizontal="left" vertical="top"/>
    </xf>
    <xf numFmtId="0" fontId="0" fillId="11" borderId="118" xfId="0" applyFill="1" applyBorder="1"/>
    <xf numFmtId="0" fontId="0" fillId="0" borderId="118" xfId="0" applyBorder="1"/>
    <xf numFmtId="43" fontId="5" fillId="31" borderId="10" xfId="1" applyFont="1" applyFill="1" applyBorder="1" applyAlignment="1">
      <alignment horizontal="left" vertical="top" wrapText="1"/>
    </xf>
    <xf numFmtId="0" fontId="33" fillId="24" borderId="207" xfId="0" applyFont="1" applyFill="1" applyBorder="1" applyAlignment="1">
      <alignment vertical="top"/>
    </xf>
    <xf numFmtId="0" fontId="33" fillId="24" borderId="168" xfId="0" applyFont="1" applyFill="1" applyBorder="1" applyAlignment="1">
      <alignment vertical="top" wrapText="1"/>
    </xf>
    <xf numFmtId="0" fontId="33" fillId="0" borderId="139" xfId="0" applyFont="1" applyBorder="1" applyAlignment="1">
      <alignment vertical="top" wrapText="1"/>
    </xf>
    <xf numFmtId="0" fontId="33" fillId="24" borderId="139" xfId="0" applyFont="1" applyFill="1" applyBorder="1" applyAlignment="1">
      <alignment vertical="top" wrapText="1"/>
    </xf>
    <xf numFmtId="14" fontId="33" fillId="24" borderId="139" xfId="0" applyNumberFormat="1" applyFont="1" applyFill="1" applyBorder="1" applyAlignment="1">
      <alignment vertical="top"/>
    </xf>
    <xf numFmtId="14" fontId="33" fillId="24" borderId="139" xfId="0" applyNumberFormat="1" applyFont="1" applyFill="1" applyBorder="1" applyAlignment="1">
      <alignment vertical="top" wrapText="1"/>
    </xf>
    <xf numFmtId="14" fontId="33" fillId="18" borderId="209" xfId="0" applyNumberFormat="1" applyFont="1" applyFill="1" applyBorder="1" applyAlignment="1">
      <alignment vertical="top" wrapText="1"/>
    </xf>
    <xf numFmtId="0" fontId="50" fillId="0" borderId="0" xfId="0" applyFont="1" applyAlignment="1">
      <alignment horizontal="center"/>
    </xf>
    <xf numFmtId="0" fontId="50" fillId="0" borderId="139" xfId="0" applyFont="1" applyBorder="1" applyAlignment="1">
      <alignment horizontal="left"/>
    </xf>
    <xf numFmtId="0" fontId="50" fillId="0" borderId="139" xfId="0" applyFont="1" applyBorder="1" applyAlignment="1">
      <alignment horizontal="left" wrapText="1"/>
    </xf>
    <xf numFmtId="0" fontId="50" fillId="0" borderId="0" xfId="0" applyFont="1" applyAlignment="1">
      <alignment horizontal="left"/>
    </xf>
    <xf numFmtId="0" fontId="50" fillId="0" borderId="0" xfId="0" applyFont="1" applyAlignment="1">
      <alignment horizontal="left" wrapText="1"/>
    </xf>
    <xf numFmtId="0" fontId="68" fillId="0" borderId="0" xfId="0" applyFont="1" applyAlignment="1">
      <alignment horizontal="center"/>
    </xf>
    <xf numFmtId="14" fontId="50" fillId="0" borderId="0" xfId="0" applyNumberFormat="1" applyFont="1"/>
    <xf numFmtId="0" fontId="50" fillId="0" borderId="139" xfId="0" applyFont="1" applyBorder="1" applyAlignment="1">
      <alignment horizontal="center"/>
    </xf>
    <xf numFmtId="0" fontId="50" fillId="0" borderId="0" xfId="0" applyFont="1" applyAlignment="1">
      <alignment horizontal="center" vertical="center"/>
    </xf>
    <xf numFmtId="0" fontId="0" fillId="0" borderId="0" xfId="0" applyAlignment="1">
      <alignment horizontal="center" vertical="center" wrapText="1"/>
    </xf>
    <xf numFmtId="0" fontId="0" fillId="0" borderId="139" xfId="0" applyBorder="1" applyAlignment="1">
      <alignment horizontal="center"/>
    </xf>
    <xf numFmtId="0" fontId="50" fillId="0" borderId="139" xfId="0" applyFont="1" applyBorder="1" applyAlignment="1">
      <alignment horizontal="center" vertical="top" wrapText="1"/>
    </xf>
    <xf numFmtId="0" fontId="50" fillId="30" borderId="139" xfId="0" applyFont="1" applyFill="1" applyBorder="1" applyAlignment="1">
      <alignment vertical="top"/>
    </xf>
    <xf numFmtId="0" fontId="50" fillId="30" borderId="139" xfId="0" applyFont="1" applyFill="1" applyBorder="1" applyAlignment="1">
      <alignment vertical="top" wrapText="1"/>
    </xf>
    <xf numFmtId="14" fontId="50" fillId="30" borderId="139" xfId="0" applyNumberFormat="1" applyFont="1" applyFill="1" applyBorder="1" applyAlignment="1">
      <alignment vertical="top"/>
    </xf>
    <xf numFmtId="14" fontId="50" fillId="30" borderId="209" xfId="0" applyNumberFormat="1" applyFont="1" applyFill="1" applyBorder="1" applyAlignment="1">
      <alignment vertical="top" wrapText="1"/>
    </xf>
    <xf numFmtId="0" fontId="50" fillId="0" borderId="173" xfId="0" applyFont="1" applyBorder="1" applyAlignment="1">
      <alignment horizontal="center"/>
    </xf>
    <xf numFmtId="0" fontId="68" fillId="0" borderId="139" xfId="0" applyFont="1" applyBorder="1" applyAlignment="1">
      <alignment horizontal="center"/>
    </xf>
    <xf numFmtId="14" fontId="50" fillId="0" borderId="139" xfId="0" applyNumberFormat="1" applyFont="1" applyBorder="1"/>
    <xf numFmtId="0" fontId="0" fillId="0" borderId="0" xfId="0" applyAlignment="1">
      <alignment horizontal="center"/>
    </xf>
    <xf numFmtId="0" fontId="50" fillId="0" borderId="139" xfId="0" applyFont="1" applyBorder="1"/>
    <xf numFmtId="0" fontId="50" fillId="32" borderId="0" xfId="0" applyFont="1" applyFill="1" applyAlignment="1">
      <alignment horizontal="center" vertical="top"/>
    </xf>
    <xf numFmtId="0" fontId="50" fillId="32" borderId="0" xfId="0" applyFont="1" applyFill="1" applyAlignment="1">
      <alignment horizontal="left" vertical="top"/>
    </xf>
    <xf numFmtId="0" fontId="50" fillId="32" borderId="0" xfId="0" applyFont="1" applyFill="1" applyAlignment="1">
      <alignment horizontal="left" vertical="top" wrapText="1"/>
    </xf>
    <xf numFmtId="14" fontId="50" fillId="32" borderId="0" xfId="0" applyNumberFormat="1" applyFont="1" applyFill="1" applyAlignment="1">
      <alignment vertical="top"/>
    </xf>
    <xf numFmtId="14" fontId="50" fillId="32" borderId="0" xfId="0" applyNumberFormat="1" applyFont="1" applyFill="1" applyAlignment="1">
      <alignment vertical="top" wrapText="1"/>
    </xf>
    <xf numFmtId="0" fontId="50" fillId="32" borderId="0" xfId="0" applyFont="1" applyFill="1" applyAlignment="1">
      <alignment horizontal="center" vertical="top" wrapText="1"/>
    </xf>
    <xf numFmtId="0" fontId="0" fillId="14" borderId="0" xfId="0" applyFill="1" applyAlignment="1">
      <alignment horizontal="center" vertical="center"/>
    </xf>
    <xf numFmtId="0" fontId="50" fillId="32" borderId="0" xfId="0" applyFont="1" applyFill="1" applyAlignment="1">
      <alignment vertical="top" wrapText="1"/>
    </xf>
    <xf numFmtId="0" fontId="50" fillId="0" borderId="0" xfId="0" applyFont="1" applyAlignment="1">
      <alignment horizontal="center" vertical="top"/>
    </xf>
    <xf numFmtId="0" fontId="50" fillId="0" borderId="0" xfId="0" applyFont="1" applyAlignment="1">
      <alignment horizontal="left" vertical="top"/>
    </xf>
    <xf numFmtId="0" fontId="50" fillId="0" borderId="0" xfId="0" applyFont="1" applyAlignment="1">
      <alignment horizontal="left" vertical="top" wrapText="1"/>
    </xf>
    <xf numFmtId="14" fontId="50" fillId="0" borderId="0" xfId="0" applyNumberFormat="1" applyFont="1" applyAlignment="1">
      <alignment vertical="top"/>
    </xf>
    <xf numFmtId="14" fontId="50" fillId="0" borderId="0" xfId="0" applyNumberFormat="1" applyFont="1" applyAlignment="1">
      <alignment vertical="top" wrapText="1"/>
    </xf>
    <xf numFmtId="0" fontId="0" fillId="0" borderId="0" xfId="0" applyAlignment="1">
      <alignment horizontal="center" wrapText="1"/>
    </xf>
    <xf numFmtId="0" fontId="50" fillId="0" borderId="0" xfId="0" applyFont="1" applyAlignment="1">
      <alignment horizontal="center" vertical="top" wrapText="1"/>
    </xf>
    <xf numFmtId="0" fontId="3" fillId="0" borderId="0" xfId="0" applyFont="1" applyAlignment="1">
      <alignment horizontal="center"/>
    </xf>
    <xf numFmtId="0" fontId="50" fillId="0" borderId="0" xfId="0" applyFont="1" applyAlignment="1">
      <alignment horizontal="center" wrapText="1"/>
    </xf>
    <xf numFmtId="0" fontId="26" fillId="0" borderId="0" xfId="0" applyFont="1" applyAlignment="1">
      <alignment vertical="top" wrapText="1"/>
    </xf>
    <xf numFmtId="44" fontId="24" fillId="0" borderId="0" xfId="2" applyFont="1" applyAlignment="1">
      <alignment vertical="top" wrapText="1"/>
    </xf>
    <xf numFmtId="0" fontId="27" fillId="0" borderId="0" xfId="0" applyFont="1" applyAlignment="1">
      <alignment horizontal="right" vertical="top" wrapText="1"/>
    </xf>
    <xf numFmtId="0" fontId="24" fillId="16" borderId="77" xfId="0" applyFont="1" applyFill="1" applyBorder="1" applyAlignment="1" applyProtection="1">
      <alignment horizontal="center" vertical="center" wrapText="1"/>
      <protection locked="0"/>
    </xf>
    <xf numFmtId="0" fontId="24" fillId="17" borderId="80" xfId="0" applyFont="1" applyFill="1" applyBorder="1" applyAlignment="1">
      <alignment horizontal="center" vertical="center" wrapText="1"/>
    </xf>
    <xf numFmtId="3" fontId="24" fillId="17" borderId="81" xfId="0" applyNumberFormat="1" applyFont="1" applyFill="1" applyBorder="1" applyAlignment="1" applyProtection="1">
      <alignment horizontal="center" vertical="center" wrapText="1"/>
      <protection locked="0"/>
    </xf>
    <xf numFmtId="42" fontId="24" fillId="0" borderId="0" xfId="0" applyNumberFormat="1" applyFont="1" applyAlignment="1">
      <alignment vertical="top" wrapText="1"/>
    </xf>
    <xf numFmtId="0" fontId="24" fillId="17" borderId="80" xfId="0" applyFont="1" applyFill="1" applyBorder="1" applyAlignment="1" applyProtection="1">
      <alignment horizontal="right" vertical="center" wrapText="1"/>
      <protection locked="0"/>
    </xf>
    <xf numFmtId="44" fontId="0" fillId="0" borderId="0" xfId="2" applyFont="1" applyAlignment="1">
      <alignment horizontal="left" vertical="top" wrapText="1"/>
    </xf>
    <xf numFmtId="44" fontId="0" fillId="0" borderId="0" xfId="2" applyFont="1" applyAlignment="1">
      <alignment wrapText="1"/>
    </xf>
    <xf numFmtId="9" fontId="24" fillId="0" borderId="0" xfId="4" applyFont="1" applyAlignment="1">
      <alignment vertical="top" wrapText="1"/>
    </xf>
    <xf numFmtId="0" fontId="0" fillId="0" borderId="0" xfId="0" applyNumberFormat="1" applyAlignment="1">
      <alignment horizontal="left" vertical="top" wrapText="1"/>
    </xf>
    <xf numFmtId="165" fontId="24" fillId="0" borderId="124" xfId="0" applyNumberFormat="1" applyFont="1" applyBorder="1" applyAlignment="1">
      <alignment horizontal="left" vertical="top" wrapText="1"/>
    </xf>
    <xf numFmtId="165" fontId="24" fillId="0" borderId="123" xfId="0" applyNumberFormat="1" applyFont="1" applyBorder="1" applyAlignment="1">
      <alignment horizontal="left" vertical="top" wrapText="1"/>
    </xf>
    <xf numFmtId="0" fontId="24" fillId="10" borderId="122" xfId="0" applyFont="1" applyFill="1" applyBorder="1" applyAlignment="1">
      <alignment horizontal="center" vertical="top"/>
    </xf>
    <xf numFmtId="0" fontId="24" fillId="10" borderId="0" xfId="0" applyFont="1" applyFill="1" applyBorder="1" applyAlignment="1">
      <alignment horizontal="center" vertical="top"/>
    </xf>
    <xf numFmtId="0" fontId="23" fillId="15" borderId="121" xfId="0" applyFont="1" applyFill="1" applyBorder="1" applyAlignment="1">
      <alignment horizontal="left" vertical="top"/>
    </xf>
    <xf numFmtId="0" fontId="23" fillId="15" borderId="0" xfId="0" applyFont="1" applyFill="1" applyBorder="1" applyAlignment="1">
      <alignment horizontal="left" vertical="top"/>
    </xf>
    <xf numFmtId="0" fontId="24" fillId="10" borderId="125" xfId="0" applyFont="1" applyFill="1" applyBorder="1" applyAlignment="1">
      <alignment horizontal="center" vertical="top"/>
    </xf>
    <xf numFmtId="0" fontId="24" fillId="10" borderId="126" xfId="0" applyFont="1" applyFill="1" applyBorder="1" applyAlignment="1">
      <alignment horizontal="center" vertical="top"/>
    </xf>
    <xf numFmtId="44" fontId="0" fillId="0" borderId="60" xfId="2" applyFont="1" applyBorder="1" applyAlignment="1">
      <alignment horizontal="center" vertical="center"/>
    </xf>
    <xf numFmtId="0" fontId="2" fillId="2" borderId="18" xfId="0" applyFont="1" applyFill="1" applyBorder="1" applyAlignment="1">
      <alignment horizontal="center" vertical="top"/>
    </xf>
    <xf numFmtId="0" fontId="2" fillId="2" borderId="17" xfId="0" applyFont="1" applyFill="1" applyBorder="1" applyAlignment="1">
      <alignment horizontal="center" vertical="top"/>
    </xf>
    <xf numFmtId="0" fontId="2" fillId="2" borderId="20" xfId="0" applyFont="1" applyFill="1" applyBorder="1" applyAlignment="1">
      <alignment horizontal="center" vertical="top"/>
    </xf>
    <xf numFmtId="0" fontId="2" fillId="2" borderId="19" xfId="0" applyFont="1" applyFill="1" applyBorder="1" applyAlignment="1">
      <alignment horizontal="center" vertical="top"/>
    </xf>
    <xf numFmtId="0" fontId="24" fillId="16" borderId="77" xfId="0" applyFont="1" applyFill="1" applyBorder="1" applyAlignment="1" applyProtection="1">
      <alignment horizontal="left" vertical="center" wrapText="1"/>
      <protection locked="0"/>
    </xf>
    <xf numFmtId="0" fontId="0" fillId="0" borderId="78" xfId="0" applyBorder="1" applyProtection="1">
      <protection locked="0"/>
    </xf>
    <xf numFmtId="0" fontId="0" fillId="0" borderId="79" xfId="0" applyBorder="1" applyProtection="1">
      <protection locked="0"/>
    </xf>
    <xf numFmtId="0" fontId="24" fillId="17" borderId="81" xfId="0" applyFont="1" applyFill="1" applyBorder="1" applyAlignment="1" applyProtection="1">
      <alignment horizontal="left" vertical="center" wrapText="1"/>
      <protection locked="0"/>
    </xf>
    <xf numFmtId="0" fontId="0" fillId="0" borderId="82" xfId="0" applyBorder="1" applyAlignment="1" applyProtection="1">
      <alignment horizontal="left"/>
      <protection locked="0"/>
    </xf>
    <xf numFmtId="0" fontId="0" fillId="0" borderId="81" xfId="0" applyBorder="1" applyAlignment="1" applyProtection="1">
      <alignment horizontal="left"/>
      <protection locked="0"/>
    </xf>
    <xf numFmtId="0" fontId="28" fillId="18" borderId="83" xfId="0" applyFont="1" applyFill="1" applyBorder="1" applyAlignment="1">
      <alignment horizontal="center" vertical="top"/>
    </xf>
    <xf numFmtId="0" fontId="0" fillId="0" borderId="84" xfId="0" applyBorder="1"/>
    <xf numFmtId="0" fontId="0" fillId="0" borderId="85" xfId="0" applyBorder="1"/>
    <xf numFmtId="0" fontId="50" fillId="0" borderId="189" xfId="0" applyFont="1" applyBorder="1" applyAlignment="1">
      <alignment horizontal="center" vertical="center"/>
    </xf>
    <xf numFmtId="0" fontId="50" fillId="0" borderId="0" xfId="0" applyFont="1" applyBorder="1" applyAlignment="1">
      <alignment horizontal="center" vertical="center"/>
    </xf>
    <xf numFmtId="0" fontId="50" fillId="0" borderId="205" xfId="0" applyFont="1" applyBorder="1" applyAlignment="1">
      <alignment horizontal="center" vertical="center"/>
    </xf>
    <xf numFmtId="0" fontId="50" fillId="0" borderId="206" xfId="0" applyFont="1" applyBorder="1" applyAlignment="1">
      <alignment horizontal="center" vertical="center"/>
    </xf>
    <xf numFmtId="0" fontId="63" fillId="28" borderId="186" xfId="0" applyFont="1" applyFill="1" applyBorder="1" applyAlignment="1">
      <alignment horizontal="center" vertical="center" wrapText="1"/>
    </xf>
    <xf numFmtId="0" fontId="63" fillId="28" borderId="187" xfId="0" applyFont="1" applyFill="1" applyBorder="1" applyAlignment="1">
      <alignment horizontal="center" vertical="center" wrapText="1"/>
    </xf>
    <xf numFmtId="0" fontId="63" fillId="28" borderId="188" xfId="0" applyFont="1" applyFill="1" applyBorder="1" applyAlignment="1">
      <alignment horizontal="center" vertical="center" wrapText="1"/>
    </xf>
    <xf numFmtId="0" fontId="62" fillId="15" borderId="176" xfId="0" applyFont="1" applyFill="1" applyBorder="1" applyAlignment="1">
      <alignment horizontal="center" vertical="center" wrapText="1"/>
    </xf>
    <xf numFmtId="0" fontId="62" fillId="15" borderId="177" xfId="0" applyFont="1" applyFill="1" applyBorder="1" applyAlignment="1">
      <alignment horizontal="center" vertical="center" wrapText="1"/>
    </xf>
    <xf numFmtId="0" fontId="62" fillId="15" borderId="178" xfId="0" applyFont="1" applyFill="1" applyBorder="1" applyAlignment="1">
      <alignment horizontal="center" vertical="center" wrapText="1"/>
    </xf>
    <xf numFmtId="0" fontId="63" fillId="28" borderId="179" xfId="0" applyFont="1" applyFill="1" applyBorder="1" applyAlignment="1">
      <alignment horizontal="center" vertical="center" wrapText="1"/>
    </xf>
    <xf numFmtId="0" fontId="63" fillId="28" borderId="177" xfId="0" applyFont="1" applyFill="1" applyBorder="1" applyAlignment="1">
      <alignment horizontal="center" vertical="center" wrapText="1"/>
    </xf>
    <xf numFmtId="0" fontId="63" fillId="28" borderId="178" xfId="0" applyFont="1" applyFill="1" applyBorder="1" applyAlignment="1">
      <alignment horizontal="center" vertical="center" wrapText="1"/>
    </xf>
    <xf numFmtId="0" fontId="64" fillId="0" borderId="179" xfId="0" applyFont="1" applyBorder="1" applyAlignment="1">
      <alignment horizontal="left" vertical="top" wrapText="1"/>
    </xf>
    <xf numFmtId="0" fontId="64" fillId="0" borderId="177" xfId="0" applyFont="1" applyBorder="1" applyAlignment="1">
      <alignment horizontal="left" vertical="top" wrapText="1"/>
    </xf>
    <xf numFmtId="0" fontId="64" fillId="0" borderId="178" xfId="0" applyFont="1" applyBorder="1" applyAlignment="1">
      <alignment horizontal="left" vertical="top" wrapText="1"/>
    </xf>
    <xf numFmtId="0" fontId="50" fillId="0" borderId="180" xfId="0" applyFont="1" applyBorder="1" applyAlignment="1">
      <alignment horizontal="left" vertical="top" wrapText="1"/>
    </xf>
    <xf numFmtId="0" fontId="50" fillId="0" borderId="181" xfId="0" applyFont="1" applyBorder="1" applyAlignment="1">
      <alignment horizontal="left" vertical="top" wrapText="1"/>
    </xf>
    <xf numFmtId="0" fontId="24" fillId="0" borderId="179" xfId="0" applyFont="1" applyBorder="1" applyAlignment="1">
      <alignment horizontal="left" vertical="top" wrapText="1"/>
    </xf>
    <xf numFmtId="0" fontId="24" fillId="0" borderId="177" xfId="0" applyFont="1" applyBorder="1" applyAlignment="1">
      <alignment horizontal="left" vertical="top" wrapText="1"/>
    </xf>
    <xf numFmtId="0" fontId="24" fillId="0" borderId="178" xfId="0" applyFont="1" applyBorder="1" applyAlignment="1">
      <alignment horizontal="left" vertical="top" wrapText="1"/>
    </xf>
    <xf numFmtId="0" fontId="64" fillId="14" borderId="179" xfId="0" applyFont="1" applyFill="1" applyBorder="1" applyAlignment="1">
      <alignment horizontal="left" vertical="top" wrapText="1"/>
    </xf>
    <xf numFmtId="0" fontId="64" fillId="14" borderId="177" xfId="0" applyFont="1" applyFill="1" applyBorder="1" applyAlignment="1">
      <alignment horizontal="left" vertical="top" wrapText="1"/>
    </xf>
    <xf numFmtId="0" fontId="50" fillId="0" borderId="182" xfId="0" applyFont="1" applyBorder="1" applyAlignment="1">
      <alignment horizontal="right" vertical="center" wrapText="1"/>
    </xf>
    <xf numFmtId="0" fontId="50" fillId="0" borderId="183" xfId="0" applyFont="1" applyBorder="1" applyAlignment="1">
      <alignment horizontal="right" vertical="center" wrapText="1"/>
    </xf>
    <xf numFmtId="0" fontId="50" fillId="0" borderId="182" xfId="0" applyFont="1" applyBorder="1" applyAlignment="1">
      <alignment horizontal="center" vertical="center"/>
    </xf>
    <xf numFmtId="0" fontId="50" fillId="0" borderId="185" xfId="0" applyFont="1" applyBorder="1" applyAlignment="1">
      <alignment horizontal="center" vertical="center"/>
    </xf>
    <xf numFmtId="0" fontId="50" fillId="0" borderId="183" xfId="0" applyFont="1" applyBorder="1" applyAlignment="1">
      <alignment horizontal="center" vertical="center"/>
    </xf>
    <xf numFmtId="0" fontId="11" fillId="0" borderId="180" xfId="0" applyFont="1" applyBorder="1" applyAlignment="1">
      <alignment horizontal="left" vertical="top" wrapText="1"/>
    </xf>
    <xf numFmtId="0" fontId="11" fillId="0" borderId="181" xfId="0" applyFont="1" applyBorder="1" applyAlignment="1">
      <alignment horizontal="left" vertical="top" wrapText="1"/>
    </xf>
    <xf numFmtId="0" fontId="29" fillId="0" borderId="192" xfId="0" applyFont="1" applyBorder="1" applyAlignment="1">
      <alignment horizontal="left" vertical="top" wrapText="1"/>
    </xf>
    <xf numFmtId="0" fontId="29" fillId="0" borderId="193" xfId="0" applyFont="1" applyBorder="1" applyAlignment="1">
      <alignment horizontal="left" vertical="top" wrapText="1"/>
    </xf>
    <xf numFmtId="0" fontId="29" fillId="0" borderId="194" xfId="0" applyFont="1" applyBorder="1" applyAlignment="1">
      <alignment horizontal="left" vertical="top" wrapText="1"/>
    </xf>
    <xf numFmtId="0" fontId="0" fillId="0" borderId="78" xfId="0" applyBorder="1" applyAlignment="1" applyProtection="1">
      <alignment wrapText="1"/>
      <protection locked="0"/>
    </xf>
    <xf numFmtId="0" fontId="0" fillId="0" borderId="79" xfId="0" applyBorder="1" applyAlignment="1" applyProtection="1">
      <alignment wrapText="1"/>
      <protection locked="0"/>
    </xf>
    <xf numFmtId="0" fontId="0" fillId="0" borderId="82" xfId="0" applyBorder="1" applyAlignment="1" applyProtection="1">
      <alignment horizontal="left" wrapText="1"/>
      <protection locked="0"/>
    </xf>
    <xf numFmtId="0" fontId="0" fillId="0" borderId="81" xfId="0" applyBorder="1" applyAlignment="1" applyProtection="1">
      <alignment horizontal="left" wrapText="1"/>
      <protection locked="0"/>
    </xf>
    <xf numFmtId="0" fontId="28" fillId="18" borderId="83" xfId="0" applyFont="1" applyFill="1" applyBorder="1" applyAlignment="1">
      <alignment horizontal="center" vertical="top" wrapText="1"/>
    </xf>
    <xf numFmtId="0" fontId="0" fillId="0" borderId="84" xfId="0" applyBorder="1" applyAlignment="1">
      <alignment wrapText="1"/>
    </xf>
    <xf numFmtId="0" fontId="0" fillId="0" borderId="85" xfId="0" applyBorder="1" applyAlignment="1">
      <alignment wrapText="1"/>
    </xf>
    <xf numFmtId="0" fontId="24" fillId="17" borderId="82" xfId="0" applyFont="1" applyFill="1" applyBorder="1" applyAlignment="1" applyProtection="1">
      <alignment horizontal="center" vertical="center" wrapText="1"/>
      <protection locked="0"/>
    </xf>
    <xf numFmtId="0" fontId="24" fillId="17" borderId="81" xfId="0" applyFont="1" applyFill="1" applyBorder="1" applyAlignment="1" applyProtection="1">
      <alignment horizontal="center" vertical="center" wrapText="1"/>
      <protection locked="0"/>
    </xf>
    <xf numFmtId="0" fontId="28" fillId="18" borderId="130" xfId="0" applyFont="1" applyFill="1" applyBorder="1" applyAlignment="1">
      <alignment horizontal="center" vertical="top"/>
    </xf>
    <xf numFmtId="0" fontId="28" fillId="18" borderId="84" xfId="0" applyFont="1" applyFill="1" applyBorder="1" applyAlignment="1">
      <alignment horizontal="center" vertical="top"/>
    </xf>
    <xf numFmtId="0" fontId="28" fillId="18" borderId="85" xfId="0" applyFont="1" applyFill="1" applyBorder="1" applyAlignment="1">
      <alignment horizontal="center" vertical="top"/>
    </xf>
    <xf numFmtId="0" fontId="28" fillId="18" borderId="196" xfId="0" applyFont="1" applyFill="1" applyBorder="1" applyAlignment="1">
      <alignment horizontal="center" vertical="top" wrapText="1"/>
    </xf>
    <xf numFmtId="0" fontId="28" fillId="18" borderId="84" xfId="0" applyFont="1" applyFill="1" applyBorder="1" applyAlignment="1">
      <alignment horizontal="center" vertical="top" wrapText="1"/>
    </xf>
    <xf numFmtId="0" fontId="28" fillId="18" borderId="85" xfId="0" applyFont="1" applyFill="1" applyBorder="1" applyAlignment="1">
      <alignment horizontal="center" vertical="top" wrapText="1"/>
    </xf>
    <xf numFmtId="164" fontId="20" fillId="33" borderId="0" xfId="0" applyNumberFormat="1" applyFont="1" applyFill="1" applyAlignment="1">
      <alignment horizontal="left"/>
    </xf>
    <xf numFmtId="0" fontId="20" fillId="33" borderId="0" xfId="0" applyFont="1" applyFill="1"/>
    <xf numFmtId="49" fontId="20" fillId="33" borderId="0" xfId="0" applyNumberFormat="1" applyFont="1" applyFill="1"/>
    <xf numFmtId="44" fontId="13" fillId="33" borderId="70" xfId="2" applyFont="1" applyFill="1" applyBorder="1" applyAlignment="1">
      <alignment horizontal="left" vertical="top"/>
    </xf>
    <xf numFmtId="0" fontId="5" fillId="33" borderId="14" xfId="0" applyFont="1" applyFill="1" applyBorder="1" applyAlignment="1">
      <alignment horizontal="center" vertical="top"/>
    </xf>
    <xf numFmtId="44" fontId="5" fillId="33" borderId="44" xfId="2" applyFont="1" applyFill="1" applyBorder="1" applyAlignment="1">
      <alignment horizontal="left" vertical="top"/>
    </xf>
    <xf numFmtId="43" fontId="5" fillId="33" borderId="15" xfId="1" applyFont="1" applyFill="1" applyBorder="1" applyAlignment="1">
      <alignment horizontal="left" vertical="top" wrapText="1"/>
    </xf>
    <xf numFmtId="0" fontId="5" fillId="33" borderId="52" xfId="0" applyFont="1" applyFill="1" applyBorder="1" applyAlignment="1">
      <alignment horizontal="center" vertical="top"/>
    </xf>
    <xf numFmtId="44" fontId="5" fillId="33" borderId="45" xfId="2" applyFont="1" applyFill="1" applyBorder="1" applyAlignment="1">
      <alignment horizontal="left" vertical="top"/>
    </xf>
    <xf numFmtId="0" fontId="5" fillId="33" borderId="64" xfId="0" applyFont="1" applyFill="1" applyBorder="1" applyAlignment="1">
      <alignment horizontal="center" vertical="top"/>
    </xf>
    <xf numFmtId="44" fontId="5" fillId="33" borderId="46" xfId="2" applyFont="1" applyFill="1" applyBorder="1" applyAlignment="1">
      <alignment horizontal="left" vertical="top"/>
    </xf>
    <xf numFmtId="0" fontId="5" fillId="33" borderId="51" xfId="0" applyFont="1" applyFill="1" applyBorder="1" applyAlignment="1">
      <alignment horizontal="center" vertical="top"/>
    </xf>
    <xf numFmtId="0" fontId="5" fillId="33" borderId="0" xfId="0" applyFont="1" applyFill="1" applyBorder="1" applyAlignment="1">
      <alignment horizontal="center" vertical="top"/>
    </xf>
    <xf numFmtId="44" fontId="5" fillId="33" borderId="48" xfId="2" applyFont="1" applyFill="1" applyBorder="1" applyAlignment="1">
      <alignment horizontal="left" vertical="top"/>
    </xf>
    <xf numFmtId="0" fontId="5" fillId="33" borderId="53" xfId="0" applyFont="1" applyFill="1" applyBorder="1" applyAlignment="1">
      <alignment horizontal="center" vertical="top"/>
    </xf>
    <xf numFmtId="0" fontId="5" fillId="33" borderId="116" xfId="0" applyFont="1" applyFill="1" applyBorder="1" applyAlignment="1">
      <alignment horizontal="center" vertical="top"/>
    </xf>
    <xf numFmtId="14" fontId="24" fillId="33" borderId="81" xfId="0" applyNumberFormat="1" applyFont="1" applyFill="1" applyBorder="1" applyAlignment="1">
      <alignment horizontal="left" vertical="top"/>
    </xf>
    <xf numFmtId="0" fontId="29" fillId="33" borderId="134" xfId="0" applyFont="1" applyFill="1" applyBorder="1" applyAlignment="1" applyProtection="1">
      <alignment vertical="top" wrapText="1"/>
      <protection locked="0"/>
    </xf>
    <xf numFmtId="0" fontId="29" fillId="33" borderId="134" xfId="0" applyFont="1" applyFill="1" applyBorder="1" applyAlignment="1" applyProtection="1">
      <alignment vertical="top"/>
      <protection locked="0"/>
    </xf>
    <xf numFmtId="0" fontId="29" fillId="33" borderId="96" xfId="0" applyFont="1" applyFill="1" applyBorder="1" applyAlignment="1">
      <alignment vertical="top"/>
    </xf>
    <xf numFmtId="0" fontId="29" fillId="33" borderId="135" xfId="0" applyFont="1" applyFill="1" applyBorder="1" applyAlignment="1">
      <alignment vertical="top"/>
    </xf>
    <xf numFmtId="0" fontId="29" fillId="33" borderId="96" xfId="0" applyFont="1" applyFill="1" applyBorder="1" applyAlignment="1" applyProtection="1">
      <alignment horizontal="left" vertical="top"/>
      <protection locked="0"/>
    </xf>
    <xf numFmtId="0" fontId="29" fillId="33" borderId="96" xfId="0" applyFont="1" applyFill="1" applyBorder="1" applyAlignment="1" applyProtection="1">
      <alignment horizontal="left" vertical="top" wrapText="1"/>
      <protection locked="0"/>
    </xf>
    <xf numFmtId="0" fontId="29" fillId="33" borderId="135" xfId="0" applyFont="1" applyFill="1" applyBorder="1" applyAlignment="1" applyProtection="1">
      <alignment horizontal="left" vertical="top" wrapText="1"/>
      <protection locked="0"/>
    </xf>
    <xf numFmtId="0" fontId="29" fillId="33" borderId="95" xfId="0" applyFont="1" applyFill="1" applyBorder="1" applyAlignment="1" applyProtection="1">
      <alignment vertical="top" wrapText="1"/>
      <protection locked="0"/>
    </xf>
    <xf numFmtId="166" fontId="29" fillId="33" borderId="134" xfId="0" applyNumberFormat="1" applyFont="1" applyFill="1" applyBorder="1" applyAlignment="1" applyProtection="1">
      <alignment vertical="top"/>
      <protection locked="0"/>
    </xf>
    <xf numFmtId="2" fontId="29" fillId="33" borderId="134" xfId="0" applyNumberFormat="1" applyFont="1" applyFill="1" applyBorder="1" applyAlignment="1" applyProtection="1">
      <alignment vertical="top"/>
      <protection locked="0"/>
    </xf>
    <xf numFmtId="0" fontId="29" fillId="33" borderId="95" xfId="0" quotePrefix="1" applyFont="1" applyFill="1" applyBorder="1" applyAlignment="1" applyProtection="1">
      <alignment vertical="top" wrapText="1"/>
      <protection locked="0"/>
    </xf>
    <xf numFmtId="2" fontId="29" fillId="33" borderId="96" xfId="0" applyNumberFormat="1" applyFont="1" applyFill="1" applyBorder="1" applyAlignment="1">
      <alignment vertical="top"/>
    </xf>
    <xf numFmtId="0" fontId="29" fillId="33" borderId="136" xfId="0" applyFont="1" applyFill="1" applyBorder="1" applyAlignment="1" applyProtection="1">
      <alignment vertical="top" wrapText="1"/>
      <protection locked="0"/>
    </xf>
    <xf numFmtId="2" fontId="29" fillId="33" borderId="135" xfId="0" applyNumberFormat="1" applyFont="1" applyFill="1" applyBorder="1" applyAlignment="1">
      <alignment vertical="top"/>
    </xf>
    <xf numFmtId="0" fontId="29" fillId="33" borderId="95" xfId="0" applyFont="1" applyFill="1" applyBorder="1" applyAlignment="1">
      <alignment vertical="top" wrapText="1"/>
    </xf>
    <xf numFmtId="0" fontId="24" fillId="33" borderId="82" xfId="0" applyFont="1" applyFill="1" applyBorder="1" applyAlignment="1" applyProtection="1">
      <alignment horizontal="center" vertical="center" wrapText="1"/>
      <protection locked="0"/>
    </xf>
    <xf numFmtId="0" fontId="24" fillId="33" borderId="81" xfId="0" applyFont="1" applyFill="1" applyBorder="1" applyAlignment="1" applyProtection="1">
      <alignment horizontal="center" vertical="center" wrapText="1"/>
      <protection locked="0"/>
    </xf>
    <xf numFmtId="42" fontId="29" fillId="33" borderId="134" xfId="0" applyNumberFormat="1" applyFont="1" applyFill="1" applyBorder="1" applyAlignment="1">
      <alignment vertical="top" wrapText="1"/>
    </xf>
    <xf numFmtId="0" fontId="29" fillId="33" borderId="97" xfId="0" applyFont="1" applyFill="1" applyBorder="1" applyAlignment="1" applyProtection="1">
      <alignment vertical="top" wrapText="1"/>
      <protection locked="0"/>
    </xf>
    <xf numFmtId="0" fontId="29" fillId="33" borderId="96" xfId="0" applyFont="1" applyFill="1" applyBorder="1" applyAlignment="1" applyProtection="1">
      <alignment vertical="top" wrapText="1"/>
      <protection locked="0"/>
    </xf>
    <xf numFmtId="0" fontId="29" fillId="33" borderId="135" xfId="0" applyFont="1" applyFill="1" applyBorder="1" applyAlignment="1" applyProtection="1">
      <alignment vertical="top" wrapText="1"/>
      <protection locked="0"/>
    </xf>
    <xf numFmtId="0" fontId="29" fillId="33" borderId="96" xfId="0" applyFont="1" applyFill="1" applyBorder="1" applyAlignment="1">
      <alignment vertical="top" wrapText="1"/>
    </xf>
    <xf numFmtId="0" fontId="29" fillId="33" borderId="95" xfId="0" quotePrefix="1" applyFont="1" applyFill="1" applyBorder="1" applyAlignment="1" applyProtection="1">
      <alignment vertical="top"/>
      <protection locked="0"/>
    </xf>
    <xf numFmtId="0" fontId="29" fillId="33" borderId="95" xfId="0" applyFont="1" applyFill="1" applyBorder="1" applyAlignment="1" applyProtection="1">
      <alignment vertical="top"/>
      <protection locked="0"/>
    </xf>
    <xf numFmtId="0" fontId="29" fillId="33" borderId="96" xfId="0" applyFont="1" applyFill="1" applyBorder="1" applyAlignment="1" applyProtection="1">
      <alignment vertical="top"/>
      <protection locked="0"/>
    </xf>
    <xf numFmtId="0" fontId="29" fillId="33" borderId="98" xfId="0" applyFont="1" applyFill="1" applyBorder="1" applyAlignment="1" applyProtection="1">
      <alignment vertical="top"/>
      <protection locked="0"/>
    </xf>
    <xf numFmtId="0" fontId="29" fillId="33" borderId="101" xfId="0" applyFont="1" applyFill="1" applyBorder="1" applyAlignment="1" applyProtection="1">
      <alignment vertical="top"/>
      <protection locked="0"/>
    </xf>
    <xf numFmtId="0" fontId="29" fillId="33" borderId="102" xfId="0" applyFont="1" applyFill="1" applyBorder="1" applyAlignment="1" applyProtection="1">
      <alignment vertical="top"/>
      <protection locked="0"/>
    </xf>
    <xf numFmtId="0" fontId="29" fillId="33" borderId="136" xfId="0" applyFont="1" applyFill="1" applyBorder="1" applyAlignment="1" applyProtection="1">
      <alignment vertical="top"/>
      <protection locked="0"/>
    </xf>
    <xf numFmtId="0" fontId="29" fillId="33" borderId="95" xfId="0" applyFont="1" applyFill="1" applyBorder="1" applyAlignment="1">
      <alignment vertical="top"/>
    </xf>
    <xf numFmtId="0" fontId="24" fillId="33" borderId="105" xfId="0" applyFont="1" applyFill="1" applyBorder="1" applyAlignment="1" applyProtection="1">
      <alignment vertical="top"/>
      <protection locked="0"/>
    </xf>
    <xf numFmtId="0" fontId="24" fillId="33" borderId="96" xfId="0" applyFont="1" applyFill="1" applyBorder="1" applyAlignment="1">
      <alignment vertical="top"/>
    </xf>
    <xf numFmtId="9" fontId="24" fillId="33" borderId="96" xfId="3" applyFont="1" applyFill="1" applyBorder="1" applyAlignment="1" applyProtection="1">
      <alignment vertical="top"/>
      <protection locked="0"/>
    </xf>
    <xf numFmtId="9" fontId="24" fillId="33" borderId="96" xfId="3" applyFont="1" applyFill="1" applyBorder="1" applyAlignment="1" applyProtection="1">
      <alignment vertical="top" wrapText="1"/>
      <protection locked="0"/>
    </xf>
    <xf numFmtId="0" fontId="24" fillId="33" borderId="96" xfId="0" applyFont="1" applyFill="1" applyBorder="1" applyAlignment="1" applyProtection="1">
      <alignment horizontal="center" vertical="top"/>
      <protection locked="0"/>
    </xf>
    <xf numFmtId="0" fontId="24" fillId="33" borderId="96" xfId="0" applyFont="1" applyFill="1" applyBorder="1" applyAlignment="1">
      <alignment vertical="top" wrapText="1"/>
    </xf>
    <xf numFmtId="42" fontId="29" fillId="33" borderId="96" xfId="0" applyNumberFormat="1" applyFont="1" applyFill="1" applyBorder="1" applyAlignment="1" applyProtection="1">
      <alignment vertical="top"/>
      <protection locked="0"/>
    </xf>
    <xf numFmtId="1" fontId="29" fillId="33" borderId="96" xfId="0" applyNumberFormat="1" applyFont="1" applyFill="1" applyBorder="1" applyAlignment="1" applyProtection="1">
      <alignment vertical="top"/>
      <protection locked="0"/>
    </xf>
    <xf numFmtId="42" fontId="29" fillId="33" borderId="134" xfId="0" applyNumberFormat="1" applyFont="1" applyFill="1" applyBorder="1" applyAlignment="1">
      <alignment vertical="top"/>
    </xf>
    <xf numFmtId="0" fontId="29" fillId="33" borderId="97" xfId="0" applyFont="1" applyFill="1" applyBorder="1" applyAlignment="1" applyProtection="1">
      <alignment vertical="top"/>
      <protection locked="0"/>
    </xf>
    <xf numFmtId="0" fontId="24" fillId="33" borderId="80" xfId="0" applyFont="1" applyFill="1" applyBorder="1" applyAlignment="1" applyProtection="1">
      <alignment horizontal="right" vertical="center"/>
      <protection locked="0"/>
    </xf>
    <xf numFmtId="0" fontId="29" fillId="33" borderId="199" xfId="0" applyFont="1" applyFill="1" applyBorder="1" applyAlignment="1" applyProtection="1">
      <alignment vertical="top"/>
      <protection locked="0"/>
    </xf>
    <xf numFmtId="0" fontId="29" fillId="33" borderId="134" xfId="0" applyFont="1" applyFill="1" applyBorder="1" applyAlignment="1">
      <alignment vertical="top"/>
    </xf>
    <xf numFmtId="0" fontId="29" fillId="33" borderId="195" xfId="0" applyFont="1" applyFill="1" applyBorder="1" applyAlignment="1">
      <alignment vertical="top"/>
    </xf>
    <xf numFmtId="0" fontId="29" fillId="33" borderId="96" xfId="0" quotePrefix="1" applyFont="1" applyFill="1" applyBorder="1" applyAlignment="1" applyProtection="1">
      <alignment vertical="top" wrapText="1"/>
      <protection locked="0"/>
    </xf>
    <xf numFmtId="0" fontId="29" fillId="33" borderId="98" xfId="0" quotePrefix="1" applyFont="1" applyFill="1" applyBorder="1" applyAlignment="1" applyProtection="1">
      <alignment vertical="top" wrapText="1"/>
      <protection locked="0"/>
    </xf>
    <xf numFmtId="2" fontId="29" fillId="33" borderId="134" xfId="0" applyNumberFormat="1" applyFont="1" applyFill="1" applyBorder="1" applyAlignment="1">
      <alignment vertical="top"/>
    </xf>
    <xf numFmtId="166" fontId="29" fillId="33" borderId="96" xfId="0" applyNumberFormat="1" applyFont="1" applyFill="1" applyBorder="1" applyAlignment="1" applyProtection="1">
      <alignment vertical="top"/>
      <protection locked="0"/>
    </xf>
    <xf numFmtId="2" fontId="29" fillId="33" borderId="96" xfId="0" applyNumberFormat="1" applyFont="1" applyFill="1" applyBorder="1" applyAlignment="1" applyProtection="1">
      <alignment vertical="top"/>
      <protection locked="0"/>
    </xf>
    <xf numFmtId="42" fontId="29" fillId="33" borderId="179" xfId="0" applyNumberFormat="1" applyFont="1" applyFill="1" applyBorder="1" applyAlignment="1">
      <alignment vertical="top"/>
    </xf>
    <xf numFmtId="42" fontId="29" fillId="33" borderId="96" xfId="0" applyNumberFormat="1" applyFont="1" applyFill="1" applyBorder="1" applyAlignment="1">
      <alignment vertical="top"/>
    </xf>
    <xf numFmtId="1" fontId="29" fillId="33" borderId="97" xfId="0" applyNumberFormat="1" applyFont="1" applyFill="1" applyBorder="1" applyAlignment="1" applyProtection="1">
      <alignment vertical="top"/>
      <protection locked="0"/>
    </xf>
    <xf numFmtId="42" fontId="29" fillId="33" borderId="134" xfId="0" applyNumberFormat="1" applyFont="1" applyFill="1" applyBorder="1" applyAlignment="1" applyProtection="1">
      <alignment vertical="top"/>
      <protection locked="0"/>
    </xf>
    <xf numFmtId="0" fontId="24" fillId="33" borderId="96" xfId="0" applyFont="1" applyFill="1" applyBorder="1" applyAlignment="1" applyProtection="1">
      <alignment vertical="top" wrapText="1"/>
      <protection locked="0"/>
    </xf>
    <xf numFmtId="168" fontId="29" fillId="33" borderId="96" xfId="0" applyNumberFormat="1" applyFont="1" applyFill="1" applyBorder="1" applyAlignment="1" applyProtection="1">
      <alignment vertical="top"/>
      <protection locked="0"/>
    </xf>
    <xf numFmtId="0" fontId="24" fillId="33" borderId="95" xfId="0" applyFont="1" applyFill="1" applyBorder="1" applyAlignment="1" applyProtection="1">
      <alignment vertical="top" wrapText="1"/>
      <protection locked="0"/>
    </xf>
    <xf numFmtId="42" fontId="29" fillId="33" borderId="96" xfId="0" applyNumberFormat="1" applyFont="1" applyFill="1" applyBorder="1" applyAlignment="1" applyProtection="1">
      <alignment vertical="top" wrapText="1"/>
      <protection locked="0"/>
    </xf>
    <xf numFmtId="0" fontId="24" fillId="33" borderId="95" xfId="0" applyFont="1" applyFill="1" applyBorder="1" applyAlignment="1">
      <alignment vertical="top" wrapText="1"/>
    </xf>
    <xf numFmtId="42" fontId="29" fillId="33" borderId="96" xfId="0" applyNumberFormat="1" applyFont="1" applyFill="1" applyBorder="1" applyAlignment="1" applyProtection="1">
      <alignment horizontal="left" vertical="top" wrapText="1"/>
      <protection locked="0"/>
    </xf>
    <xf numFmtId="0" fontId="29" fillId="33" borderId="105" xfId="0" applyFont="1" applyFill="1" applyBorder="1" applyAlignment="1" applyProtection="1">
      <alignment vertical="top" wrapText="1"/>
      <protection locked="0"/>
    </xf>
    <xf numFmtId="1" fontId="29" fillId="33" borderId="134" xfId="0" applyNumberFormat="1" applyFont="1" applyFill="1" applyBorder="1" applyAlignment="1" applyProtection="1">
      <alignment vertical="top"/>
      <protection locked="0"/>
    </xf>
  </cellXfs>
  <cellStyles count="5">
    <cellStyle name="Komma" xfId="1" builtinId="3"/>
    <cellStyle name="Procent" xfId="3" builtinId="5"/>
    <cellStyle name="Procent 2" xfId="4" xr:uid="{A22926E7-89C1-4245-A475-7A1845A91AD5}"/>
    <cellStyle name="Standaard" xfId="0" builtinId="0"/>
    <cellStyle name="Valuta" xfId="2" builtinId="4"/>
  </cellStyles>
  <dxfs count="620">
    <dxf>
      <font>
        <b val="0"/>
        <i val="0"/>
        <strike val="0"/>
        <condense val="0"/>
        <extend val="0"/>
        <outline val="0"/>
        <shadow val="0"/>
        <u val="none"/>
        <vertAlign val="baseline"/>
        <sz val="8"/>
        <color auto="1"/>
        <name val="Verdana"/>
        <family val="2"/>
        <scheme val="none"/>
      </font>
      <fill>
        <patternFill>
          <fgColor indexed="64"/>
          <bgColor rgb="FFFFFF00"/>
        </patternFill>
      </fill>
      <alignment horizontal="general" vertical="top" textRotation="0" wrapText="1"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fill>
        <patternFill patternType="solid">
          <fgColor indexed="64"/>
          <bgColor rgb="FFFFFF00"/>
        </patternFill>
      </fill>
      <alignment horizontal="general" vertical="top" textRotation="0" wrapText="0" indent="0" justifyLastLine="0" shrinkToFit="0" readingOrder="0"/>
      <border diagonalUp="0" diagonalDown="0" outline="0">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fill>
        <patternFill patternType="solid">
          <fgColor indexed="64"/>
          <bgColor rgb="FFFFFF00"/>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fill>
        <patternFill patternType="solid">
          <fgColor indexed="64"/>
          <bgColor rgb="FFFFFF00"/>
        </patternFill>
      </fill>
      <alignment horizontal="general" vertical="top" textRotation="0" wrapText="0" indent="0" justifyLastLine="0" shrinkToFit="0" readingOrder="0"/>
      <border diagonalUp="0" diagonalDown="0" outline="0">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fill>
        <patternFill patternType="solid">
          <fgColor indexed="64"/>
          <bgColor rgb="FFFFFF00"/>
        </patternFill>
      </fill>
      <alignment horizontal="general" vertical="top" textRotation="0" wrapText="0" indent="0" justifyLastLine="0" shrinkToFit="0" readingOrder="0"/>
      <border diagonalUp="0" diagonalDown="0" outline="0">
        <left style="thick">
          <color rgb="FFC00000"/>
        </left>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fill>
        <patternFill patternType="none">
          <fgColor indexed="64"/>
          <bgColor rgb="FFFFFF00"/>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fill>
        <patternFill patternType="none">
          <fgColor indexed="64"/>
          <bgColor rgb="FFFFFF00"/>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fill>
        <patternFill>
          <fgColor indexed="64"/>
          <bgColor rgb="FFFFFF00"/>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fill>
        <patternFill patternType="none">
          <fgColor indexed="64"/>
          <bgColor rgb="FFFFFF00"/>
        </patternFill>
      </fill>
      <alignment horizontal="general" vertical="top" textRotation="0" wrapText="0" indent="0" justifyLastLine="0" shrinkToFit="0" readingOrder="0"/>
      <border diagonalUp="0" diagonalDown="0" outline="0">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fill>
        <patternFill patternType="none">
          <fgColor indexed="64"/>
          <bgColor rgb="FFFFFF00"/>
        </patternFill>
      </fill>
      <alignment horizontal="general" vertical="top" textRotation="0" wrapText="0" indent="0" justifyLastLine="0" shrinkToFit="0" readingOrder="0"/>
      <border diagonalUp="0" diagonalDown="0" outline="0">
        <left style="thin">
          <color theme="1" tint="0.34998626667073579"/>
        </left>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fill>
        <patternFill patternType="solid">
          <fgColor indexed="64"/>
          <bgColor rgb="FFFFFF00"/>
        </patternFill>
      </fill>
      <alignment horizontal="general" vertical="top" textRotation="0" wrapText="1"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numFmt numFmtId="32" formatCode="_ &quot;€&quot;\ * #,##0_ ;_ &quot;€&quot;\ * \-#,##0_ ;_ &quot;€&quot;\ * &quot;-&quot;_ ;_ @_ "/>
      <fill>
        <patternFill patternType="solid">
          <fgColor indexed="64"/>
          <bgColor rgb="FFFFFF00"/>
        </patternFill>
      </fill>
      <alignment horizontal="general" vertical="top" textRotation="0" wrapText="1" indent="0" justifyLastLine="0" shrinkToFit="0" readingOrder="0"/>
      <border diagonalUp="0" diagonalDown="0" outline="0">
        <left style="thin">
          <color rgb="FF595959"/>
        </left>
        <right style="thin">
          <color theme="1" tint="0.34998626667073579"/>
        </right>
        <top style="thin">
          <color rgb="FF595959"/>
        </top>
        <bottom style="thin">
          <color rgb="FF595959"/>
        </bottom>
      </border>
      <protection locked="0" hidden="0"/>
    </dxf>
    <dxf>
      <font>
        <b val="0"/>
        <i val="0"/>
        <strike val="0"/>
        <condense val="0"/>
        <extend val="0"/>
        <outline val="0"/>
        <shadow val="0"/>
        <u val="none"/>
        <vertAlign val="baseline"/>
        <sz val="8"/>
        <color auto="1"/>
        <name val="Verdana"/>
        <family val="2"/>
        <scheme val="none"/>
      </font>
      <numFmt numFmtId="32" formatCode="_ &quot;€&quot;\ * #,##0_ ;_ &quot;€&quot;\ * \-#,##0_ ;_ &quot;€&quot;\ * &quot;-&quot;_ ;_ @_ "/>
      <fill>
        <patternFill patternType="solid">
          <fgColor indexed="64"/>
          <bgColor rgb="FFFFFF0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8"/>
        <color auto="1"/>
        <name val="Verdana"/>
        <family val="2"/>
        <scheme val="none"/>
      </font>
      <numFmt numFmtId="32" formatCode="_ &quot;€&quot;\ * #,##0_ ;_ &quot;€&quot;\ * \-#,##0_ ;_ &quot;€&quot;\ * &quot;-&quot;_ ;_ @_ "/>
      <fill>
        <patternFill patternType="solid">
          <fgColor indexed="64"/>
          <bgColor rgb="FFFFFF00"/>
        </patternFill>
      </fill>
      <alignment horizontal="general" vertical="top" textRotation="0" wrapText="1" indent="0" justifyLastLine="0" shrinkToFit="0" readingOrder="0"/>
      <border diagonalUp="0" diagonalDown="0" outline="0">
        <left style="thin">
          <color rgb="FF595959"/>
        </left>
        <right/>
        <top style="thin">
          <color rgb="FF595959"/>
        </top>
        <bottom style="thin">
          <color rgb="FF595959"/>
        </bottom>
      </border>
      <protection locked="0" hidden="0"/>
    </dxf>
    <dxf>
      <font>
        <b val="0"/>
        <i val="0"/>
        <strike val="0"/>
        <condense val="0"/>
        <extend val="0"/>
        <outline val="0"/>
        <shadow val="0"/>
        <u val="none"/>
        <vertAlign val="baseline"/>
        <sz val="8"/>
        <color auto="1"/>
        <name val="Verdana"/>
        <family val="2"/>
        <scheme val="none"/>
      </font>
      <numFmt numFmtId="2" formatCode="0.00"/>
      <fill>
        <patternFill patternType="solid">
          <fgColor indexed="64"/>
          <bgColor rgb="FFFFFF00"/>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numFmt numFmtId="166" formatCode="yyyy/mm/dd;@"/>
      <fill>
        <patternFill patternType="solid">
          <fgColor indexed="64"/>
          <bgColor rgb="FFFFFF00"/>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numFmt numFmtId="19" formatCode="d/m/yyyy"/>
      <fill>
        <patternFill patternType="solid">
          <fgColor indexed="64"/>
          <bgColor rgb="FFFFFF00"/>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fill>
        <patternFill patternType="solid">
          <fgColor indexed="64"/>
          <bgColor rgb="FFFFFF00"/>
        </patternFill>
      </fill>
      <alignment horizontal="general" vertical="top" textRotation="0" wrapText="1"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fill>
        <patternFill patternType="solid">
          <fgColor indexed="64"/>
          <bgColor rgb="FFFFFF00"/>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fill>
        <patternFill patternType="solid">
          <fgColor indexed="64"/>
          <bgColor rgb="FFFFFF00"/>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fill>
        <patternFill patternType="solid">
          <fgColor indexed="64"/>
          <bgColor rgb="FFFFFF00"/>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fill>
        <patternFill patternType="solid">
          <fgColor indexed="64"/>
          <bgColor rgb="FFFFFF00"/>
        </patternFill>
      </fill>
      <alignment horizontal="left"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fill>
        <patternFill>
          <fgColor indexed="64"/>
          <bgColor rgb="FFFFFF00"/>
        </patternFill>
      </fill>
      <alignment horizontal="general" vertical="top" textRotation="0" wrapText="0" indent="0" justifyLastLine="0" shrinkToFit="0" readingOrder="0"/>
      <border diagonalUp="0" diagonalDown="0" outline="0">
        <left style="thin">
          <color rgb="FF59595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fill>
        <patternFill patternType="solid">
          <fgColor indexed="64"/>
          <bgColor rgb="FFFFFF00"/>
        </patternFill>
      </fill>
      <alignment horizontal="general" vertical="top" textRotation="0" wrapText="1" indent="0" justifyLastLine="0" shrinkToFit="0" readingOrder="0"/>
      <border diagonalUp="0" diagonalDown="0" outline="0">
        <left style="thin">
          <color rgb="FF595959"/>
        </left>
        <right style="thin">
          <color rgb="FF595959"/>
        </right>
        <top style="thin">
          <color rgb="FF595959"/>
        </top>
        <bottom style="thin">
          <color rgb="FF595959"/>
        </bottom>
      </border>
      <protection locked="0" hidden="0"/>
    </dxf>
    <dxf>
      <font>
        <b/>
        <i val="0"/>
        <strike val="0"/>
        <color auto="1"/>
      </font>
      <fill>
        <patternFill>
          <bgColor rgb="FF00B050"/>
        </patternFill>
      </fill>
    </dxf>
    <dxf>
      <font>
        <b/>
        <i val="0"/>
      </font>
      <fill>
        <patternFill>
          <bgColor rgb="FF92D050"/>
        </patternFill>
      </fill>
    </dxf>
    <dxf>
      <font>
        <b/>
        <i val="0"/>
      </font>
      <fill>
        <patternFill>
          <bgColor rgb="FFFFC000"/>
        </patternFill>
      </fill>
    </dxf>
    <dxf>
      <font>
        <b/>
        <i val="0"/>
      </font>
      <fill>
        <patternFill>
          <bgColor rgb="FFFF0000"/>
        </patternFill>
      </fill>
    </dxf>
    <dxf>
      <font>
        <b/>
        <i val="0"/>
        <color theme="0"/>
      </font>
      <fill>
        <patternFill>
          <bgColor theme="1"/>
        </patternFill>
      </fill>
    </dxf>
    <dxf>
      <font>
        <b/>
        <i val="0"/>
        <strike val="0"/>
        <color auto="1"/>
      </font>
      <fill>
        <patternFill>
          <bgColor rgb="FF00B050"/>
        </patternFill>
      </fill>
    </dxf>
    <dxf>
      <font>
        <b/>
        <i val="0"/>
      </font>
      <fill>
        <patternFill>
          <bgColor rgb="FF92D050"/>
        </patternFill>
      </fill>
    </dxf>
    <dxf>
      <font>
        <b/>
        <i val="0"/>
      </font>
      <fill>
        <patternFill>
          <bgColor rgb="FFFFC000"/>
        </patternFill>
      </fill>
    </dxf>
    <dxf>
      <font>
        <b/>
        <i val="0"/>
      </font>
      <fill>
        <patternFill>
          <bgColor rgb="FFFF0000"/>
        </patternFill>
      </fill>
    </dxf>
    <dxf>
      <font>
        <b/>
        <i val="0"/>
        <color theme="0"/>
      </font>
      <fill>
        <patternFill>
          <bgColor theme="1"/>
        </patternFill>
      </fill>
    </dxf>
    <dxf>
      <font>
        <b/>
        <i val="0"/>
        <strike val="0"/>
        <color auto="1"/>
      </font>
      <fill>
        <patternFill>
          <bgColor rgb="FF00B050"/>
        </patternFill>
      </fill>
    </dxf>
    <dxf>
      <font>
        <b/>
        <i val="0"/>
      </font>
      <fill>
        <patternFill>
          <bgColor rgb="FF92D050"/>
        </patternFill>
      </fill>
    </dxf>
    <dxf>
      <font>
        <b/>
        <i val="0"/>
      </font>
      <fill>
        <patternFill>
          <bgColor rgb="FFFFC000"/>
        </patternFill>
      </fill>
    </dxf>
    <dxf>
      <font>
        <b/>
        <i val="0"/>
      </font>
      <fill>
        <patternFill>
          <bgColor rgb="FFFF0000"/>
        </patternFill>
      </fill>
    </dxf>
    <dxf>
      <font>
        <b/>
        <i val="0"/>
        <color theme="0"/>
      </font>
      <fill>
        <patternFill>
          <bgColor theme="1"/>
        </patternFill>
      </fill>
    </dxf>
    <dxf>
      <font>
        <b val="0"/>
        <i val="0"/>
        <color theme="1"/>
      </font>
      <fill>
        <patternFill>
          <bgColor theme="4"/>
        </patternFill>
      </fill>
      <border>
        <left style="thin">
          <color auto="1"/>
        </left>
        <right style="thin">
          <color auto="1"/>
        </right>
        <top style="thin">
          <color auto="1"/>
        </top>
        <bottom style="thin">
          <color auto="1"/>
        </bottom>
      </border>
    </dxf>
    <dxf>
      <font>
        <b val="0"/>
        <i val="0"/>
        <color theme="1"/>
      </font>
      <fill>
        <patternFill>
          <bgColor theme="4"/>
        </patternFill>
      </fill>
      <border>
        <left style="thin">
          <color auto="1"/>
        </left>
        <right style="thin">
          <color auto="1"/>
        </right>
        <top style="thin">
          <color auto="1"/>
        </top>
        <bottom style="thin">
          <color auto="1"/>
        </bottom>
      </border>
    </dxf>
    <dxf>
      <font>
        <b val="0"/>
        <i val="0"/>
        <color theme="1"/>
      </font>
      <fill>
        <patternFill>
          <bgColor theme="4"/>
        </patternFill>
      </fill>
      <border>
        <left style="thin">
          <color auto="1"/>
        </left>
        <right style="thin">
          <color auto="1"/>
        </right>
        <top style="thin">
          <color auto="1"/>
        </top>
        <bottom style="thin">
          <color auto="1"/>
        </bottom>
      </border>
    </dxf>
    <dxf>
      <font>
        <b val="0"/>
        <i val="0"/>
        <color theme="1"/>
      </font>
      <fill>
        <patternFill>
          <bgColor theme="4"/>
        </patternFill>
      </fill>
      <border>
        <left style="thin">
          <color auto="1"/>
        </left>
        <right style="thin">
          <color auto="1"/>
        </right>
        <top style="thin">
          <color auto="1"/>
        </top>
        <bottom style="thin">
          <color auto="1"/>
        </bottom>
      </border>
    </dxf>
    <dxf>
      <font>
        <b val="0"/>
        <i val="0"/>
        <color theme="1"/>
      </font>
      <fill>
        <patternFill>
          <bgColor theme="4"/>
        </patternFill>
      </fill>
      <border>
        <left style="thin">
          <color auto="1"/>
        </left>
        <right style="thin">
          <color auto="1"/>
        </right>
        <top style="thin">
          <color auto="1"/>
        </top>
        <bottom style="thin">
          <color auto="1"/>
        </bottom>
      </border>
    </dxf>
    <dxf>
      <font>
        <b val="0"/>
        <i val="0"/>
        <color theme="1"/>
      </font>
      <fill>
        <patternFill>
          <bgColor theme="4"/>
        </patternFill>
      </fill>
      <border>
        <left style="thin">
          <color auto="1"/>
        </left>
        <right style="thin">
          <color auto="1"/>
        </right>
        <top style="thin">
          <color auto="1"/>
        </top>
        <bottom style="thin">
          <color auto="1"/>
        </bottom>
      </border>
    </dxf>
    <dxf>
      <font>
        <b val="0"/>
        <i val="0"/>
        <color theme="1"/>
      </font>
      <fill>
        <patternFill>
          <bgColor theme="4"/>
        </patternFill>
      </fill>
      <border>
        <left style="thin">
          <color auto="1"/>
        </left>
        <right style="thin">
          <color auto="1"/>
        </right>
        <top style="thin">
          <color auto="1"/>
        </top>
        <bottom style="thin">
          <color auto="1"/>
        </bottom>
      </border>
    </dxf>
    <dxf>
      <font>
        <b val="0"/>
        <i val="0"/>
        <color theme="1"/>
      </font>
      <fill>
        <patternFill>
          <bgColor theme="4"/>
        </patternFill>
      </fill>
      <border>
        <left style="thin">
          <color auto="1"/>
        </left>
        <right style="thin">
          <color auto="1"/>
        </right>
        <top style="thin">
          <color auto="1"/>
        </top>
        <bottom style="thin">
          <color auto="1"/>
        </bottom>
      </border>
    </dxf>
    <dxf>
      <font>
        <b val="0"/>
        <i val="0"/>
        <color theme="1"/>
      </font>
      <fill>
        <patternFill>
          <bgColor theme="4"/>
        </patternFill>
      </fill>
      <border>
        <left style="thin">
          <color auto="1"/>
        </left>
        <right style="thin">
          <color auto="1"/>
        </right>
        <top style="thin">
          <color auto="1"/>
        </top>
        <bottom style="thin">
          <color auto="1"/>
        </bottom>
      </border>
    </dxf>
    <dxf>
      <font>
        <b val="0"/>
        <i val="0"/>
        <color theme="1"/>
      </font>
      <fill>
        <patternFill>
          <bgColor theme="4"/>
        </patternFill>
      </fill>
      <border>
        <left style="thin">
          <color auto="1"/>
        </left>
        <right style="thin">
          <color auto="1"/>
        </right>
        <top style="thin">
          <color auto="1"/>
        </top>
        <bottom style="thin">
          <color auto="1"/>
        </bottom>
      </border>
    </dxf>
    <dxf>
      <font>
        <b val="0"/>
        <i val="0"/>
        <color theme="1"/>
      </font>
      <fill>
        <patternFill>
          <bgColor theme="4"/>
        </patternFill>
      </fill>
      <border>
        <left style="thin">
          <color auto="1"/>
        </left>
        <right style="thin">
          <color auto="1"/>
        </right>
        <top style="thin">
          <color auto="1"/>
        </top>
        <bottom style="thin">
          <color auto="1"/>
        </bottom>
      </border>
    </dxf>
    <dxf>
      <font>
        <b val="0"/>
        <i val="0"/>
        <color theme="1"/>
      </font>
      <fill>
        <patternFill>
          <bgColor theme="4"/>
        </patternFill>
      </fill>
      <border>
        <left style="thin">
          <color auto="1"/>
        </left>
        <right style="thin">
          <color auto="1"/>
        </right>
        <top style="thin">
          <color auto="1"/>
        </top>
        <bottom style="thin">
          <color auto="1"/>
        </bottom>
      </border>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70C0"/>
      </font>
      <fill>
        <patternFill>
          <bgColor theme="8" tint="0.79998168889431442"/>
        </patternFill>
      </fill>
    </dxf>
    <dxf>
      <font>
        <color theme="0" tint="-0.34998626667073579"/>
      </font>
      <fill>
        <patternFill>
          <bgColor theme="0"/>
        </patternFill>
      </fill>
    </dxf>
    <dxf>
      <font>
        <color theme="0" tint="-0.34998626667073579"/>
      </font>
      <fill>
        <patternFill>
          <bgColor theme="0"/>
        </patternFill>
      </fill>
    </dxf>
    <dxf>
      <font>
        <color rgb="FFC00000"/>
      </font>
      <fill>
        <patternFill>
          <bgColor rgb="FFFFD3D3"/>
        </patternFill>
      </fill>
    </dxf>
    <dxf>
      <font>
        <color rgb="FFC00000"/>
      </font>
      <fill>
        <patternFill>
          <bgColor rgb="FFFFD3D3"/>
        </patternFill>
      </fill>
    </dxf>
    <dxf>
      <font>
        <color rgb="FF7030A0"/>
      </font>
      <fill>
        <patternFill>
          <bgColor rgb="FFDCC5ED"/>
        </patternFill>
      </fill>
    </dxf>
    <dxf>
      <font>
        <color theme="7"/>
      </font>
      <fill>
        <patternFill>
          <bgColor theme="7" tint="0.79998168889431442"/>
        </patternFill>
      </fill>
    </dxf>
    <dxf>
      <font>
        <color theme="9"/>
      </font>
      <fill>
        <patternFill>
          <bgColor theme="9" tint="0.79998168889431442"/>
        </patternFill>
      </fill>
    </dxf>
    <dxf>
      <font>
        <color theme="9"/>
      </font>
      <fill>
        <patternFill>
          <bgColor theme="9" tint="0.79998168889431442"/>
        </patternFill>
      </fill>
    </dxf>
    <dxf>
      <font>
        <b val="0"/>
        <i val="0"/>
        <strike val="0"/>
        <condense val="0"/>
        <extend val="0"/>
        <outline val="0"/>
        <shadow val="0"/>
        <u val="none"/>
        <vertAlign val="baseline"/>
        <sz val="8"/>
        <color theme="1"/>
        <name val="Verdana"/>
        <family val="2"/>
        <scheme val="none"/>
      </font>
      <fill>
        <patternFill patternType="none">
          <fgColor indexed="64"/>
          <bgColor auto="1"/>
        </patternFill>
      </fill>
      <alignment horizontal="general" vertical="top" textRotation="0" wrapText="0" indent="0" justifyLastLine="0" shrinkToFit="0" readingOrder="0"/>
      <border diagonalUp="0" diagonalDown="0" outline="0">
        <left style="thin">
          <color theme="2" tint="-0.24994659260841701"/>
        </left>
        <right style="thin">
          <color theme="2" tint="-0.24994659260841701"/>
        </right>
        <top style="thin">
          <color theme="2" tint="-0.24994659260841701"/>
        </top>
        <bottom style="thin">
          <color theme="2" tint="-0.24994659260841701"/>
        </bottom>
      </border>
    </dxf>
    <dxf>
      <font>
        <b val="0"/>
        <i val="0"/>
        <strike val="0"/>
        <condense val="0"/>
        <extend val="0"/>
        <outline val="0"/>
        <shadow val="0"/>
        <u val="none"/>
        <vertAlign val="baseline"/>
        <sz val="8"/>
        <color theme="1"/>
        <name val="Verdana"/>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theme="2" tint="-0.24994659260841701"/>
        </left>
        <right style="thin">
          <color theme="2" tint="-0.24994659260841701"/>
        </right>
        <top style="thin">
          <color theme="2" tint="-0.24994659260841701"/>
        </top>
        <bottom style="thin">
          <color theme="2" tint="-0.24994659260841701"/>
        </bottom>
      </border>
    </dxf>
    <dxf>
      <font>
        <b val="0"/>
        <i val="0"/>
        <strike val="0"/>
        <condense val="0"/>
        <extend val="0"/>
        <outline val="0"/>
        <shadow val="0"/>
        <u val="none"/>
        <vertAlign val="baseline"/>
        <sz val="8"/>
        <color theme="1"/>
        <name val="Verdana"/>
        <family val="2"/>
        <scheme val="none"/>
      </font>
      <fill>
        <patternFill patternType="none">
          <fgColor indexed="64"/>
          <bgColor auto="1"/>
        </patternFill>
      </fill>
      <alignment horizontal="general" vertical="top" textRotation="0" wrapText="0" indent="0" justifyLastLine="0" shrinkToFit="0" readingOrder="0"/>
      <border diagonalUp="0" diagonalDown="0" outline="0">
        <left style="thin">
          <color theme="2" tint="-0.24994659260841701"/>
        </left>
        <right style="thin">
          <color theme="2" tint="-0.24994659260841701"/>
        </right>
        <top style="thin">
          <color theme="2" tint="-0.24994659260841701"/>
        </top>
        <bottom style="thin">
          <color theme="2" tint="-0.24994659260841701"/>
        </bottom>
      </border>
    </dxf>
    <dxf>
      <font>
        <b val="0"/>
        <i val="0"/>
        <strike val="0"/>
        <condense val="0"/>
        <extend val="0"/>
        <outline val="0"/>
        <shadow val="0"/>
        <u val="none"/>
        <vertAlign val="baseline"/>
        <sz val="10"/>
        <color theme="1"/>
        <name val="Verdana"/>
        <family val="2"/>
        <scheme val="none"/>
      </font>
      <fill>
        <patternFill patternType="none">
          <fgColor indexed="64"/>
          <bgColor auto="1"/>
        </patternFill>
      </fill>
      <alignment horizontal="general" vertical="top" textRotation="0" wrapText="0" indent="0" justifyLastLine="0" shrinkToFit="0" readingOrder="0"/>
      <border diagonalUp="0" diagonalDown="0" outline="0">
        <left/>
        <right style="thin">
          <color theme="2" tint="-0.24994659260841701"/>
        </right>
        <top style="thin">
          <color theme="2" tint="-0.24994659260841701"/>
        </top>
        <bottom style="thin">
          <color theme="2" tint="-0.24994659260841701"/>
        </bottom>
      </border>
    </dxf>
    <dxf>
      <font>
        <b val="0"/>
        <i val="0"/>
        <strike val="0"/>
        <condense val="0"/>
        <extend val="0"/>
        <outline val="0"/>
        <shadow val="0"/>
        <u val="none"/>
        <vertAlign val="baseline"/>
        <sz val="8"/>
        <color theme="1"/>
        <name val="Verdana"/>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theme="2" tint="-0.24994659260841701"/>
        </left>
        <right/>
        <top style="thin">
          <color theme="2" tint="-0.24994659260841701"/>
        </top>
        <bottom style="thin">
          <color theme="2" tint="-0.24994659260841701"/>
        </bottom>
      </border>
    </dxf>
    <dxf>
      <font>
        <b val="0"/>
        <i val="0"/>
        <strike val="0"/>
        <condense val="0"/>
        <extend val="0"/>
        <outline val="0"/>
        <shadow val="0"/>
        <u val="none"/>
        <vertAlign val="baseline"/>
        <sz val="8"/>
        <color theme="1"/>
        <name val="Verdana"/>
        <family val="2"/>
        <scheme val="none"/>
      </font>
      <fill>
        <patternFill patternType="none">
          <fgColor indexed="64"/>
          <bgColor auto="1"/>
        </patternFill>
      </fill>
      <alignment horizontal="general" vertical="top" textRotation="0" wrapText="0" indent="0" justifyLastLine="0" shrinkToFit="0" readingOrder="0"/>
      <border diagonalUp="0" diagonalDown="0" outline="0">
        <left style="thin">
          <color theme="2" tint="-0.24994659260841701"/>
        </left>
        <right style="thin">
          <color theme="2" tint="-0.24994659260841701"/>
        </right>
        <top style="thin">
          <color theme="2" tint="-0.24994659260841701"/>
        </top>
        <bottom style="thin">
          <color theme="2" tint="-0.24994659260841701"/>
        </bottom>
      </border>
    </dxf>
    <dxf>
      <border outline="0">
        <top style="thin">
          <color theme="2" tint="-0.24994659260841701"/>
        </top>
      </border>
    </dxf>
    <dxf>
      <border outline="0">
        <left style="thick">
          <color theme="2" tint="-0.24994659260841701"/>
        </left>
        <right style="thick">
          <color theme="2" tint="-0.24994659260841701"/>
        </right>
        <top style="thick">
          <color theme="2" tint="-0.24994659260841701"/>
        </top>
        <bottom style="thick">
          <color theme="2" tint="-0.24994659260841701"/>
        </bottom>
      </border>
    </dxf>
    <dxf>
      <font>
        <b val="0"/>
        <i val="0"/>
        <strike val="0"/>
        <condense val="0"/>
        <extend val="0"/>
        <outline val="0"/>
        <shadow val="0"/>
        <u val="none"/>
        <vertAlign val="baseline"/>
        <sz val="8"/>
        <color theme="1"/>
        <name val="Verdana"/>
        <family val="2"/>
        <scheme val="none"/>
      </font>
      <fill>
        <patternFill patternType="none">
          <fgColor indexed="64"/>
          <bgColor auto="1"/>
        </patternFill>
      </fill>
      <alignment horizontal="general" vertical="top" textRotation="0" wrapText="0" indent="0" justifyLastLine="0" shrinkToFit="0" readingOrder="0"/>
    </dxf>
    <dxf>
      <border outline="0">
        <bottom style="thin">
          <color theme="2" tint="-0.24994659260841701"/>
        </bottom>
      </border>
    </dxf>
    <dxf>
      <font>
        <b val="0"/>
        <i val="0"/>
        <strike val="0"/>
        <condense val="0"/>
        <extend val="0"/>
        <outline val="0"/>
        <shadow val="0"/>
        <u val="none"/>
        <vertAlign val="baseline"/>
        <sz val="10"/>
        <color theme="1"/>
        <name val="Verdana"/>
        <family val="2"/>
        <scheme val="none"/>
      </font>
      <fill>
        <patternFill patternType="none">
          <fgColor indexed="64"/>
          <bgColor auto="1"/>
        </patternFill>
      </fill>
      <alignment horizontal="general" vertical="top" textRotation="0" wrapText="0" indent="0" justifyLastLine="0" shrinkToFit="0" readingOrder="0"/>
      <border diagonalUp="0" diagonalDown="0" outline="0">
        <left style="thin">
          <color theme="2" tint="-0.24994659260841701"/>
        </left>
        <right style="thin">
          <color theme="2" tint="-0.24994659260841701"/>
        </right>
        <top/>
        <bottom/>
      </border>
    </dxf>
    <dxf>
      <font>
        <b/>
        <i val="0"/>
        <strike val="0"/>
        <condense val="0"/>
        <extend val="0"/>
        <outline val="0"/>
        <shadow val="0"/>
        <u val="none"/>
        <vertAlign val="baseline"/>
        <sz val="11"/>
        <color auto="1"/>
        <name val="Aptos Narrow"/>
        <family val="2"/>
        <scheme val="minor"/>
      </font>
      <fill>
        <patternFill patternType="solid">
          <fgColor indexed="64"/>
          <bgColor theme="9" tint="0.39997558519241921"/>
        </patternFill>
      </fill>
      <alignment horizontal="left" vertical="top" textRotation="0" wrapText="1" indent="0" justifyLastLine="0" shrinkToFit="0" readingOrder="0"/>
    </dxf>
    <dxf>
      <alignment horizontal="center" textRotation="0" indent="0" justifyLastLine="0" shrinkToFit="0" readingOrder="0"/>
    </dxf>
    <dxf>
      <alignment horizontal="center" textRotation="0" wrapText="1" indent="0" justifyLastLine="0" shrinkToFit="0" readingOrder="0"/>
    </dxf>
    <dxf>
      <alignment horizontal="center" textRotation="0" indent="0" justifyLastLine="0" shrinkToFit="0" readingOrder="0"/>
    </dxf>
    <dxf>
      <alignment horizontal="center" textRotation="0" indent="0" justifyLastLine="0" shrinkToFit="0" readingOrder="0"/>
    </dxf>
    <dxf>
      <numFmt numFmtId="19" formatCode="d/m/yyyy"/>
      <alignment horizontal="general" textRotation="0" indent="0" justifyLastLine="0" shrinkToFit="0" readingOrder="0"/>
    </dxf>
    <dxf>
      <alignment horizontal="general" textRotation="0" indent="0" justifyLastLine="0" shrinkToFit="0" readingOrder="0"/>
    </dxf>
    <dxf>
      <alignment horizontal="center" textRotation="0" indent="0" justifyLastLine="0" shrinkToFit="0" readingOrder="0"/>
    </dxf>
    <dxf>
      <alignment horizontal="center" textRotation="0" wrapText="1" indent="0" justifyLastLine="0" shrinkToFit="0" readingOrder="0"/>
    </dxf>
    <dxf>
      <alignment horizontal="center" textRotation="0" indent="0" justifyLastLine="0" shrinkToFit="0" readingOrder="0"/>
    </dxf>
    <dxf>
      <font>
        <b val="0"/>
        <i val="0"/>
        <strike val="0"/>
        <condense val="0"/>
        <extend val="0"/>
        <outline val="0"/>
        <shadow val="0"/>
        <u val="none"/>
        <vertAlign val="baseline"/>
        <sz val="9"/>
        <color theme="1"/>
        <name val="Verdana"/>
        <family val="2"/>
        <scheme val="none"/>
      </font>
      <alignment horizontal="center" vertical="bottom" textRotation="0" wrapText="0" indent="0" justifyLastLine="0" shrinkToFit="0" readingOrder="0"/>
    </dxf>
    <dxf>
      <alignment horizontal="center" textRotation="0" indent="0" justifyLastLine="0" shrinkToFit="0" readingOrder="0"/>
    </dxf>
    <dxf>
      <alignment horizontal="center" textRotation="0" indent="0" justifyLastLine="0" shrinkToFit="0" readingOrder="0"/>
    </dxf>
    <dxf>
      <border outline="0">
        <top style="thin">
          <color theme="4" tint="0.39997558519241921"/>
        </top>
      </border>
    </dxf>
    <dxf>
      <alignment horizontal="center" textRotation="0" indent="0" justifyLastLine="0" shrinkToFit="0" readingOrder="0"/>
    </dxf>
    <dxf>
      <border outline="0">
        <bottom style="thin">
          <color theme="4" tint="0.39997558519241921"/>
        </bottom>
      </border>
    </dxf>
    <dxf>
      <font>
        <b/>
        <i val="0"/>
        <strike val="0"/>
        <condense val="0"/>
        <extend val="0"/>
        <outline val="0"/>
        <shadow val="0"/>
        <u val="none"/>
        <vertAlign val="baseline"/>
        <sz val="9"/>
        <color theme="0"/>
        <name val="Verdana"/>
        <family val="2"/>
        <scheme val="none"/>
      </font>
      <fill>
        <patternFill patternType="solid">
          <fgColor theme="4"/>
          <bgColor theme="4"/>
        </patternFill>
      </fill>
      <alignment horizontal="general" vertical="top" textRotation="0" wrapText="1" indent="0" justifyLastLine="0" shrinkToFit="0" readingOrder="0"/>
    </dxf>
    <dxf>
      <font>
        <b val="0"/>
        <i val="0"/>
        <strike val="0"/>
        <condense val="0"/>
        <extend val="0"/>
        <outline val="0"/>
        <shadow val="0"/>
        <u val="none"/>
        <vertAlign val="baseline"/>
        <sz val="8"/>
        <color theme="1"/>
        <name val="Verdana"/>
        <family val="2"/>
        <scheme val="none"/>
      </font>
      <fill>
        <patternFill patternType="none">
          <fgColor indexed="64"/>
          <bgColor indexed="65"/>
        </patternFill>
      </fill>
      <alignment horizontal="general" vertical="top" textRotation="0" wrapText="1" indent="0" justifyLastLine="0" shrinkToFit="0" readingOrder="0"/>
      <border diagonalUp="0" diagonalDown="0">
        <left style="thin">
          <color theme="2" tint="-0.24994659260841701"/>
        </left>
        <right/>
        <top style="thin">
          <color theme="2" tint="-0.24994659260841701"/>
        </top>
        <bottom style="thin">
          <color theme="2" tint="-0.24994659260841701"/>
        </bottom>
        <vertical/>
        <horizontal/>
      </border>
    </dxf>
    <dxf>
      <font>
        <b val="0"/>
        <i val="0"/>
        <strike val="0"/>
        <condense val="0"/>
        <extend val="0"/>
        <outline val="0"/>
        <shadow val="0"/>
        <u val="none"/>
        <vertAlign val="baseline"/>
        <sz val="8"/>
        <color theme="1"/>
        <name val="Verdana"/>
        <family val="2"/>
        <scheme val="none"/>
      </font>
      <fill>
        <patternFill patternType="none">
          <fgColor indexed="64"/>
          <bgColor indexed="65"/>
        </patternFill>
      </fill>
      <alignment horizontal="general" vertical="top" textRotation="0" wrapText="1" indent="0" justifyLastLine="0" shrinkToFit="0" readingOrder="0"/>
      <border diagonalUp="0" diagonalDown="0">
        <left style="thin">
          <color theme="2" tint="-0.24994659260841701"/>
        </left>
        <right style="thick">
          <color theme="2" tint="-0.24994659260841701"/>
        </right>
        <top style="thin">
          <color theme="2" tint="-0.24994659260841701"/>
        </top>
        <bottom style="thin">
          <color theme="2" tint="-0.24994659260841701"/>
        </bottom>
        <vertical/>
        <horizontal/>
      </border>
    </dxf>
    <dxf>
      <font>
        <b val="0"/>
        <i val="0"/>
        <strike val="0"/>
        <condense val="0"/>
        <extend val="0"/>
        <outline val="0"/>
        <shadow val="0"/>
        <u val="none"/>
        <vertAlign val="baseline"/>
        <sz val="8"/>
        <color theme="1"/>
        <name val="Verdana"/>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theme="2" tint="-0.24994659260841701"/>
        </left>
        <right style="thin">
          <color theme="2" tint="-0.24994659260841701"/>
        </right>
        <top style="thin">
          <color theme="2" tint="-0.24994659260841701"/>
        </top>
        <bottom style="thin">
          <color theme="2" tint="-0.24994659260841701"/>
        </bottom>
        <vertical/>
        <horizontal/>
      </border>
    </dxf>
    <dxf>
      <font>
        <b val="0"/>
        <i val="0"/>
        <strike val="0"/>
        <condense val="0"/>
        <extend val="0"/>
        <outline val="0"/>
        <shadow val="0"/>
        <u val="none"/>
        <vertAlign val="baseline"/>
        <sz val="8"/>
        <color theme="1"/>
        <name val="Verdana"/>
        <family val="2"/>
        <scheme val="none"/>
      </font>
      <alignment horizontal="general" vertical="top" textRotation="0" wrapText="0" indent="0" justifyLastLine="0" shrinkToFit="0" readingOrder="0"/>
      <border diagonalUp="0" diagonalDown="0">
        <left/>
        <right style="thin">
          <color theme="2" tint="-0.24994659260841701"/>
        </right>
        <top style="thin">
          <color theme="2" tint="-0.24994659260841701"/>
        </top>
        <bottom style="thin">
          <color theme="2" tint="-0.24994659260841701"/>
        </bottom>
        <vertical/>
        <horizontal/>
      </border>
    </dxf>
    <dxf>
      <border outline="0">
        <top style="thin">
          <color theme="2" tint="-0.24994659260841701"/>
        </top>
      </border>
    </dxf>
    <dxf>
      <border outline="0">
        <left style="thick">
          <color theme="2" tint="-0.24994659260841701"/>
        </left>
        <right style="thick">
          <color theme="2" tint="-0.24994659260841701"/>
        </right>
        <top style="thick">
          <color theme="2" tint="-0.24994659260841701"/>
        </top>
        <bottom style="thick">
          <color theme="2" tint="-0.24994659260841701"/>
        </bottom>
      </border>
    </dxf>
    <dxf>
      <border outline="0">
        <bottom style="thin">
          <color theme="2" tint="-0.24994659260841701"/>
        </bottom>
      </border>
    </dxf>
    <dxf>
      <font>
        <b val="0"/>
        <i val="0"/>
        <strike val="0"/>
        <condense val="0"/>
        <extend val="0"/>
        <outline val="0"/>
        <shadow val="0"/>
        <u val="none"/>
        <vertAlign val="baseline"/>
        <sz val="10"/>
        <color theme="1"/>
        <name val="Verdana"/>
        <family val="2"/>
        <scheme val="none"/>
      </font>
      <alignment horizontal="general" vertical="top" textRotation="0" wrapText="0" indent="0" justifyLastLine="0" shrinkToFit="0" readingOrder="0"/>
    </dxf>
    <dxf>
      <font>
        <b val="0"/>
        <i val="0"/>
        <strike val="0"/>
        <condense val="0"/>
        <extend val="0"/>
        <outline val="0"/>
        <shadow val="0"/>
        <u val="none"/>
        <vertAlign val="baseline"/>
        <sz val="8"/>
        <color rgb="FF000000"/>
        <name val="Verdana"/>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A6A6A6"/>
        </left>
        <right/>
        <top style="thin">
          <color rgb="FFA6A6A6"/>
        </top>
        <bottom style="thin">
          <color rgb="FFA6A6A6"/>
        </bottom>
      </border>
    </dxf>
    <dxf>
      <font>
        <b val="0"/>
        <i val="0"/>
        <strike val="0"/>
        <condense val="0"/>
        <extend val="0"/>
        <outline val="0"/>
        <shadow val="0"/>
        <u val="none"/>
        <vertAlign val="baseline"/>
        <sz val="8"/>
        <color rgb="FF000000"/>
        <name val="Verdana"/>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rgb="FF000000"/>
        <name val="Verdana"/>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rgb="FF000000"/>
        <name val="Verdana"/>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auto="1"/>
        <name val="Verdana"/>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rgb="FF000000"/>
        <name val="Verdana"/>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rgb="FFA6A6A6"/>
        </right>
        <top style="thin">
          <color rgb="FFA6A6A6"/>
        </top>
        <bottom style="thin">
          <color rgb="FFA6A6A6"/>
        </bottom>
      </border>
    </dxf>
    <dxf>
      <border outline="0">
        <top style="thin">
          <color rgb="FFA6A6A6"/>
        </top>
      </border>
    </dxf>
    <dxf>
      <border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rgb="FF000000"/>
        <name val="Verdana"/>
        <family val="2"/>
        <scheme val="none"/>
      </font>
      <fill>
        <patternFill patternType="none">
          <fgColor rgb="FF000000"/>
          <bgColor auto="1"/>
        </patternFill>
      </fill>
      <alignment horizontal="center" vertical="top" textRotation="0" wrapText="1" indent="0" justifyLastLine="0" shrinkToFit="0" readingOrder="0"/>
    </dxf>
    <dxf>
      <border outline="0">
        <bottom style="thin">
          <color rgb="FFA6A6A6"/>
        </bottom>
      </border>
    </dxf>
    <dxf>
      <font>
        <b/>
        <i val="0"/>
        <strike val="0"/>
        <condense val="0"/>
        <extend val="0"/>
        <outline val="0"/>
        <shadow val="0"/>
        <u val="none"/>
        <vertAlign val="baseline"/>
        <sz val="8"/>
        <color rgb="FFFFFFFF"/>
        <name val="Verdana"/>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rgb="FFA6A6A6"/>
        </left>
        <right style="thin">
          <color rgb="FFA6A6A6"/>
        </right>
        <top/>
        <bottom/>
      </border>
    </dxf>
    <dxf>
      <font>
        <b val="0"/>
        <i val="0"/>
        <strike val="0"/>
        <condense val="0"/>
        <extend val="0"/>
        <outline val="0"/>
        <shadow val="0"/>
        <u val="none"/>
        <vertAlign val="baseline"/>
        <sz val="8"/>
        <color auto="1"/>
        <name val="Verdana"/>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A6A6A6"/>
        </left>
        <right/>
        <top style="thin">
          <color rgb="FFA6A6A6"/>
        </top>
        <bottom style="thin">
          <color rgb="FFA6A6A6"/>
        </bottom>
      </border>
    </dxf>
    <dxf>
      <font>
        <b val="0"/>
        <i val="0"/>
        <strike val="0"/>
        <condense val="0"/>
        <extend val="0"/>
        <outline val="0"/>
        <shadow val="0"/>
        <u val="none"/>
        <vertAlign val="baseline"/>
        <sz val="8"/>
        <color auto="1"/>
        <name val="Verdana"/>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auto="1"/>
        <name val="Verdana"/>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auto="1"/>
        <name val="Verdana"/>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auto="1"/>
        <name val="Verdana"/>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auto="1"/>
        <name val="Verdana"/>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rgb="FFA6A6A6"/>
        </right>
        <top style="thin">
          <color rgb="FFA6A6A6"/>
        </top>
        <bottom style="thin">
          <color rgb="FFA6A6A6"/>
        </bottom>
      </border>
    </dxf>
    <dxf>
      <border outline="0">
        <top style="thin">
          <color rgb="FFA6A6A6"/>
        </top>
      </border>
    </dxf>
    <dxf>
      <border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auto="1"/>
        <name val="Verdana"/>
        <family val="2"/>
        <scheme val="none"/>
      </font>
      <fill>
        <patternFill patternType="none">
          <fgColor rgb="FF000000"/>
          <bgColor auto="1"/>
        </patternFill>
      </fill>
      <alignment horizontal="center" vertical="top" textRotation="0" wrapText="1" indent="0" justifyLastLine="0" shrinkToFit="0" readingOrder="0"/>
    </dxf>
    <dxf>
      <border outline="0">
        <bottom style="thin">
          <color rgb="FFA6A6A6"/>
        </bottom>
      </border>
    </dxf>
    <dxf>
      <font>
        <b/>
        <i val="0"/>
        <strike val="0"/>
        <condense val="0"/>
        <extend val="0"/>
        <outline val="0"/>
        <shadow val="0"/>
        <u val="none"/>
        <vertAlign val="baseline"/>
        <sz val="8"/>
        <color rgb="FFFFFFFF"/>
        <name val="Verdana"/>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rgb="FFA6A6A6"/>
        </left>
        <right style="thin">
          <color rgb="FFA6A6A6"/>
        </right>
        <top/>
        <bottom/>
      </border>
    </dxf>
    <dxf>
      <font>
        <b val="0"/>
        <i val="0"/>
        <strike val="0"/>
        <condense val="0"/>
        <extend val="0"/>
        <outline val="0"/>
        <shadow val="0"/>
        <u val="none"/>
        <vertAlign val="baseline"/>
        <sz val="8"/>
        <color rgb="FF000000"/>
        <name val="Verdana"/>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rgb="FF000000"/>
        <name val="Verdana"/>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rgb="FF000000"/>
        <name val="Verdana"/>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rgb="FF000000"/>
        <name val="Verdana"/>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rgb="FFA6A6A6"/>
        </left>
        <right style="thin">
          <color rgb="FFA6A6A6"/>
        </right>
        <top style="thin">
          <color rgb="FFA6A6A6"/>
        </top>
        <bottom style="thin">
          <color rgb="FFA6A6A6"/>
        </bottom>
      </border>
    </dxf>
    <dxf>
      <font>
        <strike val="0"/>
        <outline val="0"/>
        <shadow val="0"/>
        <u val="none"/>
        <vertAlign val="baseline"/>
        <sz val="8"/>
        <name val="Verdana"/>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style="thin">
          <color rgb="FFA6A6A6"/>
        </left>
        <right style="thin">
          <color rgb="FFA6A6A6"/>
        </right>
        <top style="thin">
          <color rgb="FFA6A6A6"/>
        </top>
        <bottom style="thin">
          <color rgb="FFA6A6A6"/>
        </bottom>
      </border>
    </dxf>
    <dxf>
      <font>
        <strike val="0"/>
        <outline val="0"/>
        <shadow val="0"/>
        <u val="none"/>
        <vertAlign val="baseline"/>
        <sz val="8"/>
        <name val="Verdana"/>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theme="1"/>
        <name val="Verdana"/>
        <family val="2"/>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theme="1"/>
        <name val="Verdana"/>
        <family val="2"/>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theme="1"/>
        <name val="Verdana"/>
        <family val="2"/>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rgb="FFA6A6A6"/>
        </left>
        <right style="thin">
          <color rgb="FFA6A6A6"/>
        </right>
        <top style="thin">
          <color rgb="FFA6A6A6"/>
        </top>
        <bottom style="thin">
          <color rgb="FFA6A6A6"/>
        </bottom>
      </border>
    </dxf>
    <dxf>
      <font>
        <strike val="0"/>
        <outline val="0"/>
        <shadow val="0"/>
        <u val="none"/>
        <vertAlign val="baseline"/>
        <sz val="8"/>
        <color rgb="FF000000"/>
        <name val="Verdana"/>
        <family val="2"/>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rgb="FF000000"/>
        <name val="Verdana"/>
        <family val="2"/>
        <scheme val="none"/>
      </font>
      <fill>
        <patternFill patternType="solid">
          <fgColor indexed="64"/>
          <bgColor theme="0"/>
        </patternFill>
      </fill>
      <alignment horizontal="center" vertical="top" textRotation="0" wrapText="1"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rgb="FF000000"/>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rgb="FF000000"/>
        <name val="Verdana"/>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rgb="FF000000"/>
        <name val="Verdana"/>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rgb="FF000000"/>
        <name val="Verdana"/>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auto="1"/>
        <name val="Verdana"/>
        <family val="2"/>
        <scheme val="none"/>
      </font>
      <fill>
        <patternFill patternType="none">
          <fgColor indexed="64"/>
          <bgColor auto="1"/>
        </patternFill>
      </fill>
      <alignment horizontal="center" vertical="top" textRotation="0" wrapText="1" indent="0" justifyLastLine="0" shrinkToFit="0" readingOrder="0"/>
      <border diagonalUp="0" diagonalDown="0" outline="0">
        <left/>
        <right style="thin">
          <color rgb="FFA6A6A6"/>
        </right>
        <top style="thin">
          <color rgb="FFA6A6A6"/>
        </top>
        <bottom/>
      </border>
    </dxf>
    <dxf>
      <font>
        <b val="0"/>
        <i val="0"/>
        <strike val="0"/>
        <condense val="0"/>
        <extend val="0"/>
        <outline val="0"/>
        <shadow val="0"/>
        <u val="none"/>
        <vertAlign val="baseline"/>
        <sz val="8"/>
        <color auto="1"/>
        <name val="Verdana"/>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rgb="FFA6A6A6"/>
        </left>
        <right style="thin">
          <color rgb="FFA6A6A6"/>
        </right>
        <top style="thin">
          <color rgb="FFA6A6A6"/>
        </top>
        <bottom/>
      </border>
    </dxf>
    <dxf>
      <font>
        <b val="0"/>
        <i val="0"/>
        <strike val="0"/>
        <condense val="0"/>
        <extend val="0"/>
        <outline val="0"/>
        <shadow val="0"/>
        <u val="none"/>
        <vertAlign val="baseline"/>
        <sz val="8"/>
        <color rgb="FF000000"/>
        <name val="Verdana"/>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A6A6A6"/>
        </left>
        <right/>
        <top style="thin">
          <color rgb="FFA6A6A6"/>
        </top>
        <bottom style="thin">
          <color rgb="FFA6A6A6"/>
        </bottom>
      </border>
    </dxf>
    <dxf>
      <border>
        <top style="thin">
          <color rgb="FFA6A6A6"/>
        </top>
      </border>
    </dxf>
    <dxf>
      <border diagonalUp="0" diagonalDown="0">
        <left style="thin">
          <color rgb="FFA6A6A6"/>
        </left>
        <right style="thin">
          <color rgb="FFA6A6A6"/>
        </right>
        <top style="thin">
          <color rgb="FFA6A6A6"/>
        </top>
        <bottom style="thin">
          <color rgb="FFA6A6A6"/>
        </bottom>
      </border>
    </dxf>
    <dxf>
      <font>
        <outline val="0"/>
        <shadow val="0"/>
        <vertAlign val="baseline"/>
        <name val="Verdana"/>
        <family val="2"/>
        <scheme val="none"/>
      </font>
      <fill>
        <patternFill>
          <fgColor rgb="FF000000"/>
          <bgColor rgb="FFFFFFFF"/>
        </patternFill>
      </fill>
    </dxf>
    <dxf>
      <border>
        <bottom style="thin">
          <color rgb="FFA6A6A6"/>
        </bottom>
      </border>
    </dxf>
    <dxf>
      <font>
        <outline val="0"/>
        <shadow val="0"/>
        <vertAlign val="baseline"/>
        <name val="Verdana"/>
        <family val="2"/>
        <scheme val="none"/>
      </font>
      <fill>
        <patternFill>
          <fgColor indexed="64"/>
          <bgColor theme="0"/>
        </patternFill>
      </fill>
      <border diagonalUp="0" diagonalDown="0" outline="0">
        <left style="thin">
          <color rgb="FFA6A6A6"/>
        </left>
        <right style="thin">
          <color rgb="FFA6A6A6"/>
        </right>
        <top/>
        <bottom/>
      </border>
    </dxf>
    <dxf>
      <font>
        <b val="0"/>
        <i val="0"/>
        <strike val="0"/>
        <condense val="0"/>
        <extend val="0"/>
        <outline val="0"/>
        <shadow val="0"/>
        <u val="none"/>
        <vertAlign val="baseline"/>
        <sz val="8"/>
        <color rgb="FF000000"/>
        <name val="Verdana"/>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rgb="FF000000"/>
        <name val="Verdana"/>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rgb="FF000000"/>
        <name val="Verdana"/>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rgb="FF000000"/>
        <name val="Verdana"/>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rgb="FF000000"/>
        <name val="Verdana"/>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rgb="FF000000"/>
        <name val="Verdana"/>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rgb="FF000000"/>
        <name val="Verdana"/>
        <family val="2"/>
        <scheme val="none"/>
      </font>
      <fill>
        <patternFill patternType="none">
          <fgColor theme="4" tint="0.79998168889431442"/>
          <bgColor auto="1"/>
        </patternFill>
      </fill>
      <alignment horizontal="center" vertical="top" textRotation="0" wrapText="1"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rgb="FF000000"/>
        <name val="Verdana"/>
        <family val="2"/>
        <scheme val="none"/>
      </font>
      <fill>
        <patternFill patternType="none">
          <fgColor indexed="64"/>
          <bgColor auto="1"/>
        </patternFill>
      </fill>
      <alignment horizontal="center" vertical="top" textRotation="0" wrapText="0"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rgb="FF000000"/>
        <name val="Verdana"/>
        <family val="2"/>
        <scheme val="none"/>
      </font>
      <fill>
        <patternFill patternType="none">
          <fgColor indexed="64"/>
          <bgColor auto="1"/>
        </patternFill>
      </fill>
      <alignment horizontal="center" vertical="top" textRotation="0" wrapText="0"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rgb="FF000000"/>
        <name val="Verdana"/>
        <family val="2"/>
        <scheme val="none"/>
      </font>
      <fill>
        <patternFill patternType="none">
          <fgColor indexed="64"/>
          <bgColor auto="1"/>
        </patternFill>
      </fill>
      <alignment horizontal="center" vertical="top" textRotation="0" wrapText="0"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rgb="FF000000"/>
        <name val="Verdana"/>
        <family val="2"/>
        <scheme val="none"/>
      </font>
      <fill>
        <patternFill patternType="none">
          <fgColor indexed="64"/>
          <bgColor auto="1"/>
        </patternFill>
      </fill>
      <alignment horizontal="center" vertical="top" textRotation="0" wrapText="0"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rgb="FF000000"/>
        <name val="Verdana"/>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rgb="FF000000"/>
        <name val="Verdana"/>
        <family val="2"/>
        <scheme val="none"/>
      </font>
      <fill>
        <patternFill patternType="none">
          <fgColor indexed="64"/>
          <bgColor auto="1"/>
        </patternFill>
      </fill>
      <alignment horizontal="center" vertical="top" textRotation="0" wrapText="0"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rgb="FF000000"/>
        <name val="Verdana"/>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rgb="FF000000"/>
        <name val="Verdana"/>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rgb="FF000000"/>
        <name val="Verdana"/>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rgb="FF000000"/>
        <name val="Verdana"/>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auto="1"/>
        <name val="Verdana"/>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rgb="FF000000"/>
        <name val="Verdana"/>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rgb="FFA6A6A6"/>
        </right>
        <top style="thin">
          <color rgb="FFA6A6A6"/>
        </top>
        <bottom style="thin">
          <color rgb="FFA6A6A6"/>
        </bottom>
      </border>
    </dxf>
    <dxf>
      <border outline="0">
        <top style="thin">
          <color rgb="FFA6A6A6"/>
        </top>
      </border>
    </dxf>
    <dxf>
      <border outline="0">
        <left style="thin">
          <color rgb="FFA6A6A6"/>
        </left>
        <right style="thin">
          <color rgb="FFA6A6A6"/>
        </right>
        <top style="thin">
          <color rgb="FFA6A6A6"/>
        </top>
        <bottom style="thin">
          <color rgb="FFA6A6A6"/>
        </bottom>
      </border>
    </dxf>
    <dxf>
      <fill>
        <patternFill patternType="none">
          <bgColor auto="1"/>
        </patternFill>
      </fill>
      <alignment horizontal="center" textRotation="0" indent="0" justifyLastLine="0" shrinkToFit="0" readingOrder="0"/>
    </dxf>
    <dxf>
      <border outline="0">
        <bottom style="thin">
          <color rgb="FFA6A6A6"/>
        </bottom>
      </border>
    </dxf>
    <dxf>
      <font>
        <b/>
        <i val="0"/>
        <strike val="0"/>
        <condense val="0"/>
        <extend val="0"/>
        <outline val="0"/>
        <shadow val="0"/>
        <u val="none"/>
        <vertAlign val="baseline"/>
        <sz val="8"/>
        <color rgb="FFFFFFFF"/>
        <name val="Verdana"/>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rgb="FFA6A6A6"/>
        </left>
        <right style="thin">
          <color rgb="FFA6A6A6"/>
        </right>
        <top/>
        <bottom/>
      </border>
    </dxf>
    <dxf>
      <font>
        <b val="0"/>
        <i val="0"/>
        <strike val="0"/>
        <condense val="0"/>
        <extend val="0"/>
        <outline val="0"/>
        <shadow val="0"/>
        <u val="none"/>
        <vertAlign val="baseline"/>
        <sz val="8"/>
        <color auto="1"/>
        <name val="Verdana"/>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auto="1"/>
        <name val="Verdana"/>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auto="1"/>
        <name val="Verdana"/>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auto="1"/>
        <name val="Verdana"/>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auto="1"/>
        <name val="Verdana"/>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auto="1"/>
        <name val="Verdana"/>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auto="1"/>
        <name val="Verdana"/>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auto="1"/>
        <name val="Verdana"/>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auto="1"/>
        <name val="Verdana"/>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auto="1"/>
        <name val="Verdana"/>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auto="1"/>
        <name val="Verdana"/>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auto="1"/>
        <name val="Verdana"/>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auto="1"/>
        <name val="Verdana"/>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auto="1"/>
        <name val="Verdana"/>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A6A6A6"/>
        </left>
        <right/>
        <top style="thin">
          <color rgb="FFA6A6A6"/>
        </top>
        <bottom style="thin">
          <color rgb="FFA6A6A6"/>
        </bottom>
      </border>
    </dxf>
    <dxf>
      <font>
        <b val="0"/>
        <i val="0"/>
        <strike val="0"/>
        <condense val="0"/>
        <extend val="0"/>
        <outline val="0"/>
        <shadow val="0"/>
        <u val="none"/>
        <vertAlign val="baseline"/>
        <sz val="8"/>
        <color auto="1"/>
        <name val="Verdana"/>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auto="1"/>
        <name val="Verdana"/>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auto="1"/>
        <name val="Verdana"/>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auto="1"/>
        <name val="Verdana"/>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auto="1"/>
        <name val="Verdana"/>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rgb="FFA6A6A6"/>
        </right>
        <top style="thin">
          <color rgb="FFA6A6A6"/>
        </top>
        <bottom style="thin">
          <color rgb="FFA6A6A6"/>
        </bottom>
      </border>
    </dxf>
    <dxf>
      <border outline="0">
        <top style="thin">
          <color rgb="FFA6A6A6"/>
        </top>
      </border>
    </dxf>
    <dxf>
      <border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auto="1"/>
        <name val="Verdana"/>
        <family val="2"/>
        <scheme val="none"/>
      </font>
      <fill>
        <patternFill patternType="none">
          <fgColor indexed="64"/>
          <bgColor auto="1"/>
        </patternFill>
      </fill>
      <alignment horizontal="center" vertical="top" textRotation="0" wrapText="1" indent="0" justifyLastLine="0" shrinkToFit="0" readingOrder="0"/>
    </dxf>
    <dxf>
      <border outline="0">
        <bottom style="thin">
          <color rgb="FFA6A6A6"/>
        </bottom>
      </border>
    </dxf>
    <dxf>
      <font>
        <b/>
        <i val="0"/>
        <strike val="0"/>
        <condense val="0"/>
        <extend val="0"/>
        <outline val="0"/>
        <shadow val="0"/>
        <u val="none"/>
        <vertAlign val="baseline"/>
        <sz val="8"/>
        <color rgb="FFFFFFFF"/>
        <name val="Verdana"/>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rgb="FFA6A6A6"/>
        </left>
        <right style="thin">
          <color rgb="FFA6A6A6"/>
        </right>
        <top/>
        <bottom/>
      </border>
    </dxf>
    <dxf>
      <font>
        <b val="0"/>
        <i val="0"/>
        <strike val="0"/>
        <condense val="0"/>
        <extend val="0"/>
        <outline val="0"/>
        <shadow val="0"/>
        <u val="none"/>
        <vertAlign val="baseline"/>
        <sz val="8"/>
        <color rgb="FF000000"/>
        <name val="Verdana"/>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rgb="FF000000"/>
        <name val="Verdana"/>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rgb="FF000000"/>
        <name val="Verdana"/>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rgb="FF000000"/>
        <name val="Verdana"/>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rgb="FF000000"/>
        <name val="Verdana"/>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rgb="FFA6A6A6"/>
        </left>
        <right style="thin">
          <color rgb="FFA6A6A6"/>
        </right>
        <top style="thin">
          <color rgb="FFA6A6A6"/>
        </top>
        <bottom style="thin">
          <color rgb="FFA6A6A6"/>
        </bottom>
      </border>
    </dxf>
    <dxf>
      <font>
        <strike val="0"/>
        <outline val="0"/>
        <shadow val="0"/>
        <u val="none"/>
        <vertAlign val="baseline"/>
        <sz val="8"/>
        <name val="Verdana"/>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rgb="FFA6A6A6"/>
        </left>
        <right style="thin">
          <color rgb="FFA6A6A6"/>
        </right>
        <top style="thin">
          <color rgb="FFA6A6A6"/>
        </top>
        <bottom style="thin">
          <color rgb="FFA6A6A6"/>
        </bottom>
      </border>
    </dxf>
    <dxf>
      <font>
        <strike val="0"/>
        <outline val="0"/>
        <shadow val="0"/>
        <u val="none"/>
        <vertAlign val="baseline"/>
        <sz val="8"/>
        <name val="Verdana"/>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theme="1"/>
        <name val="Verdana"/>
        <family val="2"/>
        <scheme val="none"/>
      </font>
      <fill>
        <patternFill patternType="none">
          <fgColor indexed="64"/>
          <bgColor auto="1"/>
        </patternFill>
      </fill>
      <alignment horizontal="center" vertical="top" textRotation="0" wrapText="0"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theme="1"/>
        <name val="Verdana"/>
        <family val="2"/>
        <scheme val="none"/>
      </font>
      <fill>
        <patternFill patternType="none">
          <fgColor indexed="64"/>
          <bgColor auto="1"/>
        </patternFill>
      </fill>
      <alignment horizontal="center" vertical="top" textRotation="0" wrapText="0"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theme="1"/>
        <name val="Verdana"/>
        <family val="2"/>
        <scheme val="none"/>
      </font>
      <fill>
        <patternFill patternType="none">
          <fgColor indexed="64"/>
          <bgColor auto="1"/>
        </patternFill>
      </fill>
      <alignment horizontal="center" vertical="top" textRotation="0" wrapText="0" indent="0" justifyLastLine="0" shrinkToFit="0" readingOrder="0"/>
      <border diagonalUp="0" diagonalDown="0" outline="0">
        <left style="thin">
          <color rgb="FFA6A6A6"/>
        </left>
        <right style="thin">
          <color rgb="FFA6A6A6"/>
        </right>
        <top style="thin">
          <color rgb="FFA6A6A6"/>
        </top>
        <bottom style="thin">
          <color rgb="FFA6A6A6"/>
        </bottom>
      </border>
    </dxf>
    <dxf>
      <font>
        <strike val="0"/>
        <outline val="0"/>
        <shadow val="0"/>
        <u val="none"/>
        <vertAlign val="baseline"/>
        <sz val="8"/>
        <color rgb="FF000000"/>
        <name val="Verdana"/>
        <family val="2"/>
        <scheme val="none"/>
      </font>
      <fill>
        <patternFill patternType="none">
          <fgColor indexed="64"/>
          <bgColor auto="1"/>
        </patternFill>
      </fill>
      <alignment horizontal="center" vertical="top" textRotation="0" wrapText="0"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rgb="FF000000"/>
        <name val="Verdana"/>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rgb="FF000000"/>
        <name val="Verdana"/>
        <family val="2"/>
        <scheme val="none"/>
      </font>
      <fill>
        <patternFill patternType="none">
          <fgColor indexed="64"/>
          <bgColor auto="1"/>
        </patternFill>
      </fill>
      <alignment horizontal="center" vertical="top" textRotation="0" wrapText="0"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rgb="FF000000"/>
        <name val="Verdana"/>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rgb="FF000000"/>
        <name val="Verdana"/>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rgb="FF000000"/>
        <name val="Verdana"/>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rgb="FFA6A6A6"/>
        </left>
        <right style="thin">
          <color rgb="FFA6A6A6"/>
        </right>
        <top style="thin">
          <color rgb="FFA6A6A6"/>
        </top>
        <bottom style="thin">
          <color rgb="FFA6A6A6"/>
        </bottom>
      </border>
    </dxf>
    <dxf>
      <font>
        <b val="0"/>
        <i val="0"/>
        <strike val="0"/>
        <condense val="0"/>
        <extend val="0"/>
        <outline val="0"/>
        <shadow val="0"/>
        <u val="none"/>
        <vertAlign val="baseline"/>
        <sz val="8"/>
        <color auto="1"/>
        <name val="Verdana"/>
        <family val="2"/>
        <scheme val="none"/>
      </font>
      <fill>
        <patternFill patternType="none">
          <fgColor indexed="64"/>
          <bgColor auto="1"/>
        </patternFill>
      </fill>
      <alignment horizontal="center" vertical="top" textRotation="0" wrapText="1" indent="0" justifyLastLine="0" shrinkToFit="0" readingOrder="0"/>
      <border diagonalUp="0" diagonalDown="0" outline="0">
        <left/>
        <right style="thin">
          <color rgb="FFA6A6A6"/>
        </right>
        <top style="thin">
          <color rgb="FFA6A6A6"/>
        </top>
        <bottom/>
      </border>
    </dxf>
    <dxf>
      <font>
        <b val="0"/>
        <i val="0"/>
        <strike val="0"/>
        <condense val="0"/>
        <extend val="0"/>
        <outline val="0"/>
        <shadow val="0"/>
        <u val="none"/>
        <vertAlign val="baseline"/>
        <sz val="8"/>
        <color auto="1"/>
        <name val="Verdana"/>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rgb="FFA6A6A6"/>
        </left>
        <right style="thin">
          <color rgb="FFA6A6A6"/>
        </right>
        <top style="thin">
          <color rgb="FFA6A6A6"/>
        </top>
        <bottom/>
      </border>
    </dxf>
    <dxf>
      <font>
        <b val="0"/>
        <i val="0"/>
        <strike val="0"/>
        <condense val="0"/>
        <extend val="0"/>
        <outline val="0"/>
        <shadow val="0"/>
        <u val="none"/>
        <vertAlign val="baseline"/>
        <sz val="8"/>
        <color rgb="FF000000"/>
        <name val="Verdana"/>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A6A6A6"/>
        </left>
        <right/>
        <top style="thin">
          <color rgb="FFA6A6A6"/>
        </top>
        <bottom style="thin">
          <color rgb="FFA6A6A6"/>
        </bottom>
      </border>
    </dxf>
    <dxf>
      <border>
        <top style="thin">
          <color rgb="FFA6A6A6"/>
        </top>
      </border>
    </dxf>
    <dxf>
      <border diagonalUp="0" diagonalDown="0">
        <left style="thin">
          <color rgb="FFA6A6A6"/>
        </left>
        <right style="thin">
          <color rgb="FFA6A6A6"/>
        </right>
        <top style="thin">
          <color rgb="FFA6A6A6"/>
        </top>
        <bottom style="thin">
          <color rgb="FFA6A6A6"/>
        </bottom>
      </border>
    </dxf>
    <dxf>
      <font>
        <outline val="0"/>
        <shadow val="0"/>
        <vertAlign val="baseline"/>
        <name val="Verdana"/>
        <family val="2"/>
        <scheme val="none"/>
      </font>
      <fill>
        <patternFill>
          <fgColor indexed="64"/>
          <bgColor theme="0"/>
        </patternFill>
      </fill>
    </dxf>
    <dxf>
      <border>
        <bottom style="thin">
          <color rgb="FFA6A6A6"/>
        </bottom>
      </border>
    </dxf>
    <dxf>
      <font>
        <strike val="0"/>
        <outline val="0"/>
        <shadow val="0"/>
        <u val="none"/>
        <vertAlign val="baseline"/>
        <color theme="0"/>
        <name val="Verdana"/>
        <family val="2"/>
        <scheme val="none"/>
      </font>
      <fill>
        <patternFill>
          <fgColor indexed="64"/>
          <bgColor theme="0"/>
        </patternFill>
      </fill>
      <border diagonalUp="0" diagonalDown="0" outline="0">
        <left style="thin">
          <color rgb="FFA6A6A6"/>
        </left>
        <right style="thin">
          <color rgb="FFA6A6A6"/>
        </right>
        <top/>
        <bottom/>
      </border>
    </dxf>
    <dxf>
      <font>
        <b val="0"/>
        <i val="0"/>
        <strike val="0"/>
        <condense val="0"/>
        <extend val="0"/>
        <outline val="0"/>
        <shadow val="0"/>
        <u val="none"/>
        <vertAlign val="baseline"/>
        <sz val="8"/>
        <color theme="1"/>
        <name val="Verdana"/>
        <family val="2"/>
        <scheme val="none"/>
      </font>
      <numFmt numFmtId="19" formatCode="d/m/yyyy"/>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top style="thin">
          <color theme="1" tint="0.34998626667073579"/>
        </top>
        <bottom style="thin">
          <color theme="1" tint="0.34998626667073579"/>
        </bottom>
      </border>
    </dxf>
    <dxf>
      <font>
        <b val="0"/>
        <i val="0"/>
        <strike val="0"/>
        <condense val="0"/>
        <extend val="0"/>
        <outline val="0"/>
        <shadow val="0"/>
        <u val="none"/>
        <vertAlign val="baseline"/>
        <sz val="8"/>
        <color theme="1"/>
        <name val="Verdana"/>
        <family val="2"/>
        <scheme val="none"/>
      </font>
      <numFmt numFmtId="0" formatCode="General"/>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dxf>
    <dxf>
      <font>
        <b val="0"/>
        <i val="0"/>
        <strike val="0"/>
        <condense val="0"/>
        <extend val="0"/>
        <outline val="0"/>
        <shadow val="0"/>
        <u val="none"/>
        <vertAlign val="baseline"/>
        <sz val="8"/>
        <color theme="1"/>
        <name val="Verdana"/>
        <family val="2"/>
        <scheme val="none"/>
      </font>
      <numFmt numFmtId="0" formatCode="General"/>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dxf>
    <dxf>
      <font>
        <b val="0"/>
        <i val="0"/>
        <strike val="0"/>
        <condense val="0"/>
        <extend val="0"/>
        <outline val="0"/>
        <shadow val="0"/>
        <u val="none"/>
        <vertAlign val="baseline"/>
        <sz val="8"/>
        <color theme="1"/>
        <name val="Verdana"/>
        <family val="2"/>
        <scheme val="none"/>
      </font>
      <numFmt numFmtId="0" formatCode="General"/>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top style="thin">
          <color theme="1" tint="0.34998626667073579"/>
        </top>
        <bottom style="thin">
          <color theme="1" tint="0.34998626667073579"/>
        </bottom>
      </border>
      <protection locked="1" hidden="0"/>
    </dxf>
    <dxf>
      <font>
        <b val="0"/>
        <i val="0"/>
        <strike val="0"/>
        <condense val="0"/>
        <extend val="0"/>
        <outline val="0"/>
        <shadow val="0"/>
        <u val="none"/>
        <vertAlign val="baseline"/>
        <sz val="8"/>
        <color theme="1"/>
        <name val="Verdana"/>
        <family val="2"/>
        <scheme val="none"/>
      </font>
      <numFmt numFmtId="0" formatCode="General"/>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1" hidden="0"/>
    </dxf>
    <dxf>
      <font>
        <b val="0"/>
        <i val="0"/>
        <strike val="0"/>
        <condense val="0"/>
        <extend val="0"/>
        <outline val="0"/>
        <shadow val="0"/>
        <u val="none"/>
        <vertAlign val="baseline"/>
        <sz val="8"/>
        <color theme="1"/>
        <name val="Verdana"/>
        <family val="2"/>
        <scheme val="none"/>
      </font>
      <numFmt numFmtId="168" formatCode="&quot;€&quot;\ #,##0"/>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1" hidden="0"/>
    </dxf>
    <dxf>
      <font>
        <b val="0"/>
        <i val="0"/>
        <strike val="0"/>
        <condense val="0"/>
        <extend val="0"/>
        <outline val="0"/>
        <shadow val="0"/>
        <u val="none"/>
        <vertAlign val="baseline"/>
        <sz val="8"/>
        <color auto="1"/>
        <name val="Verdana"/>
        <family val="2"/>
        <scheme val="none"/>
      </font>
      <numFmt numFmtId="1" formatCode="0"/>
      <alignment horizontal="general" vertical="top" textRotation="0" wrapText="0" indent="0" justifyLastLine="0" shrinkToFit="0" readingOrder="0"/>
      <border diagonalUp="0" diagonalDown="0">
        <left style="thin">
          <color theme="1" tint="0.34998626667073579"/>
        </left>
        <right style="thin">
          <color theme="1" tint="0.34998626667073579"/>
        </right>
        <top style="thin">
          <color theme="1" tint="0.34998626667073579"/>
        </top>
        <bottom style="thin">
          <color theme="1" tint="0.34998626667073579"/>
        </bottom>
        <vertical/>
        <horizontal/>
      </border>
      <protection locked="0" hidden="0"/>
    </dxf>
    <dxf>
      <font>
        <b val="0"/>
        <i val="0"/>
        <strike val="0"/>
        <condense val="0"/>
        <extend val="0"/>
        <outline val="0"/>
        <shadow val="0"/>
        <u val="none"/>
        <vertAlign val="baseline"/>
        <sz val="8"/>
        <color auto="1"/>
        <name val="Verdana"/>
        <family val="2"/>
        <scheme val="none"/>
      </font>
      <numFmt numFmtId="32" formatCode="_ &quot;€&quot;\ * #,##0_ ;_ &quot;€&quot;\ * \-#,##0_ ;_ &quot;€&quot;\ * &quot;-&quot;_ ;_ @_ "/>
      <alignment horizontal="general" vertical="top" textRotation="0" wrapText="0" indent="0" justifyLastLine="0" shrinkToFit="0" readingOrder="0"/>
      <border diagonalUp="0" diagonalDown="0">
        <left style="thin">
          <color theme="1" tint="0.34998626667073579"/>
        </left>
        <right style="thin">
          <color theme="1" tint="0.34998626667073579"/>
        </right>
        <top style="thin">
          <color theme="1" tint="0.34998626667073579"/>
        </top>
        <bottom style="thin">
          <color theme="1" tint="0.34998626667073579"/>
        </bottom>
        <vertical/>
        <horizontal/>
      </border>
      <protection locked="0" hidden="0"/>
    </dxf>
    <dxf>
      <font>
        <b val="0"/>
        <i val="0"/>
        <strike val="0"/>
        <condense val="0"/>
        <extend val="0"/>
        <outline val="0"/>
        <shadow val="0"/>
        <u val="none"/>
        <vertAlign val="baseline"/>
        <sz val="8"/>
        <color auto="1"/>
        <name val="Verdana"/>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1" hidden="0"/>
    </dxf>
    <dxf>
      <font>
        <b val="0"/>
        <i val="0"/>
        <strike val="0"/>
        <condense val="0"/>
        <extend val="0"/>
        <outline val="0"/>
        <shadow val="0"/>
        <u val="none"/>
        <vertAlign val="baseline"/>
        <sz val="8"/>
        <color auto="1"/>
        <name val="Verdana"/>
        <family val="2"/>
        <scheme val="none"/>
      </font>
      <alignment horizontal="general" vertical="top" textRotation="0" wrapText="1"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alignment horizontal="general" vertical="top" textRotation="0" wrapText="1" indent="0" justifyLastLine="0" shrinkToFit="0" readingOrder="0"/>
      <border diagonalUp="0" diagonalDown="0">
        <left style="thin">
          <color theme="1" tint="0.34998626667073579"/>
        </left>
        <right style="thin">
          <color theme="1" tint="0.34998626667073579"/>
        </right>
        <top style="thin">
          <color theme="1" tint="0.34998626667073579"/>
        </top>
        <bottom style="thin">
          <color theme="1" tint="0.34998626667073579"/>
        </bottom>
        <vertical/>
        <horizontal/>
      </border>
      <protection locked="0" hidden="0"/>
    </dxf>
    <dxf>
      <font>
        <b val="0"/>
        <i val="0"/>
        <strike val="0"/>
        <condense val="0"/>
        <extend val="0"/>
        <outline val="0"/>
        <shadow val="0"/>
        <u val="none"/>
        <vertAlign val="baseline"/>
        <sz val="8"/>
        <color auto="1"/>
        <name val="Verdana"/>
        <family val="2"/>
        <scheme val="none"/>
      </font>
      <alignment horizontal="general" vertical="top" textRotation="0" wrapText="1" indent="0" justifyLastLine="0" shrinkToFit="0" readingOrder="0"/>
      <border diagonalUp="0" diagonalDown="0">
        <left style="thin">
          <color theme="1" tint="0.34998626667073579"/>
        </left>
        <right style="thin">
          <color theme="1" tint="0.34998626667073579"/>
        </right>
        <top style="thin">
          <color theme="1" tint="0.34998626667073579"/>
        </top>
        <bottom style="thin">
          <color theme="1" tint="0.34998626667073579"/>
        </bottom>
        <vertical/>
        <horizontal/>
      </border>
      <protection locked="0" hidden="0"/>
    </dxf>
    <dxf>
      <font>
        <b val="0"/>
        <i val="0"/>
        <strike val="0"/>
        <condense val="0"/>
        <extend val="0"/>
        <outline val="0"/>
        <shadow val="0"/>
        <u val="none"/>
        <vertAlign val="baseline"/>
        <sz val="8"/>
        <color auto="1"/>
        <name val="Verdana"/>
        <family val="2"/>
        <scheme val="none"/>
      </font>
      <alignment horizontal="general" vertical="top" textRotation="0" wrapText="1"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alignment horizontal="general" vertical="top" textRotation="0" wrapText="1"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alignment horizontal="general" vertical="top" textRotation="0" wrapText="1" indent="0" justifyLastLine="0" shrinkToFit="0" readingOrder="0"/>
      <border diagonalUp="0" diagonalDown="0" outline="0">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fill>
        <patternFill patternType="none">
          <fgColor indexed="64"/>
          <bgColor indexed="65"/>
        </patternFill>
      </fill>
      <alignment horizontal="general" vertical="top" textRotation="0" wrapText="1" indent="0" justifyLastLine="0" shrinkToFit="0" readingOrder="0"/>
      <border diagonalUp="0" diagonalDown="0">
        <left style="thin">
          <color theme="1" tint="0.34998626667073579"/>
        </left>
        <right style="thin">
          <color theme="1" tint="0.34998626667073579"/>
        </right>
        <top style="thin">
          <color theme="1" tint="0.34998626667073579"/>
        </top>
        <bottom style="thin">
          <color theme="1" tint="0.34998626667073579"/>
        </bottom>
        <vertical/>
        <horizontal/>
      </border>
      <protection locked="0" hidden="0"/>
    </dxf>
    <dxf>
      <font>
        <b val="0"/>
        <i val="0"/>
        <strike val="0"/>
        <condense val="0"/>
        <extend val="0"/>
        <outline val="0"/>
        <shadow val="0"/>
        <u val="none"/>
        <vertAlign val="baseline"/>
        <sz val="8"/>
        <color theme="1"/>
        <name val="Verdana"/>
        <family val="2"/>
        <scheme val="none"/>
      </font>
      <numFmt numFmtId="0" formatCode="General"/>
      <fill>
        <patternFill patternType="none">
          <fgColor indexed="64"/>
          <bgColor auto="1"/>
        </patternFill>
      </fill>
      <alignment horizontal="general" vertical="top" textRotation="0" wrapText="1" indent="0" justifyLastLine="0" shrinkToFit="0" readingOrder="0"/>
      <border diagonalUp="0" diagonalDown="0">
        <left style="thin">
          <color theme="1" tint="0.34998626667073579"/>
        </left>
        <right style="thin">
          <color theme="1" tint="0.34998626667073579"/>
        </right>
        <top style="thin">
          <color theme="1" tint="0.34998626667073579"/>
        </top>
        <bottom style="thin">
          <color theme="1" tint="0.34998626667073579"/>
        </bottom>
        <vertical/>
        <horizontal/>
      </border>
      <protection locked="0" hidden="0"/>
    </dxf>
    <dxf>
      <font>
        <b val="0"/>
        <i val="0"/>
        <strike val="0"/>
        <condense val="0"/>
        <extend val="0"/>
        <outline val="0"/>
        <shadow val="0"/>
        <u val="none"/>
        <vertAlign val="baseline"/>
        <sz val="8"/>
        <color theme="1"/>
        <name val="Verdana"/>
        <family val="2"/>
        <scheme val="none"/>
      </font>
      <fill>
        <patternFill patternType="none">
          <fgColor indexed="64"/>
          <bgColor indexed="65"/>
        </patternFill>
      </fill>
      <alignment horizontal="center"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theme="1"/>
        <name val="Verdana"/>
        <family val="2"/>
        <scheme val="none"/>
      </font>
      <numFmt numFmtId="0" formatCode="General"/>
      <fill>
        <patternFill patternType="solid">
          <fgColor indexed="64"/>
          <bgColor theme="9" tint="0.59999389629810485"/>
        </patternFill>
      </fill>
      <alignment horizontal="general" vertical="top" textRotation="0" wrapText="0" indent="0" justifyLastLine="0" shrinkToFit="0" readingOrder="0"/>
      <border diagonalUp="0" diagonalDown="0" outline="0">
        <left/>
        <right/>
        <top style="thin">
          <color theme="1" tint="0.34998626667073579"/>
        </top>
        <bottom style="thin">
          <color theme="1" tint="0.34998626667073579"/>
        </bottom>
      </border>
      <protection locked="1" hidden="0"/>
    </dxf>
    <dxf>
      <font>
        <b val="0"/>
        <i val="0"/>
        <strike val="0"/>
        <condense val="0"/>
        <extend val="0"/>
        <outline val="0"/>
        <shadow val="0"/>
        <u val="none"/>
        <vertAlign val="baseline"/>
        <sz val="8"/>
        <color theme="1"/>
        <name val="Verdana"/>
        <family val="2"/>
        <scheme val="none"/>
      </font>
      <fill>
        <patternFill patternType="none">
          <fgColor indexed="64"/>
          <bgColor auto="1"/>
        </patternFill>
      </fill>
      <alignment horizontal="center" vertical="top" textRotation="0" wrapText="0" indent="0" justifyLastLine="0" shrinkToFit="0" readingOrder="0"/>
      <border diagonalUp="0" diagonalDown="0">
        <left style="thin">
          <color theme="1" tint="0.34998626667073579"/>
        </left>
        <right style="thin">
          <color theme="1" tint="0.34998626667073579"/>
        </right>
        <top style="thin">
          <color theme="1" tint="0.34998626667073579"/>
        </top>
        <bottom style="thin">
          <color theme="1" tint="0.34998626667073579"/>
        </bottom>
        <vertical/>
        <horizontal/>
      </border>
      <protection locked="0" hidden="0"/>
    </dxf>
    <dxf>
      <font>
        <b val="0"/>
        <i val="0"/>
        <strike val="0"/>
        <condense val="0"/>
        <extend val="0"/>
        <outline val="0"/>
        <shadow val="0"/>
        <u val="none"/>
        <vertAlign val="baseline"/>
        <sz val="8"/>
        <color theme="1"/>
        <name val="Verdana"/>
        <family val="2"/>
        <scheme val="none"/>
      </font>
      <numFmt numFmtId="0" formatCode="General"/>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top style="thin">
          <color theme="1" tint="0.34998626667073579"/>
        </top>
        <bottom style="thin">
          <color theme="1" tint="0.34998626667073579"/>
        </bottom>
      </border>
      <protection locked="1" hidden="0"/>
    </dxf>
    <dxf>
      <font>
        <b val="0"/>
        <i val="0"/>
        <strike val="0"/>
        <condense val="0"/>
        <extend val="0"/>
        <outline val="0"/>
        <shadow val="0"/>
        <u val="none"/>
        <vertAlign val="baseline"/>
        <sz val="8"/>
        <color theme="1"/>
        <name val="Verdana"/>
        <family val="2"/>
        <scheme val="none"/>
      </font>
      <alignment horizontal="general" vertical="top" textRotation="0" wrapText="0" indent="0" justifyLastLine="0" shrinkToFit="0" readingOrder="0"/>
      <border diagonalUp="0" diagonalDown="0">
        <left style="thin">
          <color theme="1" tint="0.34998626667073579"/>
        </left>
        <right style="thin">
          <color theme="1" tint="0.34998626667073579"/>
        </right>
        <top style="thin">
          <color theme="1" tint="0.34998626667073579"/>
        </top>
        <bottom style="thin">
          <color theme="1" tint="0.34998626667073579"/>
        </bottom>
        <vertical/>
        <horizontal/>
      </border>
      <protection locked="0" hidden="0"/>
    </dxf>
    <dxf>
      <font>
        <b val="0"/>
        <i val="0"/>
        <strike val="0"/>
        <condense val="0"/>
        <extend val="0"/>
        <outline val="0"/>
        <shadow val="0"/>
        <u val="none"/>
        <vertAlign val="baseline"/>
        <sz val="8"/>
        <color theme="1"/>
        <name val="Verdana"/>
        <family val="2"/>
        <scheme val="none"/>
      </font>
      <numFmt numFmtId="0" formatCode="General"/>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1" hidden="0"/>
    </dxf>
    <dxf>
      <font>
        <b val="0"/>
        <i val="0"/>
        <strike val="0"/>
        <condense val="0"/>
        <extend val="0"/>
        <outline val="0"/>
        <shadow val="0"/>
        <u val="none"/>
        <vertAlign val="baseline"/>
        <sz val="8"/>
        <color theme="1"/>
        <name val="Verdana"/>
        <family val="2"/>
        <scheme val="none"/>
      </font>
      <numFmt numFmtId="0" formatCode="General"/>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dxf>
    <dxf>
      <font>
        <b val="0"/>
        <i val="0"/>
        <strike val="0"/>
        <condense val="0"/>
        <extend val="0"/>
        <outline val="0"/>
        <shadow val="0"/>
        <u val="none"/>
        <vertAlign val="baseline"/>
        <sz val="8"/>
        <color theme="1"/>
        <name val="Verdana"/>
        <family val="2"/>
        <scheme val="none"/>
      </font>
      <numFmt numFmtId="0" formatCode="General"/>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1" hidden="0"/>
    </dxf>
    <dxf>
      <font>
        <b val="0"/>
        <i val="0"/>
        <strike val="0"/>
        <condense val="0"/>
        <extend val="0"/>
        <outline val="0"/>
        <shadow val="0"/>
        <u val="none"/>
        <vertAlign val="baseline"/>
        <sz val="8"/>
        <color theme="1"/>
        <name val="Verdana"/>
        <family val="2"/>
        <scheme val="none"/>
      </font>
      <fill>
        <patternFill patternType="none">
          <fgColor indexed="64"/>
          <bgColor auto="1"/>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1" hidden="0"/>
    </dxf>
    <dxf>
      <font>
        <b val="0"/>
        <i val="0"/>
        <strike val="0"/>
        <condense val="0"/>
        <extend val="0"/>
        <outline val="0"/>
        <shadow val="0"/>
        <u val="none"/>
        <vertAlign val="baseline"/>
        <sz val="8"/>
        <color theme="1"/>
        <name val="Verdana"/>
        <family val="2"/>
        <scheme val="none"/>
      </font>
      <numFmt numFmtId="0" formatCode="General"/>
      <alignment horizontal="general" vertical="top" textRotation="0" wrapText="0" indent="0" justifyLastLine="0" shrinkToFit="0" readingOrder="0"/>
      <border diagonalUp="0" diagonalDown="0" outline="0">
        <left style="double">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numFmt numFmtId="0" formatCode="General"/>
      <fill>
        <patternFill patternType="solid">
          <fgColor indexed="64"/>
          <bgColor theme="9" tint="0.59999389629810485"/>
        </patternFill>
      </fill>
      <alignment horizontal="general" vertical="top" textRotation="0" wrapText="1"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1" hidden="0"/>
    </dxf>
    <dxf>
      <font>
        <b val="0"/>
        <i val="0"/>
        <strike val="0"/>
        <condense val="0"/>
        <extend val="0"/>
        <outline val="0"/>
        <shadow val="0"/>
        <u val="none"/>
        <vertAlign val="baseline"/>
        <sz val="8"/>
        <color auto="1"/>
        <name val="Verdana"/>
        <family val="2"/>
        <scheme val="none"/>
      </font>
      <numFmt numFmtId="0" formatCode="General"/>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1" hidden="0"/>
    </dxf>
    <dxf>
      <font>
        <b val="0"/>
        <i val="0"/>
        <strike val="0"/>
        <condense val="0"/>
        <extend val="0"/>
        <outline val="0"/>
        <shadow val="0"/>
        <u val="none"/>
        <vertAlign val="baseline"/>
        <sz val="8"/>
        <color auto="1"/>
        <name val="Verdana"/>
        <family val="2"/>
        <scheme val="none"/>
      </font>
      <numFmt numFmtId="167" formatCode="0;;;@"/>
      <fill>
        <patternFill patternType="solid">
          <fgColor indexed="64"/>
          <bgColor theme="9" tint="0.59999389629810485"/>
        </patternFill>
      </fill>
      <alignment horizontal="left" vertical="top" textRotation="0" wrapText="1" indent="0" justifyLastLine="0" shrinkToFit="0" readingOrder="0"/>
      <border diagonalUp="0" diagonalDown="0" outline="0">
        <left/>
        <right/>
        <top style="thin">
          <color theme="1" tint="0.34998626667073579"/>
        </top>
        <bottom style="thin">
          <color theme="1" tint="0.34998626667073579"/>
        </bottom>
      </border>
      <protection locked="1" hidden="0"/>
    </dxf>
    <dxf>
      <font>
        <b val="0"/>
        <i val="0"/>
        <strike val="0"/>
        <condense val="0"/>
        <extend val="0"/>
        <outline val="0"/>
        <shadow val="0"/>
        <u val="none"/>
        <vertAlign val="baseline"/>
        <sz val="8"/>
        <color theme="1"/>
        <name val="Verdana"/>
        <family val="2"/>
        <scheme val="none"/>
      </font>
      <numFmt numFmtId="0" formatCode="General"/>
      <fill>
        <patternFill patternType="none">
          <fgColor indexed="64"/>
          <bgColor auto="1"/>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border outline="0">
        <left style="thick">
          <color rgb="FF595959"/>
        </left>
        <right style="thick">
          <color rgb="FF595959"/>
        </right>
        <top style="thick">
          <color rgb="FF595959"/>
        </top>
      </border>
    </dxf>
    <dxf>
      <alignment vertical="top" textRotation="0" indent="0" justifyLastLine="0" shrinkToFit="0" readingOrder="0"/>
    </dxf>
    <dxf>
      <border outline="0">
        <bottom style="thin">
          <color rgb="FF595959"/>
        </bottom>
      </border>
    </dxf>
    <dxf>
      <font>
        <b val="0"/>
        <i val="0"/>
        <strike val="0"/>
        <condense val="0"/>
        <extend val="0"/>
        <outline val="0"/>
        <shadow val="0"/>
        <u val="none"/>
        <vertAlign val="baseline"/>
        <sz val="8"/>
        <color theme="1"/>
        <name val="Verdana"/>
        <family val="2"/>
        <scheme val="none"/>
      </font>
      <alignment horizontal="general" vertical="top" textRotation="0" wrapText="1" indent="0" justifyLastLine="0" shrinkToFit="0" readingOrder="0"/>
      <protection locked="1" hidden="0"/>
    </dxf>
    <dxf>
      <font>
        <b val="0"/>
        <i val="0"/>
        <strike val="0"/>
        <condense val="0"/>
        <extend val="0"/>
        <outline val="0"/>
        <shadow val="0"/>
        <u val="none"/>
        <vertAlign val="baseline"/>
        <sz val="8"/>
        <color auto="1"/>
        <name val="Verdana"/>
        <family val="2"/>
        <scheme val="none"/>
      </font>
      <alignment horizontal="general" vertical="top" textRotation="0" wrapText="1" indent="0" justifyLastLine="0" shrinkToFit="0" readingOrder="0"/>
      <border diagonalUp="0" diagonalDown="0">
        <left/>
        <right style="thin">
          <color theme="1" tint="0.34998626667073579"/>
        </right>
        <top style="thin">
          <color theme="1" tint="0.34998626667073579"/>
        </top>
        <bottom style="thin">
          <color theme="1" tint="0.34998626667073579"/>
        </bottom>
        <vertical/>
        <horizontal/>
      </border>
      <protection locked="0" hidden="0"/>
    </dxf>
    <dxf>
      <font>
        <b val="0"/>
        <i val="0"/>
        <strike val="0"/>
        <condense val="0"/>
        <extend val="0"/>
        <outline val="0"/>
        <shadow val="0"/>
        <u val="none"/>
        <vertAlign val="baseline"/>
        <sz val="8"/>
        <color auto="1"/>
        <name val="Verdana"/>
        <family val="2"/>
        <scheme val="none"/>
      </font>
      <fill>
        <patternFill patternType="solid">
          <fgColor indexed="64"/>
          <bgColor theme="8" tint="0.59999389629810485"/>
        </patternFill>
      </fill>
      <alignment horizontal="general" vertical="top" textRotation="0" wrapText="0" indent="0" justifyLastLine="0" shrinkToFit="0" readingOrder="0"/>
      <border diagonalUp="0" diagonalDown="0" outline="0">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fill>
        <patternFill patternType="solid">
          <fgColor indexed="64"/>
          <bgColor theme="8" tint="0.59999389629810485"/>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fill>
        <patternFill patternType="solid">
          <fgColor indexed="64"/>
          <bgColor theme="8" tint="0.59999389629810485"/>
        </patternFill>
      </fill>
      <alignment horizontal="general" vertical="top" textRotation="0" wrapText="0" indent="0" justifyLastLine="0" shrinkToFit="0" readingOrder="0"/>
      <border diagonalUp="0" diagonalDown="0" outline="0">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fill>
        <patternFill patternType="solid">
          <fgColor indexed="64"/>
          <bgColor theme="8" tint="0.59999389629810485"/>
        </patternFill>
      </fill>
      <alignment horizontal="general" vertical="top" textRotation="0" wrapText="0" indent="0" justifyLastLine="0" shrinkToFit="0" readingOrder="0"/>
      <border diagonalUp="0" diagonalDown="0" outline="0">
        <left style="thick">
          <color rgb="FFC00000"/>
        </left>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fill>
        <patternFill patternType="none">
          <fgColor indexed="64"/>
          <bgColor auto="1"/>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fill>
        <patternFill patternType="none">
          <fgColor indexed="64"/>
          <bgColor auto="1"/>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alignment horizontal="general" vertical="top" textRotation="0" wrapText="0" indent="0" justifyLastLine="0" shrinkToFit="0" readingOrder="0"/>
      <border diagonalUp="0" diagonalDown="0">
        <left/>
        <right style="thin">
          <color theme="1" tint="0.34998626667073579"/>
        </right>
        <top style="thin">
          <color theme="1" tint="0.34998626667073579"/>
        </top>
        <bottom style="thin">
          <color theme="1" tint="0.34998626667073579"/>
        </bottom>
        <vertical/>
        <horizontal/>
      </border>
      <protection locked="0" hidden="0"/>
    </dxf>
    <dxf>
      <font>
        <b val="0"/>
        <i val="0"/>
        <strike val="0"/>
        <condense val="0"/>
        <extend val="0"/>
        <outline val="0"/>
        <shadow val="0"/>
        <u val="none"/>
        <vertAlign val="baseline"/>
        <sz val="8"/>
        <color auto="1"/>
        <name val="Verdana"/>
        <family val="2"/>
        <scheme val="none"/>
      </font>
      <fill>
        <patternFill patternType="none">
          <fgColor indexed="64"/>
          <bgColor auto="1"/>
        </patternFill>
      </fill>
      <alignment horizontal="general" vertical="top" textRotation="0" wrapText="0" indent="0" justifyLastLine="0" shrinkToFit="0" readingOrder="0"/>
      <border diagonalUp="0" diagonalDown="0">
        <left/>
        <right style="thin">
          <color theme="1" tint="0.34998626667073579"/>
        </right>
        <top style="thin">
          <color theme="1" tint="0.34998626667073579"/>
        </top>
        <bottom style="thin">
          <color theme="1" tint="0.34998626667073579"/>
        </bottom>
        <vertical/>
        <horizontal/>
      </border>
      <protection locked="0" hidden="0"/>
    </dxf>
    <dxf>
      <font>
        <b val="0"/>
        <i val="0"/>
        <strike val="0"/>
        <condense val="0"/>
        <extend val="0"/>
        <outline val="0"/>
        <shadow val="0"/>
        <u val="none"/>
        <vertAlign val="baseline"/>
        <sz val="8"/>
        <color auto="1"/>
        <name val="Verdana"/>
        <family val="2"/>
        <scheme val="none"/>
      </font>
      <fill>
        <patternFill patternType="none">
          <fgColor indexed="64"/>
          <bgColor indexed="65"/>
        </patternFill>
      </fill>
      <alignment horizontal="general" vertical="top" textRotation="0" wrapText="0" indent="0" justifyLastLine="0" shrinkToFit="0" readingOrder="0"/>
      <border diagonalUp="0" diagonalDown="0">
        <left/>
        <right style="thin">
          <color theme="1" tint="0.34998626667073579"/>
        </right>
        <top style="thin">
          <color theme="1" tint="0.34998626667073579"/>
        </top>
        <bottom style="thin">
          <color theme="1" tint="0.34998626667073579"/>
        </bottom>
        <vertical/>
        <horizontal/>
      </border>
      <protection locked="0" hidden="0"/>
    </dxf>
    <dxf>
      <font>
        <b val="0"/>
        <i val="0"/>
        <strike val="0"/>
        <condense val="0"/>
        <extend val="0"/>
        <outline val="0"/>
        <shadow val="0"/>
        <u val="none"/>
        <vertAlign val="baseline"/>
        <sz val="8"/>
        <color auto="1"/>
        <name val="Verdana"/>
        <family val="2"/>
        <scheme val="none"/>
      </font>
      <fill>
        <patternFill patternType="solid">
          <fgColor indexed="64"/>
          <bgColor theme="8" tint="0.59999389629810485"/>
        </patternFill>
      </fill>
      <alignment horizontal="general" vertical="top" textRotation="0" wrapText="1" indent="0" justifyLastLine="0" shrinkToFit="0" readingOrder="0"/>
      <border diagonalUp="0" diagonalDown="0">
        <left style="thick">
          <color rgb="FFC00000"/>
        </left>
        <right style="thin">
          <color theme="1" tint="0.34998626667073579"/>
        </right>
        <top style="thin">
          <color theme="1" tint="0.34998626667073579"/>
        </top>
        <bottom style="thin">
          <color theme="1" tint="0.34998626667073579"/>
        </bottom>
        <vertical/>
        <horizontal/>
      </border>
      <protection locked="0" hidden="0"/>
    </dxf>
    <dxf>
      <font>
        <b val="0"/>
        <i val="0"/>
        <strike val="0"/>
        <condense val="0"/>
        <extend val="0"/>
        <outline val="0"/>
        <shadow val="0"/>
        <u val="none"/>
        <vertAlign val="baseline"/>
        <sz val="8"/>
        <color auto="1"/>
        <name val="Verdana"/>
        <family val="2"/>
        <scheme val="none"/>
      </font>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top style="thin">
          <color rgb="FF595959"/>
        </top>
        <bottom style="thin">
          <color rgb="FF595959"/>
        </bottom>
      </border>
      <protection locked="0" hidden="0"/>
    </dxf>
    <dxf>
      <font>
        <b val="0"/>
        <i val="0"/>
        <strike val="0"/>
        <condense val="0"/>
        <extend val="0"/>
        <outline val="0"/>
        <shadow val="0"/>
        <u val="none"/>
        <vertAlign val="baseline"/>
        <sz val="8"/>
        <color auto="1"/>
        <name val="Verdana"/>
        <family val="2"/>
        <scheme val="none"/>
      </font>
      <fill>
        <patternFill patternType="solid">
          <fgColor indexed="64"/>
          <bgColor theme="8" tint="0.59999389629810485"/>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rgb="FF595959"/>
        </top>
        <bottom style="thin">
          <color rgb="FF595959"/>
        </bottom>
      </border>
      <protection locked="0" hidden="0"/>
    </dxf>
    <dxf>
      <font>
        <b val="0"/>
        <i val="0"/>
        <strike val="0"/>
        <condense val="0"/>
        <extend val="0"/>
        <outline val="0"/>
        <shadow val="0"/>
        <u val="none"/>
        <vertAlign val="baseline"/>
        <sz val="8"/>
        <color auto="1"/>
        <name val="Verdana"/>
        <family val="2"/>
        <scheme val="none"/>
      </font>
      <fill>
        <patternFill patternType="solid">
          <fgColor indexed="64"/>
          <bgColor theme="8" tint="0.59999389629810485"/>
        </patternFill>
      </fill>
      <alignment horizontal="general" vertical="top" textRotation="0" wrapText="1" indent="0" justifyLastLine="0" shrinkToFit="0" readingOrder="0"/>
      <border diagonalUp="0" diagonalDown="0" outline="0">
        <left style="thin">
          <color theme="1" tint="0.34998626667073579"/>
        </left>
        <right style="thin">
          <color theme="1" tint="0.34998626667073579"/>
        </right>
        <top style="thin">
          <color rgb="FF595959"/>
        </top>
        <bottom style="thin">
          <color rgb="FF595959"/>
        </bottom>
      </border>
      <protection locked="0" hidden="0"/>
    </dxf>
    <dxf>
      <font>
        <b val="0"/>
        <i val="0"/>
        <strike val="0"/>
        <condense val="0"/>
        <extend val="0"/>
        <outline val="0"/>
        <shadow val="0"/>
        <u val="none"/>
        <vertAlign val="baseline"/>
        <sz val="8"/>
        <color auto="1"/>
        <name val="Verdana"/>
        <family val="2"/>
        <scheme val="none"/>
      </font>
      <fill>
        <patternFill patternType="solid">
          <fgColor indexed="64"/>
          <bgColor theme="8" tint="0.59999389629810485"/>
        </patternFill>
      </fill>
      <alignment horizontal="general" vertical="top" textRotation="0" wrapText="0" indent="0" justifyLastLine="0" shrinkToFit="0" readingOrder="0"/>
      <border diagonalUp="0" diagonalDown="0" outline="0">
        <left style="thick">
          <color rgb="FFC00000"/>
        </left>
        <right style="thin">
          <color rgb="FF595959"/>
        </right>
        <top style="thin">
          <color rgb="FF595959"/>
        </top>
        <bottom style="thin">
          <color rgb="FF595959"/>
        </bottom>
      </border>
      <protection locked="0" hidden="0"/>
    </dxf>
    <dxf>
      <font>
        <b val="0"/>
        <i val="0"/>
        <strike val="0"/>
        <condense val="0"/>
        <extend val="0"/>
        <outline val="0"/>
        <shadow val="0"/>
        <u val="none"/>
        <vertAlign val="baseline"/>
        <sz val="8"/>
        <color auto="1"/>
        <name val="Verdana"/>
        <family val="2"/>
        <scheme val="none"/>
      </font>
      <numFmt numFmtId="0" formatCode="General"/>
      <fill>
        <patternFill patternType="none">
          <fgColor indexed="64"/>
          <bgColor auto="1"/>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fill>
        <patternFill patternType="none">
          <fgColor indexed="64"/>
          <bgColor auto="1"/>
        </patternFill>
      </fill>
      <alignment horizontal="general" vertical="top" textRotation="0" wrapText="0" indent="0" justifyLastLine="0" shrinkToFit="0" readingOrder="0"/>
      <border diagonalUp="0" diagonalDown="0">
        <left style="thin">
          <color theme="1" tint="0.34998626667073579"/>
        </left>
        <right style="thin">
          <color theme="1" tint="0.34998626667073579"/>
        </right>
        <top style="thin">
          <color theme="1" tint="0.34998626667073579"/>
        </top>
        <bottom style="thin">
          <color theme="1" tint="0.34998626667073579"/>
        </bottom>
        <vertical/>
        <horizontal/>
      </border>
      <protection locked="0" hidden="0"/>
    </dxf>
    <dxf>
      <font>
        <b val="0"/>
        <i val="0"/>
        <strike val="0"/>
        <condense val="0"/>
        <extend val="0"/>
        <outline val="0"/>
        <shadow val="0"/>
        <u val="none"/>
        <vertAlign val="baseline"/>
        <sz val="8"/>
        <color auto="1"/>
        <name val="Verdana"/>
        <family val="2"/>
        <scheme val="none"/>
      </font>
      <fill>
        <patternFill patternType="none">
          <fgColor indexed="64"/>
          <bgColor indexed="65"/>
        </patternFill>
      </fill>
      <alignment horizontal="general" vertical="top" textRotation="0" wrapText="0" indent="0" justifyLastLine="0" shrinkToFit="0" readingOrder="0"/>
      <border diagonalUp="0" diagonalDown="0">
        <left style="thin">
          <color theme="1" tint="0.34998626667073579"/>
        </left>
        <right style="thin">
          <color theme="1" tint="0.34998626667073579"/>
        </right>
        <top style="thin">
          <color theme="1" tint="0.34998626667073579"/>
        </top>
        <bottom style="thin">
          <color theme="1" tint="0.34998626667073579"/>
        </bottom>
        <vertical/>
        <horizontal/>
      </border>
      <protection locked="0" hidden="0"/>
    </dxf>
    <dxf>
      <font>
        <b val="0"/>
        <i val="0"/>
        <strike val="0"/>
        <condense val="0"/>
        <extend val="0"/>
        <outline val="0"/>
        <shadow val="0"/>
        <u val="none"/>
        <vertAlign val="baseline"/>
        <sz val="8"/>
        <color auto="1"/>
        <name val="Verdana"/>
        <family val="2"/>
        <scheme val="none"/>
      </font>
      <numFmt numFmtId="32" formatCode="_ &quot;€&quot;\ * #,##0_ ;_ &quot;€&quot;\ * \-#,##0_ ;_ &quot;€&quot;\ * &quot;-&quot;_ ;_ @_ "/>
      <alignment horizontal="general" vertical="top" textRotation="0" wrapText="0" indent="0" justifyLastLine="0" shrinkToFit="0" readingOrder="0"/>
      <border diagonalUp="0" diagonalDown="0">
        <left style="thin">
          <color rgb="FF595959"/>
        </left>
        <right style="thin">
          <color theme="1" tint="0.34998626667073579"/>
        </right>
        <top style="thin">
          <color rgb="FF595959"/>
        </top>
        <bottom style="thin">
          <color rgb="FF595959"/>
        </bottom>
        <vertical/>
        <horizontal/>
      </border>
      <protection locked="0" hidden="0"/>
    </dxf>
    <dxf>
      <font>
        <b val="0"/>
        <i val="0"/>
        <strike val="0"/>
        <condense val="0"/>
        <extend val="0"/>
        <outline val="0"/>
        <shadow val="0"/>
        <u val="none"/>
        <vertAlign val="baseline"/>
        <sz val="8"/>
        <color auto="1"/>
        <name val="Verdana"/>
        <family val="2"/>
        <scheme val="none"/>
      </font>
      <numFmt numFmtId="32" formatCode="_ &quot;€&quot;\ * #,##0_ ;_ &quot;€&quot;\ * \-#,##0_ ;_ &quot;€&quot;\ * &quot;-&quot;_ ;_ @_ "/>
      <alignment horizontal="general" vertical="top" textRotation="0" wrapText="0" indent="0" justifyLastLine="0" shrinkToFit="0" readingOrder="0"/>
      <border diagonalUp="0" diagonalDown="0">
        <left style="thin">
          <color rgb="FF595959"/>
        </left>
        <right style="thin">
          <color theme="1" tint="0.34998626667073579"/>
        </right>
        <top style="thin">
          <color rgb="FF595959"/>
        </top>
        <bottom style="thin">
          <color rgb="FF595959"/>
        </bottom>
        <vertical/>
        <horizontal/>
      </border>
      <protection locked="0" hidden="0"/>
    </dxf>
    <dxf>
      <font>
        <b val="0"/>
        <i val="0"/>
        <strike val="0"/>
        <condense val="0"/>
        <extend val="0"/>
        <outline val="0"/>
        <shadow val="0"/>
        <u val="none"/>
        <vertAlign val="baseline"/>
        <sz val="8"/>
        <color auto="1"/>
        <name val="Verdana"/>
        <family val="2"/>
        <scheme val="none"/>
      </font>
      <numFmt numFmtId="32" formatCode="_ &quot;€&quot;\ * #,##0_ ;_ &quot;€&quot;\ * \-#,##0_ ;_ &quot;€&quot;\ * &quot;-&quot;_ ;_ @_ "/>
      <alignment horizontal="general" vertical="top" textRotation="0" wrapText="0" indent="0" justifyLastLine="0" shrinkToFit="0" readingOrder="0"/>
      <border diagonalUp="0" diagonalDown="0">
        <left style="thin">
          <color rgb="FF595959"/>
        </left>
        <right style="thin">
          <color rgb="FF595959"/>
        </right>
        <top style="thin">
          <color rgb="FF595959"/>
        </top>
        <bottom style="thin">
          <color rgb="FF595959"/>
        </bottom>
        <vertical/>
        <horizontal/>
      </border>
      <protection locked="0" hidden="0"/>
    </dxf>
    <dxf>
      <font>
        <b val="0"/>
        <i val="0"/>
        <strike val="0"/>
        <condense val="0"/>
        <extend val="0"/>
        <outline val="0"/>
        <shadow val="0"/>
        <u val="none"/>
        <vertAlign val="baseline"/>
        <sz val="8"/>
        <color auto="1"/>
        <name val="Verdana"/>
        <family val="2"/>
        <scheme val="none"/>
      </font>
      <numFmt numFmtId="166" formatCode="yyyy/mm/dd;@"/>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numFmt numFmtId="2" formatCode="0.00"/>
      <alignment horizontal="general" vertical="top" textRotation="0" wrapText="0" indent="0" justifyLastLine="0" shrinkToFit="0" readingOrder="0"/>
      <border diagonalUp="0" diagonalDown="0">
        <left style="thin">
          <color theme="1" tint="0.34998626667073579"/>
        </left>
        <right style="thin">
          <color theme="1" tint="0.34998626667073579"/>
        </right>
        <top style="thin">
          <color theme="1" tint="0.34998626667073579"/>
        </top>
        <bottom style="thin">
          <color theme="1" tint="0.34998626667073579"/>
        </bottom>
        <vertical/>
        <horizontal/>
      </border>
      <protection locked="0" hidden="0"/>
    </dxf>
    <dxf>
      <font>
        <b val="0"/>
        <i val="0"/>
        <strike val="0"/>
        <condense val="0"/>
        <extend val="0"/>
        <outline val="0"/>
        <shadow val="0"/>
        <u val="none"/>
        <vertAlign val="baseline"/>
        <sz val="8"/>
        <color auto="1"/>
        <name val="Verdana"/>
        <family val="2"/>
        <scheme val="none"/>
      </font>
      <numFmt numFmtId="166" formatCode="yyyy/mm/dd;@"/>
      <fill>
        <patternFill patternType="none">
          <fgColor indexed="64"/>
          <bgColor auto="1"/>
        </patternFill>
      </fill>
      <alignment horizontal="general" vertical="top" textRotation="0" wrapText="0" indent="0" justifyLastLine="0" shrinkToFit="0" readingOrder="0"/>
      <border diagonalUp="0" diagonalDown="0">
        <left style="thin">
          <color rgb="FF595959"/>
        </left>
        <right style="thin">
          <color rgb="FF595959"/>
        </right>
        <top style="thin">
          <color rgb="FF595959"/>
        </top>
        <bottom style="thin">
          <color rgb="FF595959"/>
        </bottom>
        <vertical/>
        <horizontal/>
      </border>
      <protection locked="0" hidden="0"/>
    </dxf>
    <dxf>
      <font>
        <b val="0"/>
        <i val="0"/>
        <strike val="0"/>
        <condense val="0"/>
        <extend val="0"/>
        <outline val="0"/>
        <shadow val="0"/>
        <u val="none"/>
        <vertAlign val="baseline"/>
        <sz val="8"/>
        <color auto="1"/>
        <name val="Verdana"/>
        <family val="2"/>
        <scheme val="none"/>
      </font>
      <numFmt numFmtId="166" formatCode="yyyy/mm/dd;@"/>
      <fill>
        <patternFill patternType="none">
          <fgColor indexed="64"/>
          <bgColor indexed="65"/>
        </patternFill>
      </fill>
      <alignment horizontal="general" vertical="top" textRotation="0" wrapText="0" indent="0" justifyLastLine="0" shrinkToFit="0" readingOrder="0"/>
      <border diagonalUp="0" diagonalDown="0">
        <left style="thin">
          <color rgb="FF595959"/>
        </left>
        <right style="thin">
          <color rgb="FF595959"/>
        </right>
        <top style="thin">
          <color rgb="FF595959"/>
        </top>
        <bottom style="thin">
          <color rgb="FF595959"/>
        </bottom>
        <vertical/>
        <horizontal/>
      </border>
      <protection locked="0" hidden="0"/>
    </dxf>
    <dxf>
      <font>
        <b val="0"/>
        <i val="0"/>
        <strike val="0"/>
        <condense val="0"/>
        <extend val="0"/>
        <outline val="0"/>
        <shadow val="0"/>
        <u val="none"/>
        <vertAlign val="baseline"/>
        <sz val="8"/>
        <color auto="1"/>
        <name val="Verdana"/>
        <family val="2"/>
        <scheme val="none"/>
      </font>
      <alignment horizontal="general" vertical="top" textRotation="0" wrapText="0" indent="0" justifyLastLine="0" shrinkToFit="0" readingOrder="0"/>
      <border diagonalUp="0" diagonalDown="0">
        <left/>
        <right style="thin">
          <color theme="1" tint="0.34998626667073579"/>
        </right>
        <top style="thin">
          <color theme="1" tint="0.34998626667073579"/>
        </top>
        <bottom style="thin">
          <color theme="1" tint="0.34998626667073579"/>
        </bottom>
        <vertical/>
        <horizontal/>
      </border>
      <protection locked="0" hidden="0"/>
    </dxf>
    <dxf>
      <font>
        <b val="0"/>
        <i val="0"/>
        <strike val="0"/>
        <condense val="0"/>
        <extend val="0"/>
        <outline val="0"/>
        <shadow val="0"/>
        <u val="none"/>
        <vertAlign val="baseline"/>
        <sz val="8"/>
        <color auto="1"/>
        <name val="Verdana"/>
        <family val="2"/>
        <scheme val="none"/>
      </font>
      <numFmt numFmtId="0" formatCode="General"/>
      <fill>
        <patternFill patternType="solid">
          <fgColor indexed="64"/>
          <bgColor theme="9" tint="0.59999389629810485"/>
        </patternFill>
      </fill>
      <alignment horizontal="general" vertical="top" textRotation="0" wrapText="0" indent="0" justifyLastLine="0" shrinkToFit="0" readingOrder="0"/>
      <border diagonalUp="0" diagonalDown="0" outline="0">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numFmt numFmtId="0" formatCode="General"/>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top style="thin">
          <color theme="1" tint="0.34998626667073579"/>
        </top>
        <bottom style="thin">
          <color theme="1" tint="0.34998626667073579"/>
        </bottom>
      </border>
      <protection locked="1" hidden="0"/>
    </dxf>
    <dxf>
      <font>
        <b val="0"/>
        <i val="0"/>
        <strike val="0"/>
        <condense val="0"/>
        <extend val="0"/>
        <outline val="0"/>
        <shadow val="0"/>
        <u val="none"/>
        <vertAlign val="baseline"/>
        <sz val="8"/>
        <color auto="1"/>
        <name val="Verdana"/>
        <family val="2"/>
        <scheme val="none"/>
      </font>
      <numFmt numFmtId="0" formatCode="General"/>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fill>
        <patternFill patternType="none">
          <fgColor indexed="64"/>
          <bgColor indexed="65"/>
        </patternFill>
      </fill>
      <alignment horizontal="general" vertical="top" textRotation="0" wrapText="0" indent="0" justifyLastLine="0" shrinkToFit="0" readingOrder="0"/>
      <border diagonalUp="0" diagonalDown="0">
        <left style="thin">
          <color theme="1" tint="0.34998626667073579"/>
        </left>
        <right style="thin">
          <color theme="1" tint="0.34998626667073579"/>
        </right>
        <top style="thin">
          <color theme="1" tint="0.34998626667073579"/>
        </top>
        <bottom style="thin">
          <color theme="1" tint="0.34998626667073579"/>
        </bottom>
        <vertical/>
        <horizontal/>
      </border>
      <protection locked="0" hidden="0"/>
    </dxf>
    <dxf>
      <font>
        <b val="0"/>
        <i val="0"/>
        <strike val="0"/>
        <condense val="0"/>
        <extend val="0"/>
        <outline val="0"/>
        <shadow val="0"/>
        <u val="none"/>
        <vertAlign val="baseline"/>
        <sz val="8"/>
        <color auto="1"/>
        <name val="Verdana"/>
        <family val="2"/>
        <scheme val="none"/>
      </font>
      <fill>
        <patternFill>
          <fgColor indexed="64"/>
          <bgColor rgb="FFFFC1C1"/>
        </patternFill>
      </fill>
      <alignment horizontal="general" vertical="top" textRotation="0" wrapText="1" indent="0" justifyLastLine="0" shrinkToFit="0" readingOrder="0"/>
      <border diagonalUp="0" diagonalDown="0">
        <left/>
        <right style="thin">
          <color theme="1" tint="0.34998626667073579"/>
        </right>
        <top style="thin">
          <color theme="1" tint="0.34998626667073579"/>
        </top>
        <bottom style="thin">
          <color theme="1" tint="0.34998626667073579"/>
        </bottom>
        <vertical/>
        <horizontal/>
      </border>
      <protection locked="0" hidden="0"/>
    </dxf>
    <dxf>
      <font>
        <b val="0"/>
        <i val="0"/>
        <strike val="0"/>
        <condense val="0"/>
        <extend val="0"/>
        <outline val="0"/>
        <shadow val="0"/>
        <u val="none"/>
        <vertAlign val="baseline"/>
        <sz val="8"/>
        <color auto="1"/>
        <name val="Verdana"/>
        <family val="2"/>
        <scheme val="none"/>
      </font>
      <fill>
        <patternFill>
          <fgColor indexed="64"/>
          <bgColor rgb="FFFFC1C1"/>
        </patternFill>
      </fill>
      <alignment horizontal="general" vertical="top" textRotation="0" wrapText="1" indent="0" justifyLastLine="0" shrinkToFit="0" readingOrder="0"/>
      <border diagonalUp="0" diagonalDown="0">
        <left style="thin">
          <color theme="1" tint="0.34998626667073579"/>
        </left>
        <right style="thin">
          <color theme="1" tint="0.34998626667073579"/>
        </right>
        <top style="thin">
          <color theme="1" tint="0.34998626667073579"/>
        </top>
        <bottom style="thin">
          <color theme="1" tint="0.34998626667073579"/>
        </bottom>
        <vertical/>
        <horizontal/>
      </border>
      <protection locked="0" hidden="0"/>
    </dxf>
    <dxf>
      <font>
        <b val="0"/>
        <i val="0"/>
        <strike val="0"/>
        <condense val="0"/>
        <extend val="0"/>
        <outline val="0"/>
        <shadow val="0"/>
        <u val="none"/>
        <vertAlign val="baseline"/>
        <sz val="8"/>
        <color auto="1"/>
        <name val="Verdana"/>
        <family val="2"/>
        <scheme val="none"/>
      </font>
      <fill>
        <patternFill patternType="solid">
          <fgColor indexed="64"/>
          <bgColor theme="9" tint="0.59999389629810485"/>
        </patternFill>
      </fill>
      <alignment horizontal="left" vertical="top" textRotation="0" wrapText="0" indent="0" justifyLastLine="0" shrinkToFit="0" readingOrder="0"/>
      <border diagonalUp="0" diagonalDown="0">
        <left style="thin">
          <color theme="1" tint="0.34998626667073579"/>
        </left>
        <right style="thin">
          <color theme="1" tint="0.34998626667073579"/>
        </right>
        <top style="thin">
          <color theme="1" tint="0.34998626667073579"/>
        </top>
        <bottom style="thin">
          <color theme="1" tint="0.34998626667073579"/>
        </bottom>
        <vertical/>
        <horizontal/>
      </border>
      <protection locked="0" hidden="0"/>
    </dxf>
    <dxf>
      <font>
        <b val="0"/>
        <i val="0"/>
        <strike val="0"/>
        <condense val="0"/>
        <extend val="0"/>
        <outline val="0"/>
        <shadow val="0"/>
        <u val="none"/>
        <vertAlign val="baseline"/>
        <sz val="8"/>
        <color auto="1"/>
        <name val="Verdana"/>
        <family val="2"/>
        <scheme val="none"/>
      </font>
      <numFmt numFmtId="0" formatCode="General"/>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alignment horizontal="general" vertical="top" textRotation="0" wrapText="0" indent="0" justifyLastLine="0" shrinkToFit="0" readingOrder="0"/>
      <border diagonalUp="0" diagonalDown="0">
        <left style="thin">
          <color theme="1" tint="0.34998626667073579"/>
        </left>
        <right style="thin">
          <color theme="1" tint="0.34998626667073579"/>
        </right>
        <top style="thin">
          <color theme="1" tint="0.34998626667073579"/>
        </top>
        <bottom style="thin">
          <color theme="1" tint="0.34998626667073579"/>
        </bottom>
        <vertical/>
        <horizontal/>
      </border>
      <protection locked="0" hidden="0"/>
    </dxf>
    <dxf>
      <font>
        <b val="0"/>
        <i val="0"/>
        <strike val="0"/>
        <condense val="0"/>
        <extend val="0"/>
        <outline val="0"/>
        <shadow val="0"/>
        <u val="none"/>
        <vertAlign val="baseline"/>
        <sz val="8"/>
        <color auto="1"/>
        <name val="Verdana"/>
        <family val="2"/>
        <scheme val="none"/>
      </font>
      <fill>
        <patternFill patternType="solid">
          <fgColor indexed="64"/>
          <bgColor theme="8" tint="0.59999389629810485"/>
        </patternFill>
      </fill>
      <alignment horizontal="general" vertical="top" textRotation="0" wrapText="1" indent="0" justifyLastLine="0" shrinkToFit="0" readingOrder="0"/>
      <border diagonalUp="0" diagonalDown="0">
        <left style="thin">
          <color rgb="FF595959"/>
        </left>
        <right style="thin">
          <color rgb="FF595959"/>
        </right>
        <top style="thin">
          <color rgb="FF595959"/>
        </top>
        <bottom style="thin">
          <color rgb="FF595959"/>
        </bottom>
        <vertical/>
        <horizontal/>
      </border>
      <protection locked="0" hidden="0"/>
    </dxf>
    <dxf>
      <font>
        <b val="0"/>
        <i val="0"/>
        <strike val="0"/>
        <condense val="0"/>
        <extend val="0"/>
        <outline val="0"/>
        <shadow val="0"/>
        <u val="none"/>
        <vertAlign val="baseline"/>
        <sz val="8"/>
        <color auto="1"/>
        <name val="Verdana"/>
        <family val="2"/>
        <scheme val="none"/>
      </font>
      <numFmt numFmtId="0" formatCode="General"/>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style="thin">
          <color rgb="FF595959"/>
        </right>
        <top style="thin">
          <color theme="1" tint="0.34998626667073579"/>
        </top>
        <bottom style="thin">
          <color theme="1" tint="0.34998626667073579"/>
        </bottom>
      </border>
      <protection locked="1" hidden="0"/>
    </dxf>
    <dxf>
      <font>
        <b val="0"/>
        <i val="0"/>
        <strike val="0"/>
        <condense val="0"/>
        <extend val="0"/>
        <outline val="0"/>
        <shadow val="0"/>
        <u val="none"/>
        <vertAlign val="baseline"/>
        <sz val="8"/>
        <color auto="1"/>
        <name val="Verdana"/>
        <family val="2"/>
        <scheme val="none"/>
      </font>
      <numFmt numFmtId="0" formatCode="General"/>
      <alignment horizontal="general" vertical="top" textRotation="0" wrapText="0" indent="0" justifyLastLine="0" shrinkToFit="0" readingOrder="0"/>
      <border diagonalUp="0" diagonalDown="0" outline="0">
        <left/>
        <right style="thin">
          <color theme="1" tint="0.34998626667073579"/>
        </right>
        <top style="thin">
          <color theme="1" tint="0.34998626667073579"/>
        </top>
        <bottom style="thin">
          <color theme="1" tint="0.34998626667073579"/>
        </bottom>
      </border>
      <protection locked="0" hidden="0"/>
    </dxf>
    <dxf>
      <border outline="0">
        <top style="thin">
          <color rgb="FF595959"/>
        </top>
      </border>
    </dxf>
    <dxf>
      <border outline="0">
        <left style="thin">
          <color rgb="FF595959"/>
        </left>
        <right style="thick">
          <color rgb="FF595959"/>
        </right>
        <top style="thick">
          <color rgb="FF595959"/>
        </top>
        <bottom style="thin">
          <color rgb="FF595959"/>
        </bottom>
      </border>
    </dxf>
    <dxf>
      <font>
        <strike val="0"/>
        <outline val="0"/>
        <shadow val="0"/>
        <u val="none"/>
        <vertAlign val="baseline"/>
        <sz val="8"/>
        <color auto="1"/>
        <name val="Verdana"/>
        <family val="2"/>
        <scheme val="none"/>
      </font>
      <alignment vertical="top" textRotation="0" indent="0" justifyLastLine="0" shrinkToFit="0" readingOrder="0"/>
    </dxf>
    <dxf>
      <border outline="0">
        <bottom style="thin">
          <color rgb="FF595959"/>
        </bottom>
      </border>
    </dxf>
    <dxf>
      <font>
        <b val="0"/>
        <i val="0"/>
        <strike val="0"/>
        <condense val="0"/>
        <extend val="0"/>
        <outline val="0"/>
        <shadow val="0"/>
        <u val="none"/>
        <vertAlign val="baseline"/>
        <sz val="8"/>
        <color theme="1"/>
        <name val="Verdana"/>
        <family val="2"/>
        <scheme val="none"/>
      </font>
      <fill>
        <patternFill patternType="solid">
          <fgColor indexed="64"/>
          <bgColor rgb="FFFFFF00"/>
        </patternFill>
      </fill>
      <alignment horizontal="general" vertical="top" textRotation="0" wrapText="1" indent="0" justifyLastLine="0" shrinkToFit="0" readingOrder="0"/>
      <border diagonalUp="0" diagonalDown="0" outline="0">
        <left style="thin">
          <color theme="1" tint="0.34998626667073579"/>
        </left>
        <right style="thin">
          <color theme="1" tint="0.34998626667073579"/>
        </right>
        <top/>
        <bottom/>
      </border>
      <protection locked="1" hidden="0"/>
    </dxf>
    <dxf>
      <font>
        <b val="0"/>
        <i val="0"/>
        <strike val="0"/>
        <condense val="0"/>
        <extend val="0"/>
        <outline val="0"/>
        <shadow val="0"/>
        <u val="none"/>
        <vertAlign val="baseline"/>
        <sz val="8"/>
        <color theme="1"/>
        <name val="Verdana"/>
        <family val="2"/>
        <scheme val="none"/>
      </font>
      <numFmt numFmtId="19" formatCode="d/m/yyyy"/>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top style="thin">
          <color theme="1" tint="0.34998626667073579"/>
        </top>
        <bottom style="thin">
          <color theme="1" tint="0.34998626667073579"/>
        </bottom>
      </border>
    </dxf>
    <dxf>
      <font>
        <b val="0"/>
        <i val="0"/>
        <strike val="0"/>
        <condense val="0"/>
        <extend val="0"/>
        <outline val="0"/>
        <shadow val="0"/>
        <u val="none"/>
        <vertAlign val="baseline"/>
        <sz val="8"/>
        <color theme="1"/>
        <name val="Verdana"/>
        <family val="2"/>
        <scheme val="none"/>
      </font>
      <numFmt numFmtId="0" formatCode="General"/>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dxf>
    <dxf>
      <font>
        <b val="0"/>
        <i val="0"/>
        <strike val="0"/>
        <condense val="0"/>
        <extend val="0"/>
        <outline val="0"/>
        <shadow val="0"/>
        <u val="none"/>
        <vertAlign val="baseline"/>
        <sz val="8"/>
        <color theme="1"/>
        <name val="Verdana"/>
        <family val="2"/>
        <scheme val="none"/>
      </font>
      <numFmt numFmtId="0" formatCode="General"/>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dxf>
    <dxf>
      <font>
        <b val="0"/>
        <i val="0"/>
        <strike val="0"/>
        <condense val="0"/>
        <extend val="0"/>
        <outline val="0"/>
        <shadow val="0"/>
        <u val="none"/>
        <vertAlign val="baseline"/>
        <sz val="8"/>
        <color theme="1"/>
        <name val="Verdana"/>
        <family val="2"/>
        <scheme val="none"/>
      </font>
      <numFmt numFmtId="0" formatCode="General"/>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top style="thin">
          <color theme="1" tint="0.34998626667073579"/>
        </top>
        <bottom style="thin">
          <color theme="1" tint="0.34998626667073579"/>
        </bottom>
      </border>
      <protection locked="1" hidden="0"/>
    </dxf>
    <dxf>
      <font>
        <b val="0"/>
        <i val="0"/>
        <strike val="0"/>
        <condense val="0"/>
        <extend val="0"/>
        <outline val="0"/>
        <shadow val="0"/>
        <u val="none"/>
        <vertAlign val="baseline"/>
        <sz val="8"/>
        <color theme="1"/>
        <name val="Verdana"/>
        <family val="2"/>
        <scheme val="none"/>
      </font>
      <numFmt numFmtId="0" formatCode="General"/>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1" hidden="0"/>
    </dxf>
    <dxf>
      <font>
        <b val="0"/>
        <i val="0"/>
        <strike val="0"/>
        <condense val="0"/>
        <extend val="0"/>
        <outline val="0"/>
        <shadow val="0"/>
        <u val="none"/>
        <vertAlign val="baseline"/>
        <sz val="8"/>
        <color theme="1"/>
        <name val="Verdana"/>
        <family val="2"/>
        <scheme val="none"/>
      </font>
      <numFmt numFmtId="168" formatCode="&quot;€&quot;\ #,##0"/>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1" hidden="0"/>
    </dxf>
    <dxf>
      <font>
        <b val="0"/>
        <i val="0"/>
        <strike val="0"/>
        <condense val="0"/>
        <extend val="0"/>
        <outline val="0"/>
        <shadow val="0"/>
        <u val="none"/>
        <vertAlign val="baseline"/>
        <sz val="8"/>
        <color auto="1"/>
        <name val="Verdana"/>
        <family val="2"/>
        <scheme val="none"/>
      </font>
      <numFmt numFmtId="168" formatCode="&quot;€&quot;\ #,##0"/>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numFmt numFmtId="32" formatCode="_ &quot;€&quot;\ * #,##0_ ;_ &quot;€&quot;\ * \-#,##0_ ;_ &quot;€&quot;\ * &quot;-&quot;_ ;_ @_ "/>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1" hidden="0"/>
    </dxf>
    <dxf>
      <font>
        <b val="0"/>
        <i val="0"/>
        <strike val="0"/>
        <condense val="0"/>
        <extend val="0"/>
        <outline val="0"/>
        <shadow val="0"/>
        <u val="none"/>
        <vertAlign val="baseline"/>
        <sz val="8"/>
        <color auto="1"/>
        <name val="Verdana"/>
        <family val="2"/>
        <scheme val="none"/>
      </font>
      <alignment horizontal="general" vertical="top" textRotation="0" wrapText="1"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alignment horizontal="general" vertical="top" textRotation="0" wrapText="1"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alignment horizontal="general" vertical="top" textRotation="0" wrapText="1"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alignment horizontal="general" vertical="top" textRotation="0" wrapText="1"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alignment horizontal="general" vertical="top" textRotation="0" wrapText="1"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numFmt numFmtId="0" formatCode="General"/>
      <alignment horizontal="general" vertical="top" textRotation="0" wrapText="1" indent="0" justifyLastLine="0" shrinkToFit="0" readingOrder="0"/>
      <border diagonalUp="0" diagonalDown="0" outline="0">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alignment horizontal="general" vertical="top" textRotation="0" wrapText="1" indent="0" justifyLastLine="0" shrinkToFit="0" readingOrder="0"/>
      <border diagonalUp="0" diagonalDown="0" outline="0">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fill>
        <patternFill patternType="none">
          <fgColor indexed="64"/>
          <bgColor indexed="65"/>
        </patternFill>
      </fill>
      <alignment horizontal="general" vertical="top" textRotation="0" wrapText="1"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theme="1"/>
        <name val="Verdana"/>
        <family val="2"/>
        <scheme val="none"/>
      </font>
      <numFmt numFmtId="0" formatCode="General"/>
      <fill>
        <patternFill patternType="none">
          <fgColor indexed="64"/>
          <bgColor auto="1"/>
        </patternFill>
      </fill>
      <alignment horizontal="general" vertical="top" textRotation="0" wrapText="1"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theme="1"/>
        <name val="Verdana"/>
        <family val="2"/>
        <scheme val="none"/>
      </font>
      <fill>
        <patternFill patternType="none">
          <fgColor indexed="64"/>
          <bgColor indexed="65"/>
        </patternFill>
      </fill>
      <alignment horizontal="center"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theme="1"/>
        <name val="Verdana"/>
        <family val="2"/>
        <scheme val="none"/>
      </font>
      <numFmt numFmtId="0" formatCode="General"/>
      <fill>
        <patternFill patternType="solid">
          <fgColor indexed="64"/>
          <bgColor theme="9" tint="0.59999389629810485"/>
        </patternFill>
      </fill>
      <alignment horizontal="general" vertical="top" textRotation="0" wrapText="0" indent="0" justifyLastLine="0" shrinkToFit="0" readingOrder="0"/>
      <border diagonalUp="0" diagonalDown="0" outline="0">
        <left/>
        <right/>
        <top style="thin">
          <color theme="1" tint="0.34998626667073579"/>
        </top>
        <bottom style="thin">
          <color theme="1" tint="0.34998626667073579"/>
        </bottom>
      </border>
      <protection locked="1" hidden="0"/>
    </dxf>
    <dxf>
      <font>
        <b val="0"/>
        <i val="0"/>
        <strike val="0"/>
        <condense val="0"/>
        <extend val="0"/>
        <outline val="0"/>
        <shadow val="0"/>
        <u val="none"/>
        <vertAlign val="baseline"/>
        <sz val="8"/>
        <color theme="1"/>
        <name val="Verdana"/>
        <family val="2"/>
        <scheme val="none"/>
      </font>
      <fill>
        <patternFill patternType="none">
          <fgColor indexed="64"/>
          <bgColor auto="1"/>
        </patternFill>
      </fill>
      <alignment horizontal="center"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theme="1"/>
        <name val="Verdana"/>
        <family val="2"/>
        <scheme val="none"/>
      </font>
      <numFmt numFmtId="0" formatCode="General"/>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top style="thin">
          <color theme="1" tint="0.34998626667073579"/>
        </top>
        <bottom style="thin">
          <color theme="1" tint="0.34998626667073579"/>
        </bottom>
      </border>
      <protection locked="1" hidden="0"/>
    </dxf>
    <dxf>
      <font>
        <b val="0"/>
        <i val="0"/>
        <strike val="0"/>
        <condense val="0"/>
        <extend val="0"/>
        <outline val="0"/>
        <shadow val="0"/>
        <u val="none"/>
        <vertAlign val="baseline"/>
        <sz val="8"/>
        <color theme="1"/>
        <name val="Verdana"/>
        <family val="2"/>
        <scheme val="none"/>
      </font>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theme="1"/>
        <name val="Verdana"/>
        <family val="2"/>
        <scheme val="none"/>
      </font>
      <numFmt numFmtId="0" formatCode="General"/>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1" hidden="0"/>
    </dxf>
    <dxf>
      <font>
        <b val="0"/>
        <i val="0"/>
        <strike val="0"/>
        <condense val="0"/>
        <extend val="0"/>
        <outline val="0"/>
        <shadow val="0"/>
        <u val="none"/>
        <vertAlign val="baseline"/>
        <sz val="8"/>
        <color theme="1"/>
        <name val="Verdana"/>
        <family val="2"/>
        <scheme val="none"/>
      </font>
      <numFmt numFmtId="0" formatCode="General"/>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dxf>
    <dxf>
      <font>
        <b val="0"/>
        <i val="0"/>
        <strike val="0"/>
        <condense val="0"/>
        <extend val="0"/>
        <outline val="0"/>
        <shadow val="0"/>
        <u val="none"/>
        <vertAlign val="baseline"/>
        <sz val="8"/>
        <color theme="1"/>
        <name val="Verdana"/>
        <family val="2"/>
        <scheme val="none"/>
      </font>
      <numFmt numFmtId="0" formatCode="General"/>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1" hidden="0"/>
    </dxf>
    <dxf>
      <font>
        <b val="0"/>
        <i val="0"/>
        <strike val="0"/>
        <condense val="0"/>
        <extend val="0"/>
        <outline val="0"/>
        <shadow val="0"/>
        <u val="none"/>
        <vertAlign val="baseline"/>
        <sz val="8"/>
        <color theme="1"/>
        <name val="Verdana"/>
        <family val="2"/>
        <scheme val="none"/>
      </font>
      <fill>
        <patternFill patternType="none">
          <fgColor indexed="64"/>
          <bgColor auto="1"/>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1" hidden="0"/>
    </dxf>
    <dxf>
      <font>
        <b val="0"/>
        <i val="0"/>
        <strike val="0"/>
        <condense val="0"/>
        <extend val="0"/>
        <outline val="0"/>
        <shadow val="0"/>
        <u val="none"/>
        <vertAlign val="baseline"/>
        <sz val="8"/>
        <color theme="1"/>
        <name val="Verdana"/>
        <family val="2"/>
        <scheme val="none"/>
      </font>
      <numFmt numFmtId="0" formatCode="General"/>
      <alignment horizontal="general" vertical="top" textRotation="0" wrapText="0" indent="0" justifyLastLine="0" shrinkToFit="0" readingOrder="0"/>
      <border diagonalUp="0" diagonalDown="0" outline="0">
        <left style="double">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numFmt numFmtId="0" formatCode="General"/>
      <fill>
        <patternFill patternType="solid">
          <fgColor indexed="64"/>
          <bgColor theme="9" tint="0.59999389629810485"/>
        </patternFill>
      </fill>
      <alignment horizontal="general" vertical="top" textRotation="0" wrapText="1"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1" hidden="0"/>
    </dxf>
    <dxf>
      <font>
        <b val="0"/>
        <i val="0"/>
        <strike val="0"/>
        <condense val="0"/>
        <extend val="0"/>
        <outline val="0"/>
        <shadow val="0"/>
        <u val="none"/>
        <vertAlign val="baseline"/>
        <sz val="8"/>
        <color auto="1"/>
        <name val="Verdana"/>
        <family val="2"/>
        <scheme val="none"/>
      </font>
      <numFmt numFmtId="0" formatCode="General"/>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1" hidden="0"/>
    </dxf>
    <dxf>
      <font>
        <b val="0"/>
        <i val="0"/>
        <strike val="0"/>
        <condense val="0"/>
        <extend val="0"/>
        <outline val="0"/>
        <shadow val="0"/>
        <u val="none"/>
        <vertAlign val="baseline"/>
        <sz val="8"/>
        <color auto="1"/>
        <name val="Verdana"/>
        <family val="2"/>
        <scheme val="none"/>
      </font>
      <numFmt numFmtId="167" formatCode="0;;;@"/>
      <fill>
        <patternFill patternType="solid">
          <fgColor indexed="64"/>
          <bgColor theme="9" tint="0.59999389629810485"/>
        </patternFill>
      </fill>
      <alignment horizontal="left" vertical="top" textRotation="0" wrapText="1" indent="0" justifyLastLine="0" shrinkToFit="0" readingOrder="0"/>
      <border diagonalUp="0" diagonalDown="0" outline="0">
        <left/>
        <right/>
        <top style="thin">
          <color theme="1" tint="0.34998626667073579"/>
        </top>
        <bottom style="thin">
          <color theme="1" tint="0.34998626667073579"/>
        </bottom>
      </border>
      <protection locked="1" hidden="0"/>
    </dxf>
    <dxf>
      <font>
        <b val="0"/>
        <i val="0"/>
        <strike val="0"/>
        <condense val="0"/>
        <extend val="0"/>
        <outline val="0"/>
        <shadow val="0"/>
        <u val="none"/>
        <vertAlign val="baseline"/>
        <sz val="8"/>
        <color theme="1"/>
        <name val="Verdana"/>
        <family val="2"/>
        <scheme val="none"/>
      </font>
      <numFmt numFmtId="0" formatCode="General"/>
      <fill>
        <patternFill patternType="none">
          <fgColor indexed="64"/>
          <bgColor auto="1"/>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border outline="0">
        <left style="thick">
          <color rgb="FF595959"/>
        </left>
        <right style="thick">
          <color rgb="FF595959"/>
        </right>
        <top style="thick">
          <color rgb="FF595959"/>
        </top>
      </border>
    </dxf>
    <dxf>
      <alignment vertical="top" textRotation="0" indent="0" justifyLastLine="0" shrinkToFit="0" readingOrder="0"/>
    </dxf>
    <dxf>
      <border outline="0">
        <bottom style="thin">
          <color rgb="FF595959"/>
        </bottom>
      </border>
    </dxf>
    <dxf>
      <font>
        <b val="0"/>
        <i val="0"/>
        <strike val="0"/>
        <condense val="0"/>
        <extend val="0"/>
        <outline val="0"/>
        <shadow val="0"/>
        <u val="none"/>
        <vertAlign val="baseline"/>
        <sz val="8"/>
        <color theme="1"/>
        <name val="Verdana"/>
        <family val="2"/>
        <scheme val="none"/>
      </font>
      <alignment horizontal="general" vertical="top" textRotation="0" wrapText="1" indent="0" justifyLastLine="0" shrinkToFit="0" readingOrder="0"/>
      <protection locked="1" hidden="0"/>
    </dxf>
    <dxf>
      <font>
        <b val="0"/>
        <i val="0"/>
        <strike val="0"/>
        <condense val="0"/>
        <extend val="0"/>
        <outline val="0"/>
        <shadow val="0"/>
        <u val="none"/>
        <vertAlign val="baseline"/>
        <sz val="8"/>
        <color auto="1"/>
        <name val="Verdana"/>
        <family val="2"/>
        <scheme val="none"/>
      </font>
      <alignment horizontal="general" vertical="top" textRotation="0" wrapText="1"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fill>
        <patternFill patternType="solid">
          <fgColor indexed="64"/>
          <bgColor theme="8" tint="0.59999389629810485"/>
        </patternFill>
      </fill>
      <alignment horizontal="general" vertical="top" textRotation="0" wrapText="0" indent="0" justifyLastLine="0" shrinkToFit="0" readingOrder="0"/>
      <border diagonalUp="0" diagonalDown="0" outline="0">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fill>
        <patternFill patternType="solid">
          <fgColor indexed="64"/>
          <bgColor theme="8" tint="0.59999389629810485"/>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fill>
        <patternFill patternType="solid">
          <fgColor indexed="64"/>
          <bgColor theme="8" tint="0.59999389629810485"/>
        </patternFill>
      </fill>
      <alignment horizontal="general" vertical="top" textRotation="0" wrapText="0" indent="0" justifyLastLine="0" shrinkToFit="0" readingOrder="0"/>
      <border diagonalUp="0" diagonalDown="0" outline="0">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fill>
        <patternFill patternType="solid">
          <fgColor indexed="64"/>
          <bgColor theme="8" tint="0.59999389629810485"/>
        </patternFill>
      </fill>
      <alignment horizontal="general" vertical="top" textRotation="0" wrapText="0" indent="0" justifyLastLine="0" shrinkToFit="0" readingOrder="0"/>
      <border diagonalUp="0" diagonalDown="0">
        <left style="medium">
          <color rgb="FFC00000"/>
        </left>
        <right style="medium">
          <color rgb="FFC00000"/>
        </right>
        <top style="thin">
          <color theme="1" tint="0.34998626667073579"/>
        </top>
        <bottom style="thin">
          <color theme="1" tint="0.34998626667073579"/>
        </bottom>
        <vertical/>
      </border>
      <protection locked="0" hidden="0"/>
    </dxf>
    <dxf>
      <font>
        <b val="0"/>
        <i val="0"/>
        <strike val="0"/>
        <condense val="0"/>
        <extend val="0"/>
        <outline val="0"/>
        <shadow val="0"/>
        <u val="none"/>
        <vertAlign val="baseline"/>
        <sz val="8"/>
        <color auto="1"/>
        <name val="Verdana"/>
        <family val="2"/>
        <scheme val="none"/>
      </font>
      <fill>
        <patternFill patternType="none">
          <fgColor indexed="64"/>
          <bgColor auto="1"/>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fill>
        <patternFill patternType="none">
          <fgColor indexed="64"/>
          <bgColor auto="1"/>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fill>
        <patternFill patternType="none">
          <fgColor indexed="64"/>
          <bgColor auto="1"/>
        </patternFill>
      </fill>
      <alignment horizontal="general" vertical="top" textRotation="0" wrapText="0" indent="0" justifyLastLine="0" shrinkToFit="0" readingOrder="0"/>
      <border diagonalUp="0" diagonalDown="0" outline="0">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fill>
        <patternFill patternType="none">
          <fgColor indexed="64"/>
          <bgColor indexed="65"/>
        </patternFill>
      </fill>
      <alignment horizontal="general" vertical="top" textRotation="0" wrapText="0" indent="0" justifyLastLine="0" shrinkToFit="0" readingOrder="0"/>
      <border diagonalUp="0" diagonalDown="0" outline="0">
        <left style="thin">
          <color theme="1" tint="0.34998626667073579"/>
        </left>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fill>
        <patternFill patternType="solid">
          <fgColor indexed="64"/>
          <bgColor theme="8" tint="0.59999389629810485"/>
        </patternFill>
      </fill>
      <alignment horizontal="general" vertical="top" textRotation="0" wrapText="1" indent="0" justifyLastLine="0" shrinkToFit="0" readingOrder="0"/>
      <border diagonalUp="0" diagonalDown="0" outline="0">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top style="thin">
          <color rgb="FF595959"/>
        </top>
        <bottom style="thin">
          <color rgb="FF595959"/>
        </bottom>
      </border>
      <protection locked="0" hidden="0"/>
    </dxf>
    <dxf>
      <font>
        <b val="0"/>
        <i val="0"/>
        <strike val="0"/>
        <condense val="0"/>
        <extend val="0"/>
        <outline val="0"/>
        <shadow val="0"/>
        <u val="none"/>
        <vertAlign val="baseline"/>
        <sz val="8"/>
        <color auto="1"/>
        <name val="Verdana"/>
        <family val="2"/>
        <scheme val="none"/>
      </font>
      <fill>
        <patternFill patternType="solid">
          <fgColor indexed="64"/>
          <bgColor theme="8" tint="0.59999389629810485"/>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rgb="FF595959"/>
        </top>
        <bottom style="thin">
          <color rgb="FF595959"/>
        </bottom>
      </border>
      <protection locked="0" hidden="0"/>
    </dxf>
    <dxf>
      <font>
        <b val="0"/>
        <i val="0"/>
        <strike val="0"/>
        <condense val="0"/>
        <extend val="0"/>
        <outline val="0"/>
        <shadow val="0"/>
        <u val="none"/>
        <vertAlign val="baseline"/>
        <sz val="8"/>
        <color auto="1"/>
        <name val="Verdana"/>
        <family val="2"/>
        <scheme val="none"/>
      </font>
      <fill>
        <patternFill patternType="solid">
          <fgColor indexed="64"/>
          <bgColor theme="8" tint="0.59999389629810485"/>
        </patternFill>
      </fill>
      <alignment horizontal="general" vertical="top" textRotation="0" wrapText="1" indent="0" justifyLastLine="0" shrinkToFit="0" readingOrder="0"/>
      <border diagonalUp="0" diagonalDown="0" outline="0">
        <left style="thin">
          <color theme="1" tint="0.34998626667073579"/>
        </left>
        <right style="thin">
          <color theme="1" tint="0.34998626667073579"/>
        </right>
        <top style="thin">
          <color rgb="FF595959"/>
        </top>
        <bottom style="thin">
          <color rgb="FF595959"/>
        </bottom>
      </border>
      <protection locked="0" hidden="0"/>
    </dxf>
    <dxf>
      <font>
        <b val="0"/>
        <i val="0"/>
        <strike val="0"/>
        <condense val="0"/>
        <extend val="0"/>
        <outline val="0"/>
        <shadow val="0"/>
        <u val="none"/>
        <vertAlign val="baseline"/>
        <sz val="8"/>
        <color auto="1"/>
        <name val="Verdana"/>
        <family val="2"/>
        <scheme val="none"/>
      </font>
      <fill>
        <patternFill patternType="solid">
          <fgColor indexed="64"/>
          <bgColor theme="8" tint="0.59999389629810485"/>
        </patternFill>
      </fill>
      <alignment horizontal="general" vertical="top" textRotation="0" wrapText="0" indent="0" justifyLastLine="0" shrinkToFit="0" readingOrder="0"/>
      <border diagonalUp="0" diagonalDown="0" outline="0">
        <left/>
        <right style="thin">
          <color rgb="FF595959"/>
        </right>
        <top style="thin">
          <color rgb="FF595959"/>
        </top>
        <bottom style="thin">
          <color rgb="FF595959"/>
        </bottom>
      </border>
      <protection locked="0" hidden="0"/>
    </dxf>
    <dxf>
      <font>
        <b val="0"/>
        <i val="0"/>
        <strike val="0"/>
        <condense val="0"/>
        <extend val="0"/>
        <outline val="0"/>
        <shadow val="0"/>
        <u val="none"/>
        <vertAlign val="baseline"/>
        <sz val="8"/>
        <color auto="1"/>
        <name val="Verdana"/>
        <family val="2"/>
        <scheme val="none"/>
      </font>
      <numFmt numFmtId="0" formatCode="General"/>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fill>
        <patternFill patternType="none">
          <fgColor indexed="64"/>
          <bgColor auto="1"/>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fill>
        <patternFill patternType="none">
          <fgColor indexed="64"/>
          <bgColor indexed="65"/>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numFmt numFmtId="32" formatCode="_ &quot;€&quot;\ * #,##0_ ;_ &quot;€&quot;\ * \-#,##0_ ;_ &quot;€&quot;\ * &quot;-&quot;_ ;_ @_ "/>
      <alignment horizontal="general" vertical="top" textRotation="0" wrapText="0" indent="0" justifyLastLine="0" shrinkToFit="0" readingOrder="0"/>
      <border diagonalUp="0" diagonalDown="0" outline="0">
        <left style="thin">
          <color rgb="FF595959"/>
        </left>
        <right style="thin">
          <color theme="1" tint="0.34998626667073579"/>
        </right>
        <top style="thin">
          <color rgb="FF595959"/>
        </top>
        <bottom style="thin">
          <color rgb="FF595959"/>
        </bottom>
      </border>
      <protection locked="0" hidden="0"/>
    </dxf>
    <dxf>
      <font>
        <b val="0"/>
        <i val="0"/>
        <strike val="0"/>
        <condense val="0"/>
        <extend val="0"/>
        <outline val="0"/>
        <shadow val="0"/>
        <u val="none"/>
        <vertAlign val="baseline"/>
        <sz val="8"/>
        <color auto="1"/>
        <name val="Verdana"/>
        <family val="2"/>
        <scheme val="none"/>
      </font>
      <numFmt numFmtId="32" formatCode="_ &quot;€&quot;\ * #,##0_ ;_ &quot;€&quot;\ * \-#,##0_ ;_ &quot;€&quot;\ * &quot;-&quot;_ ;_ @_ "/>
      <alignment horizontal="general" vertical="top" textRotation="0" wrapText="0"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8"/>
        <color auto="1"/>
        <name val="Verdana"/>
        <family val="2"/>
        <scheme val="none"/>
      </font>
      <numFmt numFmtId="32" formatCode="_ &quot;€&quot;\ * #,##0_ ;_ &quot;€&quot;\ * \-#,##0_ ;_ &quot;€&quot;\ * &quot;-&quot;_ ;_ @_ "/>
      <alignment horizontal="general" vertical="top" textRotation="0" wrapText="0" indent="0" justifyLastLine="0" shrinkToFit="0" readingOrder="0"/>
      <border diagonalUp="0" diagonalDown="0" outline="0">
        <left style="thin">
          <color rgb="FF595959"/>
        </left>
        <right/>
        <top style="thin">
          <color rgb="FF595959"/>
        </top>
        <bottom style="thin">
          <color rgb="FF595959"/>
        </bottom>
      </border>
      <protection locked="0" hidden="0"/>
    </dxf>
    <dxf>
      <font>
        <b val="0"/>
        <i val="0"/>
        <strike val="0"/>
        <condense val="0"/>
        <extend val="0"/>
        <outline val="0"/>
        <shadow val="0"/>
        <u val="none"/>
        <vertAlign val="baseline"/>
        <sz val="8"/>
        <color auto="1"/>
        <name val="Verdana"/>
        <family val="2"/>
        <scheme val="none"/>
      </font>
      <numFmt numFmtId="166" formatCode="yyyy/mm/dd;@"/>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numFmt numFmtId="2" formatCode="0.00"/>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numFmt numFmtId="166" formatCode="yyyy/mm/dd;@"/>
      <fill>
        <patternFill patternType="none">
          <fgColor indexed="64"/>
          <bgColor auto="1"/>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numFmt numFmtId="19" formatCode="d/m/yyyy"/>
      <fill>
        <patternFill patternType="none">
          <fgColor indexed="64"/>
          <bgColor indexed="65"/>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numFmt numFmtId="0" formatCode="General"/>
      <fill>
        <patternFill patternType="solid">
          <fgColor indexed="64"/>
          <bgColor theme="9" tint="0.59999389629810485"/>
        </patternFill>
      </fill>
      <alignment horizontal="general" vertical="top" textRotation="0" wrapText="0" indent="0" justifyLastLine="0" shrinkToFit="0" readingOrder="0"/>
      <border diagonalUp="0" diagonalDown="0" outline="0">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numFmt numFmtId="0" formatCode="General"/>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top style="thin">
          <color theme="1" tint="0.34998626667073579"/>
        </top>
        <bottom style="thin">
          <color theme="1" tint="0.34998626667073579"/>
        </bottom>
      </border>
      <protection locked="1" hidden="0"/>
    </dxf>
    <dxf>
      <font>
        <b val="0"/>
        <i val="0"/>
        <strike val="0"/>
        <condense val="0"/>
        <extend val="0"/>
        <outline val="0"/>
        <shadow val="0"/>
        <u val="none"/>
        <vertAlign val="baseline"/>
        <sz val="8"/>
        <color auto="1"/>
        <name val="Verdana"/>
        <family val="2"/>
        <scheme val="none"/>
      </font>
      <numFmt numFmtId="0" formatCode="General"/>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fill>
        <patternFill patternType="none">
          <fgColor indexed="64"/>
          <bgColor indexed="65"/>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fill>
        <patternFill>
          <fgColor indexed="64"/>
          <bgColor rgb="FFFFC1C1"/>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fill>
        <patternFill>
          <fgColor indexed="64"/>
          <bgColor rgb="FFFFC1C1"/>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fill>
        <patternFill patternType="solid">
          <fgColor indexed="64"/>
          <bgColor theme="9" tint="0.59999389629810485"/>
        </patternFill>
      </fill>
      <alignment horizontal="left"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numFmt numFmtId="0" formatCode="General"/>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alignment horizontal="general" vertical="top" textRotation="0" wrapText="0" indent="0" justifyLastLine="0" shrinkToFit="0" readingOrder="0"/>
      <border diagonalUp="0" diagonalDown="0" outline="0">
        <left style="thin">
          <color rgb="FF59595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fill>
        <patternFill patternType="solid">
          <fgColor indexed="64"/>
          <bgColor theme="8" tint="0.59999389629810485"/>
        </patternFill>
      </fill>
      <alignment horizontal="general" vertical="top" textRotation="0" wrapText="1" indent="0" justifyLastLine="0" shrinkToFit="0" readingOrder="0"/>
      <border diagonalUp="0" diagonalDown="0" outline="0">
        <left style="thin">
          <color rgb="FF595959"/>
        </left>
        <right style="thin">
          <color rgb="FF595959"/>
        </right>
        <top style="thin">
          <color rgb="FF595959"/>
        </top>
        <bottom style="thin">
          <color rgb="FF595959"/>
        </bottom>
      </border>
      <protection locked="0" hidden="0"/>
    </dxf>
    <dxf>
      <font>
        <b val="0"/>
        <i val="0"/>
        <strike val="0"/>
        <condense val="0"/>
        <extend val="0"/>
        <outline val="0"/>
        <shadow val="0"/>
        <u val="none"/>
        <vertAlign val="baseline"/>
        <sz val="8"/>
        <color auto="1"/>
        <name val="Verdana"/>
        <family val="2"/>
        <scheme val="none"/>
      </font>
      <numFmt numFmtId="0" formatCode="General"/>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style="thin">
          <color rgb="FF595959"/>
        </right>
        <top style="thin">
          <color theme="1" tint="0.34998626667073579"/>
        </top>
        <bottom style="thin">
          <color theme="1" tint="0.34998626667073579"/>
        </bottom>
      </border>
      <protection locked="1" hidden="0"/>
    </dxf>
    <dxf>
      <font>
        <b val="0"/>
        <i val="0"/>
        <strike val="0"/>
        <condense val="0"/>
        <extend val="0"/>
        <outline val="0"/>
        <shadow val="0"/>
        <u val="none"/>
        <vertAlign val="baseline"/>
        <sz val="8"/>
        <color auto="1"/>
        <name val="Verdana"/>
        <family val="2"/>
        <scheme val="none"/>
      </font>
      <numFmt numFmtId="0" formatCode="General"/>
      <alignment horizontal="general" vertical="top" textRotation="0" wrapText="0" indent="0" justifyLastLine="0" shrinkToFit="0" readingOrder="0"/>
      <border diagonalUp="0" diagonalDown="0" outline="0">
        <left/>
        <right style="thin">
          <color theme="1" tint="0.34998626667073579"/>
        </right>
        <top style="thin">
          <color theme="1" tint="0.34998626667073579"/>
        </top>
        <bottom style="thin">
          <color theme="1" tint="0.34998626667073579"/>
        </bottom>
      </border>
      <protection locked="0" hidden="0"/>
    </dxf>
    <dxf>
      <border outline="0">
        <top style="thin">
          <color rgb="FF595959"/>
        </top>
      </border>
    </dxf>
    <dxf>
      <border outline="0">
        <left style="thin">
          <color rgb="FF595959"/>
        </left>
        <right style="thick">
          <color rgb="FF595959"/>
        </right>
        <top style="thick">
          <color rgb="FF595959"/>
        </top>
        <bottom style="thin">
          <color rgb="FF595959"/>
        </bottom>
      </border>
    </dxf>
    <dxf>
      <font>
        <strike val="0"/>
        <outline val="0"/>
        <shadow val="0"/>
        <u val="none"/>
        <vertAlign val="baseline"/>
        <sz val="8"/>
        <color auto="1"/>
        <name val="Verdana"/>
        <family val="2"/>
        <scheme val="none"/>
      </font>
      <alignment vertical="top" textRotation="0" indent="0" justifyLastLine="0" shrinkToFit="0" readingOrder="0"/>
    </dxf>
    <dxf>
      <border outline="0">
        <bottom style="thin">
          <color rgb="FF595959"/>
        </bottom>
      </border>
    </dxf>
    <dxf>
      <font>
        <b val="0"/>
        <i val="0"/>
        <strike val="0"/>
        <condense val="0"/>
        <extend val="0"/>
        <outline val="0"/>
        <shadow val="0"/>
        <u val="none"/>
        <vertAlign val="baseline"/>
        <sz val="8"/>
        <color theme="1"/>
        <name val="Verdana"/>
        <family val="2"/>
        <scheme val="none"/>
      </font>
      <fill>
        <patternFill patternType="solid">
          <fgColor indexed="64"/>
          <bgColor rgb="FFFFFF00"/>
        </patternFill>
      </fill>
      <alignment horizontal="general" vertical="top" textRotation="0" wrapText="1" indent="0" justifyLastLine="0" shrinkToFit="0" readingOrder="0"/>
      <border diagonalUp="0" diagonalDown="0" outline="0">
        <left style="thin">
          <color theme="1" tint="0.34998626667073579"/>
        </left>
        <right style="thin">
          <color theme="1" tint="0.34998626667073579"/>
        </right>
        <top/>
        <bottom/>
      </border>
      <protection locked="1" hidden="0"/>
    </dxf>
    <dxf>
      <font>
        <b val="0"/>
        <i val="0"/>
        <strike val="0"/>
        <condense val="0"/>
        <extend val="0"/>
        <outline val="0"/>
        <shadow val="0"/>
        <u val="none"/>
        <vertAlign val="baseline"/>
        <sz val="8"/>
        <color theme="1"/>
        <name val="Verdana"/>
        <family val="2"/>
        <scheme val="none"/>
      </font>
      <numFmt numFmtId="19" formatCode="d/m/yyyy"/>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top style="thin">
          <color theme="1" tint="0.34998626667073579"/>
        </top>
        <bottom style="thin">
          <color theme="1" tint="0.34998626667073579"/>
        </bottom>
      </border>
    </dxf>
    <dxf>
      <font>
        <b val="0"/>
        <i val="0"/>
        <strike val="0"/>
        <condense val="0"/>
        <extend val="0"/>
        <outline val="0"/>
        <shadow val="0"/>
        <u val="none"/>
        <vertAlign val="baseline"/>
        <sz val="8"/>
        <color theme="1"/>
        <name val="Verdana"/>
        <family val="2"/>
        <scheme val="none"/>
      </font>
      <numFmt numFmtId="0" formatCode="General"/>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dxf>
    <dxf>
      <font>
        <b val="0"/>
        <i val="0"/>
        <strike val="0"/>
        <condense val="0"/>
        <extend val="0"/>
        <outline val="0"/>
        <shadow val="0"/>
        <u val="none"/>
        <vertAlign val="baseline"/>
        <sz val="8"/>
        <color theme="1"/>
        <name val="Verdana"/>
        <family val="2"/>
        <scheme val="none"/>
      </font>
      <numFmt numFmtId="0" formatCode="General"/>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dxf>
    <dxf>
      <font>
        <b val="0"/>
        <i val="0"/>
        <strike val="0"/>
        <condense val="0"/>
        <extend val="0"/>
        <outline val="0"/>
        <shadow val="0"/>
        <u val="none"/>
        <vertAlign val="baseline"/>
        <sz val="8"/>
        <color theme="1"/>
        <name val="Verdana"/>
        <family val="2"/>
        <scheme val="none"/>
      </font>
      <numFmt numFmtId="0" formatCode="General"/>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top style="thin">
          <color theme="1" tint="0.34998626667073579"/>
        </top>
        <bottom style="thin">
          <color theme="1" tint="0.34998626667073579"/>
        </bottom>
      </border>
      <protection locked="1" hidden="0"/>
    </dxf>
    <dxf>
      <font>
        <b val="0"/>
        <i val="0"/>
        <strike val="0"/>
        <condense val="0"/>
        <extend val="0"/>
        <outline val="0"/>
        <shadow val="0"/>
        <u val="none"/>
        <vertAlign val="baseline"/>
        <sz val="8"/>
        <color theme="1"/>
        <name val="Verdana"/>
        <family val="2"/>
        <scheme val="none"/>
      </font>
      <numFmt numFmtId="0" formatCode="General"/>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1" hidden="0"/>
    </dxf>
    <dxf>
      <font>
        <b val="0"/>
        <i val="0"/>
        <strike val="0"/>
        <condense val="0"/>
        <extend val="0"/>
        <outline val="0"/>
        <shadow val="0"/>
        <u val="none"/>
        <vertAlign val="baseline"/>
        <sz val="8"/>
        <color theme="1"/>
        <name val="Verdana"/>
        <family val="2"/>
        <scheme val="none"/>
      </font>
      <numFmt numFmtId="168" formatCode="&quot;€&quot;\ #,##0"/>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1" hidden="0"/>
    </dxf>
    <dxf>
      <font>
        <b val="0"/>
        <i val="0"/>
        <strike val="0"/>
        <condense val="0"/>
        <extend val="0"/>
        <outline val="0"/>
        <shadow val="0"/>
        <u val="none"/>
        <vertAlign val="baseline"/>
        <sz val="8"/>
        <color auto="1"/>
        <name val="Verdana"/>
        <family val="2"/>
        <scheme val="none"/>
      </font>
      <numFmt numFmtId="168" formatCode="&quot;€&quot;\ #,##0"/>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numFmt numFmtId="32" formatCode="_ &quot;€&quot;\ * #,##0_ ;_ &quot;€&quot;\ * \-#,##0_ ;_ &quot;€&quot;\ * &quot;-&quot;_ ;_ @_ "/>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1" hidden="0"/>
    </dxf>
    <dxf>
      <font>
        <b val="0"/>
        <i val="0"/>
        <strike val="0"/>
        <condense val="0"/>
        <extend val="0"/>
        <outline val="0"/>
        <shadow val="0"/>
        <u val="none"/>
        <vertAlign val="baseline"/>
        <sz val="8"/>
        <color auto="1"/>
        <name val="Verdana"/>
        <family val="2"/>
        <scheme val="none"/>
      </font>
      <alignment horizontal="general" vertical="top" textRotation="0" wrapText="1"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alignment horizontal="general" vertical="top" textRotation="0" wrapText="1"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alignment horizontal="general" vertical="top" textRotation="0" wrapText="1"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alignment horizontal="general" vertical="top" textRotation="0" wrapText="1"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alignment horizontal="general" vertical="top" textRotation="0" wrapText="1"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alignment horizontal="general" vertical="top" textRotation="0" wrapText="1" indent="0" justifyLastLine="0" shrinkToFit="0" readingOrder="0"/>
      <border diagonalUp="0" diagonalDown="0" outline="0">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fill>
        <patternFill patternType="none">
          <fgColor indexed="64"/>
          <bgColor indexed="65"/>
        </patternFill>
      </fill>
      <alignment horizontal="general" vertical="top" textRotation="0" wrapText="1"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theme="1"/>
        <name val="Verdana"/>
        <family val="2"/>
        <scheme val="none"/>
      </font>
      <numFmt numFmtId="0" formatCode="General"/>
      <fill>
        <patternFill patternType="none">
          <fgColor indexed="64"/>
          <bgColor auto="1"/>
        </patternFill>
      </fill>
      <alignment horizontal="general" vertical="top" textRotation="0" wrapText="1"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theme="1"/>
        <name val="Verdana"/>
        <family val="2"/>
        <scheme val="none"/>
      </font>
      <fill>
        <patternFill patternType="none">
          <fgColor indexed="64"/>
          <bgColor indexed="65"/>
        </patternFill>
      </fill>
      <alignment horizontal="center"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theme="1"/>
        <name val="Verdana"/>
        <family val="2"/>
        <scheme val="none"/>
      </font>
      <numFmt numFmtId="0" formatCode="General"/>
      <fill>
        <patternFill patternType="solid">
          <fgColor indexed="64"/>
          <bgColor theme="9" tint="0.59999389629810485"/>
        </patternFill>
      </fill>
      <alignment horizontal="general" vertical="top" textRotation="0" wrapText="0" indent="0" justifyLastLine="0" shrinkToFit="0" readingOrder="0"/>
      <border diagonalUp="0" diagonalDown="0" outline="0">
        <left/>
        <right/>
        <top style="thin">
          <color theme="1" tint="0.34998626667073579"/>
        </top>
        <bottom style="thin">
          <color theme="1" tint="0.34998626667073579"/>
        </bottom>
      </border>
      <protection locked="1" hidden="0"/>
    </dxf>
    <dxf>
      <font>
        <b val="0"/>
        <i val="0"/>
        <strike val="0"/>
        <condense val="0"/>
        <extend val="0"/>
        <outline val="0"/>
        <shadow val="0"/>
        <u val="none"/>
        <vertAlign val="baseline"/>
        <sz val="8"/>
        <color theme="1"/>
        <name val="Verdana"/>
        <family val="2"/>
        <scheme val="none"/>
      </font>
      <fill>
        <patternFill patternType="none">
          <fgColor indexed="64"/>
          <bgColor auto="1"/>
        </patternFill>
      </fill>
      <alignment horizontal="center"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theme="1"/>
        <name val="Verdana"/>
        <family val="2"/>
        <scheme val="none"/>
      </font>
      <numFmt numFmtId="0" formatCode="General"/>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top style="thin">
          <color theme="1" tint="0.34998626667073579"/>
        </top>
        <bottom style="thin">
          <color theme="1" tint="0.34998626667073579"/>
        </bottom>
      </border>
      <protection locked="1" hidden="0"/>
    </dxf>
    <dxf>
      <font>
        <b val="0"/>
        <i val="0"/>
        <strike val="0"/>
        <condense val="0"/>
        <extend val="0"/>
        <outline val="0"/>
        <shadow val="0"/>
        <u val="none"/>
        <vertAlign val="baseline"/>
        <sz val="8"/>
        <color theme="1"/>
        <name val="Verdana"/>
        <family val="2"/>
        <scheme val="none"/>
      </font>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theme="1"/>
        <name val="Verdana"/>
        <family val="2"/>
        <scheme val="none"/>
      </font>
      <numFmt numFmtId="0" formatCode="General"/>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1" hidden="0"/>
    </dxf>
    <dxf>
      <font>
        <b val="0"/>
        <i val="0"/>
        <strike val="0"/>
        <condense val="0"/>
        <extend val="0"/>
        <outline val="0"/>
        <shadow val="0"/>
        <u val="none"/>
        <vertAlign val="baseline"/>
        <sz val="8"/>
        <color theme="1"/>
        <name val="Verdana"/>
        <family val="2"/>
        <scheme val="none"/>
      </font>
      <numFmt numFmtId="0" formatCode="General"/>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dxf>
    <dxf>
      <font>
        <b val="0"/>
        <i val="0"/>
        <strike val="0"/>
        <condense val="0"/>
        <extend val="0"/>
        <outline val="0"/>
        <shadow val="0"/>
        <u val="none"/>
        <vertAlign val="baseline"/>
        <sz val="8"/>
        <color theme="1"/>
        <name val="Verdana"/>
        <family val="2"/>
        <scheme val="none"/>
      </font>
      <numFmt numFmtId="0" formatCode="General"/>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1" hidden="0"/>
    </dxf>
    <dxf>
      <font>
        <b val="0"/>
        <i val="0"/>
        <strike val="0"/>
        <condense val="0"/>
        <extend val="0"/>
        <outline val="0"/>
        <shadow val="0"/>
        <u val="none"/>
        <vertAlign val="baseline"/>
        <sz val="8"/>
        <color theme="1"/>
        <name val="Verdana"/>
        <family val="2"/>
        <scheme val="none"/>
      </font>
      <fill>
        <patternFill patternType="none">
          <fgColor indexed="64"/>
          <bgColor auto="1"/>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1" hidden="0"/>
    </dxf>
    <dxf>
      <font>
        <b val="0"/>
        <i val="0"/>
        <strike val="0"/>
        <condense val="0"/>
        <extend val="0"/>
        <outline val="0"/>
        <shadow val="0"/>
        <u val="none"/>
        <vertAlign val="baseline"/>
        <sz val="8"/>
        <color theme="1"/>
        <name val="Verdana"/>
        <family val="2"/>
        <scheme val="none"/>
      </font>
      <numFmt numFmtId="0" formatCode="General"/>
      <alignment horizontal="general" vertical="top" textRotation="0" wrapText="0" indent="0" justifyLastLine="0" shrinkToFit="0" readingOrder="0"/>
      <border diagonalUp="0" diagonalDown="0" outline="0">
        <left style="double">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numFmt numFmtId="0" formatCode="General"/>
      <fill>
        <patternFill patternType="solid">
          <fgColor indexed="64"/>
          <bgColor theme="9" tint="0.59999389629810485"/>
        </patternFill>
      </fill>
      <alignment horizontal="general" vertical="top" textRotation="0" wrapText="1"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1" hidden="0"/>
    </dxf>
    <dxf>
      <font>
        <b val="0"/>
        <i val="0"/>
        <strike val="0"/>
        <condense val="0"/>
        <extend val="0"/>
        <outline val="0"/>
        <shadow val="0"/>
        <u val="none"/>
        <vertAlign val="baseline"/>
        <sz val="8"/>
        <color auto="1"/>
        <name val="Verdana"/>
        <family val="2"/>
        <scheme val="none"/>
      </font>
      <numFmt numFmtId="0" formatCode="General"/>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1" hidden="0"/>
    </dxf>
    <dxf>
      <font>
        <b val="0"/>
        <i val="0"/>
        <strike val="0"/>
        <condense val="0"/>
        <extend val="0"/>
        <outline val="0"/>
        <shadow val="0"/>
        <u val="none"/>
        <vertAlign val="baseline"/>
        <sz val="8"/>
        <color auto="1"/>
        <name val="Verdana"/>
        <family val="2"/>
        <scheme val="none"/>
      </font>
      <numFmt numFmtId="167" formatCode="0;;;@"/>
      <fill>
        <patternFill patternType="solid">
          <fgColor indexed="64"/>
          <bgColor theme="9" tint="0.59999389629810485"/>
        </patternFill>
      </fill>
      <alignment horizontal="left" vertical="top" textRotation="0" wrapText="1" indent="0" justifyLastLine="0" shrinkToFit="0" readingOrder="0"/>
      <border diagonalUp="0" diagonalDown="0" outline="0">
        <left/>
        <right/>
        <top style="thin">
          <color theme="1" tint="0.34998626667073579"/>
        </top>
        <bottom style="thin">
          <color theme="1" tint="0.34998626667073579"/>
        </bottom>
      </border>
      <protection locked="1" hidden="0"/>
    </dxf>
    <dxf>
      <font>
        <b val="0"/>
        <i val="0"/>
        <strike val="0"/>
        <condense val="0"/>
        <extend val="0"/>
        <outline val="0"/>
        <shadow val="0"/>
        <u val="none"/>
        <vertAlign val="baseline"/>
        <sz val="8"/>
        <color theme="1"/>
        <name val="Verdana"/>
        <family val="2"/>
        <scheme val="none"/>
      </font>
      <numFmt numFmtId="0" formatCode="General"/>
      <fill>
        <patternFill patternType="none">
          <fgColor indexed="64"/>
          <bgColor auto="1"/>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border outline="0">
        <left style="thick">
          <color theme="1" tint="0.34998626667073579"/>
        </left>
        <right style="thick">
          <color theme="1" tint="0.34998626667073579"/>
        </right>
        <top style="thick">
          <color theme="1" tint="0.34998626667073579"/>
        </top>
      </border>
    </dxf>
    <dxf>
      <alignment vertical="top" textRotation="0" indent="0" justifyLastLine="0" shrinkToFit="0" readingOrder="0"/>
    </dxf>
    <dxf>
      <border outline="0">
        <bottom style="thin">
          <color theme="1" tint="0.34998626667073579"/>
        </bottom>
      </border>
    </dxf>
    <dxf>
      <font>
        <b val="0"/>
        <i val="0"/>
        <strike val="0"/>
        <condense val="0"/>
        <extend val="0"/>
        <outline val="0"/>
        <shadow val="0"/>
        <u val="none"/>
        <vertAlign val="baseline"/>
        <sz val="8"/>
        <color theme="1"/>
        <name val="Verdana"/>
        <family val="2"/>
        <scheme val="none"/>
      </font>
      <alignment horizontal="general" vertical="top" textRotation="0" wrapText="1" indent="0" justifyLastLine="0" shrinkToFit="0" readingOrder="0"/>
      <protection locked="1" hidden="0"/>
    </dxf>
    <dxf>
      <font>
        <b val="0"/>
        <i val="0"/>
        <strike val="0"/>
        <condense val="0"/>
        <extend val="0"/>
        <outline val="0"/>
        <shadow val="0"/>
        <u val="none"/>
        <vertAlign val="baseline"/>
        <sz val="8"/>
        <color auto="1"/>
        <name val="Verdana"/>
        <family val="2"/>
        <scheme val="none"/>
      </font>
      <fill>
        <patternFill patternType="solid">
          <fgColor indexed="64"/>
          <bgColor theme="8" tint="0.59999389629810485"/>
        </patternFill>
      </fill>
      <alignment horizontal="general" vertical="top" textRotation="0" wrapText="1" indent="0" justifyLastLine="0" shrinkToFit="0" readingOrder="0"/>
      <border diagonalUp="0" diagonalDown="0" outline="0">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top style="thin">
          <color rgb="FF595959"/>
        </top>
        <bottom style="thin">
          <color rgb="FF595959"/>
        </bottom>
      </border>
      <protection locked="0" hidden="0"/>
    </dxf>
    <dxf>
      <font>
        <b val="0"/>
        <i val="0"/>
        <strike val="0"/>
        <condense val="0"/>
        <extend val="0"/>
        <outline val="0"/>
        <shadow val="0"/>
        <u val="none"/>
        <vertAlign val="baseline"/>
        <sz val="8"/>
        <color auto="1"/>
        <name val="Verdana"/>
        <family val="2"/>
        <scheme val="none"/>
      </font>
      <fill>
        <patternFill patternType="solid">
          <fgColor indexed="64"/>
          <bgColor theme="8" tint="0.59999389629810485"/>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rgb="FF595959"/>
        </top>
        <bottom style="thin">
          <color rgb="FF595959"/>
        </bottom>
      </border>
      <protection locked="0" hidden="0"/>
    </dxf>
    <dxf>
      <font>
        <b val="0"/>
        <i val="0"/>
        <strike val="0"/>
        <condense val="0"/>
        <extend val="0"/>
        <outline val="0"/>
        <shadow val="0"/>
        <u val="none"/>
        <vertAlign val="baseline"/>
        <sz val="8"/>
        <color auto="1"/>
        <name val="Verdana"/>
        <family val="2"/>
        <scheme val="none"/>
      </font>
      <fill>
        <patternFill patternType="solid">
          <fgColor indexed="64"/>
          <bgColor theme="8" tint="0.59999389629810485"/>
        </patternFill>
      </fill>
      <alignment horizontal="general" vertical="top" textRotation="0" wrapText="1" indent="0" justifyLastLine="0" shrinkToFit="0" readingOrder="0"/>
      <border diagonalUp="0" diagonalDown="0" outline="0">
        <left style="thin">
          <color theme="1" tint="0.34998626667073579"/>
        </left>
        <right style="thin">
          <color theme="1" tint="0.34998626667073579"/>
        </right>
        <top style="thin">
          <color rgb="FF595959"/>
        </top>
        <bottom style="thin">
          <color rgb="FF595959"/>
        </bottom>
      </border>
      <protection locked="0" hidden="0"/>
    </dxf>
    <dxf>
      <font>
        <b val="0"/>
        <i val="0"/>
        <strike val="0"/>
        <condense val="0"/>
        <extend val="0"/>
        <outline val="0"/>
        <shadow val="0"/>
        <u val="none"/>
        <vertAlign val="baseline"/>
        <sz val="8"/>
        <color auto="1"/>
        <name val="Verdana"/>
        <family val="2"/>
        <scheme val="none"/>
      </font>
      <fill>
        <patternFill patternType="solid">
          <fgColor indexed="64"/>
          <bgColor theme="8" tint="0.59999389629810485"/>
        </patternFill>
      </fill>
      <alignment horizontal="general" vertical="top" textRotation="0" wrapText="0" indent="0" justifyLastLine="0" shrinkToFit="0" readingOrder="0"/>
      <border diagonalUp="0" diagonalDown="0" outline="0">
        <left style="thick">
          <color rgb="FFC00000"/>
        </left>
        <right style="thin">
          <color rgb="FF595959"/>
        </right>
        <top style="thin">
          <color rgb="FF595959"/>
        </top>
        <bottom style="thin">
          <color rgb="FF595959"/>
        </bottom>
      </border>
      <protection locked="0" hidden="0"/>
    </dxf>
    <dxf>
      <font>
        <b val="0"/>
        <i val="0"/>
        <strike val="0"/>
        <condense val="0"/>
        <extend val="0"/>
        <outline val="0"/>
        <shadow val="0"/>
        <u val="none"/>
        <vertAlign val="baseline"/>
        <sz val="8"/>
        <color auto="1"/>
        <name val="Verdana"/>
        <family val="2"/>
        <scheme val="none"/>
      </font>
      <numFmt numFmtId="0" formatCode="General"/>
      <fill>
        <patternFill patternType="none">
          <fgColor indexed="64"/>
          <bgColor auto="1"/>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fill>
        <patternFill patternType="none">
          <fgColor indexed="64"/>
          <bgColor auto="1"/>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numFmt numFmtId="166" formatCode="yyyy/mm/dd;@"/>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numFmt numFmtId="0" formatCode="General"/>
      <fill>
        <patternFill patternType="solid">
          <fgColor indexed="64"/>
          <bgColor theme="9" tint="0.59999389629810485"/>
        </patternFill>
      </fill>
      <alignment horizontal="general" vertical="top" textRotation="0" wrapText="0" indent="0" justifyLastLine="0" shrinkToFit="0" readingOrder="0"/>
      <border diagonalUp="0" diagonalDown="0" outline="0">
        <left/>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numFmt numFmtId="0" formatCode="General"/>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top style="thin">
          <color theme="1" tint="0.34998626667073579"/>
        </top>
        <bottom style="thin">
          <color theme="1" tint="0.34998626667073579"/>
        </bottom>
      </border>
      <protection locked="1" hidden="0"/>
    </dxf>
    <dxf>
      <font>
        <b val="0"/>
        <i val="0"/>
        <strike val="0"/>
        <condense val="0"/>
        <extend val="0"/>
        <outline val="0"/>
        <shadow val="0"/>
        <u val="none"/>
        <vertAlign val="baseline"/>
        <sz val="8"/>
        <color auto="1"/>
        <name val="Verdana"/>
        <family val="2"/>
        <scheme val="none"/>
      </font>
      <numFmt numFmtId="0" formatCode="General"/>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numFmt numFmtId="0" formatCode="General"/>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numFmt numFmtId="0" formatCode="General"/>
      <fill>
        <patternFill patternType="solid">
          <fgColor indexed="64"/>
          <bgColor theme="9" tint="0.59999389629810485"/>
        </patternFill>
      </fill>
      <alignment horizontal="general" vertical="top" textRotation="0" wrapText="0" indent="0" justifyLastLine="0" shrinkToFit="0" readingOrder="0"/>
      <border diagonalUp="0" diagonalDown="0" outline="0">
        <left style="thin">
          <color theme="1" tint="0.34998626667073579"/>
        </left>
        <right style="thin">
          <color rgb="FF595959"/>
        </right>
        <top style="thin">
          <color theme="1" tint="0.34998626667073579"/>
        </top>
        <bottom style="thin">
          <color theme="1" tint="0.34998626667073579"/>
        </bottom>
      </border>
      <protection locked="1" hidden="0"/>
    </dxf>
    <dxf>
      <font>
        <b val="0"/>
        <i val="0"/>
        <strike val="0"/>
        <condense val="0"/>
        <extend val="0"/>
        <outline val="0"/>
        <shadow val="0"/>
        <u val="none"/>
        <vertAlign val="baseline"/>
        <sz val="8"/>
        <color auto="1"/>
        <name val="Verdana"/>
        <family val="2"/>
        <scheme val="none"/>
      </font>
      <numFmt numFmtId="0" formatCode="General"/>
      <alignment horizontal="general" vertical="top" textRotation="0" wrapText="0" indent="0" justifyLastLine="0" shrinkToFit="0" readingOrder="0"/>
      <border diagonalUp="0" diagonalDown="0" outline="0">
        <left/>
        <right style="thin">
          <color theme="1" tint="0.34998626667073579"/>
        </right>
        <top style="thin">
          <color theme="1" tint="0.34998626667073579"/>
        </top>
        <bottom style="thin">
          <color theme="1" tint="0.34998626667073579"/>
        </bottom>
      </border>
      <protection locked="0" hidden="0"/>
    </dxf>
    <dxf>
      <border outline="0">
        <top style="thin">
          <color theme="1" tint="0.34998626667073579"/>
        </top>
      </border>
    </dxf>
    <dxf>
      <border outline="0">
        <left style="thin">
          <color theme="1" tint="0.34998626667073579"/>
        </left>
        <right style="thick">
          <color theme="1" tint="0.34998626667073579"/>
        </right>
        <top style="thick">
          <color theme="1" tint="0.34998626667073579"/>
        </top>
        <bottom style="thin">
          <color theme="1" tint="0.34998626667073579"/>
        </bottom>
      </border>
    </dxf>
    <dxf>
      <font>
        <strike val="0"/>
        <outline val="0"/>
        <shadow val="0"/>
        <u val="none"/>
        <vertAlign val="baseline"/>
        <sz val="8"/>
        <color auto="1"/>
        <name val="Verdana"/>
        <family val="2"/>
        <scheme val="none"/>
      </font>
      <alignment vertical="top" textRotation="0" indent="0" justifyLastLine="0" shrinkToFit="0" readingOrder="0"/>
    </dxf>
    <dxf>
      <border outline="0">
        <bottom style="thin">
          <color theme="1" tint="0.34998626667073579"/>
        </bottom>
      </border>
    </dxf>
    <dxf>
      <font>
        <b val="0"/>
        <i val="0"/>
        <strike val="0"/>
        <condense val="0"/>
        <extend val="0"/>
        <outline val="0"/>
        <shadow val="0"/>
        <u val="none"/>
        <vertAlign val="baseline"/>
        <sz val="8"/>
        <color theme="1"/>
        <name val="Verdana"/>
        <family val="2"/>
        <scheme val="none"/>
      </font>
      <fill>
        <patternFill patternType="solid">
          <fgColor indexed="64"/>
          <bgColor rgb="FFFFFF00"/>
        </patternFill>
      </fill>
      <alignment horizontal="general" vertical="top" textRotation="0" wrapText="1" indent="0" justifyLastLine="0" shrinkToFit="0" readingOrder="0"/>
      <border diagonalUp="0" diagonalDown="0" outline="0">
        <left style="thin">
          <color theme="1" tint="0.34998626667073579"/>
        </left>
        <right style="thin">
          <color theme="1" tint="0.34998626667073579"/>
        </right>
        <top/>
        <bottom/>
      </border>
      <protection locked="1" hidden="0"/>
    </dxf>
    <dxf>
      <font>
        <strike val="0"/>
        <condense val="0"/>
        <extend val="0"/>
        <outline val="0"/>
        <shadow val="0"/>
        <vertAlign val="baseline"/>
        <sz val="8"/>
        <color theme="1"/>
        <name val="Verdana"/>
        <family val="2"/>
      </font>
      <numFmt numFmtId="168" formatCode="&quot;€&quot;\ #,##0"/>
      <fill>
        <patternFill patternType="none">
          <fgColor indexed="64"/>
          <bgColor auto="1"/>
        </patternFill>
      </fill>
      <alignment horizontal="general" vertical="top"/>
      <border outline="0">
        <left style="thin">
          <color theme="1" tint="0.34998626667073579"/>
        </left>
        <right style="thin">
          <color theme="1" tint="0.34998626667073579"/>
        </right>
        <top style="thin">
          <color theme="1" tint="0.34998626667073579"/>
        </top>
        <bottom style="thin">
          <color theme="1" tint="0.34998626667073579"/>
        </bottom>
      </border>
      <protection locked="1" hidden="0"/>
    </dxf>
    <dxf>
      <font>
        <strike val="0"/>
        <condense val="0"/>
        <extend val="0"/>
        <outline val="0"/>
        <shadow val="0"/>
        <vertAlign val="baseline"/>
        <sz val="8"/>
        <color auto="1"/>
        <name val="Verdana"/>
        <family val="2"/>
      </font>
      <numFmt numFmtId="2" formatCode="0.00"/>
      <fill>
        <patternFill patternType="none">
          <fgColor indexed="64"/>
          <bgColor auto="1"/>
        </patternFill>
      </fill>
      <alignment horizontal="general" vertical="top"/>
      <border>
        <left style="thin">
          <color theme="1" tint="0.34998626667073579"/>
        </left>
        <right style="thin">
          <color theme="1" tint="0.34998626667073579"/>
        </right>
        <top style="thin">
          <color theme="1" tint="0.34998626667073579"/>
        </top>
        <bottom style="thin">
          <color theme="1" tint="0.34998626667073579"/>
        </bottom>
      </border>
      <protection locked="0" hidden="0"/>
    </dxf>
    <dxf>
      <font>
        <strike val="0"/>
        <condense val="0"/>
        <extend val="0"/>
        <outline val="0"/>
        <shadow val="0"/>
        <vertAlign val="baseline"/>
        <sz val="8"/>
        <color auto="1"/>
        <name val="Verdana"/>
        <family val="2"/>
      </font>
      <numFmt numFmtId="32" formatCode="_ &quot;€&quot;\ * #,##0_ ;_ &quot;€&quot;\ * \-#,##0_ ;_ &quot;€&quot;\ * &quot;-&quot;_ ;_ @_ "/>
      <fill>
        <patternFill patternType="none">
          <fgColor indexed="64"/>
          <bgColor auto="1"/>
        </patternFill>
      </fill>
      <alignment horizontal="general" vertical="top"/>
      <border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strike val="0"/>
        <condense val="0"/>
        <extend val="0"/>
        <outline val="0"/>
        <shadow val="0"/>
        <vertAlign val="baseline"/>
        <sz val="8"/>
        <color auto="1"/>
        <name val="Verdana"/>
        <family val="2"/>
      </font>
      <fill>
        <patternFill patternType="none">
          <fgColor indexed="64"/>
          <bgColor auto="1"/>
        </patternFill>
      </fill>
      <alignment horizontal="general" vertical="top" wrapText="1"/>
      <border outline="0">
        <left style="thin">
          <color theme="1" tint="0.34998626667073579"/>
        </left>
        <right style="thin">
          <color theme="1" tint="0.34998626667073579"/>
        </right>
        <top style="thin">
          <color theme="1" tint="0.34998626667073579"/>
        </top>
        <bottom style="thin">
          <color theme="1" tint="0.34998626667073579"/>
        </bottom>
      </border>
      <protection locked="1" hidden="0"/>
    </dxf>
    <dxf>
      <font>
        <b val="0"/>
        <i val="0"/>
        <strike val="0"/>
        <condense val="0"/>
        <extend val="0"/>
        <outline val="0"/>
        <shadow val="0"/>
        <u val="none"/>
        <vertAlign val="baseline"/>
        <sz val="8"/>
        <color auto="1"/>
        <name val="Verdana"/>
        <family val="2"/>
        <scheme val="none"/>
      </font>
      <fill>
        <patternFill patternType="none">
          <fgColor indexed="64"/>
          <bgColor indexed="65"/>
        </patternFill>
      </fill>
      <alignment horizontal="general" vertical="top" textRotation="0" wrapText="1" indent="0" justifyLastLine="0" shrinkToFit="0" readingOrder="0"/>
      <border diagonalUp="0" diagonalDown="0">
        <left style="thin">
          <color theme="1" tint="0.34998626667073579"/>
        </left>
        <right style="thin">
          <color theme="1" tint="0.34998626667073579"/>
        </right>
        <top style="thin">
          <color theme="1" tint="0.34998626667073579"/>
        </top>
        <bottom style="thin">
          <color theme="1" tint="0.34998626667073579"/>
        </bottom>
        <vertical/>
        <horizontal/>
      </border>
      <protection locked="0" hidden="0"/>
    </dxf>
    <dxf>
      <font>
        <strike val="0"/>
        <condense val="0"/>
        <extend val="0"/>
        <outline val="0"/>
        <shadow val="0"/>
        <vertAlign val="baseline"/>
        <sz val="8"/>
        <color auto="1"/>
        <name val="Verdana"/>
        <family val="2"/>
      </font>
      <fill>
        <patternFill patternType="none">
          <fgColor indexed="64"/>
          <bgColor auto="1"/>
        </patternFill>
      </fill>
      <alignment horizontal="general" vertical="top" wrapText="1"/>
      <border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strike val="0"/>
        <condense val="0"/>
        <extend val="0"/>
        <outline val="0"/>
        <shadow val="0"/>
        <vertAlign val="baseline"/>
        <sz val="8"/>
        <color auto="1"/>
        <name val="Verdana"/>
        <family val="2"/>
      </font>
      <fill>
        <patternFill patternType="none">
          <fgColor indexed="64"/>
          <bgColor auto="1"/>
        </patternFill>
      </fill>
      <alignment horizontal="general" vertical="top" wrapText="1"/>
      <border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fill>
        <patternFill patternType="none">
          <fgColor indexed="64"/>
          <bgColor indexed="65"/>
        </patternFill>
      </fill>
      <alignment horizontal="general" vertical="top" textRotation="0" wrapText="1" indent="0" justifyLastLine="0" shrinkToFit="0" readingOrder="0"/>
      <border diagonalUp="0" diagonalDown="0">
        <left style="thin">
          <color theme="1" tint="0.34998626667073579"/>
        </left>
        <right style="thin">
          <color theme="1" tint="0.34998626667073579"/>
        </right>
        <top style="thin">
          <color theme="1" tint="0.34998626667073579"/>
        </top>
        <bottom style="thin">
          <color theme="1" tint="0.34998626667073579"/>
        </bottom>
        <vertical/>
        <horizontal/>
      </border>
    </dxf>
    <dxf>
      <font>
        <strike val="0"/>
        <condense val="0"/>
        <extend val="0"/>
        <outline val="0"/>
        <shadow val="0"/>
        <vertAlign val="baseline"/>
        <sz val="8"/>
        <color auto="1"/>
        <name val="Verdana"/>
        <family val="2"/>
      </font>
      <fill>
        <patternFill patternType="none">
          <fgColor indexed="64"/>
          <bgColor auto="1"/>
        </patternFill>
      </fill>
      <alignment horizontal="general" vertical="top" wrapText="1"/>
      <border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strike val="0"/>
        <condense val="0"/>
        <extend val="0"/>
        <outline val="0"/>
        <shadow val="0"/>
        <vertAlign val="baseline"/>
        <sz val="8"/>
        <color auto="1"/>
        <name val="Verdana"/>
        <family val="2"/>
      </font>
      <fill>
        <patternFill patternType="none">
          <fgColor indexed="64"/>
          <bgColor auto="1"/>
        </patternFill>
      </fill>
      <alignment horizontal="general" vertical="top" wrapText="1"/>
      <border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strike val="0"/>
        <condense val="0"/>
        <extend val="0"/>
        <outline val="0"/>
        <shadow val="0"/>
        <vertAlign val="baseline"/>
        <sz val="8"/>
        <color theme="1"/>
        <name val="Verdana"/>
        <family val="2"/>
      </font>
      <numFmt numFmtId="0" formatCode="General"/>
      <fill>
        <patternFill patternType="none">
          <fgColor indexed="64"/>
          <bgColor auto="1"/>
        </patternFill>
      </fill>
      <alignment horizontal="general" vertical="top" wrapText="1"/>
      <border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strike val="0"/>
        <condense val="0"/>
        <extend val="0"/>
        <outline val="0"/>
        <shadow val="0"/>
        <vertAlign val="baseline"/>
        <sz val="8"/>
        <color theme="1"/>
        <name val="Verdana"/>
        <family val="2"/>
      </font>
      <fill>
        <patternFill patternType="none">
          <fgColor indexed="64"/>
          <bgColor auto="1"/>
        </patternFill>
      </fill>
      <alignment horizontal="center" vertical="top"/>
      <border outline="0">
        <left style="thin">
          <color theme="1" tint="0.34998626667073579"/>
        </left>
        <right/>
        <top style="thin">
          <color theme="1" tint="0.34998626667073579"/>
        </top>
        <bottom style="thin">
          <color theme="1" tint="0.34998626667073579"/>
        </bottom>
      </border>
      <protection locked="0" hidden="0"/>
    </dxf>
    <dxf>
      <font>
        <strike val="0"/>
        <condense val="0"/>
        <extend val="0"/>
        <outline val="0"/>
        <shadow val="0"/>
        <vertAlign val="baseline"/>
        <sz val="8"/>
        <color theme="1"/>
        <name val="Verdana"/>
        <family val="2"/>
      </font>
      <numFmt numFmtId="0" formatCode="General"/>
      <fill>
        <patternFill patternType="none">
          <fgColor indexed="64"/>
          <bgColor auto="1"/>
        </patternFill>
      </fill>
      <alignment horizontal="general" vertical="top"/>
      <border outline="0">
        <left/>
        <right/>
        <top style="thin">
          <color theme="1" tint="0.34998626667073579"/>
        </top>
        <bottom style="thin">
          <color theme="1" tint="0.34998626667073579"/>
        </bottom>
      </border>
      <protection locked="1" hidden="0"/>
    </dxf>
    <dxf>
      <font>
        <strike val="0"/>
        <condense val="0"/>
        <extend val="0"/>
        <outline val="0"/>
        <shadow val="0"/>
        <vertAlign val="baseline"/>
        <sz val="8"/>
        <color theme="1"/>
        <name val="Verdana"/>
        <family val="2"/>
      </font>
      <fill>
        <patternFill patternType="none">
          <fgColor indexed="64"/>
          <bgColor auto="1"/>
        </patternFill>
      </fill>
      <alignment horizontal="center" vertical="top"/>
      <border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strike val="0"/>
        <condense val="0"/>
        <extend val="0"/>
        <outline val="0"/>
        <shadow val="0"/>
        <vertAlign val="baseline"/>
        <sz val="8"/>
        <color theme="1"/>
        <name val="Verdana"/>
        <family val="2"/>
      </font>
      <numFmt numFmtId="0" formatCode="General"/>
      <fill>
        <patternFill patternType="none">
          <fgColor indexed="64"/>
          <bgColor auto="1"/>
        </patternFill>
      </fill>
      <alignment horizontal="general" vertical="top"/>
      <border outline="0">
        <left style="thin">
          <color theme="1" tint="0.34998626667073579"/>
        </left>
        <right/>
        <top style="thin">
          <color theme="1" tint="0.34998626667073579"/>
        </top>
        <bottom style="thin">
          <color theme="1" tint="0.34998626667073579"/>
        </bottom>
      </border>
      <protection locked="1" hidden="0"/>
    </dxf>
    <dxf>
      <font>
        <strike val="0"/>
        <condense val="0"/>
        <extend val="0"/>
        <outline val="0"/>
        <shadow val="0"/>
        <vertAlign val="baseline"/>
        <sz val="8"/>
        <color theme="1"/>
        <name val="Verdana"/>
        <family val="2"/>
      </font>
      <fill>
        <patternFill patternType="none">
          <fgColor indexed="64"/>
          <bgColor auto="1"/>
        </patternFill>
      </fill>
      <alignment horizontal="general" vertical="top"/>
      <border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strike val="0"/>
        <condense val="0"/>
        <extend val="0"/>
        <outline val="0"/>
        <shadow val="0"/>
        <vertAlign val="baseline"/>
        <sz val="8"/>
        <color theme="1"/>
        <name val="Verdana"/>
        <family val="2"/>
      </font>
      <numFmt numFmtId="0" formatCode="General"/>
      <fill>
        <patternFill patternType="none">
          <fgColor indexed="64"/>
          <bgColor auto="1"/>
        </patternFill>
      </fill>
      <alignment horizontal="general" vertical="top"/>
      <border outline="0">
        <left style="thin">
          <color theme="1" tint="0.34998626667073579"/>
        </left>
        <right style="thin">
          <color theme="1" tint="0.34998626667073579"/>
        </right>
        <top style="thin">
          <color theme="1" tint="0.34998626667073579"/>
        </top>
        <bottom style="thin">
          <color theme="1" tint="0.34998626667073579"/>
        </bottom>
      </border>
      <protection locked="1" hidden="0"/>
    </dxf>
    <dxf>
      <font>
        <strike val="0"/>
        <condense val="0"/>
        <extend val="0"/>
        <outline val="0"/>
        <shadow val="0"/>
        <vertAlign val="baseline"/>
        <sz val="8"/>
        <color theme="1"/>
        <name val="Verdana"/>
        <family val="2"/>
      </font>
      <numFmt numFmtId="0" formatCode="General"/>
      <fill>
        <patternFill patternType="none">
          <fgColor indexed="64"/>
          <bgColor auto="1"/>
        </patternFill>
      </fill>
      <alignment horizontal="general" vertical="top"/>
      <border outline="0">
        <left style="thin">
          <color theme="1" tint="0.34998626667073579"/>
        </left>
        <right style="thin">
          <color theme="1" tint="0.34998626667073579"/>
        </right>
        <top style="thin">
          <color theme="1" tint="0.34998626667073579"/>
        </top>
        <bottom style="thin">
          <color theme="1" tint="0.34998626667073579"/>
        </bottom>
      </border>
    </dxf>
    <dxf>
      <font>
        <strike val="0"/>
        <condense val="0"/>
        <extend val="0"/>
        <outline val="0"/>
        <shadow val="0"/>
        <vertAlign val="baseline"/>
        <sz val="8"/>
        <color theme="1"/>
        <name val="Verdana"/>
        <family val="2"/>
      </font>
      <numFmt numFmtId="0" formatCode="General"/>
      <fill>
        <patternFill patternType="none">
          <fgColor indexed="64"/>
          <bgColor auto="1"/>
        </patternFill>
      </fill>
      <alignment horizontal="general" vertical="top"/>
      <border outline="0">
        <left style="thin">
          <color theme="1" tint="0.34998626667073579"/>
        </left>
        <right style="thin">
          <color theme="1" tint="0.34998626667073579"/>
        </right>
        <top style="thin">
          <color theme="1" tint="0.34998626667073579"/>
        </top>
        <bottom style="thin">
          <color theme="1" tint="0.34998626667073579"/>
        </bottom>
      </border>
      <protection locked="1" hidden="0"/>
    </dxf>
    <dxf>
      <font>
        <strike val="0"/>
        <condense val="0"/>
        <extend val="0"/>
        <outline val="0"/>
        <shadow val="0"/>
        <vertAlign val="baseline"/>
        <sz val="8"/>
        <color theme="1"/>
        <name val="Verdana"/>
        <family val="2"/>
      </font>
      <fill>
        <patternFill patternType="none">
          <fgColor indexed="64"/>
          <bgColor auto="1"/>
        </patternFill>
      </fill>
      <alignment horizontal="general" vertical="top"/>
      <border outline="0">
        <left style="thin">
          <color theme="1" tint="0.34998626667073579"/>
        </left>
        <right style="thin">
          <color theme="1" tint="0.34998626667073579"/>
        </right>
        <top style="thin">
          <color theme="1" tint="0.34998626667073579"/>
        </top>
        <bottom style="thin">
          <color theme="1" tint="0.34998626667073579"/>
        </bottom>
      </border>
      <protection locked="1" hidden="0"/>
    </dxf>
    <dxf>
      <font>
        <strike val="0"/>
        <condense val="0"/>
        <extend val="0"/>
        <outline val="0"/>
        <shadow val="0"/>
        <vertAlign val="baseline"/>
        <sz val="8"/>
        <color theme="1"/>
        <name val="Verdana"/>
        <family val="2"/>
      </font>
      <fill>
        <patternFill patternType="none">
          <fgColor indexed="64"/>
          <bgColor auto="1"/>
        </patternFill>
      </fill>
      <alignment horizontal="general" vertical="top"/>
      <border outline="0">
        <left style="double">
          <color theme="1" tint="0.34998626667073579"/>
        </left>
        <right style="thin">
          <color theme="1" tint="0.34998626667073579"/>
        </right>
        <top style="thin">
          <color theme="1" tint="0.34998626667073579"/>
        </top>
        <bottom style="thin">
          <color theme="1" tint="0.34998626667073579"/>
        </bottom>
      </border>
      <protection locked="0" hidden="0"/>
    </dxf>
    <dxf>
      <font>
        <strike val="0"/>
        <condense val="0"/>
        <extend val="0"/>
        <outline val="0"/>
        <shadow val="0"/>
        <vertAlign val="baseline"/>
        <sz val="8"/>
        <color auto="1"/>
        <name val="Verdana"/>
        <family val="2"/>
      </font>
      <numFmt numFmtId="0" formatCode="General"/>
      <fill>
        <patternFill patternType="none">
          <fgColor indexed="64"/>
          <bgColor auto="1"/>
        </patternFill>
      </fill>
      <alignment horizontal="general" vertical="top" wrapText="1"/>
      <border outline="0">
        <left style="thin">
          <color theme="1" tint="0.34998626667073579"/>
        </left>
        <right style="thin">
          <color theme="1" tint="0.34998626667073579"/>
        </right>
        <top style="thin">
          <color theme="1" tint="0.34998626667073579"/>
        </top>
        <bottom style="thin">
          <color theme="1" tint="0.34998626667073579"/>
        </bottom>
      </border>
      <protection locked="1" hidden="0"/>
    </dxf>
    <dxf>
      <font>
        <strike val="0"/>
        <condense val="0"/>
        <extend val="0"/>
        <outline val="0"/>
        <shadow val="0"/>
        <vertAlign val="baseline"/>
        <sz val="8"/>
        <color auto="1"/>
        <name val="Verdana"/>
        <family val="2"/>
      </font>
      <numFmt numFmtId="0" formatCode="General"/>
      <fill>
        <patternFill patternType="none">
          <fgColor indexed="64"/>
          <bgColor auto="1"/>
        </patternFill>
      </fill>
      <alignment horizontal="general" vertical="top"/>
      <border outline="0">
        <left style="thin">
          <color theme="1" tint="0.34998626667073579"/>
        </left>
        <right style="thin">
          <color theme="1" tint="0.34998626667073579"/>
        </right>
        <top style="thin">
          <color theme="1" tint="0.34998626667073579"/>
        </top>
        <bottom style="thin">
          <color theme="1" tint="0.34998626667073579"/>
        </bottom>
      </border>
      <protection locked="1" hidden="0"/>
    </dxf>
    <dxf>
      <font>
        <strike val="0"/>
        <condense val="0"/>
        <extend val="0"/>
        <outline val="0"/>
        <shadow val="0"/>
        <vertAlign val="baseline"/>
        <sz val="8"/>
        <color auto="1"/>
        <name val="Verdana"/>
        <family val="2"/>
      </font>
      <numFmt numFmtId="167" formatCode="0;;;@"/>
      <fill>
        <patternFill patternType="none">
          <fgColor indexed="64"/>
          <bgColor auto="1"/>
        </patternFill>
      </fill>
      <alignment horizontal="left" vertical="top" wrapText="1"/>
      <border outline="0">
        <left/>
        <right/>
        <top style="thin">
          <color theme="1" tint="0.34998626667073579"/>
        </top>
        <bottom style="thin">
          <color theme="1" tint="0.34998626667073579"/>
        </bottom>
      </border>
      <protection locked="1" hidden="0"/>
    </dxf>
    <dxf>
      <font>
        <strike val="0"/>
        <condense val="0"/>
        <extend val="0"/>
        <outline val="0"/>
        <shadow val="0"/>
        <vertAlign val="baseline"/>
        <sz val="8"/>
        <color theme="1"/>
        <name val="Verdana"/>
        <family val="2"/>
      </font>
      <fill>
        <patternFill patternType="none">
          <fgColor indexed="64"/>
          <bgColor auto="1"/>
        </patternFill>
      </fill>
      <alignment horizontal="general" vertical="top"/>
      <border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border outline="0">
        <left style="thick">
          <color theme="1" tint="0.34998626667073579"/>
        </left>
        <right style="thick">
          <color theme="1" tint="0.34998626667073579"/>
        </right>
        <top style="thick">
          <color theme="1" tint="0.34998626667073579"/>
        </top>
      </border>
    </dxf>
    <dxf>
      <fill>
        <patternFill patternType="none">
          <fgColor indexed="64"/>
          <bgColor auto="1"/>
        </patternFill>
      </fill>
    </dxf>
    <dxf>
      <border outline="0">
        <bottom style="thin">
          <color theme="1" tint="0.34998626667073579"/>
        </bottom>
      </border>
    </dxf>
    <dxf>
      <font>
        <strike val="0"/>
        <condense val="0"/>
        <extend val="0"/>
        <outline val="0"/>
        <shadow val="0"/>
        <vertAlign val="baseline"/>
        <sz val="8"/>
        <color theme="1"/>
        <name val="Verdana"/>
        <family val="2"/>
      </font>
      <alignment horizontal="general" vertical="top" wrapText="1"/>
      <protection locked="1" hidden="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font>
        <b val="0"/>
        <i val="0"/>
        <strike val="0"/>
        <condense val="0"/>
        <extend val="0"/>
        <outline val="0"/>
        <shadow val="0"/>
        <u val="none"/>
        <vertAlign val="baseline"/>
        <sz val="11"/>
        <color theme="1"/>
        <name val="Aptos Narrow"/>
        <family val="2"/>
        <scheme val="minor"/>
      </font>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font>
        <strike val="0"/>
        <outline val="0"/>
        <shadow val="0"/>
        <u val="none"/>
        <vertAlign val="baseline"/>
        <sz val="11"/>
        <color rgb="FF154273"/>
        <name val="Aptos Narrow"/>
        <family val="2"/>
        <scheme val="minor"/>
      </font>
      <fill>
        <patternFill patternType="solid">
          <fgColor indexed="64"/>
          <bgColor theme="0"/>
        </patternFill>
      </fill>
      <alignment horizontal="general"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font>
        <strike val="0"/>
        <outline val="0"/>
        <shadow val="0"/>
        <u val="none"/>
        <vertAlign val="baseline"/>
        <sz val="11"/>
        <color rgb="FF154273"/>
        <name val="Aptos Narrow"/>
        <family val="2"/>
        <scheme val="minor"/>
      </font>
      <fill>
        <patternFill patternType="solid">
          <fgColor indexed="64"/>
          <bgColor theme="0"/>
        </patternFill>
      </fill>
      <alignment horizontal="general" vertical="top" textRotation="0" wrapText="1" indent="0" justifyLastLine="0" shrinkToFit="0" readingOrder="0"/>
    </dxf>
    <dxf>
      <font>
        <strike val="0"/>
        <condense val="0"/>
        <extend val="0"/>
        <outline val="0"/>
        <shadow val="0"/>
        <vertAlign val="baseline"/>
        <sz val="8"/>
        <color auto="1"/>
        <name val="Verdana"/>
        <family val="2"/>
      </font>
      <alignment horizontal="general" vertical="top" textRotation="0" wrapText="1" indent="0" justifyLastLine="0" shrinkToFit="0" readingOrder="0"/>
      <border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strike val="0"/>
        <condense val="0"/>
        <extend val="0"/>
        <outline val="0"/>
        <shadow val="0"/>
        <vertAlign val="baseline"/>
        <sz val="8"/>
        <color auto="1"/>
        <name val="Verdana"/>
        <family val="2"/>
      </font>
      <fill>
        <patternFill patternType="solid">
          <fgColor indexed="64"/>
          <bgColor theme="8" tint="0.59999389629810485"/>
        </patternFill>
      </fill>
      <alignment horizontal="general" vertical="top" textRotation="0" wrapText="1" indent="0" justifyLastLine="0" shrinkToFit="0" readingOrder="0"/>
      <border outline="0">
        <left/>
        <right/>
        <top style="thin">
          <color theme="1" tint="0.34998626667073579"/>
        </top>
        <bottom style="thin">
          <color theme="1" tint="0.34998626667073579"/>
        </bottom>
      </border>
      <protection locked="0" hidden="0"/>
    </dxf>
    <dxf>
      <font>
        <strike val="0"/>
        <condense val="0"/>
        <extend val="0"/>
        <outline val="0"/>
        <shadow val="0"/>
        <vertAlign val="baseline"/>
        <sz val="8"/>
        <color auto="1"/>
        <name val="Verdana"/>
        <family val="2"/>
      </font>
      <fill>
        <patternFill patternType="solid">
          <fgColor indexed="64"/>
          <bgColor theme="8" tint="0.59999389629810485"/>
        </patternFill>
      </fill>
      <alignment horizontal="general" vertical="top" textRotation="0" wrapText="1" indent="0" justifyLastLine="0" shrinkToFit="0" readingOrder="0"/>
      <border outline="0">
        <left/>
        <right/>
        <top style="thin">
          <color theme="1" tint="0.34998626667073579"/>
        </top>
        <bottom style="thin">
          <color theme="1" tint="0.34998626667073579"/>
        </bottom>
      </border>
      <protection locked="0" hidden="0"/>
    </dxf>
    <dxf>
      <font>
        <strike val="0"/>
        <condense val="0"/>
        <extend val="0"/>
        <outline val="0"/>
        <shadow val="0"/>
        <vertAlign val="baseline"/>
        <sz val="8"/>
        <color auto="1"/>
        <name val="Verdana"/>
        <family val="2"/>
      </font>
      <fill>
        <patternFill patternType="solid">
          <fgColor indexed="64"/>
          <bgColor theme="8" tint="0.59999389629810485"/>
        </patternFill>
      </fill>
      <alignment horizontal="general" vertical="top"/>
      <border outline="0">
        <left style="thin">
          <color theme="1" tint="0.34998626667073579"/>
        </left>
        <right/>
        <top style="thin">
          <color theme="1" tint="0.34998626667073579"/>
        </top>
        <bottom style="thin">
          <color theme="1" tint="0.34998626667073579"/>
        </bottom>
      </border>
      <protection locked="0" hidden="0"/>
    </dxf>
    <dxf>
      <font>
        <strike val="0"/>
        <condense val="0"/>
        <extend val="0"/>
        <outline val="0"/>
        <shadow val="0"/>
        <vertAlign val="baseline"/>
        <sz val="8"/>
        <color auto="1"/>
        <name val="Verdana"/>
        <family val="2"/>
      </font>
      <fill>
        <patternFill patternType="solid">
          <fgColor indexed="64"/>
          <bgColor theme="8" tint="0.59999389629810485"/>
        </patternFill>
      </fill>
      <alignment horizontal="general" vertical="top" textRotation="0" wrapText="1" indent="0" justifyLastLine="0" shrinkToFit="0" readingOrder="0"/>
      <border outline="0">
        <left style="thick">
          <color rgb="FFC00000"/>
        </left>
        <right style="thin">
          <color theme="1" tint="0.34998626667073579"/>
        </right>
        <top style="thin">
          <color theme="1" tint="0.34998626667073579"/>
        </top>
        <bottom style="thin">
          <color theme="1" tint="0.34998626667073579"/>
        </bottom>
      </border>
      <protection locked="0" hidden="0"/>
    </dxf>
    <dxf>
      <font>
        <strike val="0"/>
        <condense val="0"/>
        <extend val="0"/>
        <outline val="0"/>
        <shadow val="0"/>
        <vertAlign val="baseline"/>
        <sz val="8"/>
        <color auto="1"/>
        <name val="Verdana"/>
        <family val="2"/>
      </font>
      <fill>
        <patternFill patternType="solid">
          <fgColor indexed="64"/>
          <bgColor theme="8" tint="0.59999389629810485"/>
        </patternFill>
      </fill>
      <alignment horizontal="general" vertical="top"/>
      <border outline="0">
        <left style="thin">
          <color theme="1" tint="0.34998626667073579"/>
        </left>
        <right style="thick">
          <color rgb="FFC00000"/>
        </right>
        <top style="thin">
          <color theme="1" tint="0.34998626667073579"/>
        </top>
        <bottom style="thin">
          <color theme="1" tint="0.34998626667073579"/>
        </bottom>
      </border>
      <protection locked="0" hidden="0"/>
    </dxf>
    <dxf>
      <font>
        <strike val="0"/>
        <condense val="0"/>
        <extend val="0"/>
        <outline val="0"/>
        <shadow val="0"/>
        <vertAlign val="baseline"/>
        <sz val="8"/>
        <color auto="1"/>
        <name val="Verdana"/>
        <family val="2"/>
      </font>
      <fill>
        <patternFill patternType="solid">
          <fgColor indexed="64"/>
          <bgColor theme="8" tint="0.59999389629810485"/>
        </patternFill>
      </fill>
      <alignment horizontal="general" vertical="top"/>
      <border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strike val="0"/>
        <condense val="0"/>
        <extend val="0"/>
        <outline val="0"/>
        <shadow val="0"/>
        <vertAlign val="baseline"/>
        <sz val="8"/>
        <color auto="1"/>
        <name val="Verdana"/>
        <family val="2"/>
      </font>
      <alignment horizontal="general" vertical="top"/>
      <border outline="0">
        <left/>
        <right style="thin">
          <color theme="1" tint="0.34998626667073579"/>
        </right>
        <top style="thin">
          <color theme="1" tint="0.34998626667073579"/>
        </top>
        <bottom style="thin">
          <color theme="1" tint="0.34998626667073579"/>
        </bottom>
      </border>
      <protection locked="0" hidden="0"/>
    </dxf>
    <dxf>
      <font>
        <strike val="0"/>
        <condense val="0"/>
        <extend val="0"/>
        <outline val="0"/>
        <shadow val="0"/>
        <vertAlign val="baseline"/>
        <sz val="8"/>
        <color auto="1"/>
        <name val="Verdana"/>
        <family val="2"/>
      </font>
      <alignment horizontal="general" vertical="top"/>
      <border>
        <left/>
        <right style="thin">
          <color theme="1" tint="0.34998626667073579"/>
        </right>
        <top style="thin">
          <color theme="1" tint="0.34998626667073579"/>
        </top>
        <bottom style="thin">
          <color theme="1" tint="0.34998626667073579"/>
        </bottom>
        <vertical/>
        <horizontal/>
      </border>
      <protection locked="0" hidden="0"/>
    </dxf>
    <dxf>
      <font>
        <strike val="0"/>
        <condense val="0"/>
        <extend val="0"/>
        <outline val="0"/>
        <shadow val="0"/>
        <vertAlign val="baseline"/>
        <sz val="8"/>
        <color auto="1"/>
        <name val="Verdana"/>
        <family val="2"/>
      </font>
      <fill>
        <patternFill>
          <fgColor indexed="64"/>
          <bgColor indexed="65"/>
        </patternFill>
      </fill>
      <alignment horizontal="general" vertical="top"/>
      <border outline="0">
        <left style="thin">
          <color theme="1" tint="0.34998626667073579"/>
        </left>
        <right style="thin">
          <color theme="1" tint="0.34998626667073579"/>
        </right>
        <top style="thin">
          <color theme="1" tint="0.34998626667073579"/>
        </top>
        <bottom style="thin">
          <color theme="1" tint="0.34998626667073579"/>
        </bottom>
      </border>
      <protection locked="0" hidden="0"/>
    </dxf>
    <dxf>
      <font>
        <b val="0"/>
        <i val="0"/>
        <strike val="0"/>
        <condense val="0"/>
        <extend val="0"/>
        <outline val="0"/>
        <shadow val="0"/>
        <u val="none"/>
        <vertAlign val="baseline"/>
        <sz val="8"/>
        <color auto="1"/>
        <name val="Verdana"/>
        <family val="2"/>
        <scheme val="none"/>
      </font>
      <alignment horizontal="general" vertical="top" textRotation="0" wrapText="1" indent="0" justifyLastLine="0" shrinkToFit="0" readingOrder="0"/>
      <border diagonalUp="0" diagonalDown="0">
        <left/>
        <right style="thin">
          <color theme="1" tint="0.34998626667073579"/>
        </right>
        <top style="thin">
          <color theme="1" tint="0.34998626667073579"/>
        </top>
        <bottom style="thin">
          <color theme="1" tint="0.34998626667073579"/>
        </bottom>
        <vertical/>
        <horizontal/>
      </border>
      <protection locked="0" hidden="0"/>
    </dxf>
    <dxf>
      <font>
        <strike val="0"/>
        <condense val="0"/>
        <extend val="0"/>
        <outline val="0"/>
        <shadow val="0"/>
        <vertAlign val="baseline"/>
        <sz val="8"/>
        <color auto="1"/>
        <name val="Verdana"/>
        <family val="2"/>
      </font>
      <fill>
        <patternFill patternType="solid">
          <fgColor indexed="64"/>
          <bgColor theme="8" tint="0.59999389629810485"/>
        </patternFill>
      </fill>
      <alignment horizontal="general" vertical="top" wrapText="1"/>
      <border outline="0">
        <left/>
        <right style="thin">
          <color theme="1" tint="0.34998626667073579"/>
        </right>
        <top style="thin">
          <color theme="1" tint="0.34998626667073579"/>
        </top>
        <bottom style="thin">
          <color theme="1" tint="0.34998626667073579"/>
        </bottom>
      </border>
      <protection locked="0" hidden="0"/>
    </dxf>
    <dxf>
      <font>
        <strike val="0"/>
        <condense val="0"/>
        <extend val="0"/>
        <outline val="0"/>
        <shadow val="0"/>
        <vertAlign val="baseline"/>
        <sz val="8"/>
        <color auto="1"/>
        <name val="Verdana"/>
        <family val="2"/>
      </font>
      <fill>
        <patternFill patternType="solid">
          <fgColor indexed="64"/>
          <bgColor theme="9" tint="0.59999389629810485"/>
        </patternFill>
      </fill>
      <alignment horizontal="general" vertical="top"/>
      <border outline="0">
        <left style="thin">
          <color theme="1" tint="0.34998626667073579"/>
        </left>
        <right/>
        <top style="thin">
          <color rgb="FF595959"/>
        </top>
        <bottom style="thin">
          <color rgb="FF595959"/>
        </bottom>
      </border>
      <protection locked="0" hidden="0"/>
    </dxf>
    <dxf>
      <font>
        <strike val="0"/>
        <condense val="0"/>
        <extend val="0"/>
        <outline val="0"/>
        <shadow val="0"/>
        <vertAlign val="baseline"/>
        <sz val="8"/>
        <color auto="1"/>
        <name val="Verdana"/>
        <family val="2"/>
      </font>
      <fill>
        <patternFill patternType="solid">
          <fgColor indexed="64"/>
          <bgColor theme="8" tint="0.59999389629810485"/>
        </patternFill>
      </fill>
      <alignment horizontal="general" vertical="top"/>
      <border outline="0">
        <left style="thin">
          <color theme="1" tint="0.34998626667073579"/>
        </left>
        <right style="thin">
          <color theme="1" tint="0.34998626667073579"/>
        </right>
        <top style="thin">
          <color rgb="FF595959"/>
        </top>
        <bottom style="thin">
          <color rgb="FF595959"/>
        </bottom>
      </border>
      <protection locked="0" hidden="0"/>
    </dxf>
    <dxf>
      <font>
        <strike val="0"/>
        <condense val="0"/>
        <extend val="0"/>
        <outline val="0"/>
        <shadow val="0"/>
        <vertAlign val="baseline"/>
        <sz val="8"/>
        <color auto="1"/>
        <name val="Verdana"/>
        <family val="2"/>
      </font>
      <fill>
        <patternFill patternType="solid">
          <fgColor indexed="64"/>
          <bgColor theme="8" tint="0.59999389629810485"/>
        </patternFill>
      </fill>
      <alignment horizontal="general" vertical="top" wrapText="1"/>
      <border outline="0">
        <left style="thin">
          <color theme="1" tint="0.34998626667073579"/>
        </left>
        <right style="thin">
          <color theme="1" tint="0.34998626667073579"/>
        </right>
        <top style="thin">
          <color rgb="FF595959"/>
        </top>
        <bottom style="thin">
          <color rgb="FF595959"/>
        </bottom>
      </border>
      <protection locked="0" hidden="0"/>
    </dxf>
    <dxf>
      <font>
        <strike val="0"/>
        <condense val="0"/>
        <extend val="0"/>
        <outline val="0"/>
        <shadow val="0"/>
        <vertAlign val="baseline"/>
        <sz val="8"/>
        <color auto="1"/>
        <name val="Verdana"/>
        <family val="2"/>
      </font>
      <fill>
        <patternFill patternType="solid">
          <fgColor indexed="64"/>
          <bgColor theme="8" tint="0.59999389629810485"/>
        </patternFill>
      </fill>
      <alignment horizontal="general" vertical="top"/>
      <border outline="0">
        <left style="thick">
          <color rgb="FFC00000"/>
        </left>
        <right style="thin">
          <color rgb="FF595959"/>
        </right>
        <top style="thin">
          <color rgb="FF595959"/>
        </top>
        <bottom style="thin">
          <color rgb="FF595959"/>
        </bottom>
      </border>
      <protection locked="0" hidden="0"/>
    </dxf>
    <dxf>
      <font>
        <strike val="0"/>
        <condense val="0"/>
        <extend val="0"/>
        <outline val="0"/>
        <shadow val="0"/>
        <vertAlign val="baseline"/>
        <sz val="8"/>
        <color auto="1"/>
        <name val="Verdana"/>
        <family val="2"/>
      </font>
      <numFmt numFmtId="0" formatCode="General"/>
      <fill>
        <patternFill patternType="solid">
          <fgColor indexed="64"/>
          <bgColor theme="9" tint="0.59999389629810485"/>
        </patternFill>
      </fill>
      <alignment horizontal="general" vertical="top"/>
      <border>
        <left style="thin">
          <color theme="1" tint="0.34998626667073579"/>
        </left>
        <right style="thin">
          <color theme="1" tint="0.34998626667073579"/>
        </right>
        <top style="thin">
          <color theme="1" tint="0.34998626667073579"/>
        </top>
        <bottom style="thin">
          <color theme="1" tint="0.34998626667073579"/>
        </bottom>
        <vertical/>
        <horizontal/>
      </border>
      <protection locked="0" hidden="0"/>
    </dxf>
    <dxf>
      <font>
        <strike val="0"/>
        <condense val="0"/>
        <extend val="0"/>
        <outline val="0"/>
        <shadow val="0"/>
        <vertAlign val="baseline"/>
        <sz val="8"/>
        <color auto="1"/>
        <name val="Verdana"/>
        <family val="2"/>
      </font>
      <fill>
        <patternFill>
          <fgColor indexed="64"/>
          <bgColor indexed="65"/>
        </patternFill>
      </fill>
      <alignment horizontal="general" vertical="top"/>
      <border diagonalUp="0" diagonalDown="0">
        <left style="thin">
          <color theme="1" tint="0.34998626667073579"/>
        </left>
        <right style="thin">
          <color theme="1" tint="0.34998626667073579"/>
        </right>
        <top style="thin">
          <color theme="1" tint="0.34998626667073579"/>
        </top>
        <bottom style="thin">
          <color theme="1" tint="0.34998626667073579"/>
        </bottom>
        <vertical style="thin">
          <color theme="1" tint="0.34998626667073579"/>
        </vertical>
        <horizontal/>
      </border>
      <protection locked="0" hidden="0"/>
    </dxf>
    <dxf>
      <font>
        <strike val="0"/>
        <condense val="0"/>
        <extend val="0"/>
        <outline val="0"/>
        <shadow val="0"/>
        <vertAlign val="baseline"/>
        <sz val="8"/>
        <color auto="1"/>
        <name val="Verdana"/>
        <family val="2"/>
      </font>
      <fill>
        <patternFill>
          <fgColor indexed="64"/>
          <bgColor indexed="65"/>
        </patternFill>
      </fill>
      <alignment horizontal="general" vertical="top"/>
      <border diagonalUp="0" diagonalDown="0">
        <left style="thin">
          <color theme="1" tint="0.34998626667073579"/>
        </left>
        <right style="thin">
          <color theme="1" tint="0.34998626667073579"/>
        </right>
        <top style="thin">
          <color theme="1" tint="0.34998626667073579"/>
        </top>
        <bottom style="thin">
          <color theme="1" tint="0.34998626667073579"/>
        </bottom>
        <vertical style="thin">
          <color theme="1" tint="0.34998626667073579"/>
        </vertical>
        <horizontal/>
      </border>
      <protection locked="0" hidden="0"/>
    </dxf>
    <dxf>
      <font>
        <strike val="0"/>
        <condense val="0"/>
        <extend val="0"/>
        <outline val="0"/>
        <shadow val="0"/>
        <vertAlign val="baseline"/>
        <sz val="8"/>
        <color auto="1"/>
        <name val="Verdana"/>
        <family val="2"/>
      </font>
      <numFmt numFmtId="32" formatCode="_ &quot;€&quot;\ * #,##0_ ;_ &quot;€&quot;\ * \-#,##0_ ;_ &quot;€&quot;\ * &quot;-&quot;_ ;_ @_ "/>
      <alignment horizontal="general" vertical="top"/>
      <border diagonalUp="0" diagonalDown="0">
        <left style="thin">
          <color theme="1" tint="0.34998626667073579"/>
        </left>
        <right style="thin">
          <color theme="1" tint="0.34998626667073579"/>
        </right>
        <top style="thin">
          <color rgb="FF595959"/>
        </top>
        <bottom style="thin">
          <color rgb="FF595959"/>
        </bottom>
        <vertical style="thin">
          <color theme="1" tint="0.34998626667073579"/>
        </vertical>
        <horizontal/>
      </border>
      <protection locked="0" hidden="0"/>
    </dxf>
    <dxf>
      <font>
        <strike val="0"/>
        <condense val="0"/>
        <extend val="0"/>
        <outline val="0"/>
        <shadow val="0"/>
        <vertAlign val="baseline"/>
        <sz val="8"/>
        <color auto="1"/>
        <name val="Verdana"/>
        <family val="2"/>
      </font>
      <numFmt numFmtId="32" formatCode="_ &quot;€&quot;\ * #,##0_ ;_ &quot;€&quot;\ * \-#,##0_ ;_ &quot;€&quot;\ * &quot;-&quot;_ ;_ @_ "/>
      <alignment horizontal="general" vertical="top"/>
      <border diagonalUp="0" diagonalDown="0">
        <left style="thin">
          <color theme="1" tint="0.34998626667073579"/>
        </left>
        <right style="thin">
          <color theme="1" tint="0.34998626667073579"/>
        </right>
        <top style="thin">
          <color auto="1"/>
        </top>
        <bottom style="thin">
          <color auto="1"/>
        </bottom>
        <vertical style="thin">
          <color theme="1" tint="0.34998626667073579"/>
        </vertical>
        <horizontal style="thin">
          <color auto="1"/>
        </horizontal>
      </border>
      <protection locked="0" hidden="0"/>
    </dxf>
    <dxf>
      <font>
        <strike val="0"/>
        <condense val="0"/>
        <extend val="0"/>
        <outline val="0"/>
        <shadow val="0"/>
        <vertAlign val="baseline"/>
        <sz val="8"/>
        <color auto="1"/>
        <name val="Verdana"/>
        <family val="2"/>
      </font>
      <numFmt numFmtId="32" formatCode="_ &quot;€&quot;\ * #,##0_ ;_ &quot;€&quot;\ * \-#,##0_ ;_ &quot;€&quot;\ * &quot;-&quot;_ ;_ @_ "/>
      <alignment horizontal="general" vertical="top"/>
      <border diagonalUp="0" diagonalDown="0">
        <left style="thin">
          <color theme="1" tint="0.34998626667073579"/>
        </left>
        <right style="thin">
          <color theme="1" tint="0.34998626667073579"/>
        </right>
        <top style="thin">
          <color rgb="FF595959"/>
        </top>
        <bottom style="thin">
          <color rgb="FF595959"/>
        </bottom>
        <vertical style="thin">
          <color theme="1" tint="0.34998626667073579"/>
        </vertical>
        <horizontal/>
      </border>
      <protection locked="0" hidden="0"/>
    </dxf>
    <dxf>
      <font>
        <strike val="0"/>
        <condense val="0"/>
        <extend val="0"/>
        <outline val="0"/>
        <shadow val="0"/>
        <vertAlign val="baseline"/>
        <sz val="8"/>
        <color auto="1"/>
        <name val="Verdana"/>
        <family val="2"/>
      </font>
      <numFmt numFmtId="166" formatCode="yyyy/mm/dd;@"/>
      <fill>
        <patternFill patternType="solid">
          <fgColor indexed="64"/>
          <bgColor theme="9" tint="0.59999389629810485"/>
        </patternFill>
      </fill>
      <alignment horizontal="general" vertical="top"/>
      <border diagonalUp="0" diagonalDown="0">
        <left style="thin">
          <color theme="1" tint="0.34998626667073579"/>
        </left>
        <right style="thin">
          <color theme="1" tint="0.34998626667073579"/>
        </right>
        <top style="thin">
          <color theme="1" tint="0.34998626667073579"/>
        </top>
        <bottom style="thin">
          <color theme="1" tint="0.34998626667073579"/>
        </bottom>
        <vertical style="thin">
          <color theme="1" tint="0.34998626667073579"/>
        </vertical>
      </border>
      <protection locked="0" hidden="0"/>
    </dxf>
    <dxf>
      <font>
        <strike val="0"/>
        <condense val="0"/>
        <extend val="0"/>
        <outline val="0"/>
        <shadow val="0"/>
        <vertAlign val="baseline"/>
        <sz val="8"/>
        <color auto="1"/>
        <name val="Verdana"/>
        <family val="2"/>
      </font>
      <numFmt numFmtId="2" formatCode="0.00"/>
      <alignment horizontal="general" vertical="top"/>
      <border diagonalUp="0" diagonalDown="0">
        <left style="thin">
          <color theme="1" tint="0.34998626667073579"/>
        </left>
        <right style="thin">
          <color theme="1" tint="0.34998626667073579"/>
        </right>
        <top style="thin">
          <color theme="1" tint="0.34998626667073579"/>
        </top>
        <bottom style="thin">
          <color theme="1" tint="0.34998626667073579"/>
        </bottom>
        <vertical style="thin">
          <color theme="1" tint="0.34998626667073579"/>
        </vertical>
        <horizontal/>
      </border>
      <protection locked="0" hidden="0"/>
    </dxf>
    <dxf>
      <font>
        <strike val="0"/>
        <condense val="0"/>
        <extend val="0"/>
        <outline val="0"/>
        <shadow val="0"/>
        <vertAlign val="baseline"/>
        <sz val="8"/>
        <color auto="1"/>
        <name val="Verdana"/>
        <family val="2"/>
      </font>
      <numFmt numFmtId="166" formatCode="yyyy/mm/dd;@"/>
      <alignment horizontal="general" vertical="top"/>
      <border diagonalUp="0" diagonalDown="0">
        <left style="thin">
          <color theme="1" tint="0.34998626667073579"/>
        </left>
        <right style="thin">
          <color theme="1" tint="0.34998626667073579"/>
        </right>
        <top style="thin">
          <color theme="1" tint="0.34998626667073579"/>
        </top>
        <bottom style="thin">
          <color theme="1" tint="0.34998626667073579"/>
        </bottom>
        <vertical style="thin">
          <color theme="1" tint="0.34998626667073579"/>
        </vertical>
        <horizontal/>
      </border>
      <protection locked="0" hidden="0"/>
    </dxf>
    <dxf>
      <font>
        <strike val="0"/>
        <condense val="0"/>
        <extend val="0"/>
        <outline val="0"/>
        <shadow val="0"/>
        <vertAlign val="baseline"/>
        <sz val="8"/>
        <color auto="1"/>
        <name val="Verdana"/>
        <family val="2"/>
      </font>
      <numFmt numFmtId="19" formatCode="d/m/yyyy"/>
      <fill>
        <patternFill>
          <fgColor indexed="64"/>
          <bgColor indexed="65"/>
        </patternFill>
      </fill>
      <alignment horizontal="general" vertical="top"/>
      <border diagonalUp="0" diagonalDown="0">
        <left style="thin">
          <color theme="1" tint="0.34998626667073579"/>
        </left>
        <right style="thin">
          <color theme="1" tint="0.34998626667073579"/>
        </right>
        <top style="thin">
          <color theme="1" tint="0.34998626667073579"/>
        </top>
        <bottom style="thin">
          <color theme="1" tint="0.34998626667073579"/>
        </bottom>
        <vertical style="thin">
          <color theme="1" tint="0.34998626667073579"/>
        </vertical>
        <horizontal/>
      </border>
      <protection locked="0" hidden="0"/>
    </dxf>
    <dxf>
      <font>
        <strike val="0"/>
        <condense val="0"/>
        <extend val="0"/>
        <outline val="0"/>
        <shadow val="0"/>
        <vertAlign val="baseline"/>
        <sz val="8"/>
        <color auto="1"/>
        <name val="Verdana"/>
        <family val="2"/>
      </font>
      <alignment horizontal="general" vertical="top"/>
      <border diagonalUp="0" diagonalDown="0">
        <left style="thin">
          <color theme="1" tint="0.34998626667073579"/>
        </left>
        <right style="thin">
          <color theme="1" tint="0.34998626667073579"/>
        </right>
        <top style="thin">
          <color theme="1" tint="0.34998626667073579"/>
        </top>
        <bottom style="thin">
          <color theme="1" tint="0.34998626667073579"/>
        </bottom>
        <vertical style="thin">
          <color theme="1" tint="0.34998626667073579"/>
        </vertical>
      </border>
      <protection locked="0" hidden="0"/>
    </dxf>
    <dxf>
      <font>
        <strike val="0"/>
        <condense val="0"/>
        <extend val="0"/>
        <outline val="0"/>
        <shadow val="0"/>
        <vertAlign val="baseline"/>
        <sz val="8"/>
        <color auto="1"/>
        <name val="Verdana"/>
        <family val="2"/>
      </font>
      <numFmt numFmtId="0" formatCode="General"/>
      <fill>
        <patternFill patternType="solid">
          <fgColor indexed="64"/>
          <bgColor theme="9" tint="0.59999389629810485"/>
        </patternFill>
      </fill>
      <alignment horizontal="general" vertical="top"/>
      <border diagonalUp="0" diagonalDown="0">
        <left style="thin">
          <color theme="1" tint="0.34998626667073579"/>
        </left>
        <right style="thin">
          <color theme="1" tint="0.34998626667073579"/>
        </right>
        <top style="thin">
          <color theme="1" tint="0.34998626667073579"/>
        </top>
        <bottom style="thin">
          <color theme="1" tint="0.34998626667073579"/>
        </bottom>
        <vertical style="thin">
          <color theme="1" tint="0.34998626667073579"/>
        </vertical>
      </border>
      <protection locked="0" hidden="0"/>
    </dxf>
    <dxf>
      <font>
        <strike val="0"/>
        <condense val="0"/>
        <extend val="0"/>
        <outline val="0"/>
        <shadow val="0"/>
        <vertAlign val="baseline"/>
        <sz val="8"/>
        <color auto="1"/>
        <name val="Verdana"/>
        <family val="2"/>
      </font>
      <numFmt numFmtId="0" formatCode="General"/>
      <fill>
        <patternFill patternType="solid">
          <fgColor indexed="64"/>
          <bgColor theme="9" tint="0.59999389629810485"/>
        </patternFill>
      </fill>
      <alignment horizontal="general" vertical="top"/>
      <border diagonalUp="0" diagonalDown="0">
        <left style="thin">
          <color theme="1" tint="0.34998626667073579"/>
        </left>
        <right style="thin">
          <color theme="1" tint="0.34998626667073579"/>
        </right>
        <top style="thin">
          <color theme="1" tint="0.34998626667073579"/>
        </top>
        <bottom style="thin">
          <color theme="1" tint="0.34998626667073579"/>
        </bottom>
        <vertical style="thin">
          <color theme="1" tint="0.34998626667073579"/>
        </vertical>
      </border>
      <protection locked="1" hidden="0"/>
    </dxf>
    <dxf>
      <font>
        <strike val="0"/>
        <condense val="0"/>
        <extend val="0"/>
        <outline val="0"/>
        <shadow val="0"/>
        <vertAlign val="baseline"/>
        <sz val="8"/>
        <color auto="1"/>
        <name val="Verdana"/>
        <family val="2"/>
      </font>
      <numFmt numFmtId="0" formatCode="General"/>
      <fill>
        <patternFill patternType="solid">
          <fgColor indexed="64"/>
          <bgColor theme="9" tint="0.59999389629810485"/>
        </patternFill>
      </fill>
      <alignment horizontal="general" vertical="top"/>
      <border diagonalUp="0" diagonalDown="0">
        <left style="thin">
          <color theme="1" tint="0.34998626667073579"/>
        </left>
        <right style="thin">
          <color theme="1" tint="0.34998626667073579"/>
        </right>
        <top style="thin">
          <color theme="1" tint="0.34998626667073579"/>
        </top>
        <bottom style="thin">
          <color theme="1" tint="0.34998626667073579"/>
        </bottom>
        <vertical style="thin">
          <color theme="1" tint="0.34998626667073579"/>
        </vertical>
        <horizontal/>
      </border>
      <protection locked="0" hidden="0"/>
    </dxf>
    <dxf>
      <font>
        <strike val="0"/>
        <condense val="0"/>
        <extend val="0"/>
        <outline val="0"/>
        <shadow val="0"/>
        <vertAlign val="baseline"/>
        <sz val="8"/>
        <color auto="1"/>
        <name val="Verdana"/>
        <family val="2"/>
      </font>
      <fill>
        <patternFill>
          <fgColor indexed="64"/>
          <bgColor indexed="65"/>
        </patternFill>
      </fill>
      <alignment horizontal="general" vertical="top"/>
      <border diagonalUp="0" diagonalDown="0">
        <left style="thin">
          <color theme="1" tint="0.34998626667073579"/>
        </left>
        <right style="thin">
          <color theme="1" tint="0.34998626667073579"/>
        </right>
        <top style="thin">
          <color theme="1" tint="0.34998626667073579"/>
        </top>
        <bottom style="thin">
          <color theme="1" tint="0.34998626667073579"/>
        </bottom>
        <vertical style="thin">
          <color theme="1" tint="0.34998626667073579"/>
        </vertical>
        <horizontal/>
      </border>
      <protection locked="0" hidden="0"/>
    </dxf>
    <dxf>
      <font>
        <strike val="0"/>
        <condense val="0"/>
        <extend val="0"/>
        <outline val="0"/>
        <shadow val="0"/>
        <vertAlign val="baseline"/>
        <sz val="8"/>
        <color auto="1"/>
        <name val="Verdana"/>
        <family val="2"/>
      </font>
      <alignment horizontal="general" vertical="top" wrapText="1"/>
      <border diagonalUp="0" diagonalDown="0">
        <left style="thin">
          <color theme="1" tint="0.34998626667073579"/>
        </left>
        <right style="thin">
          <color theme="1" tint="0.34998626667073579"/>
        </right>
        <top style="thin">
          <color theme="1" tint="0.34998626667073579"/>
        </top>
        <bottom style="thin">
          <color theme="1" tint="0.34998626667073579"/>
        </bottom>
        <vertical style="thin">
          <color theme="1" tint="0.34998626667073579"/>
        </vertical>
      </border>
      <protection locked="0" hidden="0"/>
    </dxf>
    <dxf>
      <font>
        <strike val="0"/>
        <condense val="0"/>
        <extend val="0"/>
        <outline val="0"/>
        <shadow val="0"/>
        <vertAlign val="baseline"/>
        <sz val="8"/>
        <color auto="1"/>
        <name val="Verdana"/>
        <family val="2"/>
      </font>
      <alignment horizontal="general" vertical="top" wrapText="1"/>
      <border diagonalUp="0" diagonalDown="0">
        <left style="thin">
          <color theme="1" tint="0.34998626667073579"/>
        </left>
        <right style="thin">
          <color theme="1" tint="0.34998626667073579"/>
        </right>
        <top style="thin">
          <color theme="1" tint="0.34998626667073579"/>
        </top>
        <bottom style="thin">
          <color theme="1" tint="0.34998626667073579"/>
        </bottom>
        <vertical style="thin">
          <color theme="1" tint="0.34998626667073579"/>
        </vertical>
      </border>
      <protection locked="0" hidden="0"/>
    </dxf>
    <dxf>
      <font>
        <strike val="0"/>
        <condense val="0"/>
        <extend val="0"/>
        <outline val="0"/>
        <shadow val="0"/>
        <vertAlign val="baseline"/>
        <sz val="8"/>
        <color auto="1"/>
        <name val="Verdana"/>
        <family val="2"/>
      </font>
      <fill>
        <patternFill patternType="solid">
          <fgColor indexed="64"/>
          <bgColor theme="9" tint="0.59999389629810485"/>
        </patternFill>
      </fill>
      <alignment horizontal="left" vertical="top"/>
      <border diagonalUp="0" diagonalDown="0">
        <left style="thin">
          <color theme="1" tint="0.34998626667073579"/>
        </left>
        <right style="thin">
          <color theme="1" tint="0.34998626667073579"/>
        </right>
        <top style="thin">
          <color theme="1" tint="0.34998626667073579"/>
        </top>
        <bottom style="thin">
          <color theme="1" tint="0.34998626667073579"/>
        </bottom>
        <vertical style="thin">
          <color theme="1" tint="0.34998626667073579"/>
        </vertical>
        <horizontal/>
      </border>
      <protection locked="0" hidden="0"/>
    </dxf>
    <dxf>
      <font>
        <strike val="0"/>
        <condense val="0"/>
        <extend val="0"/>
        <outline val="0"/>
        <shadow val="0"/>
        <vertAlign val="baseline"/>
        <sz val="8"/>
        <color auto="1"/>
        <name val="Verdana"/>
        <family val="2"/>
      </font>
      <numFmt numFmtId="0" formatCode="General"/>
      <fill>
        <patternFill patternType="solid">
          <fgColor indexed="64"/>
          <bgColor theme="9" tint="0.59999389629810485"/>
        </patternFill>
      </fill>
      <alignment horizontal="general" vertical="top"/>
      <border diagonalUp="0" diagonalDown="0">
        <left style="thin">
          <color theme="1" tint="0.34998626667073579"/>
        </left>
        <right style="thin">
          <color theme="1" tint="0.34998626667073579"/>
        </right>
        <top style="thin">
          <color theme="1" tint="0.34998626667073579"/>
        </top>
        <bottom style="thin">
          <color theme="1" tint="0.34998626667073579"/>
        </bottom>
        <vertical style="thin">
          <color theme="1" tint="0.34998626667073579"/>
        </vertical>
      </border>
      <protection locked="0" hidden="0"/>
    </dxf>
    <dxf>
      <font>
        <strike val="0"/>
        <condense val="0"/>
        <extend val="0"/>
        <outline val="0"/>
        <shadow val="0"/>
        <vertAlign val="baseline"/>
        <sz val="8"/>
        <color auto="1"/>
        <name val="Verdana"/>
        <family val="2"/>
      </font>
      <alignment horizontal="general" vertical="top"/>
      <border diagonalUp="0" diagonalDown="0">
        <left style="thin">
          <color theme="1" tint="0.34998626667073579"/>
        </left>
        <right style="thin">
          <color theme="1" tint="0.34998626667073579"/>
        </right>
        <top style="thin">
          <color theme="1" tint="0.34998626667073579"/>
        </top>
        <bottom style="thin">
          <color theme="1" tint="0.34998626667073579"/>
        </bottom>
        <vertical style="thin">
          <color theme="1" tint="0.34998626667073579"/>
        </vertical>
      </border>
      <protection locked="0" hidden="0"/>
    </dxf>
    <dxf>
      <font>
        <strike val="0"/>
        <condense val="0"/>
        <extend val="0"/>
        <outline val="0"/>
        <shadow val="0"/>
        <vertAlign val="baseline"/>
        <sz val="8"/>
        <color auto="1"/>
        <name val="Verdana"/>
        <family val="2"/>
      </font>
      <fill>
        <patternFill patternType="solid">
          <fgColor indexed="64"/>
          <bgColor theme="8" tint="0.59999389629810485"/>
        </patternFill>
      </fill>
      <alignment horizontal="general" vertical="top" wrapText="1"/>
      <border diagonalUp="0" diagonalDown="0">
        <left style="thin">
          <color theme="1" tint="0.34998626667073579"/>
        </left>
        <right style="thin">
          <color theme="1" tint="0.34998626667073579"/>
        </right>
        <top style="thin">
          <color rgb="FF595959"/>
        </top>
        <bottom style="thin">
          <color rgb="FF595959"/>
        </bottom>
        <vertical style="thin">
          <color theme="1" tint="0.34998626667073579"/>
        </vertical>
      </border>
      <protection locked="0" hidden="0"/>
    </dxf>
    <dxf>
      <font>
        <strike val="0"/>
        <condense val="0"/>
        <extend val="0"/>
        <outline val="0"/>
        <shadow val="0"/>
        <vertAlign val="baseline"/>
        <sz val="8"/>
        <color auto="1"/>
        <name val="Verdana"/>
        <family val="2"/>
      </font>
      <numFmt numFmtId="0" formatCode="General"/>
      <fill>
        <patternFill patternType="solid">
          <fgColor indexed="64"/>
          <bgColor theme="9" tint="0.59999389629810485"/>
        </patternFill>
      </fill>
      <alignment horizontal="general" vertical="top"/>
      <border diagonalUp="0" diagonalDown="0">
        <left style="thin">
          <color theme="1" tint="0.34998626667073579"/>
        </left>
        <right style="thin">
          <color theme="1" tint="0.34998626667073579"/>
        </right>
        <top style="thin">
          <color theme="1" tint="0.34998626667073579"/>
        </top>
        <bottom style="thin">
          <color theme="1" tint="0.34998626667073579"/>
        </bottom>
        <vertical style="thin">
          <color theme="1" tint="0.34998626667073579"/>
        </vertical>
      </border>
      <protection locked="1" hidden="0"/>
    </dxf>
    <dxf>
      <font>
        <strike val="0"/>
        <condense val="0"/>
        <extend val="0"/>
        <outline val="0"/>
        <shadow val="0"/>
        <vertAlign val="baseline"/>
        <sz val="8"/>
        <color auto="1"/>
        <name val="Verdana"/>
        <family val="2"/>
      </font>
      <numFmt numFmtId="0" formatCode="General"/>
      <alignment horizontal="general" vertical="top"/>
      <border diagonalUp="0" diagonalDown="0">
        <left style="thin">
          <color theme="1" tint="0.34998626667073579"/>
        </left>
        <right style="thin">
          <color theme="1" tint="0.34998626667073579"/>
        </right>
        <top style="thin">
          <color theme="1" tint="0.34998626667073579"/>
        </top>
        <bottom style="thin">
          <color theme="1" tint="0.34998626667073579"/>
        </bottom>
        <vertical style="thin">
          <color theme="1" tint="0.34998626667073579"/>
        </vertical>
        <horizontal/>
      </border>
      <protection locked="0" hidden="0"/>
    </dxf>
    <dxf>
      <border outline="0">
        <top style="thin">
          <color theme="1" tint="0.34998626667073579"/>
        </top>
      </border>
    </dxf>
    <dxf>
      <border outline="0">
        <left style="thin">
          <color theme="1" tint="0.34998626667073579"/>
        </left>
        <right style="thick">
          <color theme="1" tint="0.34998626667073579"/>
        </right>
        <top style="thick">
          <color theme="1" tint="0.34998626667073579"/>
        </top>
        <bottom style="thin">
          <color theme="1" tint="0.34998626667073579"/>
        </bottom>
      </border>
    </dxf>
    <dxf>
      <font>
        <strike val="0"/>
        <outline val="0"/>
        <shadow val="0"/>
        <vertAlign val="baseline"/>
        <sz val="8"/>
        <color auto="1"/>
        <name val="Verdana"/>
        <family val="2"/>
      </font>
    </dxf>
    <dxf>
      <border outline="0">
        <bottom style="thin">
          <color theme="1" tint="0.34998626667073579"/>
        </bottom>
      </border>
    </dxf>
    <dxf>
      <font>
        <strike val="0"/>
        <condense val="0"/>
        <extend val="0"/>
        <outline val="0"/>
        <shadow val="0"/>
        <vertAlign val="baseline"/>
        <sz val="8"/>
        <color theme="1"/>
        <name val="Verdana"/>
        <family val="2"/>
      </font>
      <fill>
        <patternFill patternType="solid">
          <fgColor indexed="64"/>
          <bgColor rgb="FFFFFF00"/>
        </patternFill>
      </fill>
      <alignment horizontal="general" vertical="top" wrapText="1"/>
      <border outline="0">
        <left style="thin">
          <color theme="1" tint="0.34998626667073579"/>
        </left>
        <right style="thin">
          <color theme="1" tint="0.34998626667073579"/>
        </right>
        <top/>
        <bottom/>
      </border>
      <protection locked="1" hidden="0"/>
    </dxf>
    <dxf>
      <font>
        <b val="0"/>
        <i val="0"/>
        <strike val="0"/>
        <condense val="0"/>
        <extend val="0"/>
        <outline val="0"/>
        <shadow val="0"/>
        <u val="none"/>
        <vertAlign val="baseline"/>
        <sz val="11"/>
        <color auto="1"/>
        <name val="Aptos Narrow"/>
        <family val="2"/>
        <scheme val="none"/>
      </font>
      <fill>
        <patternFill patternType="none">
          <fgColor rgb="FF000000"/>
          <bgColor rgb="FFFFFFFF"/>
        </patternFill>
      </fill>
      <alignment horizontal="center" vertical="center" textRotation="0" wrapText="0"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vertical/>
        <horizontal style="thin">
          <color theme="1" tint="0.499984740745262"/>
        </horizontal>
      </border>
    </dxf>
    <dxf>
      <font>
        <b val="0"/>
        <i val="0"/>
        <strike val="0"/>
        <condense val="0"/>
        <extend val="0"/>
        <outline val="0"/>
        <shadow val="0"/>
        <u val="none"/>
        <vertAlign val="baseline"/>
        <sz val="11"/>
        <color auto="1"/>
        <name val="Aptos Narrow"/>
        <family val="2"/>
        <scheme val="none"/>
      </font>
      <fill>
        <patternFill patternType="none">
          <fgColor rgb="FF000000"/>
          <bgColor rgb="FFFFFFFF"/>
        </patternFill>
      </fill>
      <alignment horizontal="center" vertical="center" textRotation="0" wrapText="0"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vertical/>
        <horizontal/>
      </border>
    </dxf>
    <dxf>
      <font>
        <b val="0"/>
        <i val="0"/>
        <strike val="0"/>
        <condense val="0"/>
        <extend val="0"/>
        <outline val="0"/>
        <shadow val="0"/>
        <u val="none"/>
        <vertAlign val="baseline"/>
        <sz val="11"/>
        <color auto="1"/>
        <name val="Aptos Narrow"/>
        <family val="2"/>
        <scheme val="none"/>
      </font>
      <fill>
        <patternFill patternType="none">
          <fgColor rgb="FF000000"/>
          <bgColor rgb="FFFFFFFF"/>
        </patternFill>
      </fill>
      <alignment horizontal="center" vertical="center" textRotation="0" wrapText="0"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vertical/>
        <horizontal/>
      </border>
    </dxf>
    <dxf>
      <font>
        <b val="0"/>
        <i val="0"/>
        <strike val="0"/>
        <condense val="0"/>
        <extend val="0"/>
        <outline val="0"/>
        <shadow val="0"/>
        <u val="none"/>
        <vertAlign val="baseline"/>
        <sz val="11"/>
        <color auto="1"/>
        <name val="Aptos Narrow"/>
        <family val="2"/>
        <scheme val="none"/>
      </font>
      <fill>
        <patternFill patternType="none">
          <fgColor rgb="FF000000"/>
          <bgColor rgb="FFFFFFFF"/>
        </patternFill>
      </fill>
      <alignment horizontal="center" vertical="center" textRotation="0" wrapText="0"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vertical/>
        <horizontal/>
      </border>
    </dxf>
    <dxf>
      <font>
        <b val="0"/>
        <i val="0"/>
        <strike val="0"/>
        <condense val="0"/>
        <extend val="0"/>
        <outline val="0"/>
        <shadow val="0"/>
        <u val="none"/>
        <vertAlign val="baseline"/>
        <sz val="11"/>
        <color auto="1"/>
        <name val="Aptos Narrow"/>
        <family val="2"/>
        <scheme val="none"/>
      </font>
      <fill>
        <patternFill patternType="none">
          <fgColor rgb="FF000000"/>
          <bgColor rgb="FFFFFFFF"/>
        </patternFill>
      </fill>
      <alignment horizontal="center" vertical="center" textRotation="0" wrapText="0" indent="0" justifyLastLine="0" shrinkToFit="0" readingOrder="0"/>
      <border diagonalUp="0" diagonalDown="0">
        <left style="thin">
          <color rgb="FF000000"/>
        </left>
        <right style="thin">
          <color theme="1" tint="0.499984740745262"/>
        </right>
        <top style="thin">
          <color theme="1" tint="0.499984740745262"/>
        </top>
        <bottom style="thin">
          <color theme="1" tint="0.499984740745262"/>
        </bottom>
        <vertical style="thin">
          <color rgb="FF000000"/>
        </vertical>
        <horizontal style="thin">
          <color theme="1" tint="0.499984740745262"/>
        </horizontal>
      </border>
    </dxf>
    <dxf>
      <font>
        <b val="0"/>
        <i val="0"/>
        <strike val="0"/>
        <condense val="0"/>
        <extend val="0"/>
        <outline val="0"/>
        <shadow val="0"/>
        <u val="none"/>
        <vertAlign val="baseline"/>
        <sz val="11"/>
        <color auto="1"/>
        <name val="Aptos Narrow"/>
        <family val="2"/>
        <scheme val="none"/>
      </font>
      <fill>
        <patternFill patternType="none">
          <fgColor indexed="64"/>
          <bgColor indexed="65"/>
        </patternFill>
      </fill>
      <alignment horizontal="left" vertical="top" textRotation="0" wrapText="0" indent="0" justifyLastLine="0" shrinkToFit="0" readingOrder="0"/>
      <border diagonalUp="0" diagonalDown="0">
        <left style="thin">
          <color rgb="FF000000"/>
        </left>
        <right/>
        <top style="thin">
          <color theme="1" tint="0.499984740745262"/>
        </top>
        <bottom style="thin">
          <color theme="1" tint="0.499984740745262"/>
        </bottom>
        <vertical/>
        <horizontal/>
      </border>
    </dxf>
    <dxf>
      <font>
        <b val="0"/>
        <i val="0"/>
        <strike val="0"/>
        <condense val="0"/>
        <extend val="0"/>
        <outline val="0"/>
        <shadow val="0"/>
        <u val="none"/>
        <vertAlign val="baseline"/>
        <sz val="11"/>
        <color auto="1"/>
        <name val="Aptos Narrow"/>
        <family val="2"/>
        <scheme val="none"/>
      </font>
      <fill>
        <patternFill patternType="none">
          <fgColor indexed="64"/>
          <bgColor indexed="65"/>
        </patternFill>
      </fill>
      <alignment horizontal="left" vertical="top" textRotation="0" wrapText="0" indent="0" justifyLastLine="0" shrinkToFit="0" readingOrder="0"/>
      <border diagonalUp="0" diagonalDown="0">
        <left style="thin">
          <color rgb="FF000000"/>
        </left>
        <right style="thin">
          <color rgb="FF000000"/>
        </right>
        <top style="thin">
          <color theme="1" tint="0.499984740745262"/>
        </top>
        <bottom style="thin">
          <color theme="1" tint="0.499984740745262"/>
        </bottom>
        <vertical/>
        <horizontal/>
      </border>
    </dxf>
    <dxf>
      <font>
        <b val="0"/>
        <i val="0"/>
        <strike val="0"/>
        <condense val="0"/>
        <extend val="0"/>
        <outline val="0"/>
        <shadow val="0"/>
        <u val="none"/>
        <vertAlign val="baseline"/>
        <sz val="11"/>
        <color auto="1"/>
        <name val="Aptos Narrow"/>
        <family val="2"/>
        <scheme val="none"/>
      </font>
      <fill>
        <patternFill patternType="none">
          <fgColor indexed="64"/>
          <bgColor indexed="65"/>
        </patternFill>
      </fill>
      <alignment horizontal="left" vertical="top" textRotation="0" wrapText="0" indent="0" justifyLastLine="0" shrinkToFit="0" readingOrder="0"/>
      <border diagonalUp="0" diagonalDown="0" outline="0">
        <left style="thin">
          <color rgb="FF000000"/>
        </left>
        <right style="thin">
          <color rgb="FF000000"/>
        </right>
        <top style="thin">
          <color theme="1" tint="0.499984740745262"/>
        </top>
        <bottom style="thin">
          <color theme="1" tint="0.499984740745262"/>
        </bottom>
      </border>
    </dxf>
    <dxf>
      <font>
        <b val="0"/>
        <i val="0"/>
        <strike val="0"/>
        <condense val="0"/>
        <extend val="0"/>
        <outline val="0"/>
        <shadow val="0"/>
        <u val="none"/>
        <vertAlign val="baseline"/>
        <sz val="11"/>
        <color auto="1"/>
        <name val="Aptos Narrow"/>
        <family val="2"/>
        <scheme val="minor"/>
      </font>
      <fill>
        <patternFill patternType="none">
          <fgColor indexed="64"/>
          <bgColor indexed="65"/>
        </patternFill>
      </fill>
      <alignment horizontal="left" vertical="top" textRotation="0" wrapText="1" indent="0" justifyLastLine="0" shrinkToFit="0" readingOrder="0"/>
      <border outline="0">
        <right style="thin">
          <color rgb="FF000000"/>
        </right>
      </border>
    </dxf>
    <dxf>
      <font>
        <b val="0"/>
        <i val="0"/>
        <strike val="0"/>
        <condense val="0"/>
        <extend val="0"/>
        <outline val="0"/>
        <shadow val="0"/>
        <u val="none"/>
        <vertAlign val="baseline"/>
        <sz val="11"/>
        <color auto="1"/>
        <name val="Aptos Narrow"/>
        <family val="2"/>
        <scheme val="minor"/>
      </font>
      <numFmt numFmtId="34" formatCode="_ &quot;€&quot;\ * #,##0.00_ ;_ &quot;€&quot;\ * \-#,##0.00_ ;_ &quot;€&quot;\ * &quot;-&quot;??_ ;_ @_ "/>
      <fill>
        <patternFill patternType="none">
          <fgColor indexed="64"/>
          <bgColor indexed="65"/>
        </patternFill>
      </fill>
      <alignment horizontal="left" vertical="top" textRotation="0" wrapText="0" indent="0" justifyLastLine="0" shrinkToFit="0" readingOrder="0"/>
      <border diagonalUp="0" diagonalDown="0" outline="0">
        <left/>
        <right style="thin">
          <color theme="0" tint="-0.249977111117893"/>
        </right>
      </border>
    </dxf>
    <dxf>
      <font>
        <b val="0"/>
        <i val="0"/>
        <strike val="0"/>
        <condense val="0"/>
        <extend val="0"/>
        <outline val="0"/>
        <shadow val="0"/>
        <u val="none"/>
        <vertAlign val="baseline"/>
        <sz val="11"/>
        <color auto="1"/>
        <name val="Aptos Narrow"/>
        <family val="2"/>
        <scheme val="minor"/>
      </font>
      <numFmt numFmtId="34" formatCode="_ &quot;€&quot;\ * #,##0.00_ ;_ &quot;€&quot;\ * \-#,##0.00_ ;_ &quot;€&quot;\ * &quot;-&quot;??_ ;_ @_ "/>
      <fill>
        <patternFill patternType="none">
          <fgColor indexed="64"/>
          <bgColor indexed="65"/>
        </patternFill>
      </fill>
      <alignment horizontal="center" vertical="top" textRotation="0" wrapText="0" indent="0" justifyLastLine="0" shrinkToFit="0" readingOrder="0"/>
      <border diagonalUp="0" diagonalDown="0" outline="0">
        <left style="thin">
          <color theme="0" tint="-0.249977111117893"/>
        </left>
        <right/>
        <top style="thin">
          <color theme="6" tint="0.39997558519241921"/>
        </top>
        <bottom/>
      </border>
    </dxf>
    <dxf>
      <font>
        <b val="0"/>
        <i val="0"/>
        <strike val="0"/>
        <condense val="0"/>
        <extend val="0"/>
        <outline val="0"/>
        <shadow val="0"/>
        <u val="none"/>
        <vertAlign val="baseline"/>
        <sz val="11"/>
        <color auto="1"/>
        <name val="Aptos Narrow"/>
        <family val="2"/>
        <scheme val="minor"/>
      </font>
      <numFmt numFmtId="35" formatCode="_ * #,##0.00_ ;_ * \-#,##0.00_ ;_ * &quot;-&quot;??_ ;_ @_ "/>
      <fill>
        <patternFill patternType="none">
          <fgColor indexed="64"/>
          <bgColor indexed="65"/>
        </patternFill>
      </fill>
      <alignment horizontal="left" vertical="top" textRotation="0" wrapText="0" indent="0" justifyLastLine="0" shrinkToFit="0" readingOrder="0"/>
      <border diagonalUp="0" diagonalDown="0" outline="0">
        <left/>
        <right/>
        <top style="thin">
          <color theme="6" tint="0.39997558519241921"/>
        </top>
        <bottom/>
      </border>
    </dxf>
    <dxf>
      <font>
        <b val="0"/>
        <i val="0"/>
        <strike val="0"/>
        <condense val="0"/>
        <extend val="0"/>
        <outline val="0"/>
        <shadow val="0"/>
        <u val="none"/>
        <vertAlign val="baseline"/>
        <sz val="11"/>
        <color auto="1"/>
        <name val="Aptos Narrow"/>
        <family val="2"/>
        <scheme val="minor"/>
      </font>
      <numFmt numFmtId="35" formatCode="_ * #,##0.00_ ;_ * \-#,##0.00_ ;_ * &quot;-&quot;??_ ;_ @_ "/>
      <fill>
        <patternFill patternType="none">
          <fgColor indexed="64"/>
          <bgColor indexed="65"/>
        </patternFill>
      </fill>
      <alignment horizontal="center" vertical="top" textRotation="0" wrapText="0" indent="0" justifyLastLine="0" shrinkToFit="0" readingOrder="0"/>
      <border diagonalUp="0" diagonalDown="0" outline="0">
        <left/>
        <right/>
        <top style="thin">
          <color theme="6" tint="0.39997558519241921"/>
        </top>
        <bottom/>
      </border>
    </dxf>
    <dxf>
      <font>
        <b val="0"/>
        <i val="0"/>
        <strike val="0"/>
        <condense val="0"/>
        <extend val="0"/>
        <outline val="0"/>
        <shadow val="0"/>
        <u val="none"/>
        <vertAlign val="baseline"/>
        <sz val="11"/>
        <color auto="1"/>
        <name val="Aptos Narrow"/>
        <family val="2"/>
        <scheme val="minor"/>
      </font>
      <numFmt numFmtId="35" formatCode="_ * #,##0.00_ ;_ * \-#,##0.00_ ;_ * &quot;-&quot;??_ ;_ @_ "/>
      <fill>
        <patternFill patternType="none">
          <fgColor indexed="64"/>
          <bgColor indexed="65"/>
        </patternFill>
      </fill>
      <alignment horizontal="left" vertical="top" textRotation="0" wrapText="1" indent="0" justifyLastLine="0" shrinkToFit="0" readingOrder="0"/>
      <border diagonalUp="0" diagonalDown="0" outline="0">
        <left/>
        <right/>
        <top style="thin">
          <color theme="6" tint="0.39997558519241921"/>
        </top>
        <bottom/>
      </border>
    </dxf>
    <dxf>
      <font>
        <b val="0"/>
        <i val="0"/>
        <strike val="0"/>
        <condense val="0"/>
        <extend val="0"/>
        <outline val="0"/>
        <shadow val="0"/>
        <u val="none"/>
        <vertAlign val="baseline"/>
        <sz val="11"/>
        <color auto="1"/>
        <name val="Aptos Narrow"/>
        <family val="2"/>
        <scheme val="minor"/>
      </font>
      <numFmt numFmtId="35" formatCode="_ * #,##0.00_ ;_ * \-#,##0.00_ ;_ * &quot;-&quot;??_ ;_ @_ "/>
      <fill>
        <patternFill patternType="none">
          <fgColor indexed="64"/>
          <bgColor indexed="65"/>
        </patternFill>
      </fill>
      <alignment horizontal="left" vertical="top" textRotation="0" wrapText="0" indent="0" justifyLastLine="0" shrinkToFit="0" readingOrder="0"/>
      <border diagonalUp="0" diagonalDown="0" outline="0">
        <left/>
        <right/>
        <top style="thin">
          <color theme="6" tint="0.39997558519241921"/>
        </top>
        <bottom/>
      </border>
    </dxf>
    <dxf>
      <font>
        <b val="0"/>
        <i val="0"/>
        <strike val="0"/>
        <condense val="0"/>
        <extend val="0"/>
        <outline val="0"/>
        <shadow val="0"/>
        <u val="none"/>
        <vertAlign val="baseline"/>
        <sz val="11"/>
        <color auto="1"/>
        <name val="Aptos Narrow"/>
        <family val="2"/>
        <scheme val="minor"/>
      </font>
      <numFmt numFmtId="35" formatCode="_ * #,##0.00_ ;_ * \-#,##0.00_ ;_ * &quot;-&quot;??_ ;_ @_ "/>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Aptos Narrow"/>
        <family val="2"/>
        <scheme val="minor"/>
      </font>
      <numFmt numFmtId="35" formatCode="_ * #,##0.00_ ;_ * \-#,##0.00_ ;_ * &quot;-&quot;??_ ;_ @_ "/>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top style="thin">
          <color theme="6" tint="0.39997558519241921"/>
        </top>
        <bottom/>
      </border>
    </dxf>
    <dxf>
      <border outline="0">
        <left style="thin">
          <color rgb="FFC9C9C9"/>
        </left>
        <right style="thin">
          <color rgb="FFFFFFFF"/>
        </right>
        <top style="thin">
          <color rgb="FFC9C9C9"/>
        </top>
      </border>
    </dxf>
    <dxf>
      <font>
        <b val="0"/>
        <i val="0"/>
        <strike val="0"/>
        <condense val="0"/>
        <extend val="0"/>
        <outline val="0"/>
        <shadow val="0"/>
        <u val="none"/>
        <vertAlign val="baseline"/>
        <sz val="11"/>
        <color auto="1"/>
        <name val="Aptos Narrow"/>
        <family val="2"/>
        <scheme val="none"/>
      </font>
      <fill>
        <patternFill patternType="none">
          <fgColor rgb="FF000000"/>
          <bgColor rgb="FFFFFFFF"/>
        </patternFill>
      </fill>
      <alignment horizontal="left" vertical="bottom" textRotation="0" wrapText="0" indent="0" justifyLastLine="0" shrinkToFit="0" readingOrder="0"/>
    </dxf>
    <dxf>
      <border>
        <bottom style="thin">
          <color rgb="FF000000"/>
        </bottom>
      </border>
    </dxf>
    <dxf>
      <font>
        <b/>
        <i val="0"/>
        <strike val="0"/>
        <condense val="0"/>
        <extend val="0"/>
        <outline val="0"/>
        <shadow val="0"/>
        <u val="none"/>
        <vertAlign val="baseline"/>
        <sz val="11"/>
        <color auto="1"/>
        <name val="Aptos Narrow"/>
        <family val="2"/>
        <scheme val="minor"/>
      </font>
      <fill>
        <patternFill patternType="solid">
          <fgColor indexed="64"/>
          <bgColor theme="4" tint="0.59999389629810485"/>
        </patternFill>
      </fill>
      <alignment horizontal="left" vertical="bottom" textRotation="0" wrapText="0" indent="0" justifyLastLine="0" shrinkToFit="0" readingOrder="0"/>
    </dxf>
    <dxf>
      <fill>
        <patternFill patternType="solid">
          <fgColor theme="4" tint="0.79998168889431442"/>
          <bgColor theme="4" tint="0.79998168889431442"/>
        </patternFill>
      </fill>
    </dxf>
    <dxf>
      <fill>
        <patternFill patternType="solid">
          <fgColor theme="4" tint="0.79998168889431442"/>
          <bgColor theme="4" tint="0.79998168889431442"/>
        </patternFill>
      </fill>
    </dxf>
    <dxf>
      <font>
        <b/>
        <color theme="4" tint="-0.249977111117893"/>
      </font>
    </dxf>
    <dxf>
      <font>
        <b/>
        <color theme="4" tint="-0.249977111117893"/>
      </font>
    </dxf>
    <dxf>
      <font>
        <b/>
        <color theme="4" tint="-0.249977111117893"/>
      </font>
      <border>
        <top style="thin">
          <color theme="4"/>
        </top>
      </border>
    </dxf>
    <dxf>
      <font>
        <b/>
        <color theme="4" tint="-0.249977111117893"/>
      </font>
      <border>
        <bottom style="thin">
          <color theme="4"/>
        </bottom>
      </border>
    </dxf>
    <dxf>
      <font>
        <color theme="1"/>
      </font>
      <border>
        <top style="thin">
          <color theme="4"/>
        </top>
        <bottom style="thin">
          <color theme="4"/>
        </bottom>
      </border>
    </dxf>
  </dxfs>
  <tableStyles count="1" defaultTableStyle="TableStyleMedium2" defaultPivotStyle="PivotStyleLight16">
    <tableStyle name="TableStyleLight RVB" pivot="0" count="7" xr9:uid="{8E1CCCDE-513F-4AD8-8F29-FDAA7F341BC8}">
      <tableStyleElement type="wholeTable" dxfId="619"/>
      <tableStyleElement type="headerRow" dxfId="618"/>
      <tableStyleElement type="totalRow" dxfId="617"/>
      <tableStyleElement type="firstColumn" dxfId="616"/>
      <tableStyleElement type="lastColumn" dxfId="615"/>
      <tableStyleElement type="firstRowStripe" dxfId="614"/>
      <tableStyleElement type="firstColumnStripe" dxfId="613"/>
    </tableStyle>
  </tableStyles>
  <colors>
    <mruColors>
      <color rgb="FF154273"/>
      <color rgb="FF000000"/>
      <color rgb="FF548235"/>
      <color rgb="FF7030A0"/>
      <color rgb="FFDCC5ED"/>
      <color rgb="FFFFD3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33"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onnections" Target="connections.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sheetMetadata" Target="metadata.xml"/><Relationship Id="rId30" Type="http://schemas.openxmlformats.org/officeDocument/2006/relationships/customXml" Target="../customXml/item1.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4267200</xdr:colOff>
      <xdr:row>0</xdr:row>
      <xdr:rowOff>0</xdr:rowOff>
    </xdr:from>
    <xdr:to>
      <xdr:col>7</xdr:col>
      <xdr:colOff>557800</xdr:colOff>
      <xdr:row>7</xdr:row>
      <xdr:rowOff>116840</xdr:rowOff>
    </xdr:to>
    <xdr:pic>
      <xdr:nvPicPr>
        <xdr:cNvPr id="2" name="RGD_Standaard">
          <a:extLst>
            <a:ext uri="{FF2B5EF4-FFF2-40B4-BE49-F238E27FC236}">
              <a16:creationId xmlns:a16="http://schemas.microsoft.com/office/drawing/2014/main" id="{FBB3143B-E26E-434D-A89F-001F390F54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8481060" y="0"/>
          <a:ext cx="2649490" cy="1623060"/>
        </a:xfrm>
        <a:prstGeom prst="rect">
          <a:avLst/>
        </a:prstGeom>
      </xdr:spPr>
    </xdr:pic>
    <xdr:clientData/>
  </xdr:twoCellAnchor>
  <xdr:twoCellAnchor editAs="oneCell">
    <xdr:from>
      <xdr:col>3</xdr:col>
      <xdr:colOff>3741420</xdr:colOff>
      <xdr:row>0</xdr:row>
      <xdr:rowOff>0</xdr:rowOff>
    </xdr:from>
    <xdr:to>
      <xdr:col>3</xdr:col>
      <xdr:colOff>4287494</xdr:colOff>
      <xdr:row>7</xdr:row>
      <xdr:rowOff>133985</xdr:rowOff>
    </xdr:to>
    <xdr:pic>
      <xdr:nvPicPr>
        <xdr:cNvPr id="3" name="Rijkslint">
          <a:extLst>
            <a:ext uri="{FF2B5EF4-FFF2-40B4-BE49-F238E27FC236}">
              <a16:creationId xmlns:a16="http://schemas.microsoft.com/office/drawing/2014/main" id="{4DAD3BDB-271A-4C37-A841-05652FAA3C65}"/>
            </a:ext>
          </a:extLst>
        </xdr:cNvPr>
        <xdr:cNvPicPr>
          <a:picLocks noChangeAspect="1"/>
        </xdr:cNvPicPr>
      </xdr:nvPicPr>
      <xdr:blipFill>
        <a:blip xmlns:r="http://schemas.openxmlformats.org/officeDocument/2006/relationships" r:embed="rId2"/>
        <a:stretch>
          <a:fillRect/>
        </a:stretch>
      </xdr:blipFill>
      <xdr:spPr bwMode="auto">
        <a:xfrm>
          <a:off x="7955280" y="0"/>
          <a:ext cx="546709" cy="16459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492454</xdr:colOff>
      <xdr:row>4</xdr:row>
      <xdr:rowOff>142479</xdr:rowOff>
    </xdr:from>
    <xdr:to>
      <xdr:col>10</xdr:col>
      <xdr:colOff>337937</xdr:colOff>
      <xdr:row>7</xdr:row>
      <xdr:rowOff>118186</xdr:rowOff>
    </xdr:to>
    <xdr:sp macro="" textlink="">
      <xdr:nvSpPr>
        <xdr:cNvPr id="2" name="Tekstvak 1">
          <a:extLst>
            <a:ext uri="{FF2B5EF4-FFF2-40B4-BE49-F238E27FC236}">
              <a16:creationId xmlns:a16="http://schemas.microsoft.com/office/drawing/2014/main" id="{E42E520D-4ABB-453A-844C-AF8D4F79F0DC}"/>
            </a:ext>
          </a:extLst>
        </xdr:cNvPr>
        <xdr:cNvSpPr txBox="1"/>
      </xdr:nvSpPr>
      <xdr:spPr>
        <a:xfrm rot="21193662">
          <a:off x="3432504" y="880349"/>
          <a:ext cx="3593253" cy="525617"/>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kern="1200"/>
            <a:t>Welke randvoorwaarden zijn er voor technisch voor onderzoek</a:t>
          </a:r>
        </a:p>
        <a:p>
          <a:r>
            <a:rPr lang="nl-NL" sz="1100" kern="1200"/>
            <a:t>Maatregel</a:t>
          </a:r>
          <a:r>
            <a:rPr lang="nl-NL" sz="1100" kern="1200" baseline="0"/>
            <a:t> omschrijvingen</a:t>
          </a:r>
        </a:p>
        <a:p>
          <a:endParaRPr lang="nl-NL" sz="1100" kern="1200"/>
        </a:p>
        <a:p>
          <a:endParaRPr lang="nl-NL" sz="1100" kern="1200" baseline="0"/>
        </a:p>
        <a:p>
          <a:endParaRPr lang="nl-NL" sz="1100" kern="1200"/>
        </a:p>
      </xdr:txBody>
    </xdr:sp>
    <xdr:clientData/>
  </xdr:twoCellAnchor>
  <xdr:twoCellAnchor>
    <xdr:from>
      <xdr:col>1</xdr:col>
      <xdr:colOff>829004</xdr:colOff>
      <xdr:row>29</xdr:row>
      <xdr:rowOff>10398</xdr:rowOff>
    </xdr:from>
    <xdr:to>
      <xdr:col>7</xdr:col>
      <xdr:colOff>174107</xdr:colOff>
      <xdr:row>31</xdr:row>
      <xdr:rowOff>166445</xdr:rowOff>
    </xdr:to>
    <xdr:sp macro="" textlink="">
      <xdr:nvSpPr>
        <xdr:cNvPr id="4" name="Tekstvak 3">
          <a:extLst>
            <a:ext uri="{FF2B5EF4-FFF2-40B4-BE49-F238E27FC236}">
              <a16:creationId xmlns:a16="http://schemas.microsoft.com/office/drawing/2014/main" id="{24D22DCE-F243-40D0-85D3-DF223BC27B23}"/>
            </a:ext>
          </a:extLst>
        </xdr:cNvPr>
        <xdr:cNvSpPr txBox="1"/>
      </xdr:nvSpPr>
      <xdr:spPr>
        <a:xfrm rot="21193662">
          <a:off x="1438604" y="5350748"/>
          <a:ext cx="3593253" cy="524347"/>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kern="1200"/>
            <a:t>Maatregel</a:t>
          </a:r>
          <a:r>
            <a:rPr lang="nl-NL" sz="1100" kern="1200" baseline="0"/>
            <a:t> omschrijvingen - Link Naar FUTP</a:t>
          </a:r>
        </a:p>
        <a:p>
          <a:endParaRPr lang="nl-NL" sz="1100" kern="1200" baseline="0"/>
        </a:p>
        <a:p>
          <a:endParaRPr lang="nl-NL" sz="1100" kern="1200"/>
        </a:p>
        <a:p>
          <a:endParaRPr lang="nl-NL" sz="1100" kern="1200" baseline="0"/>
        </a:p>
        <a:p>
          <a:endParaRPr lang="nl-NL" sz="1100" kern="12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H:\Downloads\45H07.004_EML%20formulier%20invent%20en%20inspec_W_B5.xlsx" TargetMode="External"/><Relationship Id="rId1" Type="http://schemas.openxmlformats.org/officeDocument/2006/relationships/externalLinkPath" Target="/Downloads/45H07.004_EML%20formulier%20invent%20en%20inspec_W_B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eoordeling"/>
      <sheetName val="Inventarisatie"/>
      <sheetName val="Inspectie"/>
      <sheetName val="SBL-2024"/>
      <sheetName val="Soort gebrek"/>
      <sheetName val="Prio"/>
      <sheetName val=" Herstelmaatregel"/>
      <sheetName val="Herstel tijden"/>
      <sheetName val="Eign.-Verantw."/>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persons/person.xml><?xml version="1.0" encoding="utf-8"?>
<personList xmlns="http://schemas.microsoft.com/office/spreadsheetml/2018/threadedcomments" xmlns:x="http://schemas.openxmlformats.org/spreadsheetml/2006/main">
  <person displayName="Faesen, Vincent" id="{424796EA-1615-479A-BB83-4627F0C1EBF2}" userId="S::vincent.faesen@rijksoverheid.nl::270c3672-340b-483b-8cce-f2aa21b0624a" providerId="AD"/>
</personList>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7" xr16:uid="{10176631-F815-4D0F-9B57-2A15E283EA1A}" autoFormatId="16" applyNumberFormats="0" applyBorderFormats="0" applyFontFormats="0" applyPatternFormats="0" applyAlignmentFormats="0" applyWidthHeightFormats="0">
  <queryTableRefresh nextId="40">
    <queryTableFields count="38">
      <queryTableField id="1" name="UVID" tableColumnId="1"/>
      <queryTableField id="2" name="Code Bouwdeeltype" tableColumnId="2"/>
      <queryTableField id="3" name="Bouwdeel omschrijving" tableColumnId="3"/>
      <queryTableField id="4" name="Volgnr." tableColumnId="4"/>
      <queryTableField id="5" name="Object" tableColumnId="5"/>
      <queryTableField id="6" name="Ruimte" tableColumnId="6"/>
      <queryTableField id="7" name="Locatie aanduiding" tableColumnId="7"/>
      <queryTableField id="8" name="Reden buiten gebruik" tableColumnId="8"/>
      <queryTableField id="9" name="Aantal" tableColumnId="9"/>
      <queryTableField id="10" name="Dimensie" tableColumnId="10"/>
      <queryTableField id="11" name="Vakgroep" tableColumnId="11"/>
      <queryTableField id="12" name="Kwaliteits-niveau" tableColumnId="12"/>
      <queryTableField id="13" name="Foto" tableColumnId="13"/>
      <queryTableField id="14" name="Datum van constructie of productie_x000a_[jjjj-mm-dd]" tableColumnId="14"/>
      <queryTableField id="15" name="Einde garantie_x000a__x000a_[jjjj-mm-dd]" tableColumnId="15"/>
      <queryTableField id="16" name="Technische levensduur _x000a__x000a_[jaren]" tableColumnId="16"/>
      <queryTableField id="17" name="Verwachte technische einddatum" tableColumnId="17"/>
      <queryTableField id="18" name="Vervangings-kosten_x000a_(excl. BTW)" tableColumnId="18"/>
      <queryTableField id="19" name="Installatie-nummer" tableColumnId="19"/>
      <queryTableField id="20" name="Serienummer" tableColumnId="20"/>
      <queryTableField id="21" name="Model/type" tableColumnId="21"/>
      <queryTableField id="22" name="Omvang" tableColumnId="22"/>
      <queryTableField id="23" name="Omvang eenheid" tableColumnId="23"/>
      <queryTableField id="24" name="In oorspron-kelijke toestand" tableColumnId="24"/>
      <queryTableField id="25" name="Materiaal toepassing" tableColumnId="25"/>
      <queryTableField id="26" name="Monumentale waarde" tableColumnId="26"/>
      <queryTableField id="27" name="Datum restauratie / revisie" tableColumnId="27"/>
      <queryTableField id="28" name="Duurzaamheid_x000a_bijdrage" tableColumnId="28"/>
      <queryTableField id="30" name="Fabrikant" tableColumnId="30"/>
      <queryTableField id="31" name="Servicebedrijf" tableColumnId="31"/>
      <queryTableField id="32" name="Leverancier" tableColumnId="32"/>
      <queryTableField id="33" name="Eigenaar" tableColumnId="33"/>
      <queryTableField id="34" name="Verantwoordelijk" tableColumnId="34"/>
      <queryTableField id="35" name="Brandv.-functie van toepassing?" tableColumnId="35"/>
      <queryTableField id="36" name="Waterveiligheid functie van toepassing" tableColumnId="36"/>
      <queryTableField id="37" name="Asbeststatus" tableColumnId="37"/>
      <queryTableField id="38" name="VWoH van toepassing?" tableColumnId="38"/>
      <queryTableField id="39" name="Dossier" tableColumnId="39"/>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connectionId="3" xr16:uid="{7DC9FF26-DECA-469A-83F7-CA84A3D996C0}" autoFormatId="16" applyNumberFormats="0" applyBorderFormats="0" applyFontFormats="0" applyPatternFormats="0" applyAlignmentFormats="0" applyWidthHeightFormats="0">
  <queryTableRefresh nextId="53">
    <queryTableFields count="32">
      <queryTableField id="1" name="UVID" tableColumnId="1"/>
      <queryTableField id="2" name="Code Bouwdeeltype" tableColumnId="2"/>
      <queryTableField id="3" name="Vak-groep" tableColumnId="3"/>
      <queryTableField id="4" name="Omschrijving bouwdeel" tableColumnId="4"/>
      <queryTableField id="5" name="Thema_x000a_BOEI" tableColumnId="5"/>
      <queryTableField id="6" name="Soort gebrek" tableColumnId="6"/>
      <queryTableField id="7" name="Ernst categorie" tableColumnId="7"/>
      <queryTableField id="8" name="Soort gebrek_x000a_(Voluit)" tableColumnId="8"/>
      <queryTableField id="9" name="Intensiteit" tableColumnId="9"/>
      <queryTableField id="10" name="Omvang" tableColumnId="10"/>
      <queryTableField id="11" name="Prioriteit" tableColumnId="11"/>
      <queryTableField id="12" name="Gebrek nr." tableColumnId="12"/>
      <queryTableField id="13" name="Gebrekcode" tableColumnId="13"/>
      <queryTableField id="14" name="Aantal fotos" tableColumnId="14"/>
      <queryTableField id="15" name="Filenaam Foto's" tableColumnId="15"/>
      <queryTableField id="16" name="Locatie" tableColumnId="16"/>
      <queryTableField id="37" name="Duurzaamheid bijdrage" tableColumnId="18"/>
      <queryTableField id="17" name="Oorzaak - Omschrijving" tableColumnId="17"/>
      <queryTableField id="31" name="EML code" tableColumnId="31"/>
      <queryTableField id="19" name="Gevolg (risico)" tableColumnId="19"/>
      <queryTableField id="20" name="Oplossing" tableColumnId="20"/>
      <queryTableField id="21" name="FUTP's" tableColumnId="21"/>
      <queryTableField id="22" name="Herstelmaatregel" tableColumnId="22"/>
      <queryTableField id="23" name="Kengetal" tableColumnId="23"/>
      <queryTableField id="24" name="Aantal" tableColumnId="24"/>
      <queryTableField id="25" name="Raming kosten_x000a_excl. BTW" tableColumnId="25"/>
      <queryTableField id="26" name="Trede" tableColumnId="26"/>
      <queryTableField id="27" name="Combi" tableColumnId="27"/>
      <queryTableField id="28" name="FH" tableColumnId="28"/>
      <queryTableField id="29" name="DH" tableColumnId="29"/>
      <queryTableField id="30" name="Bouwdatum" tableColumnId="30"/>
      <queryTableField id="34" name="Voldoen aan advies" tableColumnId="32"/>
    </queryTableFields>
  </queryTableRefresh>
</queryTable>
</file>

<file path=xl/tables/_rels/table3.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85D94B7-687A-40B8-8016-1C7C8E8B3417}" name="MTRG" displayName="MTRG" ref="B42:R221" totalsRowShown="0" headerRowDxfId="612" dataDxfId="610" headerRowBorderDxfId="611" tableBorderDxfId="609" dataCellStyle="Komma">
  <autoFilter ref="B42:R221" xr:uid="{D85D94B7-687A-40B8-8016-1C7C8E8B3417}"/>
  <tableColumns count="17">
    <tableColumn id="1" xr3:uid="{978275FF-8C12-4C0D-B08A-5538B9F41643}" name="Type" dataDxfId="608" dataCellStyle="Komma"/>
    <tableColumn id="16" xr3:uid="{C7AC4F26-8D67-42EC-8665-BD48A6ACF0DF}" name="Code" dataDxfId="607" dataCellStyle="Komma"/>
    <tableColumn id="2" xr3:uid="{06B3E0EA-5026-4505-BA8B-50D77899811B}" name="Categorie" dataDxfId="606" dataCellStyle="Komma"/>
    <tableColumn id="3" xr3:uid="{5910FFED-80A0-4933-8448-14FC7B7204F4}" name="Maatregel" dataDxfId="605" dataCellStyle="Komma"/>
    <tableColumn id="4" xr3:uid="{9316A8F9-9846-4545-9C58-FE3033FA28D6}" name="Status" dataDxfId="604" dataCellStyle="Komma">
      <calculatedColumnFormula>INDEX(#REF!,MATCH(SCHOUW!$D$14,#REF!,0),MATCH(MTRG[[#This Row],[Code]],#REF!,0))</calculatedColumnFormula>
    </tableColumn>
    <tableColumn id="5" xr3:uid="{9FBDCA7A-FD0C-4DD2-AD83-1767A7B9DDAA}" name="Aantal" dataDxfId="603" dataCellStyle="Komma">
      <calculatedColumnFormula>INDEX(#REF!,MATCH(SCHOUW!$D$14,#REF!,0),MATCH(MTRG[[#This Row],[Code]],#REF!,0))</calculatedColumnFormula>
    </tableColumn>
    <tableColumn id="18" xr3:uid="{C63CF3B0-6C65-4F68-B8EB-38E6EBD590D5}" name="Status schouw" dataDxfId="602" dataCellStyle="Komma"/>
    <tableColumn id="17" xr3:uid="{99F0F24C-B70A-45F4-B849-5717B626CD11}" name="Aantal " dataDxfId="601" dataCellStyle="Komma"/>
    <tableColumn id="20" xr3:uid="{209967C5-17BE-4D20-B019-7E56632F5961}" name="Toelichting" dataDxfId="600" dataCellStyle="Komma"/>
    <tableColumn id="15" xr3:uid="{46E42AA2-984B-41B2-AB0D-7CE31FC99C77}" name="Aantal (EURO's)" dataDxfId="599" dataCellStyle="Komma"/>
    <tableColumn id="14" xr3:uid="{11693E68-FE62-4865-8962-272BD9554A71}" name="Uitvoering vlgs. EML" dataDxfId="598" dataCellStyle="Komma"/>
    <tableColumn id="12" xr3:uid="{6FBA2C36-4F46-4C61-AE53-865987D734D0}" name="Voorstel RVB uitvoering" dataDxfId="597" dataCellStyle="Komma"/>
    <tableColumn id="7" xr3:uid="{A101CBD7-4936-46E4-857E-3F5D3F9110EE}" name="Door RVB invullen" dataDxfId="596" dataCellStyle="Komma"/>
    <tableColumn id="8" xr3:uid="{B6EE7CFA-5E9C-43E0-9DEF-6934976F0243}" name="B" dataDxfId="595" dataCellStyle="Komma"/>
    <tableColumn id="9" xr3:uid="{5A846983-50DA-425B-B4ED-89735DF852A7}" name="E" dataDxfId="594" dataCellStyle="Komma"/>
    <tableColumn id="10" xr3:uid="{A5F73DEA-5AE4-4457-93AF-CE99541F377F}" name="W" dataDxfId="593" dataCellStyle="Komma"/>
    <tableColumn id="11" xr3:uid="{95A87B62-7E76-4F84-91C4-474EF2BD0D3F}" name="T" dataDxfId="592" dataCellStyle="Komma"/>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3D457F8-0368-45EE-89BC-B56703B7271B}" name="TInventR" displayName="TInventR" ref="A4:AM118" totalsRowShown="0" headerRowDxfId="591" dataDxfId="589" headerRowBorderDxfId="590" tableBorderDxfId="588" totalsRowBorderDxfId="587">
  <autoFilter ref="A4:AM118" xr:uid="{00000000-0009-0000-0100-000001000000}"/>
  <sortState xmlns:xlrd2="http://schemas.microsoft.com/office/spreadsheetml/2017/richdata2" ref="A5:AM118">
    <sortCondition ref="B4:B118"/>
  </sortState>
  <tableColumns count="39">
    <tableColumn id="44" xr3:uid="{C0B4E88B-7C11-4BE2-83F6-1AC72DE16514}" name="UVID" dataDxfId="586">
      <calculatedColumnFormula array="1">_xludf.VSTACK(TInventA,TInventB[],TInventC)</calculatedColumnFormula>
    </tableColumn>
    <tableColumn id="4" xr3:uid="{5BC66D46-9AD2-4FF0-8923-3797294FB876}" name="Code Bouwdeeltype" dataDxfId="585"/>
    <tableColumn id="6" xr3:uid="{460997C4-1A39-4FCB-80FD-EC290FD79948}" name="Bouwdeel omschrijving" dataDxfId="584"/>
    <tableColumn id="5" xr3:uid="{9EF49950-3D10-401D-8F8D-2636C7C0C3D5}" name="Volgnr." dataDxfId="583"/>
    <tableColumn id="43" xr3:uid="{1FE0877E-B628-476F-A61E-8DED9ECE11C8}" name="Object" dataDxfId="582"/>
    <tableColumn id="21" xr3:uid="{918D9417-B7F2-4ABD-A8E2-65DE76EC833D}" name="Ruimte" dataDxfId="581"/>
    <tableColumn id="15" xr3:uid="{FF283822-174F-4DFC-979E-A1F41BEF9E27}" name="Locatie aanduiding" dataDxfId="580"/>
    <tableColumn id="23" xr3:uid="{074D1EDE-A997-48F3-AC15-C12A3BED1A85}" name="Reden buiten gebruik" dataDxfId="579"/>
    <tableColumn id="8" xr3:uid="{A13C507B-C4E5-4690-A408-01463AA0DEE9}" name="Aantal" dataDxfId="578"/>
    <tableColumn id="9" xr3:uid="{CCB2C270-4F7C-484D-9363-7D7208385195}" name="Dimensie" dataDxfId="577"/>
    <tableColumn id="7" xr3:uid="{207A9727-53DF-4E8D-8476-332253B725CA}" name="Vakgroep" dataDxfId="576"/>
    <tableColumn id="24" xr3:uid="{30949F74-7F43-406F-963A-372D75F512A8}" name="Kwaliteits-niveau" dataDxfId="575"/>
    <tableColumn id="25" xr3:uid="{E88B6BC0-170F-4050-ABD8-4E5CC0971CA9}" name="Foto" dataDxfId="574"/>
    <tableColumn id="12" xr3:uid="{35DFF0A0-600E-434F-B24F-2E870F168A34}" name="Datum van constructie of productie_x000a_[jjjj-mm-dd]" dataDxfId="573"/>
    <tableColumn id="20" xr3:uid="{FB9D0B84-3D63-4EC2-A50C-F5BF5FF67E31}" name="Einde garantie_x000a__x000a_[jjjj-mm-dd]" dataDxfId="572"/>
    <tableColumn id="27" xr3:uid="{C1137CAD-4B84-4A96-8F74-5A28F1E62AB7}" name="Technische levensduur _x000a__x000a_[jaren]" dataDxfId="571"/>
    <tableColumn id="26" xr3:uid="{4730CB2F-5028-4748-B53E-3E874DC6AA0C}" name="Verwachte technische einddatum" dataDxfId="570"/>
    <tableColumn id="19" xr3:uid="{D038D8F7-0683-4E1A-8885-5402E817F3C7}" name="Vervangings-kosten_x000a_(excl. BTW)" dataDxfId="569"/>
    <tableColumn id="29" xr3:uid="{AE3B407A-1FD4-48A6-B084-D9E6906CDA8C}" name="Installatie-nummer" dataDxfId="568"/>
    <tableColumn id="28" xr3:uid="{9CC4EBB4-2218-40ED-8387-FBA8B29E6261}" name="Serienummer" dataDxfId="567"/>
    <tableColumn id="14" xr3:uid="{A56D6228-65A5-4CE5-A320-E096412E699E}" name="Model/type" dataDxfId="566"/>
    <tableColumn id="10" xr3:uid="{DFE6D4C7-ED1F-45DC-A8B7-84A66BA2E184}" name="Omvang" dataDxfId="565"/>
    <tableColumn id="11" xr3:uid="{3B677750-3D7B-4C57-8208-3627E945242B}" name="Omvang eenheid" dataDxfId="564"/>
    <tableColumn id="31" xr3:uid="{E544ACA1-DC36-4153-8424-4846D51764FA}" name="In oorspron-kelijke toestand" dataDxfId="563"/>
    <tableColumn id="32" xr3:uid="{98BD9DE3-1A3B-4E78-98E3-F2DC808C2EC0}" name="Materiaal toepassing" dataDxfId="562"/>
    <tableColumn id="33" xr3:uid="{7431B22D-D76F-40CC-BF66-D7DA4D8F5A69}" name="Monumentale waarde" dataDxfId="561"/>
    <tableColumn id="34" xr3:uid="{D12FA06B-4F8A-4C68-811D-F6948D809687}" name="Datum restauratie / revisie" dataDxfId="560"/>
    <tableColumn id="1" xr3:uid="{CA964198-9331-4895-B78B-3D83CD575DAD}" name="Duurzaamheid_x000a_bijdrage" dataDxfId="559"/>
    <tableColumn id="2" xr3:uid="{5E84F094-F8C0-4096-8F23-DE0011EA2586}" name="Voldoen aan advies" dataDxfId="558"/>
    <tableColumn id="13" xr3:uid="{4D1516B3-2571-4A6E-8CB2-2DBE2D6860BB}" name="Fabrikant" dataDxfId="557"/>
    <tableColumn id="35" xr3:uid="{C6994987-09AB-4226-AC3B-5DE5D6F54E4E}" name="Servicebedrijf" dataDxfId="556"/>
    <tableColumn id="36" xr3:uid="{77F47F77-3872-4ECF-9899-2185B5DFB428}" name="Leverancier" dataDxfId="555"/>
    <tableColumn id="17" xr3:uid="{78253730-1CB6-4222-A18E-91A36418817D}" name="Eigenaar" dataDxfId="554"/>
    <tableColumn id="18" xr3:uid="{6B412601-E407-4FE2-AF18-3997622A5FA5}" name="Verantwoordelijk" dataDxfId="553"/>
    <tableColumn id="37" xr3:uid="{8F4615E7-75C1-4DEE-885C-599B8BEB4EA8}" name="Brandv.-functie van toepassing?" dataDxfId="552"/>
    <tableColumn id="38" xr3:uid="{6B056760-06DF-436B-A91D-9B9E6C333D0B}" name="Waterveiligheid functie van toepassing" dataDxfId="551"/>
    <tableColumn id="39" xr3:uid="{1C89F710-E804-4428-88D2-CBBC9805076E}" name="Asbeststatus" dataDxfId="550"/>
    <tableColumn id="40" xr3:uid="{2841A186-590D-43AC-BC89-A7EF2F081E6C}" name="VWoH van toepassing?" dataDxfId="549"/>
    <tableColumn id="16" xr3:uid="{46B78FE1-BFE9-479C-B405-55BF48EFAEE2}" name="Dossier" dataDxfId="548"/>
  </tableColumns>
  <tableStyleInfo name="TableStyleLight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AFFF814C-DFD3-420D-84B0-86AFF594C53E}" name="TInventTotaal" displayName="TInventTotaal" ref="B4:AM23" tableType="queryTable" totalsRowShown="0" headerRowDxfId="547" dataDxfId="546">
  <autoFilter ref="B4:AM23" xr:uid="{AFFF814C-DFD3-420D-84B0-86AFF594C53E}">
    <filterColumn colId="2">
      <customFilters>
        <customFilter operator="notEqual" val=" "/>
      </customFilters>
    </filterColumn>
  </autoFilter>
  <tableColumns count="38">
    <tableColumn id="1" xr3:uid="{82931339-21E1-404C-A0B4-A85DF0DDA436}" uniqueName="1" name="UVID" queryTableFieldId="1" dataDxfId="545"/>
    <tableColumn id="2" xr3:uid="{33968C17-E314-4CA1-9270-974A1C6FAB51}" uniqueName="2" name="Code Bouwdeeltype" queryTableFieldId="2" dataDxfId="544"/>
    <tableColumn id="3" xr3:uid="{2AB49922-8893-47AA-B328-061E445144E8}" uniqueName="3" name="Bouwdeel omschrijving" queryTableFieldId="3" dataDxfId="543"/>
    <tableColumn id="4" xr3:uid="{FEDD939A-C3B8-4CAF-BF77-9A871E5ED311}" uniqueName="4" name="Volgnr." queryTableFieldId="4" dataDxfId="542"/>
    <tableColumn id="5" xr3:uid="{A067A8A3-7F93-492B-B28D-BD1F00D100D6}" uniqueName="5" name="Object" queryTableFieldId="5" dataDxfId="541"/>
    <tableColumn id="6" xr3:uid="{A7EB6EC5-59FD-4CD5-B92B-0AD502BF6E41}" uniqueName="6" name="Ruimte" queryTableFieldId="6" dataDxfId="540"/>
    <tableColumn id="7" xr3:uid="{9E4DAA03-6CBE-474C-8E4B-217A69CC1A5B}" uniqueName="7" name="Locatie aanduiding" queryTableFieldId="7" dataDxfId="539"/>
    <tableColumn id="8" xr3:uid="{700C3AFB-79A1-4C7D-9C6B-1A19B0B83EB9}" uniqueName="8" name="Reden buiten gebruik" queryTableFieldId="8" dataDxfId="538"/>
    <tableColumn id="9" xr3:uid="{F57DECA3-92C5-415C-A973-89B8B1350A09}" uniqueName="9" name="Aantal" queryTableFieldId="9" dataDxfId="537"/>
    <tableColumn id="10" xr3:uid="{CD9C44F6-800F-4F0F-9D6A-571212F023A3}" uniqueName="10" name="Dimensie" queryTableFieldId="10" dataDxfId="536"/>
    <tableColumn id="11" xr3:uid="{7F1A8AA1-3070-40DC-9CF9-4E8D5DAF0755}" uniqueName="11" name="Vakgroep" queryTableFieldId="11" dataDxfId="535"/>
    <tableColumn id="12" xr3:uid="{0B5D0F00-E409-4204-9900-8C08B077EB76}" uniqueName="12" name="Kwaliteits-niveau" queryTableFieldId="12" dataDxfId="534"/>
    <tableColumn id="13" xr3:uid="{37D807B7-71FE-4078-95BF-A1EC15E26974}" uniqueName="13" name="Foto" queryTableFieldId="13" dataDxfId="533"/>
    <tableColumn id="14" xr3:uid="{D5839B96-3481-49C3-9D5B-5952B24C4366}" uniqueName="14" name="Datum van constructie of productie_x000a_[jjjj-mm-dd]" queryTableFieldId="14" dataDxfId="532"/>
    <tableColumn id="15" xr3:uid="{F9DF4B08-836F-47BA-9F3E-B5C4C7540106}" uniqueName="15" name="Einde garantie_x000a__x000a_[jjjj-mm-dd]" queryTableFieldId="15" dataDxfId="531"/>
    <tableColumn id="16" xr3:uid="{347A422A-015D-46BA-BBBA-7EBCBA06A660}" uniqueName="16" name="Technische levensduur _x000a__x000a_[jaren]" queryTableFieldId="16" dataDxfId="530"/>
    <tableColumn id="17" xr3:uid="{EF57C915-6C71-4D6C-89D8-2C8EE77126BE}" uniqueName="17" name="Verwachte technische einddatum" queryTableFieldId="17" dataDxfId="529"/>
    <tableColumn id="18" xr3:uid="{897A54B7-4519-4725-8E4A-C74A10CCCB2C}" uniqueName="18" name="Vervangings-kosten_x000a_(excl. BTW)" queryTableFieldId="18" dataDxfId="528"/>
    <tableColumn id="19" xr3:uid="{D5843C9A-7D37-4108-8CF6-ED6380A00BBB}" uniqueName="19" name="Installatie-nummer" queryTableFieldId="19" dataDxfId="527"/>
    <tableColumn id="20" xr3:uid="{5F9510DB-5671-4924-93F7-DE233388CEBC}" uniqueName="20" name="Serienummer" queryTableFieldId="20" dataDxfId="526"/>
    <tableColumn id="21" xr3:uid="{CA04D3D9-7B4B-40C0-B8CA-61ABF5E833E1}" uniqueName="21" name="Model/type" queryTableFieldId="21" dataDxfId="525"/>
    <tableColumn id="22" xr3:uid="{45D85D22-7AF9-4B6A-B262-C0B4B045D676}" uniqueName="22" name="Omvang" queryTableFieldId="22" dataDxfId="524"/>
    <tableColumn id="23" xr3:uid="{F723C1B2-1AA4-4593-A6CD-643966B29D0F}" uniqueName="23" name="Omvang eenheid" queryTableFieldId="23" dataDxfId="523"/>
    <tableColumn id="24" xr3:uid="{32ED5E2E-3AA9-4346-B744-672D19E96904}" uniqueName="24" name="In oorspron-kelijke toestand" queryTableFieldId="24" dataDxfId="522"/>
    <tableColumn id="25" xr3:uid="{C4FA9382-B9D0-421F-B539-C53E76A1777F}" uniqueName="25" name="Materiaal toepassing" queryTableFieldId="25" dataDxfId="521"/>
    <tableColumn id="26" xr3:uid="{DD960A73-E95D-405C-BB6F-7894EDB9791F}" uniqueName="26" name="Monumentale waarde" queryTableFieldId="26" dataDxfId="520"/>
    <tableColumn id="27" xr3:uid="{C292942A-7A82-4F83-AADE-5A0855ABE239}" uniqueName="27" name="Datum restauratie / revisie" queryTableFieldId="27" dataDxfId="519"/>
    <tableColumn id="28" xr3:uid="{401FDE42-F241-4574-89A3-6D2E4E0BA0CB}" uniqueName="28" name="Duurzaamheid_x000a_bijdrage" queryTableFieldId="28" dataDxfId="518"/>
    <tableColumn id="30" xr3:uid="{D04B8342-4744-4323-BC80-596EA99BE409}" uniqueName="30" name="Fabrikant" queryTableFieldId="30" dataDxfId="517"/>
    <tableColumn id="31" xr3:uid="{AFC77CBC-A8A9-4C34-8A25-205841E2651B}" uniqueName="31" name="Servicebedrijf" queryTableFieldId="31" dataDxfId="516"/>
    <tableColumn id="32" xr3:uid="{FE665A3D-F9E3-47AA-A3AE-0FAB1004E25C}" uniqueName="32" name="Leverancier" queryTableFieldId="32" dataDxfId="515"/>
    <tableColumn id="33" xr3:uid="{2096CBED-24D7-45FE-B21B-3D304195AB06}" uniqueName="33" name="Eigenaar" queryTableFieldId="33" dataDxfId="514"/>
    <tableColumn id="34" xr3:uid="{A4A33D2C-785D-40A1-81F9-8297399AA123}" uniqueName="34" name="Verantwoordelijk" queryTableFieldId="34" dataDxfId="513"/>
    <tableColumn id="35" xr3:uid="{76727C00-E958-49EF-BD79-E33CB23200E4}" uniqueName="35" name="Brandv.-functie van toepassing?" queryTableFieldId="35" dataDxfId="512"/>
    <tableColumn id="36" xr3:uid="{A0B2B755-56BF-4E1A-88C7-5C473D1D782B}" uniqueName="36" name="Waterveiligheid functie van toepassing" queryTableFieldId="36" dataDxfId="511"/>
    <tableColumn id="37" xr3:uid="{41FC2293-8D56-4F69-B98F-4FDB1257DECE}" uniqueName="37" name="Asbeststatus" queryTableFieldId="37" dataDxfId="510"/>
    <tableColumn id="38" xr3:uid="{396639A8-B2BD-4484-8B85-E7FBE46E38D6}" uniqueName="38" name="VWoH van toepassing?" queryTableFieldId="38" dataDxfId="509"/>
    <tableColumn id="39" xr3:uid="{163B6BF6-E0A7-4204-A702-85F2A7FE9A3C}" uniqueName="39" name="Dossier" queryTableFieldId="39" dataDxfId="508"/>
  </tableColumns>
  <tableStyleInfo name="TableStyleLight RVB"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31FF6E57-81E4-4188-8668-E014B616FFC3}" name="TInspectieTotaal" displayName="TInspectieTotaal" ref="B4:AG65" tableType="queryTable" totalsRowShown="0" headerRowDxfId="507" dataDxfId="506">
  <autoFilter ref="B4:AG65" xr:uid="{31FF6E57-81E4-4188-8668-E014B616FFC3}"/>
  <tableColumns count="32">
    <tableColumn id="1" xr3:uid="{386961AE-53D5-496D-8D9A-ABF81CCE6D4E}" uniqueName="1" name="UVID" queryTableFieldId="1" dataDxfId="505"/>
    <tableColumn id="2" xr3:uid="{41CDFB91-F95F-4CB6-88C1-A5F7D391D639}" uniqueName="2" name="Code Bouwdeeltype" queryTableFieldId="2" dataDxfId="504"/>
    <tableColumn id="3" xr3:uid="{153199BC-654F-49C3-8146-87AD0DC80935}" uniqueName="3" name="Vak-groep" queryTableFieldId="3" dataDxfId="503"/>
    <tableColumn id="4" xr3:uid="{BD00BEF6-B394-48A0-A789-BCB85D079494}" uniqueName="4" name="Omschrijving bouwdeel" queryTableFieldId="4" dataDxfId="502"/>
    <tableColumn id="5" xr3:uid="{F98551F9-B117-4125-A476-FF80E5795FA7}" uniqueName="5" name="Thema_x000a_BOEI" queryTableFieldId="5" dataDxfId="501"/>
    <tableColumn id="6" xr3:uid="{4F98406E-6175-4B51-BE0A-7D0AEF777D81}" uniqueName="6" name="Soort gebrek" queryTableFieldId="6" dataDxfId="500"/>
    <tableColumn id="7" xr3:uid="{2B9D81A9-6D80-4DAB-A23C-AF4CF397EBB7}" uniqueName="7" name="Ernst categorie" queryTableFieldId="7" dataDxfId="499"/>
    <tableColumn id="8" xr3:uid="{214F03B5-96C8-4256-9441-AF06FDD214E7}" uniqueName="8" name="Soort gebrek_x000a_(Voluit)" queryTableFieldId="8" dataDxfId="498"/>
    <tableColumn id="9" xr3:uid="{4B201F06-B6AD-4076-A63C-150DA39B78F4}" uniqueName="9" name="Intensiteit" queryTableFieldId="9" dataDxfId="497"/>
    <tableColumn id="10" xr3:uid="{032466D6-83A4-4004-81DA-E044E6842622}" uniqueName="10" name="Omvang" queryTableFieldId="10" dataDxfId="496"/>
    <tableColumn id="11" xr3:uid="{199074CD-98D3-42EC-BD1B-90C6252EEAD6}" uniqueName="11" name="Prioriteit" queryTableFieldId="11" dataDxfId="495"/>
    <tableColumn id="12" xr3:uid="{321FCA17-E6DE-4553-9ECB-EBB322C3E10D}" uniqueName="12" name="Gebrek nr." queryTableFieldId="12" dataDxfId="494"/>
    <tableColumn id="13" xr3:uid="{E95903A4-6587-408E-83A8-08A902F1E8DB}" uniqueName="13" name="Gebrekcode" queryTableFieldId="13" dataDxfId="493"/>
    <tableColumn id="14" xr3:uid="{EF76FE78-A9A2-4C3D-B0D7-4CD12A375A47}" uniqueName="14" name="Aantal fotos" queryTableFieldId="14" dataDxfId="492"/>
    <tableColumn id="15" xr3:uid="{08CEEEAB-ECAB-4597-AE29-29309514803A}" uniqueName="15" name="Filenaam Foto's" queryTableFieldId="15" dataDxfId="491"/>
    <tableColumn id="16" xr3:uid="{BB660619-967E-4138-BEEF-513D7448B5BB}" uniqueName="16" name="Locatie" queryTableFieldId="16" dataDxfId="490"/>
    <tableColumn id="18" xr3:uid="{3AC1D7EA-3E61-4B4C-9592-E38643DCC33D}" uniqueName="18" name="Duurzaamheid bijdrage" queryTableFieldId="37" dataDxfId="489"/>
    <tableColumn id="17" xr3:uid="{3A557A22-AAB1-4FD9-8B44-AE7956CEE648}" uniqueName="17" name="Oorzaak - Omschrijving" queryTableFieldId="17" dataDxfId="488"/>
    <tableColumn id="31" xr3:uid="{E606F27F-48D2-47BF-BDC3-4AC75F79F92B}" uniqueName="31" name="EML code" queryTableFieldId="31" dataDxfId="487"/>
    <tableColumn id="19" xr3:uid="{9CA9A33B-67BC-4F57-8E9D-0155B50F2E55}" uniqueName="19" name="Gevolg (risico)" queryTableFieldId="19" dataDxfId="486"/>
    <tableColumn id="20" xr3:uid="{A3641B4E-1FA6-4B85-921D-9316952C8740}" uniqueName="20" name="Oplossing" queryTableFieldId="20" dataDxfId="485"/>
    <tableColumn id="21" xr3:uid="{6AFC85BB-69EA-410D-936F-4CB9CB4B5E9B}" uniqueName="21" name="FUTP's" queryTableFieldId="21" dataDxfId="484"/>
    <tableColumn id="22" xr3:uid="{CAE09ECA-E3AC-4323-8BB7-AB6C29496853}" uniqueName="22" name="Herstelmaatregel" queryTableFieldId="22" dataDxfId="483"/>
    <tableColumn id="23" xr3:uid="{5A790BD0-1353-4D42-9681-37E180138B2A}" uniqueName="23" name="Kengetal" queryTableFieldId="23" dataDxfId="482"/>
    <tableColumn id="24" xr3:uid="{D3F9B6BD-EADF-4672-A898-58D21293520B}" uniqueName="24" name="Aantal" queryTableFieldId="24" dataDxfId="481"/>
    <tableColumn id="25" xr3:uid="{93B744CA-9292-4C9F-9F15-517397063C3C}" uniqueName="25" name="Raming kosten_x000a_excl. BTW" queryTableFieldId="25" dataDxfId="480" dataCellStyle="Valuta"/>
    <tableColumn id="26" xr3:uid="{4CF97443-1C6C-4968-9208-915D2220AB2E}" uniqueName="26" name="Trede" queryTableFieldId="26" dataDxfId="479" dataCellStyle="Valuta"/>
    <tableColumn id="27" xr3:uid="{ACBFE2E6-60C0-4A26-970F-8B81622F398E}" uniqueName="27" name="Combi" queryTableFieldId="27" dataDxfId="478"/>
    <tableColumn id="28" xr3:uid="{E202CFE5-CF76-4715-BA65-708A7E72D717}" uniqueName="28" name="FH" queryTableFieldId="28" dataDxfId="477"/>
    <tableColumn id="29" xr3:uid="{7C463B2B-28A2-4D49-A96F-2D5981C6E3D1}" uniqueName="29" name="DH" queryTableFieldId="29" dataDxfId="476"/>
    <tableColumn id="30" xr3:uid="{757DF484-1FDC-4902-AD75-7DC9555DB4B3}" uniqueName="30" name="Bouwdatum" queryTableFieldId="30" dataDxfId="475"/>
    <tableColumn id="32" xr3:uid="{5D89F669-5EE4-4463-95B3-300FABF260CD}" uniqueName="32" name="Voldoen aan advies" queryTableFieldId="34" dataDxfId="474"/>
  </tableColumns>
  <tableStyleInfo name="TableStyleLight RVB"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C41565C-99B7-4C18-BE71-BA95E77EF9DD}" name="TInspectieR" displayName="TInspectieR" ref="A4:Y115" totalsRowShown="0" headerRowDxfId="473" dataDxfId="471" headerRowBorderDxfId="472" tableBorderDxfId="470">
  <autoFilter ref="A4:Y115" xr:uid="{00000000-0009-0000-0100-000002000000}"/>
  <sortState xmlns:xlrd2="http://schemas.microsoft.com/office/spreadsheetml/2017/richdata2" ref="A5:Y115">
    <sortCondition ref="A4:A115"/>
  </sortState>
  <tableColumns count="25">
    <tableColumn id="2" xr3:uid="{8ADA81F2-80B7-469F-85B8-811F477A24E8}" name="UVID" dataDxfId="469"/>
    <tableColumn id="3" xr3:uid="{48BF3300-FDA2-4A50-BE40-2C4DFC180DE6}" name="Code Bouwdeeltype" dataDxfId="468"/>
    <tableColumn id="4" xr3:uid="{DE7C14E0-63FE-4D88-90F5-A942E778C896}" name="Vak-groep" dataDxfId="467"/>
    <tableColumn id="5" xr3:uid="{787416A8-7B02-49FD-B857-2F3A8F841649}" name="Omschrijving bouwdeel" dataDxfId="466"/>
    <tableColumn id="7" xr3:uid="{4C4C3DD2-9C52-4BC9-A706-129BED7FEA17}" name="Thema_x000a_BOEI" dataDxfId="465"/>
    <tableColumn id="8" xr3:uid="{B27DF3B3-FFA2-41FB-8556-96601EDBF302}" name="Soort gebrek" dataDxfId="464"/>
    <tableColumn id="10" xr3:uid="{6CF70E1C-3A26-4234-ACAE-7E53BE3794B3}" name="Ernst categorie" dataDxfId="463"/>
    <tableColumn id="1" xr3:uid="{6C0C0B62-D323-4E79-9E09-B74C853E4681}" name="Soort gebrek_x000a_(Voluit)" dataDxfId="462"/>
    <tableColumn id="11" xr3:uid="{C4D6E8B4-BC34-4617-9722-DFCBA57A0890}" name="Intensiteit" dataDxfId="461"/>
    <tableColumn id="12" xr3:uid="{7E64AC92-FC27-4AE5-8FA3-985E6E9044FB}" name="Omvang" dataDxfId="460" dataCellStyle="Procent"/>
    <tableColumn id="13" xr3:uid="{48EA210F-3C99-4948-8AEF-C2077D21A885}" name="Prioriteit" dataDxfId="459"/>
    <tableColumn id="33" xr3:uid="{693DBED1-1839-4604-993B-165BC64FFC96}" name="Gebrek nr." dataDxfId="458"/>
    <tableColumn id="14" xr3:uid="{AD4DAC1F-6F43-4964-872B-10C8747BFDC8}" name="Gebrekcode" dataDxfId="457"/>
    <tableColumn id="9" xr3:uid="{26C1859A-4C49-4B29-B29A-CD4F2888A381}" name="Aantal fotos" dataDxfId="456"/>
    <tableColumn id="16" xr3:uid="{5C60EFBB-82B6-45EB-A144-6034FC636266}" name="Filenaam Foto's" dataDxfId="455"/>
    <tableColumn id="32" xr3:uid="{F1EFF522-0BB9-4892-BFA9-84E741B23B84}" name="Locatie" dataDxfId="454"/>
    <tableColumn id="17" xr3:uid="{C1E407C9-3D89-4E97-8146-EB4271C7A748}" name="Oorzaak - Omschrijving" dataDxfId="453"/>
    <tableColumn id="6" xr3:uid="{B33C26E8-6323-4FD1-9A8C-212827E05FE1}" name="EML Code" dataDxfId="452"/>
    <tableColumn id="18" xr3:uid="{7D607A6A-F2B8-4B40-9754-BD1589BA8450}" name="Gevolg (risico)" dataDxfId="451"/>
    <tableColumn id="19" xr3:uid="{DE78336A-77AD-4BE4-AEBC-3B23A246DA99}" name="Oplossing" dataDxfId="450"/>
    <tableColumn id="15" xr3:uid="{7062890F-5591-4A41-AAF5-48A8A7F7CCCE}" name="FUTP" dataDxfId="449"/>
    <tableColumn id="20" xr3:uid="{171F8950-8212-4537-8A15-2B76175C65E7}" name="Herstel maatregel" dataDxfId="448"/>
    <tableColumn id="21" xr3:uid="{7176F5CB-DA89-4390-AA88-6EDBDB2E8B62}" name="Kengetal" dataDxfId="447"/>
    <tableColumn id="22" xr3:uid="{EED2EE76-EB14-4F6B-BCDB-ACE223F2F88A}" name="Aantal" dataDxfId="446"/>
    <tableColumn id="23" xr3:uid="{8B91FAD1-D92F-45FB-BB85-7E860906678C}" name="Raming kosten_x000a_excl. BTW" dataDxfId="445"/>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620D19D-07AD-4137-BB5A-3C78236004AF}" name="TInventB" displayName="TInventB" ref="A7:AL59" totalsRowShown="0" headerRowDxfId="444" dataDxfId="442" headerRowBorderDxfId="443" tableBorderDxfId="441" totalsRowBorderDxfId="440">
  <autoFilter ref="A7:AL59" xr:uid="{0620D19D-07AD-4137-BB5A-3C78236004AF}"/>
  <tableColumns count="38">
    <tableColumn id="44" xr3:uid="{AA13B331-2C55-4051-AC4A-35AAFEF24E13}" name="UVID" dataDxfId="439">
      <calculatedColumnFormula>IF(ISBLANK(TInventB[[#This Row],[Bouwdeel omschrijving]]),"",CONCATENATE(TInventB[[#This Row],[Code Bouwdeeltype]],"-",TInventB[[#This Row],[Volgnr.]]))</calculatedColumnFormula>
    </tableColumn>
    <tableColumn id="4" xr3:uid="{73B8F811-3A48-4517-A241-B7349C183C22}" name="Code Bouwdeeltype" dataDxfId="438">
      <calculatedColumnFormula>IF(ISBLANK(TInventB[[#This Row],[Bouwdeel omschrijving]]),"",VLOOKUP(TInventB[[#This Row],[Bouwdeel omschrijving]],TsblB[],2,FALSE))</calculatedColumnFormula>
    </tableColumn>
    <tableColumn id="6" xr3:uid="{7F6D3F4C-3C16-4C18-B2F2-1536034162B8}" name="Bouwdeel omschrijving" dataDxfId="23"/>
    <tableColumn id="5" xr3:uid="{9E4D2833-70DC-4D52-9937-DC9389EA11BA}" name="Volgnr." dataDxfId="22"/>
    <tableColumn id="43" xr3:uid="{DBCB53DB-BB4A-47E8-88D2-46020C4EDE49}" name="Object" dataDxfId="437">
      <calculatedColumnFormula>IF(ISBLANK(TInventB[[#This Row],[Bouwdeel omschrijving]]),"",$B$4)</calculatedColumnFormula>
    </tableColumn>
    <tableColumn id="21" xr3:uid="{0AC88D3C-7ED4-4E12-AB3C-DA110FD195C9}" name="Ruimte" dataDxfId="21"/>
    <tableColumn id="15" xr3:uid="{B4A8B2FD-8909-411C-A007-5C4B04C736FC}" name="Locatie aanduiding" dataDxfId="20"/>
    <tableColumn id="23" xr3:uid="{EBC20805-E441-43CC-B184-958D5C1D63C6}" name="Reden buiten gebruik" dataDxfId="19"/>
    <tableColumn id="8" xr3:uid="{16EDDC0E-F40B-4CFB-A2B5-C04216430CAC}" name="Aantal" dataDxfId="18"/>
    <tableColumn id="9" xr3:uid="{D6FE1E73-152C-4583-953E-6D93E6020991}" name="Dimensie" dataDxfId="436">
      <calculatedColumnFormula>IF(ISBLANK(TInventB[[#This Row],[Bouwdeel omschrijving]]),"",VLOOKUP(TInventB[[#This Row],[Bouwdeel omschrijving]],TsblB[],4,FALSE))</calculatedColumnFormula>
    </tableColumn>
    <tableColumn id="7" xr3:uid="{7012717F-23AD-48D7-BCCA-CF9A2E24E809}" name="Vakgroep" dataDxfId="435">
      <calculatedColumnFormula>IF(ISBLANK(TInventB[[#This Row],[Bouwdeel omschrijving]]),"",VLOOKUP(TInventB[[#This Row],[Bouwdeel omschrijving]],TsblB[],3,FALSE))</calculatedColumnFormula>
    </tableColumn>
    <tableColumn id="24" xr3:uid="{76B96440-D557-4CB8-A75C-029360196558}" name="Kwaliteits-niveau" dataDxfId="434">
      <calculatedColumnFormula>IF(ISBLANK(C8),"",$L$4)</calculatedColumnFormula>
    </tableColumn>
    <tableColumn id="25" xr3:uid="{96C0772D-2C29-4F2C-A7F7-6F27AF0BADCE}" name="Foto" dataDxfId="17"/>
    <tableColumn id="12" xr3:uid="{F7DE2CD5-5D8D-4B3B-9D30-B58FA64906D7}" name="Datum van constructie of productie_x000a_[jjjj-mm-dd]" dataDxfId="16"/>
    <tableColumn id="20" xr3:uid="{0A8518E0-BDDF-401A-9CE4-43B1C2CC73B9}" name="Einde garantie_x000a__x000a_[jjjj-mm-dd]" dataDxfId="15"/>
    <tableColumn id="27" xr3:uid="{07DADB1A-9CA2-408D-8ADC-7A4795107D8E}" name="Technische levensduur _x000a__x000a_[jaren]" dataDxfId="14"/>
    <tableColumn id="26" xr3:uid="{2F083450-EF32-4FA3-89EB-09F38AA6D9A1}" name="Verwachte technische einddatum" dataDxfId="433">
      <calculatedColumnFormula>IF(ISBLANK(TInventB[[#This Row],[Technische levensduur 
'[jaren']]]),"",(TInventB[[#This Row],[Datum van constructie of productie
'[jjjj-mm-dd']]]+(TInventB[[#This Row],[Technische levensduur 
'[jaren']]]*365)))</calculatedColumnFormula>
    </tableColumn>
    <tableColumn id="19" xr3:uid="{F0769ABB-956F-44B1-B66F-F20E8970E29B}" name="Vervangings-kosten_x000a_(excl. BTW)" dataDxfId="13"/>
    <tableColumn id="29" xr3:uid="{C32800D1-0F15-4F83-82D5-49BDDCEB9E51}" name="Installatie-nummer" dataDxfId="12"/>
    <tableColumn id="28" xr3:uid="{76DBCF75-FAD0-4150-83F5-EC4BF436527B}" name="Serienummer" dataDxfId="11"/>
    <tableColumn id="14" xr3:uid="{E3FE1E37-1F95-486A-B06D-DED490CDC6E4}" name="Model/type" dataDxfId="10"/>
    <tableColumn id="10" xr3:uid="{4D4FE8B2-E168-40E1-A5AA-AB7E0A92BEDC}" name="Omvang" dataDxfId="432"/>
    <tableColumn id="11" xr3:uid="{5A5AD8FF-BD7E-49E5-8B7C-5748969E5E68}" name="Omvang eenheid" dataDxfId="431"/>
    <tableColumn id="31" xr3:uid="{1B5EC717-931C-4FB3-8BE1-3C98B46C9F1E}" name="In oorspron-kelijke toestand" dataDxfId="430"/>
    <tableColumn id="32" xr3:uid="{3F98AF81-3658-4C42-8257-9ACAE54EF496}" name="Materiaal toepassing" dataDxfId="429"/>
    <tableColumn id="33" xr3:uid="{8E610CA4-B298-4611-8CF6-CC2A9BC95921}" name="Monumentale waarde" dataDxfId="428"/>
    <tableColumn id="34" xr3:uid="{05B11D84-089D-4A0D-A3C6-B3B917CDB95C}" name="Datum restauratie / revisie" dataDxfId="427"/>
    <tableColumn id="1" xr3:uid="{FF759A4D-05A2-4914-9C86-8E3002B39544}" name="Duurzaamheid_x000a_bijdrage" dataDxfId="426"/>
    <tableColumn id="13" xr3:uid="{E72DAD25-18FE-431E-A9AF-9504C45A2D31}" name="Fabrikant" dataDxfId="9"/>
    <tableColumn id="35" xr3:uid="{4043E6E8-769C-436B-B997-7CC55BC2F4F7}" name="Servicebedrijf" dataDxfId="8"/>
    <tableColumn id="36" xr3:uid="{EDA5317E-4A4C-44FD-91FA-EBD5749DC76E}" name="Leverancier" dataDxfId="7"/>
    <tableColumn id="17" xr3:uid="{EAA82D47-BD2D-41E6-876C-85DA42DF7068}" name="Eigenaar" dataDxfId="6"/>
    <tableColumn id="18" xr3:uid="{C9321355-FFC4-443A-854B-7EF9DECB004E}" name="Verantwoordelijk" dataDxfId="5"/>
    <tableColumn id="37" xr3:uid="{1B95E04B-DFE5-4F85-A4FE-1EF17D8BDF59}" name="Brandv.-functie van toepassing?" dataDxfId="4"/>
    <tableColumn id="38" xr3:uid="{E3D96A33-DFFD-4190-B357-8663C9241B76}" name="Waterveiligheid functie van toepassing" dataDxfId="3"/>
    <tableColumn id="39" xr3:uid="{E4E03250-2F9C-489D-8544-0EC5CF865706}" name="Asbeststatus" dataDxfId="2"/>
    <tableColumn id="40" xr3:uid="{DC8F22CA-8961-4929-907E-96685CC639EC}" name="VWoH van toepassing?" dataDxfId="1"/>
    <tableColumn id="16" xr3:uid="{E64DA07C-B917-4A4F-8305-4030B058555C}" name="Dossier" dataDxfId="0"/>
  </tableColumns>
  <tableStyleInfo name="TableStyleLight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25FCE19-E26B-460B-8F74-B32942DB4AA1}" name="TInspectieB" displayName="TInspectieB" ref="A9:AE193" totalsRowShown="0" headerRowDxfId="425" dataDxfId="423" headerRowBorderDxfId="424" tableBorderDxfId="422">
  <autoFilter ref="A9:AE193" xr:uid="{525FCE19-E26B-460B-8F74-B32942DB4AA1}"/>
  <sortState xmlns:xlrd2="http://schemas.microsoft.com/office/spreadsheetml/2017/richdata2" ref="A10:AE193">
    <sortCondition ref="D9:D193"/>
  </sortState>
  <tableColumns count="31">
    <tableColumn id="2" xr3:uid="{BACC381C-0F47-4475-8078-4298B387DF40}" name="UVID" dataDxfId="421">
      <calculatedColumnFormula array="1">IFERROR(INDEX(TInventB[UVID],ROUNDDOWN((ROW(A1)+1)/2,0)),"")</calculatedColumnFormula>
    </tableColumn>
    <tableColumn id="3" xr3:uid="{4BBACF99-49A9-49F4-93DF-37D176D45071}" name="Code Bouwdeeltype" dataDxfId="420">
      <calculatedColumnFormula>IF(TInspectieB[[#This Row],[UVID]]="","",VLOOKUP(TInspectieB[[#This Row],[UVID]],TInventB[],2,FALSE))</calculatedColumnFormula>
    </tableColumn>
    <tableColumn id="4" xr3:uid="{D9737422-DD67-42AE-8AFD-96864C973B9A}" name="Vak-groep" dataDxfId="419">
      <calculatedColumnFormula>IF(TInspectieB[[#This Row],[UVID]]="","",VLOOKUP(TInspectieB[[#This Row],[UVID]],TInventB[],11,FALSE))</calculatedColumnFormula>
    </tableColumn>
    <tableColumn id="5" xr3:uid="{FD97CAF8-137E-40C6-87C7-B7F964834D1F}" name="Omschrijving bouwdeel" dataDxfId="418">
      <calculatedColumnFormula>IF(TInspectieB[[#This Row],[UVID]]="","",VLOOKUP(TInspectieB[[#This Row],[UVID]],TInventB[],3,FALSE))</calculatedColumnFormula>
    </tableColumn>
    <tableColumn id="7" xr3:uid="{6DE626A4-B167-41D8-A35E-C46FB4A00F44}" name="Thema_x000a_BOEI" dataDxfId="417">
      <calculatedColumnFormula>IF(TInspectieB[[#This Row],[Omschrijving bouwdeel]]="","",IF(MOD(ROW()-2,2)=0,"O",IF(TRIM(TInspectieB[[#This Row],[Code Bouwdeeltype]])="312010","O","E")))</calculatedColumnFormula>
    </tableColumn>
    <tableColumn id="8" xr3:uid="{725008F5-D936-40EE-8DD9-8C35F861DEE2}" name="Soort gebrek" dataDxfId="416"/>
    <tableColumn id="10" xr3:uid="{2A019B3B-4CB5-4E5F-96D5-4FADA9876CBA}" name="Ernst categorie" dataDxfId="415">
      <calculatedColumnFormula>IF(ISBLANK(TInspectieB[[#This Row],[Soort gebrek]]),"",VLOOKUP(TInspectieB[[#This Row],[Soort gebrek]],TSoortGebrek[#Data],3,FALSE))</calculatedColumnFormula>
    </tableColumn>
    <tableColumn id="1" xr3:uid="{BE357CBA-B84B-4F95-917C-86D4FC73779B}" name="Soort gebrek_x000a_(Voluit)" dataDxfId="414">
      <calculatedColumnFormula>IF(ISBLANK(TInspectieB[[#This Row],[Soort gebrek]]),"",VLOOKUP(TInspectieB[[#This Row],[Soort gebrek]],TSoortGebrek[#Data],2,FALSE))</calculatedColumnFormula>
    </tableColumn>
    <tableColumn id="11" xr3:uid="{5456D197-AA62-4807-A0C8-CDB08348A57E}" name="Intensiteit" dataDxfId="413">
      <calculatedColumnFormula>IF(TInspectieB[[#This Row],[Soort gebrek]]=0,"",VLOOKUP(TInspectieB[[#This Row],[Soort gebrek]],TSoortGebrek[],4,FALSE))</calculatedColumnFormula>
    </tableColumn>
    <tableColumn id="12" xr3:uid="{931902DA-6EA3-4708-8269-84F70E758031}" name="Omvang" dataDxfId="412" dataCellStyle="Procent"/>
    <tableColumn id="13" xr3:uid="{CF83EB42-0431-4A62-8633-BBC4179AD49F}" name="Prioriteit" dataDxfId="411">
      <calculatedColumnFormula>IF(TInspectieB[[#This Row],[Soort gebrek]]=0,"",VLOOKUP(TInspectieB[[#This Row],[Combi]],TPrio[#Data],2,FALSE))</calculatedColumnFormula>
    </tableColumn>
    <tableColumn id="33" xr3:uid="{BCAC500C-FC84-4EB0-958F-721812D5B97D}" name="Gebrek nr." dataDxfId="410"/>
    <tableColumn id="14" xr3:uid="{8D091E3D-33E0-40C3-BA03-629872BFA6CE}" name="Gebrekcode" dataDxfId="409">
      <calculatedColumnFormula>IF(ISBLANK(TInspectieB[[#This Row],[Gebrek nr.]]),"",TInspectieB[[#This Row],[UVID]]&amp;"-"&amp;TInspectieB[[#This Row],[Gebrek nr.]])</calculatedColumnFormula>
    </tableColumn>
    <tableColumn id="9" xr3:uid="{926CEB08-61A5-43D0-9AF9-37ECD028D178}" name="Aantal fotos" dataDxfId="408"/>
    <tableColumn id="16" xr3:uid="{6D1F1A0E-B9D9-43CB-8EBF-53B7114AB2B7}" name="Filenaam Foto's" dataDxfId="407"/>
    <tableColumn id="32" xr3:uid="{D6A7FF3A-14E5-47C9-ADA0-12CF0FF1D1BF}" name="Locatie" dataDxfId="406"/>
    <tableColumn id="26" xr3:uid="{C9E9D253-4162-47C9-8260-DD4E9629AA9F}" name="Duurzaamheid bijdrage" dataDxfId="405"/>
    <tableColumn id="17" xr3:uid="{1CC5AF2C-2B0E-4B06-AF0E-5B7B11840C54}" name="Oorzaak - Omschrijving" dataDxfId="404"/>
    <tableColumn id="6" xr3:uid="{06AE7084-47A1-4457-B383-98D7F24CCEBB}" name="EML code" dataDxfId="403"/>
    <tableColumn id="18" xr3:uid="{9600F7F6-EEC3-460D-A499-0E17A1FD7F33}" name="Gevolg (risico)" dataDxfId="402"/>
    <tableColumn id="19" xr3:uid="{6493406F-12F9-403C-9545-CC5E7515449F}" name="Oplossing" dataDxfId="401"/>
    <tableColumn id="24" xr3:uid="{2925A63B-CFE4-42F7-987B-4DC466A8AF18}" name="FUTP's" dataDxfId="400"/>
    <tableColumn id="20" xr3:uid="{B6A0844F-4001-4B63-A3CD-1F0B406E9CBB}" name="Herstelmaatregel" dataDxfId="399"/>
    <tableColumn id="21" xr3:uid="{BD46FE50-2A8A-4082-9379-52249EA2E438}" name="Kengetal" dataDxfId="398"/>
    <tableColumn id="22" xr3:uid="{0AEC18E6-5C9E-4B5F-9CDE-7B3DC502EFFE}" name="Aantal" dataDxfId="397"/>
    <tableColumn id="23" xr3:uid="{36366EED-66EF-4C76-9F7C-A7C6FB938C86}" name="Raming kosten_x000a_excl. BTW" dataDxfId="396">
      <calculatedColumnFormula>IF(ISBLANK(TInspectieB[[#This Row],[Aantal]]),"",ROUND(TInspectieB[[#This Row],[Kengetal]]*TInspectieB[[#This Row],[Aantal]],-1))</calculatedColumnFormula>
    </tableColumn>
    <tableColumn id="27" xr3:uid="{E9A6B7DC-02C0-4815-A286-6AB8DDC9ED5E}" name="Trede" dataDxfId="395" dataCellStyle="Procent">
      <calculatedColumnFormula>IF(TInspectieB[[#This Row],[Vak-groep]]="","1",VLOOKUP(C10,$J$2:$K$7,2,FALSE))</calculatedColumnFormula>
    </tableColumn>
    <tableColumn id="28" xr3:uid="{6A3C4F78-1FEE-4167-AF65-F4E82D99CE1E}" name="Combi" dataDxfId="394" dataCellStyle="Procent">
      <calculatedColumnFormula>CONCATENATE(TInspectieB[[#This Row],[Soort gebrek]],TInspectieB[[#This Row],[Trede]])</calculatedColumnFormula>
    </tableColumn>
    <tableColumn id="15" xr3:uid="{75185A84-043A-41C8-839C-D0456BFEE75F}" name="FH" dataDxfId="393"/>
    <tableColumn id="29" xr3:uid="{F9A1381A-CF3D-4817-9F39-95D1F3D17AEF}" name="DH" dataDxfId="392"/>
    <tableColumn id="31" xr3:uid="{0F75A25F-9F3C-4270-A690-327DC9D8A6AA}" name="Bouwdatum" dataDxfId="391"/>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6F7339F5-E105-4D6F-8716-A8E6ABBF26DA}" name="TInventE" displayName="TInventE" ref="A7:AL59" totalsRowShown="0" headerRowDxfId="390" dataDxfId="388" headerRowBorderDxfId="389" tableBorderDxfId="387" totalsRowBorderDxfId="386">
  <autoFilter ref="A7:AL59" xr:uid="{0620D19D-07AD-4137-BB5A-3C78236004AF}"/>
  <tableColumns count="38">
    <tableColumn id="44" xr3:uid="{B3BC524F-D76B-42E6-B856-CBA9E1E5429C}" name="UVID" dataDxfId="385">
      <calculatedColumnFormula>IF(ISBLANK(TInventE[[#This Row],[Bouwdeel omschrijving]]),"",CONCATENATE(TInventE[[#This Row],[Code Bouwdeeltype]],"-",TInventE[[#This Row],[Volgnr.]]))</calculatedColumnFormula>
    </tableColumn>
    <tableColumn id="4" xr3:uid="{40D6C3C4-052C-4C4D-A478-7FCB047AF543}" name="Code Bouwdeeltype" dataDxfId="384">
      <calculatedColumnFormula>IF(ISBLANK(TInventE[[#This Row],[Bouwdeel omschrijving]]),"",VLOOKUP(TInventE[[#This Row],[Bouwdeel omschrijving]],TsblE[],2,FALSE))</calculatedColumnFormula>
    </tableColumn>
    <tableColumn id="6" xr3:uid="{938C3BC3-97CD-41A2-BEDE-BDDB07326A2F}" name="Bouwdeel omschrijving" dataDxfId="383"/>
    <tableColumn id="5" xr3:uid="{8A0F2BA2-7CDB-489C-A532-C9CBB258AB6F}" name="Volgnr." dataDxfId="382"/>
    <tableColumn id="43" xr3:uid="{E0A049DE-8066-4316-9098-565CC3021662}" name="Object" dataDxfId="381">
      <calculatedColumnFormula>IF(ISBLANK(TInventE[[#This Row],[Bouwdeel omschrijving]]),"",$B$4)</calculatedColumnFormula>
    </tableColumn>
    <tableColumn id="21" xr3:uid="{B50E9447-CE9E-4CAD-A783-875EDA3A891D}" name="Ruimte" dataDxfId="380"/>
    <tableColumn id="15" xr3:uid="{35E3C2C2-62B6-4C91-8128-CF3E061C6499}" name="Locatie aanduiding" dataDxfId="379"/>
    <tableColumn id="23" xr3:uid="{AA5C3D10-753E-42F5-ADED-D2B9701C58B6}" name="Reden buiten gebruik" dataDxfId="378"/>
    <tableColumn id="8" xr3:uid="{8E9425C5-C721-415B-B02F-D3D05C028CD6}" name="Aantal" dataDxfId="377"/>
    <tableColumn id="9" xr3:uid="{AB51D912-A9D4-4D19-82D1-072CACDB4357}" name="Dimensie" dataDxfId="376">
      <calculatedColumnFormula>IF(ISBLANK(TInventE[[#This Row],[Bouwdeel omschrijving]]),"",VLOOKUP(TInventE[[#This Row],[Bouwdeel omschrijving]],TsblE[],4,FALSE))</calculatedColumnFormula>
    </tableColumn>
    <tableColumn id="7" xr3:uid="{CE225B69-7F55-434A-8D17-7A331E22DEB7}" name="Vakgroep" dataDxfId="375">
      <calculatedColumnFormula>IF(ISBLANK(TInventE[[#This Row],[Bouwdeel omschrijving]]),"",VLOOKUP(TInventE[[#This Row],[Bouwdeel omschrijving]],TsblE[],3,FALSE))</calculatedColumnFormula>
    </tableColumn>
    <tableColumn id="24" xr3:uid="{B16AB3D4-5860-40BF-A86A-49900CDC12B6}" name="Kwaliteits-niveau" dataDxfId="374">
      <calculatedColumnFormula>IF(ISBLANK(C8),"",$L$4)</calculatedColumnFormula>
    </tableColumn>
    <tableColumn id="25" xr3:uid="{9A1B94F6-9FE8-41C8-99E0-01750A4031A7}" name="Foto" dataDxfId="373"/>
    <tableColumn id="12" xr3:uid="{93C9EC35-0D34-484B-9A8D-3619EF195F19}" name="Datum van constructie of productie_x000a_[jjjj-mm-dd]" dataDxfId="372"/>
    <tableColumn id="20" xr3:uid="{EB407A95-C6AF-4318-84CA-88F6BA5A7DF3}" name="Einde garantie_x000a__x000a_[jjjj-mm-dd]" dataDxfId="371"/>
    <tableColumn id="27" xr3:uid="{5C105145-54EA-470F-8C2D-CA4111EFFAF8}" name="Technische levensduur _x000a__x000a_[jaren]" dataDxfId="370"/>
    <tableColumn id="26" xr3:uid="{775DED3A-F0DD-459C-8AE5-C0AE75BCECB1}" name="Verwachte technische einddatum" dataDxfId="369">
      <calculatedColumnFormula>IF(ISBLANK(TInventE[[#This Row],[Technische levensduur 
'[jaren']]]),"",(TInventE[[#This Row],[Datum van constructie of productie
'[jjjj-mm-dd']]]+(TInventE[[#This Row],[Technische levensduur 
'[jaren']]]*365)))</calculatedColumnFormula>
    </tableColumn>
    <tableColumn id="19" xr3:uid="{B659D7B9-7494-4811-8ADD-5719695CB72E}" name="Vervangings-kosten_x000a_(excl. BTW)" dataDxfId="368"/>
    <tableColumn id="29" xr3:uid="{E9043ABE-1F75-4691-A25E-3C3EF06C9F4E}" name="Installatie-nummer" dataDxfId="367"/>
    <tableColumn id="28" xr3:uid="{8165C920-0905-4163-9353-A4C3233A6ED3}" name="Serienummer" dataDxfId="366"/>
    <tableColumn id="14" xr3:uid="{29797039-B8FD-4AAD-B0C9-0BE1B597F86A}" name="Model/type" dataDxfId="365"/>
    <tableColumn id="10" xr3:uid="{E1A26125-0C85-4D4F-A69E-B78D65872C3A}" name="Omvang" dataDxfId="364"/>
    <tableColumn id="11" xr3:uid="{4BCC63D0-A763-4B4C-BE4A-79F68AC44552}" name="Omvang eenheid" dataDxfId="363"/>
    <tableColumn id="31" xr3:uid="{308851D7-224C-4502-94EF-8B432A7D5394}" name="In oorspron-kelijke toestand" dataDxfId="362"/>
    <tableColumn id="32" xr3:uid="{3F5A933E-7272-45D4-9FE2-A9FEF38305CB}" name="Materiaal toepassing" dataDxfId="361"/>
    <tableColumn id="33" xr3:uid="{DE0CEF25-EA78-439B-9EE2-9C4B80529C24}" name="Monumentale waarde" dataDxfId="360"/>
    <tableColumn id="34" xr3:uid="{92278F69-5B27-4F9A-B027-9F4DAA3B4404}" name="Datum restauratie / revisie" dataDxfId="359"/>
    <tableColumn id="1" xr3:uid="{562860B7-3455-49A6-AB8B-9E3019D828E5}" name="Duurzaamheid_x000a_bijdrage" dataDxfId="358"/>
    <tableColumn id="13" xr3:uid="{53C4E71F-AACA-4097-A04A-A742CB536191}" name="Fabrikant" dataDxfId="357"/>
    <tableColumn id="35" xr3:uid="{4D34AD24-6F39-41C7-8DC7-9CB42FD6A087}" name="Servicebedrijf" dataDxfId="356"/>
    <tableColumn id="36" xr3:uid="{4C154381-514D-49DE-A6AB-6FAEA87A82EF}" name="Leverancier" dataDxfId="355"/>
    <tableColumn id="17" xr3:uid="{A717520C-E965-4E11-9D88-C547A995CEF8}" name="Eigenaar" dataDxfId="354"/>
    <tableColumn id="18" xr3:uid="{4DCBFF00-5595-45AA-B0F8-C81E816EB6AF}" name="Verantwoordelijk" dataDxfId="353"/>
    <tableColumn id="37" xr3:uid="{5AA88163-E9A3-4DA3-A691-6E3F27DE799F}" name="Brandv.-functie van toepassing?" dataDxfId="352"/>
    <tableColumn id="38" xr3:uid="{4871CE89-F323-443A-BC76-DC18E9FE29AE}" name="Waterveiligheid functie van toepassing" dataDxfId="351"/>
    <tableColumn id="39" xr3:uid="{18731BB9-C407-4109-9B7C-B7A409170CA4}" name="Asbeststatus" dataDxfId="350"/>
    <tableColumn id="40" xr3:uid="{AC118D48-FD2C-4550-ACD4-A0419E60952C}" name="VWoH van toepassing?" dataDxfId="349"/>
    <tableColumn id="16" xr3:uid="{F8E2D975-C4A1-4783-B6E4-5D351EDCA0A5}" name="Dossier" dataDxfId="348"/>
  </tableColumns>
  <tableStyleInfo name="TableStyleLight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8816F08B-593F-4268-83C3-9451CD49F199}" name="TInspectieE" displayName="TInspectieE" ref="A9:AF195" totalsRowShown="0" headerRowDxfId="347" dataDxfId="345" headerRowBorderDxfId="346" tableBorderDxfId="344">
  <autoFilter ref="A9:AF195" xr:uid="{525FCE19-E26B-460B-8F74-B32942DB4AA1}"/>
  <sortState xmlns:xlrd2="http://schemas.microsoft.com/office/spreadsheetml/2017/richdata2" ref="A10:AF195">
    <sortCondition ref="D9:D195"/>
  </sortState>
  <tableColumns count="32">
    <tableColumn id="2" xr3:uid="{F169585F-BA6C-4B01-8793-29ED4F391298}" name="UVID" dataDxfId="343">
      <calculatedColumnFormula array="1">IFERROR(INDEX(TInventE[UVID],ROUNDDOWN((ROW(A1)+1)/2,0)),"")</calculatedColumnFormula>
    </tableColumn>
    <tableColumn id="3" xr3:uid="{441E720C-2254-45A8-A392-8C51EDA83A2D}" name="Code Bouwdeeltype" dataDxfId="342">
      <calculatedColumnFormula>IF(TInspectieE[[#This Row],[UVID]]="","",VLOOKUP(TInspectieE[[#This Row],[UVID]],TInventE[],2,FALSE))</calculatedColumnFormula>
    </tableColumn>
    <tableColumn id="4" xr3:uid="{947EBBF1-4BEB-47F4-AD4F-12A5AC5AA474}" name="Vak-groep" dataDxfId="341">
      <calculatedColumnFormula>IF(TInspectieE[[#This Row],[UVID]]="","",VLOOKUP(TInspectieE[[#This Row],[UVID]],TInventE[],11,FALSE))</calculatedColumnFormula>
    </tableColumn>
    <tableColumn id="5" xr3:uid="{7913D3E9-A4E0-41AA-8752-E9138FBF0B23}" name="Omschrijving bouwdeel" dataDxfId="340">
      <calculatedColumnFormula>IF(TInspectieE[[#This Row],[UVID]]="","",VLOOKUP(TInspectieE[[#This Row],[UVID]],TInventE[],3,FALSE))</calculatedColumnFormula>
    </tableColumn>
    <tableColumn id="7" xr3:uid="{5EB724D8-9C15-4D36-8533-008C570EBA5E}" name="Thema_x000a_BOEI" dataDxfId="339">
      <calculatedColumnFormula>IF(TInspectieE[[#This Row],[Omschrijving bouwdeel]]="","",IF(ISEVEN(ROW()),"O","E"))</calculatedColumnFormula>
    </tableColumn>
    <tableColumn id="8" xr3:uid="{2E5AC2D3-1FF3-4988-83ED-211CB4748A80}" name="Soort gebrek" dataDxfId="338"/>
    <tableColumn id="10" xr3:uid="{A34871D2-2405-4ADA-A574-5CB5853C92D9}" name="Ernst categorie" dataDxfId="337">
      <calculatedColumnFormula>IF(ISBLANK(TInspectieE[[#This Row],[Soort gebrek]]),"",VLOOKUP(TInspectieE[[#This Row],[Soort gebrek]],TSoortGebrek[#Data],3,FALSE))</calculatedColumnFormula>
    </tableColumn>
    <tableColumn id="1" xr3:uid="{58824FEB-EC65-4734-AE16-F39B256E8327}" name="Soort gebrek_x000a_(Voluit)" dataDxfId="336">
      <calculatedColumnFormula>IF(ISBLANK(TInspectieE[[#This Row],[Soort gebrek]]),"",VLOOKUP(TInspectieE[[#This Row],[Soort gebrek]],TSoortGebrek[#Data],2,FALSE))</calculatedColumnFormula>
    </tableColumn>
    <tableColumn id="11" xr3:uid="{05593DEB-42D9-4121-B947-6D10B3410694}" name="Intensiteit" dataDxfId="335">
      <calculatedColumnFormula>IF(TInspectieE[[#This Row],[Soort gebrek]]=0,"",VLOOKUP(TInspectieE[[#This Row],[Soort gebrek]],TSoortGebrek[],4,FALSE))</calculatedColumnFormula>
    </tableColumn>
    <tableColumn id="12" xr3:uid="{C3A00244-DEFC-4137-8FD6-5DD54FB3A9D9}" name="Omvang" dataDxfId="334" dataCellStyle="Procent"/>
    <tableColumn id="13" xr3:uid="{3D2F35A1-95A5-4FC7-AB93-6FF200612E84}" name="Prioriteit" dataDxfId="333">
      <calculatedColumnFormula>IF(TInspectieE[[#This Row],[Soort gebrek]]=0,"",VLOOKUP(TInspectieE[[#This Row],[Combi]],TPrio[#Data],2,FALSE))</calculatedColumnFormula>
    </tableColumn>
    <tableColumn id="33" xr3:uid="{F4178187-3FA8-414A-89E7-73516EDCC1E5}" name="Gebrek nr." dataDxfId="332"/>
    <tableColumn id="14" xr3:uid="{C2EFE6B3-5C1D-4415-8256-ED4423307766}" name="Gebrekcode" dataDxfId="331">
      <calculatedColumnFormula>IF(ISBLANK(TInspectieE[[#This Row],[Gebrek nr.]]),"",TInspectieE[[#This Row],[UVID]]&amp;"-"&amp;TInspectieE[[#This Row],[Gebrek nr.]])</calculatedColumnFormula>
    </tableColumn>
    <tableColumn id="9" xr3:uid="{20E71068-DC29-47E6-9461-76E83B9FEFEE}" name="Aantal fotos" dataDxfId="330"/>
    <tableColumn id="16" xr3:uid="{221EA5AD-1589-424C-9B44-37FE129481DC}" name="Filenaam Foto's" dataDxfId="329"/>
    <tableColumn id="32" xr3:uid="{CC33828D-5EAD-4086-B93D-F97DB195680C}" name="Locatie" dataDxfId="328"/>
    <tableColumn id="26" xr3:uid="{357F0630-9226-4D7B-B127-5AC2C5BC9588}" name="Duurzaamheid bijdrage" dataDxfId="327"/>
    <tableColumn id="25" xr3:uid="{C3B59250-B700-4329-9CE8-4C50FFE465D1}" name="Voldoen aan advies" dataDxfId="326">
      <calculatedColumnFormula>IF(OR(TInspectieE[[#This Row],[Duurzaamheid bijdrage]]="Voldoet niet aan DZH-lijn",TInspectieE[[#This Row],[Duurzaamheid bijdrage]]="Voldoet niet aan vigerende W&amp;R"),"Voldoet niet","Voldoet")</calculatedColumnFormula>
    </tableColumn>
    <tableColumn id="17" xr3:uid="{77FEE4B6-B887-47E4-8975-6BFC7CB04216}" name="Oorzaak - Omschrijving" dataDxfId="325"/>
    <tableColumn id="6" xr3:uid="{C065DC11-0574-4E31-8973-62BAFAE122BF}" name="EML code" dataDxfId="324"/>
    <tableColumn id="18" xr3:uid="{47E884F9-C4D6-4092-B68D-64DA87E33A39}" name="Gevolg (risico)" dataDxfId="323"/>
    <tableColumn id="19" xr3:uid="{48ABCEBE-700D-48F9-BC96-3EC4C2673D38}" name="Oplossing" dataDxfId="322"/>
    <tableColumn id="24" xr3:uid="{3FFF583C-A7E2-4B80-8FC4-FF82E375E0BB}" name="FUTP's" dataDxfId="321"/>
    <tableColumn id="20" xr3:uid="{657C5B11-6756-4ABF-A0EE-5E86B39EA62E}" name="Herstelmaatregel" dataDxfId="320"/>
    <tableColumn id="21" xr3:uid="{FD7293B0-DD35-4254-BDA9-C309534DB76A}" name="Kengetal" dataDxfId="319"/>
    <tableColumn id="22" xr3:uid="{26595FA2-AB0A-4AB8-B8EE-E0802FF87F59}" name="Aantal" dataDxfId="318"/>
    <tableColumn id="23" xr3:uid="{F6E48530-9C9A-4278-89DB-073EB6A48AC0}" name="Raming kosten_x000a_excl. BTW" dataDxfId="317">
      <calculatedColumnFormula>IF(ISBLANK(TInspectieE[[#This Row],[Aantal]]),"",ROUND(TInspectieE[[#This Row],[Kengetal]]*TInspectieE[[#This Row],[Aantal]],-1))</calculatedColumnFormula>
    </tableColumn>
    <tableColumn id="27" xr3:uid="{CCE62300-DC02-4372-886A-30E9CEF3C1A0}" name="Trede" dataDxfId="316" dataCellStyle="Procent">
      <calculatedColumnFormula>IF(TInspectieE[[#This Row],[Vak-groep]]="","1",VLOOKUP(C10,$J$2:$K$7,2,FALSE))</calculatedColumnFormula>
    </tableColumn>
    <tableColumn id="28" xr3:uid="{7E485586-B9E2-42DB-B9D1-F35FC60DD71B}" name="Combi" dataDxfId="315" dataCellStyle="Procent">
      <calculatedColumnFormula>CONCATENATE(TInspectieE[[#This Row],[Soort gebrek]],TInspectieE[[#This Row],[Trede]])</calculatedColumnFormula>
    </tableColumn>
    <tableColumn id="15" xr3:uid="{2BB09FCD-928E-492B-84D7-FECCF154CBA6}" name="FH" dataDxfId="314"/>
    <tableColumn id="29" xr3:uid="{878DAD3A-695C-4413-AFD4-2C69EEDF9C31}" name="DH" dataDxfId="313"/>
    <tableColumn id="31" xr3:uid="{51AC9355-FB6E-4A92-9787-0CC423881190}" name="Bouwdatum" dataDxfId="312"/>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FCA54494-B9ED-4556-BE2D-FA34231665C9}" name="TInventW" displayName="TInventW" ref="A7:AL60" totalsRowShown="0" headerRowDxfId="311" dataDxfId="309" headerRowBorderDxfId="310" tableBorderDxfId="308" totalsRowBorderDxfId="307">
  <autoFilter ref="A7:AL60" xr:uid="{0620D19D-07AD-4137-BB5A-3C78236004AF}"/>
  <tableColumns count="38">
    <tableColumn id="44" xr3:uid="{90CFADD0-71F7-4DEF-A6D3-9B1B3846448E}" name="UVID" dataDxfId="306">
      <calculatedColumnFormula>IF(ISBLANK(TInventW[[#This Row],[Bouwdeel omschrijving]]),"",CONCATENATE(TInventW[[#This Row],[Code Bouwdeeltype]],"-",TInventW[[#This Row],[Volgnr.]]))</calculatedColumnFormula>
    </tableColumn>
    <tableColumn id="4" xr3:uid="{54FF7A05-A25B-46D9-B209-C62B2BA35C7F}" name="Code Bouwdeeltype" dataDxfId="305">
      <calculatedColumnFormula>IF(ISBLANK(TInventW[[#This Row],[Bouwdeel omschrijving]]),"",VLOOKUP(TInventW[[#This Row],[Bouwdeel omschrijving]],TsblW[],2,FALSE))</calculatedColumnFormula>
    </tableColumn>
    <tableColumn id="6" xr3:uid="{AED77027-A86A-4193-8D7E-72F978055E86}" name="Bouwdeel omschrijving" dataDxfId="304"/>
    <tableColumn id="5" xr3:uid="{413FDE0F-0189-4420-8227-B59CFE2DBB2B}" name="Volgnr." dataDxfId="303"/>
    <tableColumn id="43" xr3:uid="{471246FB-DDF3-4B4C-B063-D81425B77C0C}" name="Object" dataDxfId="302">
      <calculatedColumnFormula>IF(ISBLANK(TInventW[[#This Row],[Bouwdeel omschrijving]]),"",$B$4)</calculatedColumnFormula>
    </tableColumn>
    <tableColumn id="21" xr3:uid="{9C7EE136-B65A-4EB7-8571-3843D8750275}" name="Ruimte" dataDxfId="301"/>
    <tableColumn id="15" xr3:uid="{F9DDE352-8A00-4E72-8601-34D20FDF7345}" name="Locatie aanduiding" dataDxfId="300"/>
    <tableColumn id="23" xr3:uid="{46C8DBF3-01C3-469A-AAF5-B8E9521C2804}" name="Reden buiten gebruik" dataDxfId="299"/>
    <tableColumn id="8" xr3:uid="{72457EBF-DC2C-4FBE-8283-EA04C4DA477F}" name="Aantal" dataDxfId="298"/>
    <tableColumn id="9" xr3:uid="{454A61AF-EF49-4F65-AF25-A74233AF27E7}" name="Dimensie" dataDxfId="297">
      <calculatedColumnFormula>IF(ISBLANK(TInventW[[#This Row],[Bouwdeel omschrijving]]),"",VLOOKUP(TInventW[[#This Row],[Bouwdeel omschrijving]],TsblW[],4,FALSE))</calculatedColumnFormula>
    </tableColumn>
    <tableColumn id="7" xr3:uid="{203DE812-F231-4278-BC6D-A95617D76B72}" name="Vakgroep" dataDxfId="296">
      <calculatedColumnFormula>IF(ISBLANK(TInventW[[#This Row],[Bouwdeel omschrijving]]),"",VLOOKUP(TInventW[[#This Row],[Bouwdeel omschrijving]],TsblW[],3,FALSE))</calculatedColumnFormula>
    </tableColumn>
    <tableColumn id="24" xr3:uid="{C93B8C1D-FB0C-412F-AD2D-5881091E5219}" name="Kwaliteits-niveau" dataDxfId="295">
      <calculatedColumnFormula>IF(ISBLANK(C8),"",$L$4)</calculatedColumnFormula>
    </tableColumn>
    <tableColumn id="25" xr3:uid="{9768A63B-B93A-47B1-AD73-9738AFB5C877}" name="Foto" dataDxfId="294"/>
    <tableColumn id="12" xr3:uid="{C05F37E1-0024-4DC0-BB30-3F741D01CE61}" name="Datum van constructie of productie_x000a_[jjjj-mm-dd]" dataDxfId="293"/>
    <tableColumn id="20" xr3:uid="{1C716363-4448-44A4-95D1-D3231778E413}" name="Einde garantie_x000a__x000a_[jjjj-mm-dd]" dataDxfId="292"/>
    <tableColumn id="27" xr3:uid="{61427188-BBA8-45A6-B821-916C06D12ACD}" name="Technische levensduur _x000a__x000a_[jaren]" dataDxfId="291"/>
    <tableColumn id="26" xr3:uid="{87A64B77-A39A-4E21-894B-D316D7BDC49E}" name="Verwachte technische einddatum" dataDxfId="290">
      <calculatedColumnFormula>IF(ISBLANK(TInventW[[#This Row],[Technische levensduur 
'[jaren']]]),"",(TInventW[[#This Row],[Datum van constructie of productie
'[jjjj-mm-dd']]]+(TInventW[[#This Row],[Technische levensduur 
'[jaren']]]*365)))</calculatedColumnFormula>
    </tableColumn>
    <tableColumn id="19" xr3:uid="{362D0125-442A-468A-88AF-1149F349C58B}" name="Vervangings-kosten_x000a_(excl. BTW)" dataDxfId="289"/>
    <tableColumn id="29" xr3:uid="{88F94D36-D974-436C-B896-43FA6D5A5A69}" name="Installatie-nummer" dataDxfId="288"/>
    <tableColumn id="28" xr3:uid="{DA969944-B747-4B4B-9B76-FB4204B9754C}" name="Serienummer" dataDxfId="287"/>
    <tableColumn id="14" xr3:uid="{CBE59AB1-A6D7-4C06-9AD8-97AAFEF7F2DD}" name="Model/type" dataDxfId="286"/>
    <tableColumn id="10" xr3:uid="{ABDDDB00-5E5F-42F1-B9BE-B9EC91642B5B}" name="Omvang" dataDxfId="285"/>
    <tableColumn id="11" xr3:uid="{0224912B-8707-4428-9AE4-AD0EBB02575B}" name="Omvang eenheid" dataDxfId="284">
      <calculatedColumnFormula>IF(ISBLANK(TInventW[[#This Row],[Bouwdeel omschrijving]]),"",VLOOKUP(TInventW[[#This Row],[Bouwdeel omschrijving]],TsblW[],5,FALSE))</calculatedColumnFormula>
    </tableColumn>
    <tableColumn id="31" xr3:uid="{22EFB67A-862B-46D7-AC0D-5F6DFAF39657}" name="In oorspron-kelijke toestand" dataDxfId="283"/>
    <tableColumn id="32" xr3:uid="{4A771C14-F954-4154-AEA6-94F02678E05B}" name="Materiaal toepassing" dataDxfId="282"/>
    <tableColumn id="33" xr3:uid="{78D25BC7-7080-45F5-8692-0982E27A4C20}" name="Monumentale waarde" dataDxfId="281"/>
    <tableColumn id="34" xr3:uid="{BF25B3F8-B5F6-4EFE-9288-B305E0A156E5}" name="Datum restauratie / revisie" dataDxfId="280"/>
    <tableColumn id="1" xr3:uid="{D9422C98-F0DE-44C1-AD23-811236EEFECA}" name="Duurzaamheid_x000a_bijdrage" dataDxfId="279"/>
    <tableColumn id="13" xr3:uid="{695A5349-A6BE-4A10-9D0C-8799782B6C3F}" name="Fabrikant" dataDxfId="278"/>
    <tableColumn id="35" xr3:uid="{81107730-07DE-446A-9258-00EB4449CEFF}" name="Servicebedrijf" dataDxfId="277"/>
    <tableColumn id="36" xr3:uid="{AC2DC475-9F67-4958-95CC-C1810CA76152}" name="Leverancier" dataDxfId="276"/>
    <tableColumn id="17" xr3:uid="{51C64E05-212D-4BAE-ADE5-FFCFA6CA92C8}" name="Eigenaar" dataDxfId="275"/>
    <tableColumn id="18" xr3:uid="{18AEC657-656B-4BCB-94EB-3CAF086EFD46}" name="Verantwoordelijk" dataDxfId="274"/>
    <tableColumn id="37" xr3:uid="{94918B59-069E-4F50-8D7B-29400865C8AB}" name="Brandv.-functie van toepassing?" dataDxfId="273"/>
    <tableColumn id="38" xr3:uid="{32068055-87A5-4057-A291-4B5826A3A8D6}" name="Waterveiligheid functie van toepassing" dataDxfId="272"/>
    <tableColumn id="39" xr3:uid="{86110D80-B5C0-444F-AD50-00AA51EC7937}" name="Asbeststatus" dataDxfId="271"/>
    <tableColumn id="40" xr3:uid="{0C099775-7B51-4422-AD20-E96DCFC7611A}" name="VWoH van toepassing?" dataDxfId="270"/>
    <tableColumn id="16" xr3:uid="{9B91976F-EDC6-46AF-A25A-B3B82687242E}" name="Dossier" dataDxfId="269"/>
  </tableColumns>
  <tableStyleInfo name="TableStyleLight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3FEFED3F-4E46-4BB4-8465-9B2EEB194D57}" name="TInspectieW" displayName="TInspectieW" ref="A9:AE196" totalsRowShown="0" headerRowDxfId="268" dataDxfId="266" headerRowBorderDxfId="267" tableBorderDxfId="265">
  <autoFilter ref="A9:AE196" xr:uid="{525FCE19-E26B-460B-8F74-B32942DB4AA1}"/>
  <sortState xmlns:xlrd2="http://schemas.microsoft.com/office/spreadsheetml/2017/richdata2" ref="A10:AE194">
    <sortCondition ref="D9:D194"/>
  </sortState>
  <tableColumns count="31">
    <tableColumn id="2" xr3:uid="{02DEAAC3-AC5F-4956-BC20-129F34F000AA}" name="UVID" dataDxfId="264"/>
    <tableColumn id="3" xr3:uid="{D61C7C53-7BEF-495A-851E-1A35D2DFCD6C}" name="Code Bouwdeeltype" dataDxfId="263">
      <calculatedColumnFormula>IF(TInspectieW[[#This Row],[UVID]]="","",VLOOKUP(TInspectieW[[#This Row],[UVID]],TInventW[],2,FALSE))</calculatedColumnFormula>
    </tableColumn>
    <tableColumn id="4" xr3:uid="{C17A2A13-47CA-4D88-B917-15806F000F06}" name="Vak-groep" dataDxfId="262">
      <calculatedColumnFormula>IF(TInspectieW[[#This Row],[UVID]]="","",VLOOKUP(TInspectieW[[#This Row],[UVID]],TInventW[],11,FALSE))</calculatedColumnFormula>
    </tableColumn>
    <tableColumn id="5" xr3:uid="{633340A7-5DE7-4B59-A8BA-723939A84696}" name="Omschrijving bouwdeel" dataDxfId="261">
      <calculatedColumnFormula>IF(TInspectieW[[#This Row],[UVID]]="","",VLOOKUP(TInspectieW[[#This Row],[UVID]],TInventW[],3,FALSE))</calculatedColumnFormula>
    </tableColumn>
    <tableColumn id="7" xr3:uid="{7D7031DE-B12C-4C0D-B425-78C98ECE7CDA}" name="Thema_x000a_BOEI" dataDxfId="260"/>
    <tableColumn id="8" xr3:uid="{330DF045-5C92-4EF3-AFD9-951ABA0FED35}" name="Soort gebrek" dataDxfId="259"/>
    <tableColumn id="10" xr3:uid="{471949F6-9D01-47D1-8787-360E93DF0DC9}" name="Ernst categorie" dataDxfId="258">
      <calculatedColumnFormula>IF(ISBLANK(TInspectieW[[#This Row],[Soort gebrek]]),"",VLOOKUP(TInspectieW[[#This Row],[Soort gebrek]],TSoortGebrek[#Data],3,FALSE))</calculatedColumnFormula>
    </tableColumn>
    <tableColumn id="1" xr3:uid="{ECD2FEEC-28A3-4278-98A6-5A135A663F18}" name="Soort gebrek_x000a_(Voluit)" dataDxfId="257">
      <calculatedColumnFormula>IF(ISBLANK(TInspectieW[[#This Row],[Soort gebrek]]),"",VLOOKUP(TInspectieW[[#This Row],[Soort gebrek]],TSoortGebrek[#Data],2,FALSE))</calculatedColumnFormula>
    </tableColumn>
    <tableColumn id="11" xr3:uid="{17CDAFD1-6DC3-4136-864F-CA74B3D936F1}" name="Intensiteit" dataDxfId="256">
      <calculatedColumnFormula>IF(TInspectieW[[#This Row],[Soort gebrek]]=0,"",VLOOKUP(TInspectieW[[#This Row],[Soort gebrek]],TSoortGebrek[],4,FALSE))</calculatedColumnFormula>
    </tableColumn>
    <tableColumn id="12" xr3:uid="{26515BE2-B3AD-4ECE-AD8B-36AB9DB53FB5}" name="Omvang" dataDxfId="255" dataCellStyle="Procent"/>
    <tableColumn id="13" xr3:uid="{184A9C53-5977-49E3-A59D-B296D64E8143}" name="Prioriteit" dataDxfId="254">
      <calculatedColumnFormula>IF(TInspectieW[[#This Row],[Soort gebrek]]=0,"",VLOOKUP(TInspectieW[[#This Row],[Combi]],TPrio[#Data],2,FALSE))</calculatedColumnFormula>
    </tableColumn>
    <tableColumn id="33" xr3:uid="{DEE3046A-F483-4B75-8686-2943FE1EF5FA}" name="Gebrek nr." dataDxfId="253"/>
    <tableColumn id="14" xr3:uid="{7DB09BE8-402D-49D7-A05B-D6FFDA593E33}" name="Gebrekcode" dataDxfId="252">
      <calculatedColumnFormula>IF(ISBLANK(TInspectieW[[#This Row],[Gebrek nr.]]),"",TInspectieW[[#This Row],[UVID]]&amp;"-"&amp;TInspectieW[[#This Row],[Gebrek nr.]])</calculatedColumnFormula>
    </tableColumn>
    <tableColumn id="9" xr3:uid="{0400AD99-7F1D-4D37-8B29-47FF765186FE}" name="Aantal fotos" dataDxfId="251"/>
    <tableColumn id="16" xr3:uid="{18B729FC-409F-4A68-84EA-02879F419822}" name="Filenaam Foto's" dataDxfId="250"/>
    <tableColumn id="32" xr3:uid="{20DA8B53-FA17-4185-B580-17A9C273C665}" name="Locatie" dataDxfId="249"/>
    <tableColumn id="26" xr3:uid="{34040EDB-1D74-4E00-B772-5960B259D07F}" name="Duurzaamheid bijdrage" dataDxfId="248"/>
    <tableColumn id="17" xr3:uid="{CB181D8B-6C59-4BBD-987B-AE7E96374A06}" name="Oorzaak - Omschrijving" dataDxfId="247"/>
    <tableColumn id="6" xr3:uid="{590708CE-B291-46DF-84A9-F129FA948B4F}" name="EML code" dataDxfId="246"/>
    <tableColumn id="18" xr3:uid="{A948496D-9700-42FE-A53F-BA8CF2160C07}" name="Gevolg (risico)" dataDxfId="245"/>
    <tableColumn id="19" xr3:uid="{3E641E55-3718-455C-92EB-754DFC38080D}" name="Oplossing" dataDxfId="244"/>
    <tableColumn id="24" xr3:uid="{0A731298-F0C1-41D5-B9C2-D4972921DDB4}" name="FUTP's" dataDxfId="243"/>
    <tableColumn id="20" xr3:uid="{5287A0C8-A67E-4F57-8406-2DC18157678D}" name="Herstelmaatregel" dataDxfId="242"/>
    <tableColumn id="21" xr3:uid="{8911A4D1-62C0-419F-9B10-1B65F1520E21}" name="Kengetal" dataDxfId="241"/>
    <tableColumn id="22" xr3:uid="{43E81C86-2B40-493D-92C8-1AD1C8AD1616}" name="Aantal" dataDxfId="240"/>
    <tableColumn id="23" xr3:uid="{74ED7DA6-C698-40F0-8215-63E8B89CAF68}" name="Raming kosten_x000a_excl. BTW" dataDxfId="239">
      <calculatedColumnFormula>IF(ISBLANK(TInspectieW[[#This Row],[Aantal]]),"",ROUND(TInspectieW[[#This Row],[Kengetal]]*TInspectieW[[#This Row],[Aantal]],-1))</calculatedColumnFormula>
    </tableColumn>
    <tableColumn id="27" xr3:uid="{069A709E-1BA8-41CF-B655-BC78E04AA4E9}" name="Trede" dataDxfId="238" dataCellStyle="Procent">
      <calculatedColumnFormula>IF(TInspectieW[[#This Row],[Vak-groep]]="","1",VLOOKUP(C10,$J$2:$K$7,2,FALSE))</calculatedColumnFormula>
    </tableColumn>
    <tableColumn id="28" xr3:uid="{7ACA9540-5355-40DB-948B-B5CF39AEBBE6}" name="Combi" dataDxfId="237" dataCellStyle="Procent">
      <calculatedColumnFormula>CONCATENATE(TInspectieW[[#This Row],[Soort gebrek]],TInspectieW[[#This Row],[Trede]])</calculatedColumnFormula>
    </tableColumn>
    <tableColumn id="15" xr3:uid="{821D41DF-C8CA-47CE-BEA9-92525D0F361F}" name="FH" dataDxfId="236"/>
    <tableColumn id="29" xr3:uid="{C342E614-CA2E-455E-89FE-4F9EAB8F0628}" name="DH" dataDxfId="235"/>
    <tableColumn id="31" xr3:uid="{8C45B5EC-463C-44FE-A06C-1B23699D4C71}" name="Bouwdatum" dataDxfId="234"/>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955C38B-EE6E-4033-884C-D8BD64F0A38B}" name="TsblB" displayName="TsblB" ref="B4:T19" totalsRowShown="0" headerRowDxfId="233" dataDxfId="231" headerRowBorderDxfId="232" tableBorderDxfId="230" totalsRowBorderDxfId="229">
  <autoFilter ref="B4:T19" xr:uid="{8955C38B-EE6E-4033-884C-D8BD64F0A38B}"/>
  <sortState xmlns:xlrd2="http://schemas.microsoft.com/office/spreadsheetml/2017/richdata2" ref="B5:S19">
    <sortCondition ref="B4:B19"/>
  </sortState>
  <tableColumns count="19">
    <tableColumn id="2" xr3:uid="{F387175A-DAC1-4AEB-AE64-267B7C1F19AC}" name="SBL  omschrijving_x000a_v 2024" dataDxfId="228"/>
    <tableColumn id="15" xr3:uid="{0D6AEDE9-6AA4-4FA6-B3D1-EDF087A4259C}" name="SBL Code_x000a_v 2024" dataDxfId="227"/>
    <tableColumn id="12" xr3:uid="{F85E0B35-29B5-4B87-A20B-F9196B3515AB}" name="Vakgebied" dataDxfId="226"/>
    <tableColumn id="13" xr3:uid="{F82FCB41-AF47-4B89-A049-8416D4A8F51E}" name="Dimensie" dataDxfId="225"/>
    <tableColumn id="14" xr3:uid="{5E3CA7FA-4C1D-40FC-85D3-A9398867154A}" name="Omvang eenheid" dataDxfId="224"/>
    <tableColumn id="18" xr3:uid="{B2C17213-AB76-4F09-93C6-AA3D5EA626FB}" name="Mogelijke relatie met EML codes" dataDxfId="223"/>
    <tableColumn id="9" xr3:uid="{EB067AD1-3140-4B93-8883-40EA36CD4EA9}" name="Theoretisch gebrek van toepassing?" dataDxfId="222"/>
    <tableColumn id="10" xr3:uid="{39464DA9-8B63-4D46-A910-1726A8C61283}" name="Cycli" dataDxfId="221"/>
    <tableColumn id="7" xr3:uid="{B14E7DCC-1E52-4872-B6B4-99B65F97A2A3}" name="§ RVB BOEI_x000a_v 2024" dataDxfId="220"/>
    <tableColumn id="17" xr3:uid="{E7A677AC-B45D-419C-AA9F-EBE5674A7B56}" name="Mogelijke invloed vanuit energielabel plicht" dataDxfId="219"/>
    <tableColumn id="16" xr3:uid="{2063A791-B6AB-46EA-A255-3D0695807B74}" name="EML plicht (RVB)_x000a_Ja/Nee" dataDxfId="218"/>
    <tableColumn id="1" xr3:uid="{3364D089-9272-46FA-9250-340669F60CC1}" name="DZH-2025_x000a_plicht_x000a_Ja/Nee" dataDxfId="217"/>
    <tableColumn id="8" xr3:uid="{BA486368-CC78-4885-8450-1E749AADBA7C}" name="Opmerking (niet monumentaal)" dataDxfId="216"/>
    <tableColumn id="11" xr3:uid="{DC45FC93-B46C-4BFB-B6FB-7CCE773AAD07}" name="Opmerking (monumentaal)" dataDxfId="215"/>
    <tableColumn id="3" xr3:uid="{44BFDFED-8C12-470D-8381-75792BAB5F72}" name="SEL  code_x000a_v 2012" dataDxfId="214"/>
    <tableColumn id="4" xr3:uid="{EF0C4C0D-6CB3-49FD-9E71-B7C6B6AF1028}" name="SEL  omschrijving_x000a_v 2012" dataDxfId="213"/>
    <tableColumn id="5" xr3:uid="{0409A45C-F95C-494F-BF78-1C4C3B2D9525}" name="RBI component code _x000a_v 2022" dataDxfId="212"/>
    <tableColumn id="6" xr3:uid="{DBB95541-599C-4B67-A28A-50D3092ABDCB}" name="RBI  component omschrijving_x000a_v 2022" dataDxfId="211"/>
    <tableColumn id="19" xr3:uid="{96B996D6-B977-4FE4-8447-34172AE4A8F2}" name="Theoretische levensduur" dataDxfId="210"/>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1805CE9-D2E8-4706-9A5C-E059A9B4864D}" name="TsblE" displayName="TsblE" ref="B22:T25" totalsRowShown="0" headerRowDxfId="209" dataDxfId="207" headerRowBorderDxfId="208" tableBorderDxfId="206" totalsRowBorderDxfId="205">
  <autoFilter ref="B22:T25" xr:uid="{91805CE9-D2E8-4706-9A5C-E059A9B4864D}"/>
  <sortState xmlns:xlrd2="http://schemas.microsoft.com/office/spreadsheetml/2017/richdata2" ref="B23:G25">
    <sortCondition ref="B22:B25"/>
  </sortState>
  <tableColumns count="19">
    <tableColumn id="1" xr3:uid="{D8A969C7-4D8A-406F-A2E0-C5BF6C9A4743}" name="SBL  omschrijving_x000a_v 2024" dataDxfId="204"/>
    <tableColumn id="2" xr3:uid="{8ADDD37D-74DD-4EE9-82B6-291F43F3C089}" name="SBL Code_x000a_v 2024" dataDxfId="203"/>
    <tableColumn id="3" xr3:uid="{9FF1C274-0938-468A-BCBE-6D15DF48FCB2}" name="Vakgebied" dataDxfId="202"/>
    <tableColumn id="4" xr3:uid="{9C71D7E6-9186-4DD0-AC48-197323870888}" name="Dimensie" dataDxfId="201"/>
    <tableColumn id="5" xr3:uid="{D7C5BA02-7823-44B3-A9FD-1D56C5F32C26}" name="Omvang eenheid" dataDxfId="200"/>
    <tableColumn id="6" xr3:uid="{D77A5F09-3C7E-4DD9-9B37-81B2F854CE3E}" name="Mogelijke relatie met EML codes" dataDxfId="199"/>
    <tableColumn id="7" xr3:uid="{E36690CF-47AB-4B52-B0F4-0E05DF9F22AB}" name="Theoretisch gebrek van toepassing?" dataDxfId="198"/>
    <tableColumn id="8" xr3:uid="{1B1179CF-3BB9-400E-935B-5E547E52EC67}" name="Cycli" dataDxfId="197"/>
    <tableColumn id="9" xr3:uid="{F9476D3B-0585-467C-BD07-EC50832D3FF7}" name="§ RVB BOEI_x000a_v 2024" dataDxfId="196"/>
    <tableColumn id="10" xr3:uid="{A4BBC64D-9EDB-48D6-866C-A3C0F2F71EF4}" name="Mogelijke invloed vanuit energielabel plicht" dataDxfId="195"/>
    <tableColumn id="11" xr3:uid="{EA525A12-B81B-4087-9071-2E33891B20BB}" name="EML plicht (RVB)_x000a_Ja/Nee" dataDxfId="194"/>
    <tableColumn id="12" xr3:uid="{9767C2B2-3E34-46B7-8CCD-FACCD0E54DD5}" name="DZH-2025_x000a_plicht_x000a_Ja/Nee" dataDxfId="193"/>
    <tableColumn id="13" xr3:uid="{93C0D330-9768-4934-AD85-257E800A6F52}" name="Opmerking (niet monumentaal)" dataDxfId="192"/>
    <tableColumn id="14" xr3:uid="{ABA76C6B-9685-416C-8404-A7FDFF097DEB}" name="Opmerking (monumentaal)" dataDxfId="191"/>
    <tableColumn id="15" xr3:uid="{A783F03E-4262-43E3-BAD3-99BC0E9429E6}" name="SEL  code_x000a_v 2012" dataDxfId="190"/>
    <tableColumn id="16" xr3:uid="{4B5D3CE9-3C3E-4CB7-A7EB-96DDDFB5A813}" name="SEL  omschrijving_x000a_v 2012" dataDxfId="189"/>
    <tableColumn id="17" xr3:uid="{C0910200-85B3-4439-87F4-C729C3DC2C93}" name="RBI component code _x000a_v 2022" dataDxfId="188"/>
    <tableColumn id="18" xr3:uid="{0C27C874-3319-443D-9C20-EE2454B1ED8D}" name="RBI  component omschrijving_x000a_v 2022" dataDxfId="187"/>
    <tableColumn id="19" xr3:uid="{D25E51BE-BD43-479A-84C0-7A07FAA792BD}" name="Theoretische levensduur" dataDxfId="186"/>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787623CD-CE31-42C2-8F47-32C1D14B2A4F}" name="TsblW" displayName="TsblW" ref="B28:T63" totalsRowShown="0" headerRowDxfId="185" dataDxfId="183" headerRowBorderDxfId="184" tableBorderDxfId="182" totalsRowBorderDxfId="181">
  <autoFilter ref="B28:T63" xr:uid="{787623CD-CE31-42C2-8F47-32C1D14B2A4F}"/>
  <sortState xmlns:xlrd2="http://schemas.microsoft.com/office/spreadsheetml/2017/richdata2" ref="B29:G63">
    <sortCondition ref="B28:B63"/>
  </sortState>
  <tableColumns count="19">
    <tableColumn id="1" xr3:uid="{25A669B7-2D13-42F6-951E-2345F03F06B5}" name="SBL  omschrijving_x000a_v 2024" dataDxfId="180"/>
    <tableColumn id="2" xr3:uid="{BFF4DAE6-007D-404A-866D-6D05E32F00BA}" name="SBL Code_x000a_v 2024" dataDxfId="179"/>
    <tableColumn id="3" xr3:uid="{C6FC2197-7502-4D8F-A3D3-597B3BC40107}" name="Vakgebied" dataDxfId="178"/>
    <tableColumn id="4" xr3:uid="{EBA10684-FAB9-4887-84AB-819A8F8C480D}" name="Dimensie" dataDxfId="177"/>
    <tableColumn id="5" xr3:uid="{657667A2-44C1-427C-BD9D-0E03A5AC87E9}" name="Omvang eenheid" dataDxfId="176"/>
    <tableColumn id="6" xr3:uid="{F3049D1F-B862-43A1-86C9-FAE8D7AA3591}" name="Mogelijke relatie met EML codes" dataDxfId="175"/>
    <tableColumn id="7" xr3:uid="{3A0490AA-8B8F-406F-87B9-E2BC7239DD81}" name="Theoretisch gebrek van toepassing?" dataDxfId="174"/>
    <tableColumn id="8" xr3:uid="{8D58C696-79D4-40AE-8890-D164D0516095}" name="Cycli" dataDxfId="173"/>
    <tableColumn id="9" xr3:uid="{48228CD4-FE2E-4649-8D2B-B7D2185FEE81}" name="§ RVB BOEI_x000a_v 2024" dataDxfId="172"/>
    <tableColumn id="10" xr3:uid="{F77E3969-E21B-4D72-914D-0F0804FFBE50}" name="Mogelijke invloed vanuit energielabel plicht" dataDxfId="171"/>
    <tableColumn id="11" xr3:uid="{48F19E46-77B3-4F1F-B58D-336FF9F48B8E}" name="EML plicht (RVB)_x000a_Ja/Nee" dataDxfId="170"/>
    <tableColumn id="12" xr3:uid="{65C664A4-DEB8-4EF3-AFA6-4EFEC575A513}" name="DZH-2025_x000a_plicht_x000a_Ja/Nee" dataDxfId="169"/>
    <tableColumn id="13" xr3:uid="{07819BB8-7BC0-4E4F-A338-F785BE81308B}" name="Opmerking (niet monumentaal)" dataDxfId="168"/>
    <tableColumn id="14" xr3:uid="{5DF16CAB-DBAE-47B8-941C-9031CD3370A0}" name="Opmerking (monumentaal)" dataDxfId="167"/>
    <tableColumn id="15" xr3:uid="{BEF65665-3823-4087-87D6-E9EAA273183C}" name="SEL  code_x000a_v 2012" dataDxfId="166"/>
    <tableColumn id="16" xr3:uid="{A822D482-A218-4091-B86E-1D0D32E6B969}" name="SEL  omschrijving_x000a_v 2012" dataDxfId="165"/>
    <tableColumn id="17" xr3:uid="{1778CD2E-C663-456A-900F-964689A13494}" name="RBI component code _x000a_v 2022" dataDxfId="164"/>
    <tableColumn id="18" xr3:uid="{507D63C6-3200-4DF1-A562-5DA43DF50C9D}" name="RBI  component omschrijving_x000a_v 2022" dataDxfId="163"/>
    <tableColumn id="19" xr3:uid="{1E64C78E-EC24-415F-AFFA-65573111B4C1}" name="Theoretische levensduur" dataDxfId="162"/>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B7A27E26-81E3-4B20-9821-1B6D627BD96A}" name="TsblB12" displayName="TsblB12" ref="B4:S40" totalsRowShown="0" headerRowDxfId="161" dataDxfId="159" headerRowBorderDxfId="160" tableBorderDxfId="158" totalsRowBorderDxfId="157">
  <autoFilter ref="B4:S40" xr:uid="{B7A27E26-81E3-4B20-9821-1B6D627BD96A}"/>
  <sortState xmlns:xlrd2="http://schemas.microsoft.com/office/spreadsheetml/2017/richdata2" ref="B5:S39">
    <sortCondition ref="G4:G39"/>
  </sortState>
  <tableColumns count="18">
    <tableColumn id="2" xr3:uid="{5B1822FA-935F-4EFA-9AD2-8C5A653BE2B9}" name="SBL  omschrijving_x000a_v 2024" dataDxfId="156"/>
    <tableColumn id="15" xr3:uid="{6167C8F7-80F7-4B6E-AE92-F94DFAA7D93A}" name="SBL Code_x000a_v 2024" dataDxfId="155"/>
    <tableColumn id="12" xr3:uid="{7493AAB6-1ED5-4D0B-865A-5FCE07484B71}" name="Vakgebied" dataDxfId="154"/>
    <tableColumn id="13" xr3:uid="{01D5F535-F639-4EEC-9FF8-525BCB37ED37}" name="Dimensie" dataDxfId="153"/>
    <tableColumn id="14" xr3:uid="{DAB6D387-A71B-45BC-9DFD-962C47B9253D}" name="Omvang eenheid" dataDxfId="152"/>
    <tableColumn id="18" xr3:uid="{54C2E37A-B3C4-44AC-A081-FD55D4B50A8D}" name="Mogelijke relatie met EML codes" dataDxfId="151"/>
    <tableColumn id="9" xr3:uid="{E536190E-F696-436F-91AE-F8D96D7AC973}" name="Theoretisch gebrek van toepassing?" dataDxfId="150"/>
    <tableColumn id="10" xr3:uid="{5EAF2F64-7166-43AD-A401-21BA38CAF39B}" name="Cycli" dataDxfId="149"/>
    <tableColumn id="7" xr3:uid="{0DD2C7EC-C49E-468E-B960-1153CD485455}" name="§ RVB BOEI_x000a_v 2024" dataDxfId="148"/>
    <tableColumn id="17" xr3:uid="{7DAAF3D5-2F3E-4B38-92CD-622396F7AEA3}" name="Mogelijke invloed vanuit energielabel plicht" dataDxfId="147"/>
    <tableColumn id="16" xr3:uid="{BF8782AF-02B7-4D8B-8F3E-B201624D47B7}" name="EML plicht (RVB)_x000a_Ja/Nee" dataDxfId="146"/>
    <tableColumn id="1" xr3:uid="{76675E92-7B95-4062-8AC2-D617CCDC813F}" name="DZH-2025_x000a_plicht_x000a_Ja/Nee" dataDxfId="145"/>
    <tableColumn id="8" xr3:uid="{E9C2E5E9-E916-4300-9D49-034B806D9FE1}" name="Opmerking (niet monumentaal)" dataDxfId="144"/>
    <tableColumn id="11" xr3:uid="{B7F5018E-8B2E-4332-82CB-7CD6CD4A373D}" name="Opmerking (monumentaal)" dataDxfId="143"/>
    <tableColumn id="3" xr3:uid="{9C56BC40-FB95-420E-879A-4A55830D2016}" name="SEL  code_x000a_v 2012" dataDxfId="142"/>
    <tableColumn id="4" xr3:uid="{148CC1E5-0B5F-406C-98B7-6BA14C90AAB7}" name="SEL  omschrijving_x000a_v 2012" dataDxfId="141"/>
    <tableColumn id="5" xr3:uid="{F3028575-58AE-4438-9876-0088876E45BA}" name="RBI component code _x000a_v 2022" dataDxfId="140"/>
    <tableColumn id="6" xr3:uid="{67675FC8-E878-4B15-87E4-F0E3A664373C}" name="RBI  component omschrijving_x000a_v 2022" dataDxfId="139"/>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9B6AC223-E543-488D-9023-51C70B4C018D}" name="TsblE18" displayName="TsblE18" ref="B43:G84" totalsRowShown="0" headerRowDxfId="138" dataDxfId="136" headerRowBorderDxfId="137" tableBorderDxfId="135" totalsRowBorderDxfId="134">
  <autoFilter ref="B43:G84" xr:uid="{9B6AC223-E543-488D-9023-51C70B4C018D}"/>
  <sortState xmlns:xlrd2="http://schemas.microsoft.com/office/spreadsheetml/2017/richdata2" ref="B44:G83">
    <sortCondition ref="G43:G83"/>
  </sortState>
  <tableColumns count="6">
    <tableColumn id="1" xr3:uid="{231186C9-83D6-49B8-A2D1-D49D9E6AC88B}" name="SBL  omschrijving_x000a_v 2024" dataDxfId="133"/>
    <tableColumn id="2" xr3:uid="{1386CF88-43CE-443C-AB2B-4030662128DB}" name="SBL Code_x000a_v 2024" dataDxfId="132"/>
    <tableColumn id="3" xr3:uid="{0A8C4A29-B4C7-4FBE-B8B2-1EBAF22FCF54}" name="Vakgebied" dataDxfId="131"/>
    <tableColumn id="4" xr3:uid="{83DE175C-0490-40CF-A7BE-71AB62DC2D80}" name="Dimensie" dataDxfId="130"/>
    <tableColumn id="5" xr3:uid="{5D2C3541-0984-451F-B26E-769744B9E8D0}" name="Omvang eenheid" dataDxfId="129"/>
    <tableColumn id="6" xr3:uid="{5A55A976-FAD9-4691-B2BA-DF849FFD89EC}" name="Mogelijke relatie met EML codes" dataDxfId="128"/>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4BAED262-F615-4266-BE8A-F6AD5F3B4A74}" name="TsblW20" displayName="TsblW20" ref="B87:G224" totalsRowShown="0" headerRowDxfId="127" dataDxfId="125" headerRowBorderDxfId="126" tableBorderDxfId="124" totalsRowBorderDxfId="123">
  <autoFilter ref="B87:G224" xr:uid="{4BAED262-F615-4266-BE8A-F6AD5F3B4A74}"/>
  <sortState xmlns:xlrd2="http://schemas.microsoft.com/office/spreadsheetml/2017/richdata2" ref="B88:G223">
    <sortCondition ref="G87:G223"/>
  </sortState>
  <tableColumns count="6">
    <tableColumn id="1" xr3:uid="{7F01D42F-264B-48F0-85E3-D13DB5694EE9}" name="SBL  omschrijving_x000a_v 2024" dataDxfId="122"/>
    <tableColumn id="2" xr3:uid="{E7D2E7C8-39B2-4BB9-9968-A7400D3C0E13}" name="SBL Code_x000a_v 2024" dataDxfId="121"/>
    <tableColumn id="3" xr3:uid="{A9E12B21-FA23-4D0B-8518-77068857D4B0}" name="Vakgebied" dataDxfId="120"/>
    <tableColumn id="4" xr3:uid="{14360FC4-6785-40FA-8D9F-FDF452E8AFC1}" name="Dimensie" dataDxfId="119"/>
    <tableColumn id="5" xr3:uid="{78617952-7AC7-4944-8F5F-4F161C285F51}" name="Omvang eenheid" dataDxfId="118"/>
    <tableColumn id="6" xr3:uid="{850F1A24-92A2-4B49-BEFB-9B4735687673}" name="Mogelijke relatie met EML codes" dataDxfId="117"/>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C0C8709-1F48-4129-8EE2-E2F66CAED0EC}" name="TSoortGebrek" displayName="TSoortGebrek" ref="G248:J255" totalsRowShown="0" headerRowDxfId="116" headerRowBorderDxfId="115" tableBorderDxfId="114" totalsRowBorderDxfId="113">
  <autoFilter ref="G248:J255" xr:uid="{7C0C8709-1F48-4129-8EE2-E2F66CAED0EC}"/>
  <tableColumns count="4">
    <tableColumn id="1" xr3:uid="{AB33421B-6151-49E8-B6A4-9779913312E6}" name="Soort gebrek" dataDxfId="112"/>
    <tableColumn id="2" xr3:uid="{ED557E5D-2CF3-4DF5-8C1E-AF6C383B069C}" name="Uitgebreide beschrijving soort gebrek" dataDxfId="111"/>
    <tableColumn id="3" xr3:uid="{3A0BA754-7740-4140-8B6A-8C16B26C03D4}" name="Ernstig" dataDxfId="110"/>
    <tableColumn id="4" xr3:uid="{DE9AA408-261C-45C5-A28F-8ADE2BB18151}" name="Intensiteit" dataDxfId="109"/>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3B47E502-1888-4504-B0FF-4EB3FFB024E9}" name="Tabel2" displayName="Tabel2" ref="A2:L30" totalsRowShown="0" headerRowDxfId="108" dataDxfId="106" headerRowBorderDxfId="107" tableBorderDxfId="105">
  <autoFilter ref="A2:L30" xr:uid="{3B47E502-1888-4504-B0FF-4EB3FFB024E9}"/>
  <sortState xmlns:xlrd2="http://schemas.microsoft.com/office/spreadsheetml/2017/richdata2" ref="A3:L30">
    <sortCondition ref="B2:B30"/>
  </sortState>
  <tableColumns count="12">
    <tableColumn id="1" xr3:uid="{5C81937E-5B5A-42F3-AAC6-C0F6A5731BB3}" name="Vakgroep" dataDxfId="104"/>
    <tableColumn id="2" xr3:uid="{17701E34-4A0F-4643-BC50-82E519284F3B}" name="FUTP code" dataDxfId="103"/>
    <tableColumn id="13" xr3:uid="{2674B7DB-AA94-4B0A-AA95-6A72DDF7E709}" name="EML Code" dataDxfId="102"/>
    <tableColumn id="3" xr3:uid="{48AD93CB-18C7-43D3-8E8C-0B0FCBA8434E}" name="Eigenaar" dataDxfId="101"/>
    <tableColumn id="4" xr3:uid="{8AD3B21A-FEDF-47EE-8932-FF4D75460E32}" name="RVB FUTP titel" dataDxfId="100"/>
    <tableColumn id="5" xr3:uid="{7403C83B-A7B0-418A-ADB9-B192DF804CC6}" name="Recente versie" dataDxfId="99"/>
    <tableColumn id="6" xr3:uid="{5BB61BB6-291B-40A6-A2D9-3AAEB10156DA}" name="Datum van wijziging" dataDxfId="98"/>
    <tableColumn id="7" xr3:uid="{F2ECD1D2-2DFB-4D36-AA21-10E2F55B1F1A}" name="Afronding eerste versie" dataDxfId="97"/>
    <tableColumn id="9" xr3:uid="{6B134795-3631-4715-9EBD-83F5BCC8EDB2}" name="Invloed E-Label" dataDxfId="96"/>
    <tableColumn id="10" xr3:uid="{9BF6EBEF-6E02-483F-BF3E-F72581246BA9}" name="Uitvoerder Next step" dataDxfId="95"/>
    <tableColumn id="11" xr3:uid="{A2726C40-B200-442F-B2CC-BDA6B37DE3AC}" name="Toetsing RVB" dataDxfId="94"/>
    <tableColumn id="12" xr3:uid="{8E263395-9288-468F-ADF1-CB3CBF6AB232}" name="Opmerkingen" dataDxfId="93"/>
  </tableColumns>
  <tableStyleInfo name="TableStyleLight9"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DE23BE1-AFF6-4DDC-BA8C-8743FC277163}" name="Tabel5" displayName="Tabel5" ref="B3:E85" totalsRowShown="0" headerRowDxfId="92" headerRowCellStyle="Komma">
  <autoFilter ref="B3:E85" xr:uid="{9DE23BE1-AFF6-4DDC-BA8C-8743FC277163}"/>
  <tableColumns count="4">
    <tableColumn id="1" xr3:uid="{5A84F170-8869-40CE-8440-ABBD13408FA5}" name="Code"/>
    <tableColumn id="2" xr3:uid="{CB73FAFE-D62B-43E0-B92E-723685D017F7}" name="Omschrijving"/>
    <tableColumn id="3" xr3:uid="{E4A808F0-11F8-44E4-967D-699DB30C28CC}" name="FUTP's"/>
    <tableColumn id="4" xr3:uid="{405B5FB0-E9CE-4977-89D4-6394E571D99C}" name="Overlast"/>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EEE034A5-113E-40AA-BF02-C529B81DA73C}" name="TPrio" displayName="TPrio" ref="B3:G98" totalsRowShown="0" headerRowDxfId="91" dataDxfId="89" headerRowBorderDxfId="90" tableBorderDxfId="88" totalsRowBorderDxfId="87">
  <autoFilter ref="B3:G98" xr:uid="{EEE034A5-113E-40AA-BF02-C529B81DA73C}"/>
  <tableColumns count="6">
    <tableColumn id="5" xr3:uid="{5B584D79-9C15-4D81-B52F-0AAF64B8CD7C}" name="combi" dataDxfId="86">
      <calculatedColumnFormula>CONCATENATE(E4,G4)</calculatedColumnFormula>
    </tableColumn>
    <tableColumn id="6" xr3:uid="{A5059EAD-5AF7-4DD3-8702-13A57A2DDD4C}" name="prioriteit" dataDxfId="85"/>
    <tableColumn id="1" xr3:uid="{E9080742-92C3-48FD-B50B-DDF90D9E2D77}" name="trede - positie" dataDxfId="84"/>
    <tableColumn id="2" xr3:uid="{023648D9-558B-4F4F-A148-4FFE722F4439}" name="gebrek" dataDxfId="83"/>
    <tableColumn id="3" xr3:uid="{399AE4E3-BC27-437D-9047-85E6F9AC2EF7}" name="Uitgebreide beschrijving soort gebrek" dataDxfId="82"/>
    <tableColumn id="4" xr3:uid="{1CD2E14B-BED2-42DD-A601-607BC8A091D8}" name="trede" dataDxfId="81"/>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L57" dT="2026-01-14T07:39:06.46" personId="{424796EA-1615-479A-BB83-4627F0C1EBF2}" id="{4163ED8D-D475-4479-9C46-287CC197DAA4}">
    <text>Alleen bij dakdoorvoer (gas) of wanddoorvoer</text>
  </threadedComment>
  <threadedComment ref="L78" dT="2026-01-14T07:39:35.03" personId="{424796EA-1615-479A-BB83-4627F0C1EBF2}" id="{656A598C-AAFB-402A-A14C-6E3BD455CFAA}">
    <text>Alleen bij dakdoorvoer of wanddoorvoer</text>
  </threadedComment>
  <threadedComment ref="L88" dT="2026-01-14T07:40:06.77" personId="{424796EA-1615-479A-BB83-4627F0C1EBF2}" id="{01917C23-BE8F-473D-9D84-AE253ADAB73E}">
    <text>Bij dakdoorvoer of wanddoorvoer (stroomschema)</text>
  </threadedComment>
  <threadedComment ref="L95" dT="2026-01-14T07:40:55.22" personId="{424796EA-1615-479A-BB83-4627F0C1EBF2}" id="{F6CB3E24-5842-4476-8DC7-787C67FF238C}">
    <text xml:space="preserve">Zorg dat de verlichting gericht is (kapje op de bovenkant)
Zorg dat de verlichting &lt; 2100 K is (oranje) tenzij dat vanuit veiligheid onmogelijk is. </text>
  </threadedComment>
  <threadedComment ref="L96" dT="2026-01-14T07:40:55.22" personId="{424796EA-1615-479A-BB83-4627F0C1EBF2}" id="{D03A83CF-57BB-4241-87BC-41633D032FC8}">
    <text xml:space="preserve">Zorg dat de verlichting gericht is (kapje op de bovenkant)
Zorg dat de verlichting &lt; 2100 K is (oranje) tenzij dat vanuit veiligheid onmogelijk is. </text>
  </threadedComment>
  <threadedComment ref="L97" dT="2026-01-14T07:40:55.22" personId="{424796EA-1615-479A-BB83-4627F0C1EBF2}" id="{48FC9CA5-A99E-432A-97A7-4C85ABCFC546}">
    <text xml:space="preserve">Zorg dat de verlichting gericht is (kapje op de bovenkant)
Zorg dat de verlichting &lt; 2100 K is (oranje) tenzij dat vanuit veiligheid onmogelijk is. </text>
  </threadedComment>
  <threadedComment ref="L98" dT="2026-01-14T07:42:52.12" personId="{424796EA-1615-479A-BB83-4627F0C1EBF2}" id="{CF22A9DC-D990-4EC2-899B-0BBFE9237097}">
    <text xml:space="preserve">Zorg dat de verlichting gericht is (kapje op de bovenkant)
Zorg dat de verlichting &lt; 2100 K is (oranje) tenzij dat vanuit veiligheid onmogelijk is. </text>
  </threadedComment>
  <threadedComment ref="L99" dT="2026-01-14T07:42:52.12" personId="{424796EA-1615-479A-BB83-4627F0C1EBF2}" id="{7B8A6485-BE95-423B-8834-CDEA8F91DF14}">
    <text xml:space="preserve">Zorg dat de verlichting gericht is (kapje op de bovenkant)
Zorg dat de verlichting &lt; 2100 K is (oranje) tenzij dat vanuit veiligheid onmogelijk is. </text>
  </threadedComment>
  <threadedComment ref="L101" dT="2026-01-14T07:43:16.95" personId="{424796EA-1615-479A-BB83-4627F0C1EBF2}" id="{C5688102-FE0A-48E6-AEA3-F5E902CD8911}">
    <text>Natuureffect: onderzoek nodig</text>
  </threadedComment>
  <threadedComment ref="L108" dT="2026-01-14T07:43:35.75" personId="{424796EA-1615-479A-BB83-4627F0C1EBF2}" id="{3A644140-9545-40C5-8DEE-A4F435CA6DAD}">
    <text>Natuureffect: onderzoek nodig</text>
  </threadedComment>
  <threadedComment ref="L120" dT="2026-01-14T07:44:34.33" personId="{424796EA-1615-479A-BB83-4627F0C1EBF2}" id="{E447634B-07E7-4AFD-A743-CC70E4A6C2B2}">
    <text xml:space="preserve">Natuureffect: onderzoek nodig
Indien zonnepanelen stroom opwekken die tot doel hebben om gebruikt te worden voor niet militaire doeleinden of levering buiten het complex waar zij geplaatst worden. </text>
  </threadedComment>
  <threadedComment ref="L125" dT="2026-01-14T07:45:29.34" personId="{424796EA-1615-479A-BB83-4627F0C1EBF2}" id="{FFE981DE-D4A3-4D7D-A145-1A4FE62667A7}">
    <text>Natuureffect: onderzoek nodig</text>
  </threadedComment>
  <threadedComment ref="L126" dT="2026-01-14T07:45:29.34" personId="{424796EA-1615-479A-BB83-4627F0C1EBF2}" id="{FA1ACC77-72CD-40B9-AF5D-DF2861F3BDA4}">
    <text>Natuureffect: onderzoek nodig</text>
  </threadedComment>
  <threadedComment ref="L127" dT="2026-01-14T07:45:29.34" personId="{424796EA-1615-479A-BB83-4627F0C1EBF2}" id="{CFF92CC0-7FA1-44F7-AD87-11BCBCEC34C9}">
    <text>Natuureffect: onderzoek nodig</text>
  </threadedComment>
  <threadedComment ref="L128" dT="2026-01-14T07:45:39.27" personId="{424796EA-1615-479A-BB83-4627F0C1EBF2}" id="{CC87F5EB-AE82-41B3-A194-1169403373E3}">
    <text>Natuureffect: onderzoek nodig</text>
  </threadedComment>
  <threadedComment ref="L129" dT="2026-01-14T07:45:39.27" personId="{424796EA-1615-479A-BB83-4627F0C1EBF2}" id="{B1877E00-B0A5-41C4-BA20-824378AB9612}">
    <text>Natuureffect: onderzoek nodig</text>
  </threadedComment>
  <threadedComment ref="L130" dT="2026-01-14T07:45:39.27" personId="{424796EA-1615-479A-BB83-4627F0C1EBF2}" id="{2F8BA919-6036-42BA-8CA9-1777BC99FFE4}">
    <text>Natuureffect: onderzoek nodig</text>
  </threadedComment>
  <threadedComment ref="L131" dT="2026-01-14T07:45:39.27" personId="{424796EA-1615-479A-BB83-4627F0C1EBF2}" id="{8CC84F4A-96CC-4B6C-86C8-11FF268A848A}">
    <text>Natuureffect: onderzoek nodig</text>
  </threadedComment>
  <threadedComment ref="L132" dT="2026-01-14T07:45:39.27" personId="{424796EA-1615-479A-BB83-4627F0C1EBF2}" id="{05E574EA-F73C-492C-A8CB-3CF64BBB417D}">
    <text>Natuureffect: onderzoek nodig</text>
  </threadedComment>
  <threadedComment ref="L143" dT="2026-01-14T07:45:29.34" personId="{424796EA-1615-479A-BB83-4627F0C1EBF2}" id="{C32030E1-301D-4D55-94BF-0019E42EC072}">
    <text>Natuureffect: onderzoek nodig</text>
  </threadedComment>
  <threadedComment ref="L144" dT="2026-01-14T07:45:29.34" personId="{424796EA-1615-479A-BB83-4627F0C1EBF2}" id="{9037EDD2-21D0-446E-BA41-19968023F76A}">
    <text>Natuureffect: onderzoek nodig</text>
  </threadedComment>
  <threadedComment ref="L145" dT="2026-01-14T07:45:29.34" personId="{424796EA-1615-479A-BB83-4627F0C1EBF2}" id="{6992F445-34B5-4045-96E9-1AE8C00C80C4}">
    <text>Natuureffect: onderzoek nodig</text>
  </threadedComment>
  <threadedComment ref="L146" dT="2026-01-14T07:45:29.34" personId="{424796EA-1615-479A-BB83-4627F0C1EBF2}" id="{72EC287F-33AA-43BB-AD3B-A714A7D0539B}">
    <text>Natuureffect: onderzoek nodig</text>
  </threadedComment>
  <threadedComment ref="L147" dT="2026-01-14T07:45:29.34" personId="{424796EA-1615-479A-BB83-4627F0C1EBF2}" id="{ADB54609-9A67-4EFC-B11F-F2B1EB4A9678}">
    <text>Natuureffect: onderzoek nodig</text>
  </threadedComment>
  <threadedComment ref="L148" dT="2026-01-14T07:45:29.34" personId="{424796EA-1615-479A-BB83-4627F0C1EBF2}" id="{37B5F79A-EE28-4647-BF4E-77F265C55814}">
    <text>Natuureffect: onderzoek nodig</text>
  </threadedComment>
  <threadedComment ref="L149" dT="2026-01-14T07:45:39.27" personId="{424796EA-1615-479A-BB83-4627F0C1EBF2}" id="{04FBD01B-8B49-49FA-BC20-BCD5D5C28ACA}">
    <text>Natuureffect: onderzoek nodig</text>
  </threadedComment>
  <threadedComment ref="L171" dT="2026-01-14T07:47:20.50" personId="{424796EA-1615-479A-BB83-4627F0C1EBF2}" id="{20446FC8-A2D4-485A-9648-B7E79010CACD}">
    <text>Zorg dat de verlichting gericht is (kapje op de bovenkant)
Zorg dat de verlichting &lt; 2100 K is (oranje) tenzij dat vanuit veiligheid onmogelijk is</text>
  </threadedComment>
  <threadedComment ref="L172" dT="2026-01-14T07:47:20.50" personId="{424796EA-1615-479A-BB83-4627F0C1EBF2}" id="{C769FED0-73D0-4AF0-8A4C-DA74E26FFEAB}">
    <text>Zorg dat de verlichting gericht is (kapje op de bovenkant)
Zorg dat de verlichting &lt; 2100 K is (oranje) tenzij dat vanuit veiligheid onmogelijk is</text>
  </threadedComment>
  <threadedComment ref="L173" dT="2026-01-14T07:47:20.50" personId="{424796EA-1615-479A-BB83-4627F0C1EBF2}" id="{ECD3B2E6-3E66-4C45-85A9-037087F025D0}">
    <text>Zorg dat de verlichting gericht is (kapje op de bovenkant)
Zorg dat de verlichting &lt; 2100 K is (oranje) tenzij dat vanuit veiligheid onmogelijk is</text>
  </threadedComment>
  <threadedComment ref="L174" dT="2026-01-14T07:47:20.50" personId="{424796EA-1615-479A-BB83-4627F0C1EBF2}" id="{55F5FC8A-7C15-46E4-8F2A-222251FB5D73}">
    <text>Zorg dat de verlichting gericht is (kapje op de bovenkant)
Zorg dat de verlichting &lt; 2100 K is (oranje) tenzij dat vanuit veiligheid onmogelijk is</text>
  </threadedComment>
  <threadedComment ref="L176" dT="2026-01-14T07:44:45.05" personId="{424796EA-1615-479A-BB83-4627F0C1EBF2}" id="{5890C8FE-4308-4A6B-BF6C-0FCD4BE8822C}">
    <text xml:space="preserve">Natuureffect: onderzoek nodig
Indien zonnepanelen stroom opwekken die tot doel hebben om gebruikt te worden voor niet militaire doeleinden of levering buiten het complex waar zij geplaatst worden. </text>
  </threadedComment>
</ThreadedComments>
</file>

<file path=xl/threadedComments/threadedComment2.xml><?xml version="1.0" encoding="utf-8"?>
<ThreadedComments xmlns="http://schemas.microsoft.com/office/spreadsheetml/2018/threadedcomments" xmlns:x="http://schemas.openxmlformats.org/spreadsheetml/2006/main">
  <threadedComment ref="G61" dT="2026-01-14T07:45:29.34" personId="{424796EA-1615-479A-BB83-4627F0C1EBF2}" id="{3FFFF82C-4447-4DCB-B7F7-650260B1624F}">
    <text>Natuureffect: onderzoek nodig</text>
  </threadedComment>
  <threadedComment ref="G62" dT="2026-01-14T07:45:29.34" personId="{424796EA-1615-479A-BB83-4627F0C1EBF2}" id="{6401E335-E41B-4A5B-B008-A605C43CAD7F}">
    <text>Natuureffect: onderzoek nodig</text>
  </threadedComment>
  <threadedComment ref="G63" dT="2026-01-14T07:45:29.34" personId="{424796EA-1615-479A-BB83-4627F0C1EBF2}" id="{1ECFD5CA-09F2-4085-9878-1AB09AE55746}">
    <text>Natuureffect: onderzoek nodig</text>
  </threadedComment>
  <threadedComment ref="G64" dT="2026-01-14T07:45:29.34" personId="{424796EA-1615-479A-BB83-4627F0C1EBF2}" id="{8C3247CB-E109-4BD2-9A8C-1B1532F59678}">
    <text>Natuureffect: onderzoek nodig</text>
  </threadedComment>
  <threadedComment ref="G65" dT="2026-01-14T07:45:29.34" personId="{424796EA-1615-479A-BB83-4627F0C1EBF2}" id="{F1EBE965-3749-47F5-9940-AEC6EFC77992}">
    <text>Natuureffect: onderzoek nodig</text>
  </threadedComment>
  <threadedComment ref="G66" dT="2026-01-14T07:45:29.34" personId="{424796EA-1615-479A-BB83-4627F0C1EBF2}" id="{6586BE23-E00A-49EE-A95F-0944A7E4D3E4}">
    <text>Natuureffect: onderzoek nodig</text>
  </threadedComment>
  <threadedComment ref="G67" dT="2026-01-14T07:45:39.27" personId="{424796EA-1615-479A-BB83-4627F0C1EBF2}" id="{2FA25583-3BFC-4340-B83A-6F060105F292}">
    <text>Natuureffect: onderzoek nodig</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www.rvo.nl/energiemaatregelen/fa1" TargetMode="External"/><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3.v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table" Target="../tables/table6.xml"/><Relationship Id="rId1" Type="http://schemas.openxmlformats.org/officeDocument/2006/relationships/vmlDrawing" Target="../drawings/vmlDrawing4.vml"/></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table" Target="../tables/table7.xml"/><Relationship Id="rId1" Type="http://schemas.openxmlformats.org/officeDocument/2006/relationships/vmlDrawing" Target="../drawings/vmlDrawing5.vml"/></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table" Target="../tables/table8.xml"/><Relationship Id="rId1" Type="http://schemas.openxmlformats.org/officeDocument/2006/relationships/vmlDrawing" Target="../drawings/vmlDrawing6.vml"/></Relationships>
</file>

<file path=xl/worksheets/_rels/sheet11.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table" Target="../tables/table9.xml"/><Relationship Id="rId1" Type="http://schemas.openxmlformats.org/officeDocument/2006/relationships/vmlDrawing" Target="../drawings/vmlDrawing7.vml"/></Relationships>
</file>

<file path=xl/worksheets/_rels/sheet1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table" Target="../tables/table10.xml"/><Relationship Id="rId1" Type="http://schemas.openxmlformats.org/officeDocument/2006/relationships/vmlDrawing" Target="../drawings/vmlDrawing8.vml"/></Relationships>
</file>

<file path=xl/worksheets/_rels/sheet13.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vmlDrawing" Target="../drawings/vmlDrawing9.vml"/><Relationship Id="rId1" Type="http://schemas.openxmlformats.org/officeDocument/2006/relationships/printerSettings" Target="../printerSettings/printerSettings5.bin"/><Relationship Id="rId4" Type="http://schemas.openxmlformats.org/officeDocument/2006/relationships/comments" Target="../comments9.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table" Target="../tables/table13.xml"/><Relationship Id="rId1" Type="http://schemas.openxmlformats.org/officeDocument/2006/relationships/table" Target="../tables/table12.xml"/></Relationships>
</file>

<file path=xl/worksheets/_rels/sheet15.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table" Target="../tables/table16.xml"/><Relationship Id="rId1" Type="http://schemas.openxmlformats.org/officeDocument/2006/relationships/table" Target="../tables/table15.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2.xml"/><Relationship Id="rId4"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B5345-08FE-4853-8BCB-7371F83B3EBB}">
  <sheetPr>
    <tabColor rgb="FFFFFF00"/>
  </sheetPr>
  <dimension ref="A5:D98"/>
  <sheetViews>
    <sheetView showGridLines="0" zoomScaleNormal="100" workbookViewId="0">
      <selection activeCell="A8" sqref="A8"/>
    </sheetView>
  </sheetViews>
  <sheetFormatPr defaultColWidth="8.85546875" defaultRowHeight="14.25" x14ac:dyDescent="0.2"/>
  <cols>
    <col min="1" max="1" width="40.5703125" style="147" customWidth="1"/>
    <col min="2" max="3" width="20.5703125" style="147" customWidth="1"/>
    <col min="4" max="4" width="66" style="147" customWidth="1"/>
    <col min="5" max="16384" width="8.85546875" style="147"/>
  </cols>
  <sheetData>
    <row r="5" spans="1:3" ht="24.75" x14ac:dyDescent="0.3">
      <c r="A5" s="146" t="s">
        <v>638</v>
      </c>
    </row>
    <row r="6" spans="1:3" ht="24.75" x14ac:dyDescent="0.3">
      <c r="A6" s="148" t="str">
        <f>CONCATENATE(B13,",",B14)</f>
        <v>Voorbeeld,Voorbeeld</v>
      </c>
    </row>
    <row r="8" spans="1:3" x14ac:dyDescent="0.2">
      <c r="A8" s="793" t="s">
        <v>1761</v>
      </c>
    </row>
    <row r="10" spans="1:3" x14ac:dyDescent="0.2">
      <c r="A10" s="147" t="s">
        <v>547</v>
      </c>
      <c r="B10" s="595" t="s">
        <v>1375</v>
      </c>
      <c r="C10" s="149"/>
    </row>
    <row r="11" spans="1:3" x14ac:dyDescent="0.2">
      <c r="A11" s="147" t="s">
        <v>548</v>
      </c>
      <c r="B11" s="595" t="s">
        <v>1375</v>
      </c>
      <c r="C11" s="149"/>
    </row>
    <row r="12" spans="1:3" x14ac:dyDescent="0.2">
      <c r="A12" s="147" t="s">
        <v>1187</v>
      </c>
      <c r="B12" s="595" t="s">
        <v>1375</v>
      </c>
      <c r="C12" s="149"/>
    </row>
    <row r="13" spans="1:3" x14ac:dyDescent="0.2">
      <c r="A13" s="147" t="s">
        <v>637</v>
      </c>
      <c r="B13" s="595" t="s">
        <v>1375</v>
      </c>
      <c r="C13" s="149"/>
    </row>
    <row r="14" spans="1:3" x14ac:dyDescent="0.2">
      <c r="A14" s="147" t="s">
        <v>549</v>
      </c>
      <c r="B14" s="595" t="s">
        <v>1375</v>
      </c>
      <c r="C14" s="149"/>
    </row>
    <row r="15" spans="1:3" x14ac:dyDescent="0.2">
      <c r="A15" s="147" t="s">
        <v>630</v>
      </c>
      <c r="B15" s="595" t="s">
        <v>1375</v>
      </c>
      <c r="C15" s="149"/>
    </row>
    <row r="16" spans="1:3" x14ac:dyDescent="0.2">
      <c r="A16" s="147" t="s">
        <v>631</v>
      </c>
      <c r="B16" s="595" t="s">
        <v>1375</v>
      </c>
      <c r="C16" s="149"/>
    </row>
    <row r="17" spans="1:3" x14ac:dyDescent="0.2">
      <c r="A17" s="147" t="s">
        <v>550</v>
      </c>
      <c r="B17" s="150">
        <v>1943</v>
      </c>
      <c r="C17" s="149"/>
    </row>
    <row r="18" spans="1:3" ht="15.75" x14ac:dyDescent="0.2">
      <c r="A18" s="147" t="s">
        <v>551</v>
      </c>
      <c r="B18" s="151">
        <v>636</v>
      </c>
    </row>
    <row r="19" spans="1:3" x14ac:dyDescent="0.2">
      <c r="A19" s="147" t="s">
        <v>552</v>
      </c>
      <c r="B19" s="149" t="s">
        <v>1376</v>
      </c>
      <c r="C19" s="149"/>
    </row>
    <row r="20" spans="1:3" x14ac:dyDescent="0.2">
      <c r="A20" s="147" t="s">
        <v>553</v>
      </c>
      <c r="B20" s="149"/>
      <c r="C20" s="149"/>
    </row>
    <row r="21" spans="1:3" x14ac:dyDescent="0.2">
      <c r="A21" s="147" t="s">
        <v>554</v>
      </c>
      <c r="B21" s="149"/>
      <c r="C21" s="149"/>
    </row>
    <row r="22" spans="1:3" x14ac:dyDescent="0.2">
      <c r="A22" s="147" t="s">
        <v>632</v>
      </c>
      <c r="B22" s="150">
        <v>3</v>
      </c>
    </row>
    <row r="23" spans="1:3" x14ac:dyDescent="0.2">
      <c r="A23" s="147" t="s">
        <v>555</v>
      </c>
      <c r="B23" s="149" t="s">
        <v>776</v>
      </c>
    </row>
    <row r="24" spans="1:3" x14ac:dyDescent="0.2">
      <c r="A24" s="147" t="s">
        <v>643</v>
      </c>
      <c r="B24" s="307">
        <v>100000</v>
      </c>
      <c r="C24" s="161" t="s">
        <v>644</v>
      </c>
    </row>
    <row r="25" spans="1:3" x14ac:dyDescent="0.2">
      <c r="A25" s="147" t="s">
        <v>647</v>
      </c>
      <c r="B25" s="307"/>
      <c r="C25" s="161" t="s">
        <v>650</v>
      </c>
    </row>
    <row r="26" spans="1:3" ht="28.5" x14ac:dyDescent="0.2">
      <c r="A26" s="298" t="s">
        <v>645</v>
      </c>
      <c r="B26" s="307"/>
      <c r="C26" s="169" t="s">
        <v>651</v>
      </c>
    </row>
    <row r="27" spans="1:3" x14ac:dyDescent="0.2">
      <c r="A27" s="147" t="s">
        <v>648</v>
      </c>
      <c r="B27" s="150" t="str">
        <f>IF(B17&gt;=1993,"Asbest vrij op basis bouwjaar",IF(B28=NOT(ISBLANK(B28)),"Niet beschikbaar","Beschikbaar"))</f>
        <v>Niet beschikbaar</v>
      </c>
      <c r="C27" s="161"/>
    </row>
    <row r="28" spans="1:3" x14ac:dyDescent="0.2">
      <c r="A28" s="147" t="s">
        <v>649</v>
      </c>
      <c r="B28" s="167"/>
      <c r="C28" s="161"/>
    </row>
    <row r="29" spans="1:3" x14ac:dyDescent="0.2">
      <c r="A29" s="147" t="s">
        <v>676</v>
      </c>
      <c r="B29" s="167" t="s">
        <v>677</v>
      </c>
      <c r="C29" s="161"/>
    </row>
    <row r="30" spans="1:3" x14ac:dyDescent="0.2">
      <c r="A30" s="147" t="s">
        <v>723</v>
      </c>
      <c r="B30" s="332">
        <f>ROUNDUP(B53/100000,0)</f>
        <v>0</v>
      </c>
      <c r="C30" s="161" t="s">
        <v>725</v>
      </c>
    </row>
    <row r="31" spans="1:3" x14ac:dyDescent="0.2">
      <c r="A31" s="147" t="s">
        <v>724</v>
      </c>
      <c r="B31" s="167"/>
      <c r="C31" s="161"/>
    </row>
    <row r="32" spans="1:3" x14ac:dyDescent="0.2">
      <c r="A32" s="147" t="s">
        <v>1178</v>
      </c>
      <c r="B32" s="167" t="s">
        <v>709</v>
      </c>
      <c r="C32" s="161"/>
    </row>
    <row r="33" spans="1:4" x14ac:dyDescent="0.2">
      <c r="A33" s="147" t="s">
        <v>1177</v>
      </c>
      <c r="B33" s="167" t="s">
        <v>709</v>
      </c>
      <c r="C33" s="161"/>
    </row>
    <row r="34" spans="1:4" x14ac:dyDescent="0.2">
      <c r="A34" s="147" t="s">
        <v>1186</v>
      </c>
      <c r="B34" s="531">
        <v>3</v>
      </c>
      <c r="C34" s="161"/>
    </row>
    <row r="36" spans="1:4" x14ac:dyDescent="0.2">
      <c r="A36" s="147" t="s">
        <v>634</v>
      </c>
      <c r="B36" s="792">
        <v>46260</v>
      </c>
    </row>
    <row r="37" spans="1:4" x14ac:dyDescent="0.2">
      <c r="A37" s="147" t="s">
        <v>635</v>
      </c>
      <c r="B37" s="793" t="s">
        <v>1371</v>
      </c>
    </row>
    <row r="38" spans="1:4" x14ac:dyDescent="0.2">
      <c r="A38" s="147" t="s">
        <v>1280</v>
      </c>
      <c r="B38" s="794" t="s">
        <v>1372</v>
      </c>
    </row>
    <row r="39" spans="1:4" x14ac:dyDescent="0.2">
      <c r="A39" s="147" t="s">
        <v>1281</v>
      </c>
      <c r="B39" s="794" t="s">
        <v>1373</v>
      </c>
    </row>
    <row r="40" spans="1:4" x14ac:dyDescent="0.2">
      <c r="A40" s="147" t="s">
        <v>1282</v>
      </c>
      <c r="B40" s="794" t="s">
        <v>1374</v>
      </c>
    </row>
    <row r="42" spans="1:4" x14ac:dyDescent="0.2">
      <c r="A42" s="147" t="s">
        <v>1760</v>
      </c>
      <c r="B42" s="167"/>
    </row>
    <row r="43" spans="1:4" x14ac:dyDescent="0.2">
      <c r="A43" s="147" t="s">
        <v>633</v>
      </c>
      <c r="B43" s="149"/>
    </row>
    <row r="44" spans="1:4" x14ac:dyDescent="0.2">
      <c r="A44" s="147" t="s">
        <v>556</v>
      </c>
      <c r="B44" s="149"/>
    </row>
    <row r="46" spans="1:4" ht="21" x14ac:dyDescent="0.2">
      <c r="A46" s="152" t="s">
        <v>557</v>
      </c>
      <c r="B46" s="153" t="s">
        <v>1759</v>
      </c>
      <c r="C46" s="726" t="s">
        <v>558</v>
      </c>
      <c r="D46" s="727"/>
    </row>
    <row r="47" spans="1:4" x14ac:dyDescent="0.2">
      <c r="A47" s="154" t="s">
        <v>559</v>
      </c>
      <c r="B47" s="155">
        <v>0</v>
      </c>
      <c r="C47" s="333"/>
      <c r="D47" s="334"/>
    </row>
    <row r="48" spans="1:4" x14ac:dyDescent="0.2">
      <c r="A48" s="154" t="s">
        <v>560</v>
      </c>
      <c r="B48" s="155">
        <f>SUM(B69:B83)</f>
        <v>0</v>
      </c>
      <c r="C48" s="333"/>
      <c r="D48" s="334"/>
    </row>
    <row r="49" spans="1:4" s="295" customFormat="1" x14ac:dyDescent="0.2">
      <c r="A49" s="293"/>
      <c r="B49" s="294">
        <f>0.6*(B47+B48)</f>
        <v>0</v>
      </c>
      <c r="C49" s="722"/>
      <c r="D49" s="723"/>
    </row>
    <row r="50" spans="1:4" x14ac:dyDescent="0.2">
      <c r="A50" s="156" t="s">
        <v>639</v>
      </c>
      <c r="B50" s="157">
        <f>SUM(B47:B49)</f>
        <v>0</v>
      </c>
      <c r="C50" s="728"/>
      <c r="D50" s="729"/>
    </row>
    <row r="51" spans="1:4" x14ac:dyDescent="0.2">
      <c r="A51" s="154" t="s">
        <v>561</v>
      </c>
      <c r="B51" s="155">
        <f>SUM(B85:B89)</f>
        <v>0</v>
      </c>
      <c r="C51" s="333"/>
      <c r="D51" s="334"/>
    </row>
    <row r="52" spans="1:4" s="295" customFormat="1" x14ac:dyDescent="0.2">
      <c r="A52" s="293"/>
      <c r="B52" s="294">
        <f>0.6*B51</f>
        <v>0</v>
      </c>
      <c r="C52" s="722"/>
      <c r="D52" s="723"/>
    </row>
    <row r="53" spans="1:4" x14ac:dyDescent="0.2">
      <c r="A53" s="156" t="s">
        <v>640</v>
      </c>
      <c r="B53" s="157">
        <f>SUM(B50:B52)</f>
        <v>0</v>
      </c>
      <c r="C53" s="724"/>
      <c r="D53" s="725"/>
    </row>
    <row r="54" spans="1:4" x14ac:dyDescent="0.2">
      <c r="A54" s="154" t="s">
        <v>562</v>
      </c>
      <c r="B54" s="155">
        <f>SUM(B91:B95)</f>
        <v>0</v>
      </c>
      <c r="C54" s="333"/>
      <c r="D54" s="334"/>
    </row>
    <row r="55" spans="1:4" s="295" customFormat="1" x14ac:dyDescent="0.2">
      <c r="A55" s="293"/>
      <c r="B55" s="294">
        <f>0.6*B54</f>
        <v>0</v>
      </c>
      <c r="C55" s="722"/>
      <c r="D55" s="723"/>
    </row>
    <row r="56" spans="1:4" x14ac:dyDescent="0.2">
      <c r="A56" s="156" t="s">
        <v>563</v>
      </c>
      <c r="B56" s="157">
        <f>SUM(B53:B55)</f>
        <v>0</v>
      </c>
      <c r="C56" s="157"/>
      <c r="D56" s="158"/>
    </row>
    <row r="58" spans="1:4" x14ac:dyDescent="0.2">
      <c r="A58" s="147" t="s">
        <v>564</v>
      </c>
      <c r="B58" s="159">
        <f>B53</f>
        <v>0</v>
      </c>
      <c r="C58" s="166"/>
    </row>
    <row r="60" spans="1:4" s="161" customFormat="1" ht="21" x14ac:dyDescent="0.15">
      <c r="A60" s="160" t="s">
        <v>557</v>
      </c>
      <c r="B60" s="154" t="s">
        <v>627</v>
      </c>
      <c r="C60" s="154" t="s">
        <v>727</v>
      </c>
      <c r="D60" s="160" t="s">
        <v>359</v>
      </c>
    </row>
    <row r="61" spans="1:4" s="161" customFormat="1" ht="10.5" x14ac:dyDescent="0.15">
      <c r="A61" s="162" t="s">
        <v>641</v>
      </c>
      <c r="B61" s="163"/>
      <c r="C61" s="163"/>
      <c r="D61" s="162"/>
    </row>
    <row r="62" spans="1:4" s="161" customFormat="1" ht="10.5" x14ac:dyDescent="0.15">
      <c r="A62" s="164" t="s">
        <v>565</v>
      </c>
      <c r="B62" s="165"/>
      <c r="C62" s="165"/>
      <c r="D62" s="164"/>
    </row>
    <row r="63" spans="1:4" s="161" customFormat="1" ht="10.5" x14ac:dyDescent="0.15">
      <c r="A63" s="154"/>
      <c r="B63" s="335">
        <v>0</v>
      </c>
      <c r="C63" s="521"/>
      <c r="D63" s="154"/>
    </row>
    <row r="64" spans="1:4" s="161" customFormat="1" ht="10.5" x14ac:dyDescent="0.15">
      <c r="A64" s="154"/>
      <c r="B64" s="335">
        <v>0</v>
      </c>
      <c r="C64" s="521"/>
      <c r="D64" s="154"/>
    </row>
    <row r="65" spans="1:4" s="161" customFormat="1" ht="10.5" x14ac:dyDescent="0.15">
      <c r="A65" s="154"/>
      <c r="B65" s="335">
        <v>0</v>
      </c>
      <c r="C65" s="521"/>
      <c r="D65" s="154"/>
    </row>
    <row r="66" spans="1:4" s="161" customFormat="1" ht="10.5" hidden="1" x14ac:dyDescent="0.15">
      <c r="A66" s="154"/>
      <c r="B66" s="335">
        <v>0</v>
      </c>
      <c r="C66" s="521"/>
      <c r="D66" s="154"/>
    </row>
    <row r="67" spans="1:4" s="161" customFormat="1" ht="10.5" hidden="1" x14ac:dyDescent="0.15">
      <c r="A67" s="154"/>
      <c r="B67" s="335">
        <v>0</v>
      </c>
      <c r="C67" s="521"/>
      <c r="D67" s="154"/>
    </row>
    <row r="68" spans="1:4" s="161" customFormat="1" ht="10.5" x14ac:dyDescent="0.15">
      <c r="A68" s="158" t="s">
        <v>566</v>
      </c>
      <c r="B68" s="157"/>
      <c r="C68" s="522"/>
      <c r="D68" s="158"/>
    </row>
    <row r="69" spans="1:4" s="161" customFormat="1" ht="10.5" x14ac:dyDescent="0.15">
      <c r="A69" s="154"/>
      <c r="B69" s="155">
        <f>IF(A69="",0,_xlfn.XLOOKUP(LEFT(A69,SEARCH(" ",A69)-1),MTRG[Code],MTRG[Aantal (EURO''s)],0))</f>
        <v>0</v>
      </c>
      <c r="C69" s="524" t="str">
        <f>IF(A69="","",_xlfn.XLOOKUP(LEFT(A69,SEARCH(" ",A69)-1),TInspectieTotaal[EML code],TInspectieTotaal[FUTP''s],""))</f>
        <v/>
      </c>
      <c r="D69" s="154"/>
    </row>
    <row r="70" spans="1:4" s="161" customFormat="1" ht="10.5" x14ac:dyDescent="0.15">
      <c r="A70" s="154"/>
      <c r="B70" s="155">
        <f>IF(A70="",0,_xlfn.XLOOKUP(LEFT(A70,SEARCH(" ",A70)-1),MTRG[Code],MTRG[Aantal (EURO''s)],0))</f>
        <v>0</v>
      </c>
      <c r="C70" s="524" t="str">
        <f>IF(A70="","",_xlfn.XLOOKUP(LEFT(A70,SEARCH(" ",A70)-1),TInspectieTotaal[EML code],TInspectieTotaal[FUTP''s],""))</f>
        <v/>
      </c>
      <c r="D70" s="154"/>
    </row>
    <row r="71" spans="1:4" s="161" customFormat="1" ht="10.5" x14ac:dyDescent="0.15">
      <c r="A71" s="154"/>
      <c r="B71" s="155">
        <f>IF(A71="",0,_xlfn.XLOOKUP(LEFT(A71,SEARCH(" ",A71)-1),MTRG[Code],MTRG[Aantal (EURO''s)],0))</f>
        <v>0</v>
      </c>
      <c r="C71" s="524" t="str">
        <f>IF(A71="","",_xlfn.XLOOKUP(LEFT(A71,SEARCH(" ",A71)-1),TInspectieTotaal[EML code],TInspectieTotaal[FUTP''s],""))</f>
        <v/>
      </c>
      <c r="D71" s="154"/>
    </row>
    <row r="72" spans="1:4" s="161" customFormat="1" ht="10.5" x14ac:dyDescent="0.15">
      <c r="A72" s="154"/>
      <c r="B72" s="155">
        <f>IF(A72="",0,_xlfn.XLOOKUP(LEFT(A72,SEARCH(" ",A72)-1),MTRG[Code],MTRG[Aantal (EURO''s)],0))</f>
        <v>0</v>
      </c>
      <c r="C72" s="524" t="str">
        <f>IF(A72="","",_xlfn.XLOOKUP(LEFT(A72,SEARCH(" ",A72)-1),TInspectieTotaal[EML code],TInspectieTotaal[FUTP''s],""))</f>
        <v/>
      </c>
      <c r="D72" s="154"/>
    </row>
    <row r="73" spans="1:4" s="161" customFormat="1" ht="10.5" x14ac:dyDescent="0.15">
      <c r="A73" s="154"/>
      <c r="B73" s="155">
        <f>IF(A73="",0,_xlfn.XLOOKUP(LEFT(A73,SEARCH(" ",A73)-1),MTRG[Code],MTRG[Aantal (EURO''s)],0))</f>
        <v>0</v>
      </c>
      <c r="C73" s="524" t="str">
        <f>IF(A73="","",_xlfn.XLOOKUP(LEFT(A73,SEARCH(" ",A73)-1),TInspectieTotaal[EML code],TInspectieTotaal[FUTP''s],""))</f>
        <v/>
      </c>
      <c r="D73" s="154"/>
    </row>
    <row r="74" spans="1:4" s="161" customFormat="1" ht="10.5" x14ac:dyDescent="0.15">
      <c r="A74" s="154"/>
      <c r="B74" s="155">
        <f>IF(A74="",0,_xlfn.XLOOKUP(LEFT(A74,SEARCH(" ",A74)-1),MTRG[Code],MTRG[Aantal (EURO''s)],0))</f>
        <v>0</v>
      </c>
      <c r="C74" s="524" t="str">
        <f>IF(A74="","",_xlfn.XLOOKUP(LEFT(A74,SEARCH(" ",A74)-1),TInspectieTotaal[EML code],TInspectieTotaal[FUTP''s],""))</f>
        <v/>
      </c>
      <c r="D74" s="154"/>
    </row>
    <row r="75" spans="1:4" s="161" customFormat="1" ht="10.5" x14ac:dyDescent="0.15">
      <c r="A75" s="154"/>
      <c r="B75" s="155">
        <f>IF(A75="",0,_xlfn.XLOOKUP(LEFT(A75,SEARCH(" ",A75)-1),MTRG[Code],MTRG[Aantal (EURO''s)],0))</f>
        <v>0</v>
      </c>
      <c r="C75" s="524" t="str">
        <f>IF(A75="","",_xlfn.XLOOKUP(LEFT(A75,SEARCH(" ",A75)-1),TInspectieTotaal[EML code],TInspectieTotaal[FUTP''s],""))</f>
        <v/>
      </c>
      <c r="D75" s="154"/>
    </row>
    <row r="76" spans="1:4" s="161" customFormat="1" ht="10.5" x14ac:dyDescent="0.15">
      <c r="A76" s="154"/>
      <c r="B76" s="155">
        <f>IF(A76="",0,_xlfn.XLOOKUP(LEFT(A76,SEARCH(" ",A76)-1),MTRG[Code],MTRG[Aantal (EURO''s)],0))</f>
        <v>0</v>
      </c>
      <c r="C76" s="524" t="str">
        <f>IF(A76="","",_xlfn.XLOOKUP(LEFT(A76,SEARCH(" ",A76)-1),TInspectieTotaal[EML code],TInspectieTotaal[FUTP''s],""))</f>
        <v/>
      </c>
      <c r="D76" s="154"/>
    </row>
    <row r="77" spans="1:4" s="161" customFormat="1" ht="10.5" x14ac:dyDescent="0.15">
      <c r="A77" s="154"/>
      <c r="B77" s="155">
        <f>IF(A77="",0,_xlfn.XLOOKUP(LEFT(A77,SEARCH(" ",A77)-1),MTRG[Code],MTRG[Aantal (EURO''s)],0))</f>
        <v>0</v>
      </c>
      <c r="C77" s="524" t="str">
        <f>IF(A77="","",_xlfn.XLOOKUP(LEFT(A77,SEARCH(" ",A77)-1),TInspectieTotaal[EML code],TInspectieTotaal[FUTP''s],""))</f>
        <v/>
      </c>
      <c r="D77" s="154"/>
    </row>
    <row r="78" spans="1:4" s="161" customFormat="1" ht="10.5" x14ac:dyDescent="0.15">
      <c r="A78" s="154"/>
      <c r="B78" s="155">
        <f>IF(A78="",0,_xlfn.XLOOKUP(LEFT(A78,SEARCH(" ",A78)-1),MTRG[Code],MTRG[Aantal (EURO''s)],0))</f>
        <v>0</v>
      </c>
      <c r="C78" s="524" t="str">
        <f>IF(A78="","",_xlfn.XLOOKUP(LEFT(A78,SEARCH(" ",A78)-1),TInspectieTotaal[EML code],TInspectieTotaal[FUTP''s],""))</f>
        <v/>
      </c>
      <c r="D78" s="154"/>
    </row>
    <row r="79" spans="1:4" s="161" customFormat="1" ht="10.5" x14ac:dyDescent="0.15">
      <c r="A79" s="154"/>
      <c r="B79" s="155">
        <f>IF(A79="",0,_xlfn.XLOOKUP(LEFT(A79,SEARCH(" ",A79)-1),MTRG[Code],MTRG[Aantal (EURO''s)],0))</f>
        <v>0</v>
      </c>
      <c r="C79" s="524" t="str">
        <f>IF(A79="","",_xlfn.XLOOKUP(LEFT(A79,SEARCH(" ",A79)-1),TInspectieTotaal[EML code],TInspectieTotaal[FUTP''s],""))</f>
        <v/>
      </c>
      <c r="D79" s="154"/>
    </row>
    <row r="80" spans="1:4" s="161" customFormat="1" ht="10.5" x14ac:dyDescent="0.15">
      <c r="A80" s="154"/>
      <c r="B80" s="155">
        <f>IF(A80="",0,_xlfn.XLOOKUP(LEFT(A80,SEARCH(" ",A80)-1),MTRG[Code],MTRG[Aantal (EURO''s)],0))</f>
        <v>0</v>
      </c>
      <c r="C80" s="524" t="str">
        <f>IF(A80="","",_xlfn.XLOOKUP(LEFT(A80,SEARCH(" ",A80)-1),TInspectieTotaal[EML code],TInspectieTotaal[FUTP''s],""))</f>
        <v/>
      </c>
      <c r="D80" s="154"/>
    </row>
    <row r="81" spans="1:4" s="161" customFormat="1" ht="10.5" x14ac:dyDescent="0.15">
      <c r="A81" s="154"/>
      <c r="B81" s="155">
        <f>IF(A81="",0,_xlfn.XLOOKUP(LEFT(A81,SEARCH(" ",A81)-1),MTRG[Code],MTRG[Aantal (EURO''s)],0))</f>
        <v>0</v>
      </c>
      <c r="C81" s="524" t="str">
        <f>IF(A81="","",_xlfn.XLOOKUP(LEFT(A81,SEARCH(" ",A81)-1),TInspectieTotaal[EML code],TInspectieTotaal[FUTP''s],""))</f>
        <v/>
      </c>
      <c r="D81" s="154"/>
    </row>
    <row r="82" spans="1:4" s="161" customFormat="1" ht="10.5" x14ac:dyDescent="0.15">
      <c r="A82" s="154"/>
      <c r="B82" s="155">
        <f>IF(A82="",0,_xlfn.XLOOKUP(LEFT(A82,SEARCH(" ",A82)-1),MTRG[Code],MTRG[Aantal (EURO''s)],0))</f>
        <v>0</v>
      </c>
      <c r="C82" s="524" t="str">
        <f>IF(A82="","",_xlfn.XLOOKUP(LEFT(A82,SEARCH(" ",A82)-1),TInspectieTotaal[EML code],TInspectieTotaal[FUTP''s],""))</f>
        <v/>
      </c>
      <c r="D82" s="154"/>
    </row>
    <row r="83" spans="1:4" s="161" customFormat="1" ht="10.5" x14ac:dyDescent="0.15">
      <c r="A83" s="154"/>
      <c r="B83" s="155">
        <f>IF(A83="",0,_xlfn.XLOOKUP(LEFT(A83,SEARCH(" ",A83)-1),MTRG[Code],MTRG[Aantal (EURO''s)],0))</f>
        <v>0</v>
      </c>
      <c r="C83" s="524" t="str">
        <f>IF(A83="","",_xlfn.XLOOKUP(LEFT(A83,SEARCH(" ",A83)-1),TInspectieTotaal[EML code],TInspectieTotaal[FUTP''s],""))</f>
        <v/>
      </c>
      <c r="D83" s="154"/>
    </row>
    <row r="84" spans="1:4" s="161" customFormat="1" ht="10.5" x14ac:dyDescent="0.15">
      <c r="A84" s="152" t="s">
        <v>561</v>
      </c>
      <c r="B84" s="153"/>
      <c r="C84" s="523"/>
      <c r="D84" s="152"/>
    </row>
    <row r="85" spans="1:4" s="161" customFormat="1" ht="10.5" x14ac:dyDescent="0.15">
      <c r="A85" s="154"/>
      <c r="B85" s="155"/>
      <c r="C85" s="521"/>
      <c r="D85" s="154"/>
    </row>
    <row r="86" spans="1:4" s="161" customFormat="1" ht="10.5" x14ac:dyDescent="0.15">
      <c r="A86" s="154"/>
      <c r="B86" s="155"/>
      <c r="C86" s="521"/>
      <c r="D86" s="154"/>
    </row>
    <row r="87" spans="1:4" s="161" customFormat="1" ht="10.5" x14ac:dyDescent="0.15">
      <c r="A87" s="154"/>
      <c r="B87" s="155"/>
      <c r="C87" s="521"/>
      <c r="D87" s="154"/>
    </row>
    <row r="88" spans="1:4" s="161" customFormat="1" ht="10.5" x14ac:dyDescent="0.15">
      <c r="A88" s="154"/>
      <c r="B88" s="155"/>
      <c r="C88" s="521"/>
      <c r="D88" s="154"/>
    </row>
    <row r="89" spans="1:4" s="161" customFormat="1" ht="10.5" x14ac:dyDescent="0.15">
      <c r="A89" s="154"/>
      <c r="B89" s="155"/>
      <c r="C89" s="521"/>
      <c r="D89" s="154"/>
    </row>
    <row r="90" spans="1:4" s="161" customFormat="1" ht="10.5" x14ac:dyDescent="0.15">
      <c r="A90" s="152" t="s">
        <v>562</v>
      </c>
      <c r="B90" s="153"/>
      <c r="C90" s="523"/>
      <c r="D90" s="152"/>
    </row>
    <row r="91" spans="1:4" s="161" customFormat="1" ht="10.5" x14ac:dyDescent="0.15">
      <c r="A91" s="154" t="str" cm="1">
        <f t="array" ref="A91">_xlfn._xlws.FILTER(MTRG[Code]&amp; " - " &amp; MTRG[Maatregel],(MTRG[Voorstel RVB uitvoering]="NM")*(MTRG[Aantal (EURO''s)]&gt;1),"")</f>
        <v/>
      </c>
      <c r="B91" s="155">
        <f>IF(A91="",0,_xlfn.XLOOKUP(LEFT(A91,SEARCH(" ",A91)-1),MTRG[Code],MTRG[Aantal (EURO''s)],0))</f>
        <v>0</v>
      </c>
      <c r="C91" s="524" t="str">
        <f>IF(A91="","",_xlfn.XLOOKUP(LEFT(A91,SEARCH(" ",A91)-1),TInspectieTotaal[EML code],TInspectieTotaal[FUTP''s],""))</f>
        <v/>
      </c>
      <c r="D91" s="154"/>
    </row>
    <row r="92" spans="1:4" s="161" customFormat="1" ht="10.5" x14ac:dyDescent="0.15">
      <c r="A92" s="154"/>
      <c r="B92" s="155">
        <f>IF(A92="",0,_xlfn.XLOOKUP(LEFT(A92,SEARCH(" ",A92)-1),MTRG[Code],MTRG[Aantal (EURO''s)],0))</f>
        <v>0</v>
      </c>
      <c r="C92" s="524" t="str">
        <f>IF(A92="","",_xlfn.XLOOKUP(LEFT(A92,SEARCH(" ",A92)-1),TInspectieTotaal[EML code],TInspectieTotaal[FUTP''s],""))</f>
        <v/>
      </c>
      <c r="D92" s="154"/>
    </row>
    <row r="93" spans="1:4" s="161" customFormat="1" ht="10.5" x14ac:dyDescent="0.15">
      <c r="A93" s="154"/>
      <c r="B93" s="155">
        <f>IF(A93="",0,_xlfn.XLOOKUP(LEFT(A93,SEARCH(" ",A93)-1),MTRG[Code],MTRG[Aantal (EURO''s)],0))</f>
        <v>0</v>
      </c>
      <c r="C93" s="524" t="str">
        <f>IF(A93="","",_xlfn.XLOOKUP(LEFT(A93,SEARCH(" ",A93)-1),TInspectieTotaal[EML code],TInspectieTotaal[FUTP''s],""))</f>
        <v/>
      </c>
      <c r="D93" s="154"/>
    </row>
    <row r="94" spans="1:4" s="161" customFormat="1" ht="10.5" x14ac:dyDescent="0.15">
      <c r="A94" s="154"/>
      <c r="B94" s="155">
        <f>IF(A94="",0,_xlfn.XLOOKUP(LEFT(A94,SEARCH(" ",A94)-1),MTRG[Code],MTRG[Aantal (EURO''s)],0))</f>
        <v>0</v>
      </c>
      <c r="C94" s="524" t="str">
        <f>IF(A94="","",_xlfn.XLOOKUP(LEFT(A94,SEARCH(" ",A94)-1),TInspectieTotaal[EML code],TInspectieTotaal[FUTP''s],""))</f>
        <v/>
      </c>
      <c r="D94" s="154"/>
    </row>
    <row r="95" spans="1:4" s="161" customFormat="1" ht="10.5" x14ac:dyDescent="0.15">
      <c r="A95" s="154"/>
      <c r="B95" s="155">
        <f>IF(A95="",0,_xlfn.XLOOKUP(LEFT(A95,SEARCH(" ",A95)-1),MTRG[Code],MTRG[Aantal (EURO''s)],0))</f>
        <v>0</v>
      </c>
      <c r="C95" s="524" t="str">
        <f>IF(A95="","",_xlfn.XLOOKUP(LEFT(A95,SEARCH(" ",A95)-1),TInspectieTotaal[EML code],TInspectieTotaal[FUTP''s],""))</f>
        <v/>
      </c>
      <c r="D95" s="154"/>
    </row>
    <row r="97" spans="1:1" x14ac:dyDescent="0.2">
      <c r="A97" s="296"/>
    </row>
    <row r="98" spans="1:1" x14ac:dyDescent="0.2">
      <c r="A98" s="297"/>
    </row>
  </sheetData>
  <mergeCells count="6">
    <mergeCell ref="C52:D52"/>
    <mergeCell ref="C53:D53"/>
    <mergeCell ref="C55:D55"/>
    <mergeCell ref="C46:D46"/>
    <mergeCell ref="C49:D49"/>
    <mergeCell ref="C50:D5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04F2C-C5CF-48AF-836E-B4FA2A299F97}">
  <sheetPr codeName="Blad1">
    <tabColor rgb="FFFFFF00"/>
  </sheetPr>
  <dimension ref="A2:X224"/>
  <sheetViews>
    <sheetView showGridLines="0" topLeftCell="A28" zoomScale="70" zoomScaleNormal="70" workbookViewId="0">
      <pane xSplit="7" ySplit="15" topLeftCell="H117" activePane="bottomRight" state="frozen"/>
      <selection activeCell="A28" sqref="A28"/>
      <selection pane="topRight" activeCell="H28" sqref="H28"/>
      <selection pane="bottomLeft" activeCell="A43" sqref="A43"/>
      <selection pane="bottomRight" activeCell="T230" sqref="T230"/>
    </sheetView>
  </sheetViews>
  <sheetFormatPr defaultRowHeight="15" x14ac:dyDescent="0.25"/>
  <cols>
    <col min="1" max="1" width="2.5703125" customWidth="1"/>
    <col min="2" max="2" width="14.140625" style="5" bestFit="1" customWidth="1"/>
    <col min="3" max="3" width="8.140625" style="5" bestFit="1" customWidth="1"/>
    <col min="4" max="4" width="28.5703125" style="5" customWidth="1"/>
    <col min="5" max="5" width="87" style="6" customWidth="1"/>
    <col min="6" max="6" width="20.140625" style="5" hidden="1" customWidth="1"/>
    <col min="7" max="7" width="31.5703125" style="5" hidden="1" customWidth="1"/>
    <col min="8" max="8" width="10.5703125" style="5" customWidth="1"/>
    <col min="9" max="9" width="18.42578125" style="5" hidden="1" customWidth="1"/>
    <col min="10" max="10" width="90.5703125" style="6" customWidth="1"/>
    <col min="11" max="13" width="11.5703125" style="85" customWidth="1"/>
    <col min="14" max="18" width="10.5703125" style="115" customWidth="1"/>
    <col min="19" max="19" width="9.42578125" style="111" bestFit="1" customWidth="1"/>
    <col min="20" max="23" width="4.5703125" style="111" customWidth="1"/>
    <col min="24" max="39" width="9.42578125" bestFit="1" customWidth="1"/>
  </cols>
  <sheetData>
    <row r="2" spans="1:19" ht="26.25" x14ac:dyDescent="0.25">
      <c r="B2" s="4" t="s">
        <v>165</v>
      </c>
      <c r="C2" s="4"/>
    </row>
    <row r="4" spans="1:19" ht="38.450000000000003" customHeight="1" x14ac:dyDescent="0.25">
      <c r="B4" s="7" t="s">
        <v>350</v>
      </c>
      <c r="C4" s="8"/>
      <c r="D4" s="9"/>
      <c r="K4" s="5"/>
      <c r="L4" s="5"/>
      <c r="M4" s="5"/>
      <c r="N4" s="5"/>
      <c r="O4" s="5"/>
      <c r="P4" s="5"/>
      <c r="Q4" s="5"/>
      <c r="R4" s="5"/>
      <c r="S4" s="85"/>
    </row>
    <row r="5" spans="1:19" x14ac:dyDescent="0.25">
      <c r="B5" s="10" t="s">
        <v>1</v>
      </c>
      <c r="C5" s="11"/>
      <c r="D5" s="12" t="str">
        <f>Advies!B10</f>
        <v>Voorbeeld</v>
      </c>
      <c r="K5" s="5"/>
      <c r="L5" s="5"/>
      <c r="M5" s="5"/>
      <c r="N5" s="5"/>
      <c r="O5" s="5"/>
      <c r="P5" s="5"/>
      <c r="Q5" s="5"/>
      <c r="R5" s="5"/>
      <c r="S5" s="85"/>
    </row>
    <row r="6" spans="1:19" x14ac:dyDescent="0.25">
      <c r="B6" s="13" t="s">
        <v>155</v>
      </c>
      <c r="C6" s="14"/>
      <c r="D6" s="15" t="str">
        <f>Advies!B11</f>
        <v>Voorbeeld</v>
      </c>
      <c r="K6" s="5"/>
      <c r="L6" s="5"/>
      <c r="M6" s="5"/>
      <c r="N6" s="5"/>
      <c r="O6" s="5"/>
      <c r="P6" s="5"/>
      <c r="Q6" s="5"/>
      <c r="R6" s="5"/>
      <c r="S6" s="85"/>
    </row>
    <row r="7" spans="1:19" x14ac:dyDescent="0.25">
      <c r="B7" s="13" t="s">
        <v>166</v>
      </c>
      <c r="C7" s="14"/>
      <c r="D7" s="15"/>
      <c r="K7" s="5"/>
      <c r="L7" s="5"/>
      <c r="M7" s="5"/>
      <c r="N7" s="5"/>
      <c r="O7" s="5"/>
      <c r="P7" s="5"/>
      <c r="Q7" s="5"/>
      <c r="R7" s="5"/>
      <c r="S7" s="85"/>
    </row>
    <row r="8" spans="1:19" x14ac:dyDescent="0.25">
      <c r="B8" s="16" t="s">
        <v>156</v>
      </c>
      <c r="C8" s="14"/>
      <c r="D8" s="15" t="str">
        <f>Advies!B14</f>
        <v>Voorbeeld</v>
      </c>
      <c r="K8" s="5"/>
      <c r="L8" s="5"/>
      <c r="M8" s="5"/>
      <c r="N8" s="5"/>
      <c r="O8" s="5"/>
      <c r="P8" s="5"/>
      <c r="Q8" s="5"/>
      <c r="R8" s="5"/>
      <c r="S8" s="85"/>
    </row>
    <row r="9" spans="1:19" x14ac:dyDescent="0.25">
      <c r="B9" s="16" t="s">
        <v>157</v>
      </c>
      <c r="C9" s="14"/>
      <c r="D9" s="15" t="str">
        <f>Advies!B15</f>
        <v>Voorbeeld</v>
      </c>
      <c r="K9" s="5"/>
      <c r="L9" s="5"/>
      <c r="M9" s="5"/>
      <c r="N9" s="5"/>
      <c r="O9" s="5"/>
      <c r="P9" s="5"/>
      <c r="Q9" s="5"/>
      <c r="R9" s="5"/>
      <c r="S9" s="85"/>
    </row>
    <row r="10" spans="1:19" x14ac:dyDescent="0.25">
      <c r="B10" s="16" t="s">
        <v>3</v>
      </c>
      <c r="C10" s="14"/>
      <c r="D10" s="15" t="str">
        <f>Advies!B16</f>
        <v>Voorbeeld</v>
      </c>
      <c r="K10" s="5"/>
      <c r="L10" s="5"/>
      <c r="M10" s="5"/>
      <c r="N10" s="5"/>
      <c r="O10" s="5"/>
      <c r="P10" s="5"/>
      <c r="Q10" s="5"/>
      <c r="R10" s="5"/>
      <c r="S10" s="85"/>
    </row>
    <row r="11" spans="1:19" x14ac:dyDescent="0.25">
      <c r="B11" s="17" t="s">
        <v>349</v>
      </c>
      <c r="C11" s="18"/>
      <c r="D11" s="19" t="s">
        <v>629</v>
      </c>
      <c r="K11" s="5"/>
      <c r="L11" s="5"/>
      <c r="M11" s="5"/>
      <c r="N11" s="5"/>
      <c r="O11" s="5"/>
      <c r="P11" s="5"/>
      <c r="Q11" s="5"/>
      <c r="R11" s="5"/>
      <c r="S11" s="85"/>
    </row>
    <row r="12" spans="1:19" x14ac:dyDescent="0.25">
      <c r="A12" s="1"/>
      <c r="K12" s="5"/>
      <c r="L12" s="5"/>
      <c r="M12" s="5"/>
      <c r="N12" s="5"/>
      <c r="O12" s="5"/>
      <c r="P12" s="5"/>
      <c r="Q12" s="5"/>
      <c r="R12" s="5"/>
      <c r="S12" s="85"/>
    </row>
    <row r="13" spans="1:19" x14ac:dyDescent="0.25">
      <c r="B13" s="7" t="s">
        <v>351</v>
      </c>
      <c r="C13" s="8"/>
      <c r="D13" s="9"/>
      <c r="K13" s="5"/>
      <c r="L13" s="5"/>
      <c r="M13" s="5"/>
      <c r="N13" s="5"/>
      <c r="O13" s="5"/>
      <c r="P13" s="5"/>
      <c r="Q13" s="5"/>
      <c r="R13" s="5"/>
      <c r="S13" s="85"/>
    </row>
    <row r="14" spans="1:19" x14ac:dyDescent="0.25">
      <c r="B14" s="20" t="s">
        <v>0</v>
      </c>
      <c r="C14" s="21"/>
      <c r="D14" s="22" t="str">
        <f>CONCATENATE(D5,".",D15)</f>
        <v>Voorbeeld.Voorbeeld</v>
      </c>
      <c r="K14" s="5"/>
      <c r="L14" s="5"/>
      <c r="M14" s="5"/>
      <c r="N14" s="5"/>
      <c r="O14" s="5"/>
      <c r="P14" s="5"/>
      <c r="Q14" s="5"/>
      <c r="R14" s="5"/>
      <c r="S14" s="85"/>
    </row>
    <row r="15" spans="1:19" x14ac:dyDescent="0.25">
      <c r="B15" s="16" t="s">
        <v>352</v>
      </c>
      <c r="C15" s="14"/>
      <c r="D15" s="15" t="str">
        <f>Advies!B12</f>
        <v>Voorbeeld</v>
      </c>
      <c r="K15" s="5"/>
      <c r="L15" s="5"/>
      <c r="M15" s="5"/>
      <c r="N15" s="5"/>
      <c r="O15" s="5"/>
      <c r="P15" s="5"/>
      <c r="Q15" s="5"/>
      <c r="R15" s="5"/>
      <c r="S15" s="85"/>
    </row>
    <row r="16" spans="1:19" x14ac:dyDescent="0.25">
      <c r="B16" s="16" t="s">
        <v>158</v>
      </c>
      <c r="D16" s="15">
        <f>Advies!B17</f>
        <v>1943</v>
      </c>
      <c r="K16" s="5"/>
      <c r="L16" s="5"/>
      <c r="M16" s="5"/>
      <c r="N16" s="5"/>
      <c r="O16" s="5"/>
      <c r="P16" s="5"/>
      <c r="Q16" s="5"/>
      <c r="R16" s="5"/>
      <c r="S16" s="85"/>
    </row>
    <row r="17" spans="1:19" x14ac:dyDescent="0.25">
      <c r="B17" s="16" t="s">
        <v>4</v>
      </c>
      <c r="D17" s="23">
        <f>Advies!B18</f>
        <v>636</v>
      </c>
      <c r="K17" s="5"/>
      <c r="L17" s="5"/>
      <c r="M17" s="5"/>
      <c r="N17" s="5"/>
      <c r="O17" s="5"/>
      <c r="P17" s="5"/>
      <c r="Q17" s="5"/>
      <c r="R17" s="5"/>
      <c r="S17" s="85"/>
    </row>
    <row r="18" spans="1:19" x14ac:dyDescent="0.25">
      <c r="B18" s="16" t="s">
        <v>159</v>
      </c>
      <c r="D18" s="15" t="str">
        <f>Advies!B19</f>
        <v>Kantoor</v>
      </c>
      <c r="K18" s="5"/>
      <c r="L18" s="5"/>
      <c r="M18" s="5"/>
      <c r="N18" s="5"/>
      <c r="O18" s="5"/>
      <c r="P18" s="5"/>
      <c r="Q18" s="5"/>
      <c r="R18" s="5"/>
      <c r="S18" s="85"/>
    </row>
    <row r="19" spans="1:19" x14ac:dyDescent="0.25">
      <c r="B19" s="16" t="s">
        <v>2</v>
      </c>
      <c r="D19" s="15">
        <f>Advies!B20</f>
        <v>0</v>
      </c>
      <c r="K19" s="5"/>
      <c r="L19" s="5"/>
      <c r="M19" s="5"/>
      <c r="N19" s="5"/>
      <c r="O19" s="5"/>
      <c r="P19" s="5"/>
      <c r="Q19" s="5"/>
      <c r="R19" s="5"/>
      <c r="S19" s="85"/>
    </row>
    <row r="20" spans="1:19" x14ac:dyDescent="0.25">
      <c r="B20" s="16" t="s">
        <v>353</v>
      </c>
      <c r="D20" s="15">
        <f>Advies!B21</f>
        <v>0</v>
      </c>
      <c r="K20" s="5"/>
      <c r="L20" s="5"/>
      <c r="M20" s="5"/>
      <c r="N20" s="5"/>
      <c r="O20" s="5"/>
      <c r="P20" s="5"/>
      <c r="Q20" s="5"/>
      <c r="R20" s="5"/>
      <c r="S20" s="85"/>
    </row>
    <row r="21" spans="1:19" x14ac:dyDescent="0.25">
      <c r="B21" s="17" t="s">
        <v>5</v>
      </c>
      <c r="C21" s="24"/>
      <c r="D21" s="19">
        <f>Advies!B22</f>
        <v>3</v>
      </c>
      <c r="K21" s="5"/>
      <c r="L21" s="5"/>
      <c r="M21" s="5"/>
      <c r="N21" s="5"/>
      <c r="O21" s="5"/>
      <c r="P21" s="5"/>
      <c r="Q21" s="5"/>
      <c r="R21" s="5"/>
      <c r="S21" s="85"/>
    </row>
    <row r="22" spans="1:19" x14ac:dyDescent="0.25">
      <c r="A22" s="1"/>
      <c r="K22" s="5"/>
      <c r="L22" s="5"/>
      <c r="M22" s="5"/>
      <c r="N22" s="5"/>
      <c r="O22" s="5"/>
      <c r="P22" s="5"/>
      <c r="Q22" s="5"/>
      <c r="R22" s="5"/>
      <c r="S22" s="85"/>
    </row>
    <row r="23" spans="1:19" x14ac:dyDescent="0.25">
      <c r="A23" s="1"/>
      <c r="B23" s="7" t="s">
        <v>356</v>
      </c>
      <c r="C23" s="8"/>
      <c r="D23" s="9"/>
      <c r="K23" s="5"/>
      <c r="L23" s="5"/>
      <c r="M23" s="5"/>
      <c r="N23" s="5"/>
      <c r="O23" s="5"/>
      <c r="P23" s="5"/>
      <c r="Q23" s="5"/>
      <c r="R23" s="5"/>
      <c r="S23" s="85"/>
    </row>
    <row r="24" spans="1:19" x14ac:dyDescent="0.25">
      <c r="A24" s="1"/>
      <c r="B24" s="20" t="s">
        <v>361</v>
      </c>
      <c r="C24" s="21"/>
      <c r="D24" s="25">
        <f>Advies!B36</f>
        <v>46260</v>
      </c>
      <c r="K24" s="5"/>
      <c r="L24" s="5"/>
      <c r="M24" s="5"/>
      <c r="N24" s="5"/>
      <c r="O24" s="5"/>
      <c r="P24" s="5"/>
      <c r="Q24" s="5"/>
      <c r="R24" s="5"/>
      <c r="S24" s="85"/>
    </row>
    <row r="25" spans="1:19" x14ac:dyDescent="0.25">
      <c r="A25" s="1"/>
      <c r="B25" s="16" t="s">
        <v>363</v>
      </c>
      <c r="C25" s="14"/>
      <c r="D25" s="26" t="str">
        <f>Advies!B37</f>
        <v>Naam bedrijf</v>
      </c>
      <c r="K25" s="5"/>
      <c r="L25" s="5"/>
      <c r="M25" s="5"/>
      <c r="N25" s="5"/>
      <c r="O25" s="5"/>
      <c r="P25" s="5"/>
      <c r="Q25" s="5"/>
      <c r="R25" s="5"/>
      <c r="S25" s="85"/>
    </row>
    <row r="26" spans="1:19" x14ac:dyDescent="0.25">
      <c r="A26" s="1"/>
      <c r="B26" s="17" t="s">
        <v>362</v>
      </c>
      <c r="C26" s="18"/>
      <c r="D26" s="27" t="str">
        <f>Advies!B40</f>
        <v>Hugo</v>
      </c>
      <c r="K26" s="5"/>
      <c r="L26" s="5"/>
      <c r="M26" s="5"/>
      <c r="N26" s="5"/>
      <c r="O26" s="5"/>
      <c r="P26" s="5"/>
      <c r="Q26" s="5"/>
      <c r="R26" s="5"/>
      <c r="S26" s="85"/>
    </row>
    <row r="27" spans="1:19" x14ac:dyDescent="0.25">
      <c r="A27" s="3"/>
      <c r="B27" s="28"/>
      <c r="C27" s="28"/>
      <c r="D27" s="28"/>
      <c r="K27" s="5"/>
      <c r="L27" s="5"/>
      <c r="M27" s="5"/>
      <c r="N27" s="5"/>
      <c r="O27" s="5"/>
      <c r="P27" s="5"/>
      <c r="Q27" s="5"/>
      <c r="R27" s="5"/>
      <c r="S27" s="85"/>
    </row>
    <row r="28" spans="1:19" x14ac:dyDescent="0.25">
      <c r="A28" s="1"/>
      <c r="B28" s="7" t="s">
        <v>365</v>
      </c>
      <c r="C28" s="8"/>
      <c r="D28" s="8"/>
      <c r="K28" s="5"/>
      <c r="L28" s="5"/>
      <c r="M28" s="5"/>
      <c r="N28" s="5"/>
      <c r="O28" s="5"/>
      <c r="P28" s="5"/>
      <c r="Q28" s="5"/>
      <c r="R28" s="5"/>
      <c r="S28" s="85"/>
    </row>
    <row r="29" spans="1:19" x14ac:dyDescent="0.25">
      <c r="A29" s="1"/>
      <c r="B29" s="30" t="s">
        <v>163</v>
      </c>
      <c r="C29" s="15" t="s">
        <v>366</v>
      </c>
      <c r="D29" s="15"/>
      <c r="K29" s="5"/>
      <c r="L29" s="5"/>
      <c r="M29" s="5"/>
      <c r="N29" s="5"/>
      <c r="O29" s="5"/>
      <c r="P29" s="5"/>
      <c r="Q29" s="5"/>
      <c r="R29" s="5"/>
      <c r="S29" s="85"/>
    </row>
    <row r="30" spans="1:19" x14ac:dyDescent="0.25">
      <c r="A30" s="1"/>
      <c r="B30" s="31" t="s">
        <v>370</v>
      </c>
      <c r="C30" s="15" t="s">
        <v>371</v>
      </c>
      <c r="D30" s="15"/>
      <c r="J30" s="632"/>
      <c r="K30" s="5"/>
      <c r="L30" s="5"/>
      <c r="M30" s="5"/>
      <c r="N30" s="5"/>
      <c r="O30" s="5"/>
      <c r="P30" s="5"/>
      <c r="Q30" s="5"/>
      <c r="R30" s="5"/>
      <c r="S30" s="85"/>
    </row>
    <row r="31" spans="1:19" x14ac:dyDescent="0.25">
      <c r="A31" s="1"/>
      <c r="B31" s="32" t="s">
        <v>164</v>
      </c>
      <c r="C31" s="15" t="s">
        <v>367</v>
      </c>
      <c r="D31" s="15"/>
      <c r="E31" s="29"/>
      <c r="H31" s="34"/>
      <c r="I31" s="34"/>
      <c r="J31" s="632"/>
      <c r="K31" s="34"/>
      <c r="L31" s="34"/>
      <c r="M31" s="34"/>
      <c r="N31" s="124"/>
      <c r="O31" s="124"/>
      <c r="P31" s="124"/>
      <c r="Q31" s="124"/>
      <c r="R31" s="124"/>
      <c r="S31" s="85"/>
    </row>
    <row r="32" spans="1:19" x14ac:dyDescent="0.25">
      <c r="A32" s="1"/>
      <c r="B32" s="32" t="s">
        <v>161</v>
      </c>
      <c r="C32" s="15" t="s">
        <v>374</v>
      </c>
      <c r="D32" s="15"/>
      <c r="E32" s="29"/>
      <c r="H32" s="34"/>
      <c r="I32" s="34"/>
      <c r="J32" s="633"/>
      <c r="K32" s="34"/>
      <c r="L32" s="34"/>
      <c r="M32" s="34"/>
      <c r="N32" s="124"/>
      <c r="O32" s="124"/>
      <c r="P32" s="124"/>
      <c r="Q32" s="124"/>
      <c r="R32" s="124"/>
      <c r="S32" s="85"/>
    </row>
    <row r="33" spans="1:24" x14ac:dyDescent="0.25">
      <c r="A33" s="1"/>
      <c r="B33" s="32" t="s">
        <v>368</v>
      </c>
      <c r="C33" s="15" t="s">
        <v>369</v>
      </c>
      <c r="D33" s="15"/>
      <c r="E33" s="29"/>
      <c r="H33" s="34"/>
      <c r="I33" s="34"/>
      <c r="J33" s="633"/>
      <c r="Q33" s="124"/>
      <c r="R33" s="124"/>
      <c r="S33" s="85"/>
    </row>
    <row r="34" spans="1:24" x14ac:dyDescent="0.25">
      <c r="A34" s="1"/>
      <c r="B34" s="32" t="s">
        <v>372</v>
      </c>
      <c r="C34" s="15" t="s">
        <v>373</v>
      </c>
      <c r="D34" s="15"/>
      <c r="E34" s="29"/>
      <c r="H34" s="34"/>
      <c r="I34" s="34"/>
      <c r="J34" s="633"/>
      <c r="Q34" s="124"/>
      <c r="R34" s="124"/>
      <c r="S34" s="85"/>
    </row>
    <row r="35" spans="1:24" x14ac:dyDescent="0.25">
      <c r="A35" s="1"/>
      <c r="B35" s="32" t="s">
        <v>162</v>
      </c>
      <c r="C35" s="15" t="s">
        <v>375</v>
      </c>
      <c r="D35" s="15"/>
      <c r="E35" s="29"/>
      <c r="H35" s="34"/>
      <c r="I35" s="34"/>
      <c r="J35" s="633"/>
      <c r="K35" s="114" t="s">
        <v>540</v>
      </c>
      <c r="L35" s="285"/>
      <c r="M35" s="144"/>
      <c r="N35" s="127"/>
      <c r="O35" s="126" t="s">
        <v>541</v>
      </c>
      <c r="P35" s="126"/>
      <c r="Q35" s="124"/>
      <c r="R35" s="124"/>
      <c r="S35" s="85"/>
    </row>
    <row r="36" spans="1:24" x14ac:dyDescent="0.25">
      <c r="A36" s="1"/>
      <c r="B36" s="32" t="s">
        <v>642</v>
      </c>
      <c r="C36" s="15" t="s">
        <v>358</v>
      </c>
      <c r="D36" s="15"/>
      <c r="E36" s="29"/>
      <c r="H36" s="34"/>
      <c r="I36" s="34"/>
      <c r="J36" s="633"/>
      <c r="K36" s="304" t="s">
        <v>538</v>
      </c>
      <c r="L36" s="305"/>
      <c r="M36" s="305"/>
      <c r="N36" s="306"/>
      <c r="O36" s="730">
        <f>SUMIF(MTRG[Voorstel RVB uitvoering],"ZM",MTRG[Aantal (EURO''s)])</f>
        <v>21840</v>
      </c>
      <c r="P36" s="730"/>
      <c r="Q36" s="124"/>
      <c r="R36" s="124"/>
      <c r="S36" s="85"/>
    </row>
    <row r="37" spans="1:24" x14ac:dyDescent="0.25">
      <c r="A37" s="1"/>
      <c r="B37" s="33" t="s">
        <v>160</v>
      </c>
      <c r="C37" s="19" t="s">
        <v>376</v>
      </c>
      <c r="D37" s="19"/>
      <c r="E37" s="29"/>
      <c r="H37" s="34"/>
      <c r="I37" s="34"/>
      <c r="J37" s="633"/>
      <c r="K37" s="304" t="s">
        <v>539</v>
      </c>
      <c r="L37" s="305"/>
      <c r="M37" s="305"/>
      <c r="N37" s="306"/>
      <c r="O37" s="730">
        <f>SUMIF(MTRG[Voorstel RVB uitvoering],"NM",MTRG[Aantal (EURO''s)])</f>
        <v>0</v>
      </c>
      <c r="P37" s="730"/>
      <c r="Q37" s="124"/>
      <c r="R37" s="124"/>
      <c r="S37" s="85"/>
    </row>
    <row r="38" spans="1:24" ht="15.75" thickBot="1" x14ac:dyDescent="0.3">
      <c r="A38" s="1"/>
      <c r="B38" s="34"/>
      <c r="C38" s="14"/>
      <c r="D38" s="14"/>
      <c r="E38" s="29"/>
      <c r="H38" s="34"/>
      <c r="I38" s="34"/>
      <c r="J38" s="633"/>
      <c r="Q38" s="124"/>
      <c r="R38" s="124"/>
      <c r="S38" s="85"/>
    </row>
    <row r="39" spans="1:24" ht="46.5" thickTop="1" thickBot="1" x14ac:dyDescent="0.3">
      <c r="A39" s="1"/>
      <c r="B39" s="4" t="s">
        <v>377</v>
      </c>
      <c r="H39" s="34" t="s">
        <v>364</v>
      </c>
      <c r="J39" s="633" t="s">
        <v>364</v>
      </c>
      <c r="K39" s="125" t="s">
        <v>364</v>
      </c>
      <c r="L39" s="302" t="s">
        <v>652</v>
      </c>
      <c r="Q39" s="124"/>
      <c r="R39" s="124"/>
      <c r="S39" s="85"/>
    </row>
    <row r="40" spans="1:24" ht="15" customHeight="1" thickTop="1" x14ac:dyDescent="0.25">
      <c r="A40" s="1"/>
      <c r="B40" s="4"/>
      <c r="H40" s="34"/>
      <c r="I40" s="34"/>
      <c r="J40" s="633"/>
      <c r="K40" s="34"/>
      <c r="L40" s="34"/>
      <c r="M40" s="34"/>
      <c r="N40" s="124"/>
      <c r="O40" s="124"/>
      <c r="P40" s="124"/>
      <c r="Q40" s="124"/>
      <c r="R40" s="124"/>
      <c r="S40" s="85"/>
    </row>
    <row r="41" spans="1:24" x14ac:dyDescent="0.25">
      <c r="B41" s="35" t="s">
        <v>167</v>
      </c>
      <c r="C41" s="36"/>
      <c r="D41" s="36"/>
      <c r="E41" s="37"/>
      <c r="F41" s="731" t="s">
        <v>354</v>
      </c>
      <c r="G41" s="732"/>
      <c r="H41" s="733" t="s">
        <v>356</v>
      </c>
      <c r="I41" s="734"/>
      <c r="J41" s="634"/>
      <c r="K41" s="303"/>
      <c r="L41" s="286"/>
      <c r="M41" s="143"/>
      <c r="N41" s="733"/>
      <c r="O41" s="734"/>
      <c r="P41" s="733"/>
      <c r="Q41" s="734"/>
      <c r="R41" s="118"/>
      <c r="S41" s="85"/>
    </row>
    <row r="42" spans="1:24" ht="60" customHeight="1" x14ac:dyDescent="0.25">
      <c r="B42" s="38" t="s">
        <v>322</v>
      </c>
      <c r="C42" s="39" t="s">
        <v>168</v>
      </c>
      <c r="D42" s="39" t="s">
        <v>169</v>
      </c>
      <c r="E42" s="40" t="s">
        <v>170</v>
      </c>
      <c r="F42" s="86" t="s">
        <v>348</v>
      </c>
      <c r="G42" s="39" t="s">
        <v>355</v>
      </c>
      <c r="H42" s="40" t="s">
        <v>1174</v>
      </c>
      <c r="I42" s="39" t="s">
        <v>357</v>
      </c>
      <c r="J42" s="635" t="s">
        <v>359</v>
      </c>
      <c r="K42" s="287" t="s">
        <v>1175</v>
      </c>
      <c r="L42" s="287" t="s">
        <v>646</v>
      </c>
      <c r="M42" s="288" t="s">
        <v>1176</v>
      </c>
      <c r="N42" s="141" t="s">
        <v>378</v>
      </c>
      <c r="O42" s="142" t="s">
        <v>380</v>
      </c>
      <c r="P42" s="142" t="s">
        <v>381</v>
      </c>
      <c r="Q42" s="142" t="s">
        <v>382</v>
      </c>
      <c r="R42" s="142" t="s">
        <v>383</v>
      </c>
      <c r="S42" s="116"/>
      <c r="T42" s="116"/>
      <c r="U42" s="116"/>
      <c r="V42" s="116"/>
      <c r="W42" s="116"/>
      <c r="X42" s="85"/>
    </row>
    <row r="43" spans="1:24" s="2" customFormat="1" x14ac:dyDescent="0.25">
      <c r="B43" s="41" t="s">
        <v>320</v>
      </c>
      <c r="C43" s="42"/>
      <c r="D43" s="42"/>
      <c r="E43" s="43"/>
      <c r="F43" s="87"/>
      <c r="G43" s="42"/>
      <c r="H43" s="88"/>
      <c r="I43" s="89"/>
      <c r="J43" s="636" t="s">
        <v>397</v>
      </c>
      <c r="K43" s="289"/>
      <c r="L43" s="119"/>
      <c r="M43" s="145"/>
      <c r="N43" s="120"/>
      <c r="O43" s="140"/>
      <c r="P43" s="140"/>
      <c r="Q43" s="140" t="s">
        <v>379</v>
      </c>
      <c r="R43" s="140"/>
      <c r="S43" s="117"/>
      <c r="T43" s="117"/>
      <c r="U43" s="117"/>
      <c r="V43" s="117"/>
      <c r="W43" s="117"/>
      <c r="X43" s="90"/>
    </row>
    <row r="44" spans="1:24" s="2" customFormat="1" x14ac:dyDescent="0.25">
      <c r="B44" s="44"/>
      <c r="C44" s="45"/>
      <c r="D44" s="45" t="str">
        <f>D45</f>
        <v>Perslucht</v>
      </c>
      <c r="E44" s="292"/>
      <c r="F44" s="91"/>
      <c r="G44" s="45"/>
      <c r="H44" s="54"/>
      <c r="I44" s="128"/>
      <c r="J44" s="637"/>
      <c r="K44" s="289"/>
      <c r="L44" s="119"/>
      <c r="M44" s="145"/>
      <c r="N44" s="121"/>
      <c r="O44" s="139"/>
      <c r="P44" s="139"/>
      <c r="Q44" s="139" t="s">
        <v>379</v>
      </c>
      <c r="R44" s="139"/>
      <c r="S44" s="117"/>
      <c r="T44" s="117"/>
      <c r="U44" s="117"/>
      <c r="V44" s="117"/>
      <c r="W44" s="117"/>
      <c r="X44" s="90"/>
    </row>
    <row r="45" spans="1:24" x14ac:dyDescent="0.25">
      <c r="B45" s="46" t="s">
        <v>320</v>
      </c>
      <c r="C45" s="14" t="s">
        <v>6</v>
      </c>
      <c r="D45" s="21" t="s">
        <v>319</v>
      </c>
      <c r="E45" s="47" t="s">
        <v>171</v>
      </c>
      <c r="F45" s="92" t="s">
        <v>160</v>
      </c>
      <c r="G45" s="21">
        <v>0</v>
      </c>
      <c r="H45" s="93"/>
      <c r="I45" s="129">
        <f>SUMIFS(TInspectieTotaal[Aantal],TInspectieTotaal[EML code],MTRG[[#This Row],[Code]])</f>
        <v>0</v>
      </c>
      <c r="J45" s="638" t="s">
        <v>1589</v>
      </c>
      <c r="K45" s="289"/>
      <c r="L45" s="119"/>
      <c r="M45" s="145"/>
      <c r="N45" s="121"/>
      <c r="O45" s="112"/>
      <c r="P45" s="112"/>
      <c r="Q45" s="112"/>
      <c r="R45" s="112"/>
      <c r="S45" s="117"/>
      <c r="T45" s="117"/>
      <c r="U45" s="117"/>
      <c r="V45" s="117"/>
      <c r="W45" s="117"/>
      <c r="X45" s="85"/>
    </row>
    <row r="46" spans="1:24" ht="30" x14ac:dyDescent="0.25">
      <c r="B46" s="46" t="s">
        <v>320</v>
      </c>
      <c r="C46" s="14" t="s">
        <v>7</v>
      </c>
      <c r="D46" s="14" t="s">
        <v>319</v>
      </c>
      <c r="E46" s="47" t="s">
        <v>172</v>
      </c>
      <c r="F46" s="94" t="s">
        <v>160</v>
      </c>
      <c r="G46" s="14">
        <v>0</v>
      </c>
      <c r="H46" s="796" t="s">
        <v>642</v>
      </c>
      <c r="I46" s="797">
        <f>SUMIFS(TInspectieTotaal[Aantal],TInspectieTotaal[EML code],MTRG[[#This Row],[Code]])</f>
        <v>0</v>
      </c>
      <c r="J46" s="798" t="s">
        <v>1580</v>
      </c>
      <c r="K46" s="795">
        <f>SUMIFS(TInspectieTotaal[Raming kosten
excl. BTW],TInspectieTotaal[EML code],MTRG[[#This Row],[Code]])</f>
        <v>0</v>
      </c>
      <c r="L46" s="119" t="s">
        <v>395</v>
      </c>
      <c r="M46" s="145"/>
      <c r="N46" s="122" t="s">
        <v>379</v>
      </c>
      <c r="O46" s="112"/>
      <c r="P46" s="112"/>
      <c r="Q46" s="112" t="s">
        <v>379</v>
      </c>
      <c r="R46" s="112"/>
      <c r="S46" s="117"/>
      <c r="T46" s="117"/>
      <c r="U46" s="117"/>
      <c r="V46" s="117"/>
      <c r="W46" s="117"/>
      <c r="X46" s="85"/>
    </row>
    <row r="47" spans="1:24" x14ac:dyDescent="0.25">
      <c r="B47" s="46" t="s">
        <v>320</v>
      </c>
      <c r="C47" s="14" t="s">
        <v>8</v>
      </c>
      <c r="D47" s="48" t="s">
        <v>319</v>
      </c>
      <c r="E47" s="49" t="s">
        <v>173</v>
      </c>
      <c r="F47" s="95" t="s">
        <v>160</v>
      </c>
      <c r="G47" s="48">
        <v>0</v>
      </c>
      <c r="H47" s="799" t="s">
        <v>642</v>
      </c>
      <c r="I47" s="800">
        <f>SUMIFS(TInspectieTotaal[Aantal],TInspectieTotaal[EML code],MTRG[[#This Row],[Code]])</f>
        <v>0</v>
      </c>
      <c r="J47" s="798" t="s">
        <v>1590</v>
      </c>
      <c r="K47" s="795">
        <f>SUMIFS(TInspectieTotaal[Raming kosten
excl. BTW],TInspectieTotaal[EML code],MTRG[[#This Row],[Code]])</f>
        <v>0</v>
      </c>
      <c r="L47" s="119" t="s">
        <v>395</v>
      </c>
      <c r="M47" s="145"/>
      <c r="N47" s="122" t="s">
        <v>379</v>
      </c>
      <c r="O47" s="112"/>
      <c r="P47" s="112"/>
      <c r="Q47" s="112" t="s">
        <v>379</v>
      </c>
      <c r="R47" s="112"/>
      <c r="S47" s="117"/>
      <c r="T47" s="117"/>
      <c r="U47" s="117"/>
      <c r="V47" s="117"/>
      <c r="W47" s="117"/>
      <c r="X47" s="85"/>
    </row>
    <row r="48" spans="1:24" x14ac:dyDescent="0.25">
      <c r="B48" s="46" t="s">
        <v>320</v>
      </c>
      <c r="C48" s="14" t="s">
        <v>9</v>
      </c>
      <c r="D48" s="48" t="s">
        <v>319</v>
      </c>
      <c r="E48" s="49" t="s">
        <v>174</v>
      </c>
      <c r="F48" s="95" t="s">
        <v>160</v>
      </c>
      <c r="G48" s="48">
        <v>0</v>
      </c>
      <c r="H48" s="801" t="s">
        <v>642</v>
      </c>
      <c r="I48" s="800">
        <f>SUMIFS(TInspectieTotaal[Aantal],TInspectieTotaal[EML code],MTRG[[#This Row],[Code]])</f>
        <v>0</v>
      </c>
      <c r="J48" s="798" t="s">
        <v>1591</v>
      </c>
      <c r="K48" s="795">
        <f>SUMIFS(TInspectieTotaal[Raming kosten
excl. BTW],TInspectieTotaal[EML code],MTRG[[#This Row],[Code]])</f>
        <v>0</v>
      </c>
      <c r="L48" s="119" t="s">
        <v>395</v>
      </c>
      <c r="M48" s="145"/>
      <c r="N48" s="122" t="s">
        <v>379</v>
      </c>
      <c r="O48" s="112"/>
      <c r="P48" s="112"/>
      <c r="Q48" s="112" t="s">
        <v>379</v>
      </c>
      <c r="R48" s="112"/>
      <c r="S48" s="117"/>
      <c r="T48" s="117"/>
      <c r="U48" s="117"/>
      <c r="V48" s="117"/>
      <c r="W48" s="117"/>
      <c r="X48" s="85"/>
    </row>
    <row r="49" spans="2:24" x14ac:dyDescent="0.25">
      <c r="B49" s="46" t="s">
        <v>320</v>
      </c>
      <c r="C49" s="14" t="s">
        <v>10</v>
      </c>
      <c r="D49" s="48" t="s">
        <v>319</v>
      </c>
      <c r="E49" s="49" t="s">
        <v>175</v>
      </c>
      <c r="F49" s="95" t="s">
        <v>160</v>
      </c>
      <c r="G49" s="48">
        <v>0</v>
      </c>
      <c r="H49" s="96"/>
      <c r="I49" s="131">
        <f>SUMIFS(TInspectieTotaal[Aantal],TInspectieTotaal[EML code],MTRG[[#This Row],[Code]])</f>
        <v>0</v>
      </c>
      <c r="J49" s="640" t="s">
        <v>1589</v>
      </c>
      <c r="K49" s="289"/>
      <c r="L49" s="119"/>
      <c r="M49" s="145"/>
      <c r="N49" s="121"/>
      <c r="O49" s="112"/>
      <c r="P49" s="112"/>
      <c r="Q49" s="112"/>
      <c r="R49" s="112"/>
      <c r="S49" s="117"/>
      <c r="T49" s="117"/>
      <c r="U49" s="117"/>
      <c r="V49" s="117"/>
      <c r="W49" s="117"/>
      <c r="X49" s="85"/>
    </row>
    <row r="50" spans="2:24" ht="30" x14ac:dyDescent="0.25">
      <c r="B50" s="46" t="s">
        <v>320</v>
      </c>
      <c r="C50" s="14" t="s">
        <v>11</v>
      </c>
      <c r="D50" s="48" t="s">
        <v>319</v>
      </c>
      <c r="E50" s="49" t="s">
        <v>176</v>
      </c>
      <c r="F50" s="95" t="s">
        <v>160</v>
      </c>
      <c r="G50" s="48">
        <v>0</v>
      </c>
      <c r="H50" s="96"/>
      <c r="I50" s="131">
        <f>SUMIFS(TInspectieTotaal[Aantal],TInspectieTotaal[EML code],MTRG[[#This Row],[Code]])</f>
        <v>0</v>
      </c>
      <c r="J50" s="640" t="s">
        <v>1589</v>
      </c>
      <c r="K50" s="289"/>
      <c r="L50" s="119"/>
      <c r="M50" s="145"/>
      <c r="N50" s="121"/>
      <c r="O50" s="112"/>
      <c r="P50" s="112"/>
      <c r="Q50" s="112"/>
      <c r="R50" s="112"/>
      <c r="S50" s="117"/>
      <c r="T50" s="117"/>
      <c r="U50" s="117"/>
      <c r="V50" s="117"/>
      <c r="W50" s="117"/>
      <c r="X50" s="85"/>
    </row>
    <row r="51" spans="2:24" x14ac:dyDescent="0.25">
      <c r="B51" s="46" t="s">
        <v>320</v>
      </c>
      <c r="C51" s="14" t="s">
        <v>12</v>
      </c>
      <c r="D51" s="48" t="s">
        <v>319</v>
      </c>
      <c r="E51" s="49" t="s">
        <v>177</v>
      </c>
      <c r="F51" s="95" t="s">
        <v>160</v>
      </c>
      <c r="G51" s="48">
        <v>0</v>
      </c>
      <c r="H51" s="96"/>
      <c r="I51" s="131">
        <f>SUMIFS(TInspectieTotaal[Aantal],TInspectieTotaal[EML code],MTRG[[#This Row],[Code]])</f>
        <v>0</v>
      </c>
      <c r="J51" s="640" t="s">
        <v>1589</v>
      </c>
      <c r="K51" s="289"/>
      <c r="L51" s="119"/>
      <c r="M51" s="145"/>
      <c r="N51" s="121"/>
      <c r="O51" s="112"/>
      <c r="P51" s="112"/>
      <c r="Q51" s="112"/>
      <c r="R51" s="112"/>
      <c r="S51" s="117"/>
      <c r="T51" s="117"/>
      <c r="U51" s="117"/>
      <c r="V51" s="117"/>
      <c r="W51" s="117"/>
      <c r="X51" s="85"/>
    </row>
    <row r="52" spans="2:24" x14ac:dyDescent="0.25">
      <c r="B52" s="46" t="s">
        <v>320</v>
      </c>
      <c r="C52" s="14" t="s">
        <v>13</v>
      </c>
      <c r="D52" s="18" t="s">
        <v>319</v>
      </c>
      <c r="E52" s="50" t="s">
        <v>178</v>
      </c>
      <c r="F52" s="97" t="s">
        <v>160</v>
      </c>
      <c r="G52" s="18">
        <v>0</v>
      </c>
      <c r="H52" s="98"/>
      <c r="I52" s="132">
        <f>SUMIFS(TInspectieTotaal[Aantal],TInspectieTotaal[EML code],MTRG[[#This Row],[Code]])</f>
        <v>0</v>
      </c>
      <c r="J52" s="641" t="s">
        <v>1589</v>
      </c>
      <c r="K52" s="289"/>
      <c r="L52" s="119"/>
      <c r="M52" s="145"/>
      <c r="N52" s="121"/>
      <c r="O52" s="112"/>
      <c r="P52" s="112"/>
      <c r="Q52" s="112"/>
      <c r="R52" s="112"/>
      <c r="S52" s="117"/>
      <c r="T52" s="117"/>
      <c r="U52" s="117"/>
      <c r="V52" s="117"/>
      <c r="W52" s="117"/>
      <c r="X52" s="85"/>
    </row>
    <row r="53" spans="2:24" s="2" customFormat="1" x14ac:dyDescent="0.25">
      <c r="B53" s="51"/>
      <c r="C53" s="52"/>
      <c r="D53" s="53" t="str">
        <f>D54</f>
        <v>Stoom</v>
      </c>
      <c r="E53" s="54"/>
      <c r="F53" s="99"/>
      <c r="G53" s="53"/>
      <c r="H53" s="54"/>
      <c r="I53" s="133"/>
      <c r="J53" s="637"/>
      <c r="K53" s="289"/>
      <c r="L53" s="119"/>
      <c r="M53" s="145"/>
      <c r="N53" s="121"/>
      <c r="O53" s="140"/>
      <c r="P53" s="140"/>
      <c r="Q53" s="140" t="s">
        <v>379</v>
      </c>
      <c r="R53" s="140"/>
      <c r="S53" s="117"/>
      <c r="T53" s="117"/>
      <c r="U53" s="117"/>
      <c r="V53" s="117"/>
      <c r="W53" s="117"/>
      <c r="X53" s="90"/>
    </row>
    <row r="54" spans="2:24" x14ac:dyDescent="0.25">
      <c r="B54" s="46" t="s">
        <v>320</v>
      </c>
      <c r="C54" s="14" t="s">
        <v>14</v>
      </c>
      <c r="D54" s="14" t="s">
        <v>323</v>
      </c>
      <c r="E54" s="47" t="s">
        <v>179</v>
      </c>
      <c r="F54" s="94" t="s">
        <v>160</v>
      </c>
      <c r="G54" s="14">
        <v>0</v>
      </c>
      <c r="H54" s="803" t="s">
        <v>642</v>
      </c>
      <c r="I54" s="797">
        <f>SUMIFS(TInspectieTotaal[Aantal],TInspectieTotaal[EML code],MTRG[[#This Row],[Code]])</f>
        <v>0</v>
      </c>
      <c r="J54" s="798" t="s">
        <v>1592</v>
      </c>
      <c r="K54" s="795">
        <f>SUMIFS(TInspectieTotaal[Raming kosten
excl. BTW],TInspectieTotaal[EML code],MTRG[[#This Row],[Code]])</f>
        <v>0</v>
      </c>
      <c r="L54" s="119" t="s">
        <v>395</v>
      </c>
      <c r="M54" s="145"/>
      <c r="N54" s="122" t="s">
        <v>379</v>
      </c>
      <c r="O54" s="112"/>
      <c r="P54" s="112"/>
      <c r="Q54" s="112" t="s">
        <v>379</v>
      </c>
      <c r="R54" s="112"/>
      <c r="S54" s="117"/>
      <c r="T54" s="117"/>
      <c r="U54" s="117"/>
      <c r="V54" s="117"/>
      <c r="W54" s="117"/>
      <c r="X54" s="85"/>
    </row>
    <row r="55" spans="2:24" x14ac:dyDescent="0.25">
      <c r="B55" s="46" t="s">
        <v>320</v>
      </c>
      <c r="C55" s="14" t="s">
        <v>15</v>
      </c>
      <c r="D55" s="48" t="s">
        <v>323</v>
      </c>
      <c r="E55" s="49" t="s">
        <v>180</v>
      </c>
      <c r="F55" s="95" t="s">
        <v>160</v>
      </c>
      <c r="G55" s="48">
        <v>0</v>
      </c>
      <c r="H55" s="804" t="s">
        <v>642</v>
      </c>
      <c r="I55" s="800">
        <f>SUMIFS(TInspectieTotaal[Aantal],TInspectieTotaal[EML code],MTRG[[#This Row],[Code]])</f>
        <v>0</v>
      </c>
      <c r="J55" s="798" t="s">
        <v>1577</v>
      </c>
      <c r="K55" s="795">
        <f>SUMIFS(TInspectieTotaal[Raming kosten
excl. BTW],TInspectieTotaal[EML code],MTRG[[#This Row],[Code]])</f>
        <v>0</v>
      </c>
      <c r="L55" s="119" t="s">
        <v>395</v>
      </c>
      <c r="M55" s="145"/>
      <c r="N55" s="122" t="s">
        <v>379</v>
      </c>
      <c r="O55" s="112"/>
      <c r="P55" s="112"/>
      <c r="Q55" s="112" t="s">
        <v>379</v>
      </c>
      <c r="R55" s="112"/>
      <c r="S55" s="117"/>
      <c r="T55" s="117"/>
      <c r="U55" s="117"/>
      <c r="V55" s="117"/>
      <c r="W55" s="117"/>
      <c r="X55" s="85"/>
    </row>
    <row r="56" spans="2:24" ht="30.75" thickBot="1" x14ac:dyDescent="0.3">
      <c r="B56" s="46" t="s">
        <v>320</v>
      </c>
      <c r="C56" s="14" t="s">
        <v>16</v>
      </c>
      <c r="D56" s="48" t="s">
        <v>323</v>
      </c>
      <c r="E56" s="49" t="s">
        <v>181</v>
      </c>
      <c r="F56" s="95" t="s">
        <v>160</v>
      </c>
      <c r="G56" s="48">
        <v>0</v>
      </c>
      <c r="H56" s="804" t="s">
        <v>642</v>
      </c>
      <c r="I56" s="800">
        <f>SUMIFS(TInspectieTotaal[Aantal],TInspectieTotaal[EML code],MTRG[[#This Row],[Code]])</f>
        <v>0</v>
      </c>
      <c r="J56" s="798" t="s">
        <v>1577</v>
      </c>
      <c r="K56" s="795">
        <f>SUMIFS(TInspectieTotaal[Raming kosten
excl. BTW],TInspectieTotaal[EML code],MTRG[[#This Row],[Code]])</f>
        <v>0</v>
      </c>
      <c r="L56" s="299" t="s">
        <v>395</v>
      </c>
      <c r="M56" s="145"/>
      <c r="N56" s="122" t="s">
        <v>379</v>
      </c>
      <c r="O56" s="112"/>
      <c r="P56" s="112"/>
      <c r="Q56" s="112" t="s">
        <v>379</v>
      </c>
      <c r="R56" s="112"/>
      <c r="S56" s="117"/>
      <c r="T56" s="117"/>
      <c r="U56" s="117"/>
      <c r="V56" s="117"/>
      <c r="W56" s="117"/>
      <c r="X56" s="85"/>
    </row>
    <row r="57" spans="2:24" ht="16.5" thickTop="1" thickBot="1" x14ac:dyDescent="0.3">
      <c r="B57" s="46" t="s">
        <v>320</v>
      </c>
      <c r="C57" s="14" t="s">
        <v>17</v>
      </c>
      <c r="D57" s="48" t="s">
        <v>323</v>
      </c>
      <c r="E57" s="49" t="s">
        <v>182</v>
      </c>
      <c r="F57" s="95" t="s">
        <v>160</v>
      </c>
      <c r="G57" s="48">
        <v>0</v>
      </c>
      <c r="H57" s="804" t="s">
        <v>642</v>
      </c>
      <c r="I57" s="800">
        <f>SUMIFS(TInspectieTotaal[Aantal],TInspectieTotaal[EML code],MTRG[[#This Row],[Code]])</f>
        <v>0</v>
      </c>
      <c r="J57" s="798" t="s">
        <v>1593</v>
      </c>
      <c r="K57" s="795">
        <f>SUMIFS(TInspectieTotaal[Raming kosten
excl. BTW],TInspectieTotaal[EML code],MTRG[[#This Row],[Code]])</f>
        <v>0</v>
      </c>
      <c r="L57" s="300" t="s">
        <v>395</v>
      </c>
      <c r="M57" s="145"/>
      <c r="N57" s="122" t="s">
        <v>379</v>
      </c>
      <c r="O57" s="112"/>
      <c r="P57" s="112"/>
      <c r="Q57" s="112" t="s">
        <v>379</v>
      </c>
      <c r="R57" s="112"/>
      <c r="S57" s="117"/>
      <c r="T57" s="117"/>
      <c r="U57" s="117"/>
      <c r="V57" s="117"/>
      <c r="W57" s="117"/>
      <c r="X57" s="85"/>
    </row>
    <row r="58" spans="2:24" ht="15.75" thickTop="1" x14ac:dyDescent="0.25">
      <c r="B58" s="46" t="s">
        <v>320</v>
      </c>
      <c r="C58" s="14" t="s">
        <v>18</v>
      </c>
      <c r="D58" s="48" t="s">
        <v>323</v>
      </c>
      <c r="E58" s="49" t="s">
        <v>183</v>
      </c>
      <c r="F58" s="95" t="s">
        <v>160</v>
      </c>
      <c r="G58" s="48">
        <v>0</v>
      </c>
      <c r="H58" s="804" t="s">
        <v>642</v>
      </c>
      <c r="I58" s="800">
        <f>SUMIFS(TInspectieTotaal[Aantal],TInspectieTotaal[EML code],MTRG[[#This Row],[Code]])</f>
        <v>0</v>
      </c>
      <c r="J58" s="798" t="s">
        <v>1577</v>
      </c>
      <c r="K58" s="795">
        <f>SUMIFS(TInspectieTotaal[Raming kosten
excl. BTW],TInspectieTotaal[EML code],MTRG[[#This Row],[Code]])</f>
        <v>0</v>
      </c>
      <c r="L58" s="301" t="s">
        <v>395</v>
      </c>
      <c r="M58" s="145"/>
      <c r="N58" s="122" t="s">
        <v>379</v>
      </c>
      <c r="O58" s="112"/>
      <c r="P58" s="112"/>
      <c r="Q58" s="112" t="s">
        <v>379</v>
      </c>
      <c r="R58" s="112"/>
      <c r="S58" s="117"/>
      <c r="T58" s="117"/>
      <c r="U58" s="117"/>
      <c r="V58" s="117"/>
      <c r="W58" s="117"/>
      <c r="X58" s="85"/>
    </row>
    <row r="59" spans="2:24" x14ac:dyDescent="0.25">
      <c r="B59" s="46" t="s">
        <v>320</v>
      </c>
      <c r="C59" s="14" t="s">
        <v>19</v>
      </c>
      <c r="D59" s="48" t="s">
        <v>323</v>
      </c>
      <c r="E59" s="49" t="s">
        <v>184</v>
      </c>
      <c r="F59" s="95" t="s">
        <v>160</v>
      </c>
      <c r="G59" s="48">
        <v>0</v>
      </c>
      <c r="H59" s="804" t="s">
        <v>642</v>
      </c>
      <c r="I59" s="800">
        <f>SUMIFS(TInspectieTotaal[Aantal],TInspectieTotaal[EML code],MTRG[[#This Row],[Code]])</f>
        <v>0</v>
      </c>
      <c r="J59" s="798" t="s">
        <v>1577</v>
      </c>
      <c r="K59" s="795">
        <f>SUMIFS(TInspectieTotaal[Raming kosten
excl. BTW],TInspectieTotaal[EML code],MTRG[[#This Row],[Code]])</f>
        <v>0</v>
      </c>
      <c r="L59" s="119" t="s">
        <v>395</v>
      </c>
      <c r="M59" s="145"/>
      <c r="N59" s="122" t="s">
        <v>379</v>
      </c>
      <c r="O59" s="112"/>
      <c r="P59" s="112"/>
      <c r="Q59" s="112" t="s">
        <v>379</v>
      </c>
      <c r="R59" s="112"/>
      <c r="S59" s="117"/>
      <c r="T59" s="117"/>
      <c r="U59" s="117"/>
      <c r="V59" s="117"/>
      <c r="W59" s="117"/>
      <c r="X59" s="85"/>
    </row>
    <row r="60" spans="2:24" x14ac:dyDescent="0.25">
      <c r="B60" s="46" t="s">
        <v>320</v>
      </c>
      <c r="C60" s="14" t="s">
        <v>20</v>
      </c>
      <c r="D60" s="48" t="s">
        <v>323</v>
      </c>
      <c r="E60" s="49" t="s">
        <v>185</v>
      </c>
      <c r="F60" s="95" t="s">
        <v>160</v>
      </c>
      <c r="G60" s="48">
        <v>0</v>
      </c>
      <c r="H60" s="804" t="s">
        <v>642</v>
      </c>
      <c r="I60" s="800">
        <f>SUMIFS(TInspectieTotaal[Aantal],TInspectieTotaal[EML code],MTRG[[#This Row],[Code]])</f>
        <v>0</v>
      </c>
      <c r="J60" s="798" t="s">
        <v>1577</v>
      </c>
      <c r="K60" s="795">
        <f>SUMIFS(TInspectieTotaal[Raming kosten
excl. BTW],TInspectieTotaal[EML code],MTRG[[#This Row],[Code]])</f>
        <v>0</v>
      </c>
      <c r="L60" s="119" t="s">
        <v>395</v>
      </c>
      <c r="M60" s="145"/>
      <c r="N60" s="122" t="s">
        <v>379</v>
      </c>
      <c r="O60" s="112"/>
      <c r="P60" s="112"/>
      <c r="Q60" s="112" t="s">
        <v>379</v>
      </c>
      <c r="R60" s="112"/>
      <c r="S60" s="117"/>
      <c r="T60" s="117"/>
      <c r="U60" s="117"/>
      <c r="V60" s="117"/>
      <c r="W60" s="117"/>
      <c r="X60" s="85"/>
    </row>
    <row r="61" spans="2:24" x14ac:dyDescent="0.25">
      <c r="B61" s="46" t="s">
        <v>320</v>
      </c>
      <c r="C61" s="14" t="s">
        <v>21</v>
      </c>
      <c r="D61" s="55" t="s">
        <v>323</v>
      </c>
      <c r="E61" s="56" t="s">
        <v>186</v>
      </c>
      <c r="F61" s="97" t="s">
        <v>160</v>
      </c>
      <c r="G61" s="55">
        <v>0</v>
      </c>
      <c r="H61" s="796" t="s">
        <v>642</v>
      </c>
      <c r="I61" s="805">
        <f>SUMIFS(TInspectieTotaal[Aantal],TInspectieTotaal[EML code],MTRG[[#This Row],[Code]])</f>
        <v>0</v>
      </c>
      <c r="J61" s="798" t="s">
        <v>1577</v>
      </c>
      <c r="K61" s="795">
        <f>SUMIFS(TInspectieTotaal[Raming kosten
excl. BTW],TInspectieTotaal[EML code],MTRG[[#This Row],[Code]])</f>
        <v>0</v>
      </c>
      <c r="L61" s="119" t="s">
        <v>395</v>
      </c>
      <c r="M61" s="145"/>
      <c r="N61" s="122" t="s">
        <v>379</v>
      </c>
      <c r="O61" s="112"/>
      <c r="P61" s="112"/>
      <c r="Q61" s="112" t="s">
        <v>379</v>
      </c>
      <c r="R61" s="112"/>
      <c r="S61" s="117"/>
      <c r="T61" s="117"/>
      <c r="U61" s="117"/>
      <c r="V61" s="117"/>
      <c r="W61" s="117"/>
      <c r="X61" s="85"/>
    </row>
    <row r="62" spans="2:24" s="2" customFormat="1" x14ac:dyDescent="0.25">
      <c r="B62" s="51"/>
      <c r="C62" s="52"/>
      <c r="D62" s="53" t="str">
        <f>D63</f>
        <v>Aandrijvingen</v>
      </c>
      <c r="E62" s="54"/>
      <c r="F62" s="99"/>
      <c r="G62" s="53"/>
      <c r="H62" s="54"/>
      <c r="I62" s="133"/>
      <c r="J62" s="637"/>
      <c r="K62" s="289"/>
      <c r="L62" s="119"/>
      <c r="M62" s="145"/>
      <c r="N62" s="121"/>
      <c r="O62" s="139" t="s">
        <v>379</v>
      </c>
      <c r="P62" s="139" t="s">
        <v>379</v>
      </c>
      <c r="Q62" s="139" t="s">
        <v>379</v>
      </c>
      <c r="R62" s="139" t="s">
        <v>379</v>
      </c>
      <c r="S62" s="117"/>
      <c r="T62" s="117"/>
      <c r="U62" s="117"/>
      <c r="V62" s="117"/>
      <c r="W62" s="117"/>
      <c r="X62" s="90"/>
    </row>
    <row r="63" spans="2:24" x14ac:dyDescent="0.25">
      <c r="B63" s="46" t="s">
        <v>320</v>
      </c>
      <c r="C63" s="14" t="s">
        <v>22</v>
      </c>
      <c r="D63" s="14" t="s">
        <v>324</v>
      </c>
      <c r="E63" s="57" t="s">
        <v>187</v>
      </c>
      <c r="F63" s="94" t="s">
        <v>160</v>
      </c>
      <c r="G63" s="14">
        <v>0</v>
      </c>
      <c r="H63" s="96"/>
      <c r="I63" s="130">
        <f>SUMIFS(TInspectieTotaal[Aantal],TInspectieTotaal[EML code],MTRG[[#This Row],[Code]])</f>
        <v>0</v>
      </c>
      <c r="J63" s="639" t="s">
        <v>1589</v>
      </c>
      <c r="K63" s="289"/>
      <c r="L63" s="119"/>
      <c r="M63" s="145"/>
      <c r="N63" s="121"/>
      <c r="O63" s="112"/>
      <c r="P63" s="112"/>
      <c r="Q63" s="112"/>
      <c r="R63" s="112"/>
      <c r="S63" s="117"/>
      <c r="T63" s="117"/>
      <c r="U63" s="117"/>
      <c r="V63" s="117"/>
      <c r="W63" s="117"/>
      <c r="X63" s="85"/>
    </row>
    <row r="64" spans="2:24" ht="30" x14ac:dyDescent="0.25">
      <c r="B64" s="46" t="s">
        <v>320</v>
      </c>
      <c r="C64" s="14" t="s">
        <v>23</v>
      </c>
      <c r="D64" s="48" t="s">
        <v>324</v>
      </c>
      <c r="E64" s="57" t="s">
        <v>188</v>
      </c>
      <c r="F64" s="95" t="s">
        <v>160</v>
      </c>
      <c r="G64" s="48">
        <v>0</v>
      </c>
      <c r="H64" s="799" t="s">
        <v>162</v>
      </c>
      <c r="I64" s="800">
        <f>SUMIFS(TInspectieTotaal[Aantal],TInspectieTotaal[EML code],MTRG[[#This Row],[Code]])</f>
        <v>0</v>
      </c>
      <c r="J64" s="798" t="s">
        <v>1594</v>
      </c>
      <c r="K64" s="795">
        <f>SUMIFS(TInspectieTotaal[Raming kosten
excl. BTW],TInspectieTotaal[EML code],MTRG[[#This Row],[Code]])</f>
        <v>0</v>
      </c>
      <c r="L64" s="119" t="s">
        <v>395</v>
      </c>
      <c r="M64" s="145"/>
      <c r="N64" s="122" t="s">
        <v>379</v>
      </c>
      <c r="O64" s="112"/>
      <c r="P64" s="112"/>
      <c r="Q64" s="112" t="s">
        <v>384</v>
      </c>
      <c r="R64" s="112" t="s">
        <v>384</v>
      </c>
      <c r="S64" s="117"/>
      <c r="T64" s="117"/>
      <c r="U64" s="117"/>
      <c r="V64" s="117"/>
      <c r="W64" s="117"/>
      <c r="X64" s="85"/>
    </row>
    <row r="65" spans="2:24" ht="30" x14ac:dyDescent="0.25">
      <c r="B65" s="46" t="s">
        <v>320</v>
      </c>
      <c r="C65" s="14" t="s">
        <v>24</v>
      </c>
      <c r="D65" s="48" t="s">
        <v>324</v>
      </c>
      <c r="E65" s="57" t="s">
        <v>189</v>
      </c>
      <c r="F65" s="95" t="s">
        <v>160</v>
      </c>
      <c r="G65" s="48">
        <v>0</v>
      </c>
      <c r="H65" s="799" t="s">
        <v>642</v>
      </c>
      <c r="I65" s="800">
        <f>SUMIFS(TInspectieTotaal[Aantal],TInspectieTotaal[EML code],MTRG[[#This Row],[Code]])</f>
        <v>0</v>
      </c>
      <c r="J65" s="798" t="s">
        <v>1577</v>
      </c>
      <c r="K65" s="795">
        <f>SUMIFS(TInspectieTotaal[Raming kosten
excl. BTW],TInspectieTotaal[EML code],MTRG[[#This Row],[Code]])</f>
        <v>0</v>
      </c>
      <c r="L65" s="119" t="s">
        <v>395</v>
      </c>
      <c r="M65" s="145"/>
      <c r="N65" s="122" t="s">
        <v>379</v>
      </c>
      <c r="O65" s="112"/>
      <c r="P65" s="112"/>
      <c r="Q65" s="112" t="s">
        <v>379</v>
      </c>
      <c r="R65" s="112"/>
      <c r="S65" s="117"/>
      <c r="T65" s="117"/>
      <c r="U65" s="117"/>
      <c r="V65" s="117"/>
      <c r="W65" s="117"/>
      <c r="X65" s="85"/>
    </row>
    <row r="66" spans="2:24" ht="30" x14ac:dyDescent="0.25">
      <c r="B66" s="46" t="s">
        <v>320</v>
      </c>
      <c r="C66" s="14" t="s">
        <v>25</v>
      </c>
      <c r="D66" s="48" t="s">
        <v>324</v>
      </c>
      <c r="E66" s="57" t="s">
        <v>190</v>
      </c>
      <c r="F66" s="95" t="s">
        <v>160</v>
      </c>
      <c r="G66" s="48">
        <v>0</v>
      </c>
      <c r="H66" s="801" t="s">
        <v>162</v>
      </c>
      <c r="I66" s="800">
        <f>SUMIFS(TInspectieTotaal[Aantal],TInspectieTotaal[EML code],MTRG[[#This Row],[Code]])</f>
        <v>0</v>
      </c>
      <c r="J66" s="798" t="s">
        <v>1595</v>
      </c>
      <c r="K66" s="795">
        <f>SUMIFS(TInspectieTotaal[Raming kosten
excl. BTW],TInspectieTotaal[EML code],MTRG[[#This Row],[Code]])</f>
        <v>0</v>
      </c>
      <c r="L66" s="119" t="s">
        <v>372</v>
      </c>
      <c r="M66" s="145"/>
      <c r="N66" s="122" t="s">
        <v>379</v>
      </c>
      <c r="O66" s="112" t="s">
        <v>384</v>
      </c>
      <c r="P66" s="112" t="s">
        <v>384</v>
      </c>
      <c r="Q66" s="112" t="s">
        <v>384</v>
      </c>
      <c r="R66" s="112" t="s">
        <v>384</v>
      </c>
      <c r="S66" s="117"/>
      <c r="T66" s="117"/>
      <c r="U66" s="117"/>
      <c r="V66" s="117"/>
      <c r="W66" s="117"/>
      <c r="X66" s="85"/>
    </row>
    <row r="67" spans="2:24" x14ac:dyDescent="0.25">
      <c r="B67" s="46" t="s">
        <v>320</v>
      </c>
      <c r="C67" s="14" t="s">
        <v>26</v>
      </c>
      <c r="D67" s="55" t="s">
        <v>324</v>
      </c>
      <c r="E67" s="58" t="s">
        <v>191</v>
      </c>
      <c r="F67" s="97" t="s">
        <v>160</v>
      </c>
      <c r="G67" s="55">
        <v>0</v>
      </c>
      <c r="H67" s="96"/>
      <c r="I67" s="134">
        <f>SUMIFS(TInspectieTotaal[Aantal],TInspectieTotaal[EML code],MTRG[[#This Row],[Code]])</f>
        <v>0</v>
      </c>
      <c r="J67" s="642" t="s">
        <v>1589</v>
      </c>
      <c r="K67" s="289"/>
      <c r="L67" s="119"/>
      <c r="M67" s="145"/>
      <c r="N67" s="121"/>
      <c r="O67" s="112"/>
      <c r="P67" s="112"/>
      <c r="Q67" s="112"/>
      <c r="R67" s="112"/>
      <c r="S67" s="117"/>
      <c r="T67" s="117"/>
      <c r="U67" s="117"/>
      <c r="V67" s="117"/>
      <c r="W67" s="117"/>
      <c r="X67" s="85"/>
    </row>
    <row r="68" spans="2:24" s="2" customFormat="1" x14ac:dyDescent="0.25">
      <c r="B68" s="51"/>
      <c r="C68" s="52"/>
      <c r="D68" s="53" t="str">
        <f>D69</f>
        <v>Productkoeling</v>
      </c>
      <c r="E68" s="54"/>
      <c r="F68" s="99"/>
      <c r="G68" s="53"/>
      <c r="H68" s="54"/>
      <c r="I68" s="133"/>
      <c r="J68" s="637"/>
      <c r="K68" s="289"/>
      <c r="L68" s="119"/>
      <c r="M68" s="145"/>
      <c r="N68" s="121"/>
      <c r="O68" s="139"/>
      <c r="P68" s="139"/>
      <c r="Q68" s="139" t="s">
        <v>379</v>
      </c>
      <c r="R68" s="139"/>
      <c r="S68" s="117"/>
      <c r="T68" s="117"/>
      <c r="U68" s="117"/>
      <c r="V68" s="117"/>
      <c r="W68" s="117"/>
      <c r="X68" s="90"/>
    </row>
    <row r="69" spans="2:24" ht="30" x14ac:dyDescent="0.25">
      <c r="B69" s="46" t="s">
        <v>320</v>
      </c>
      <c r="C69" s="14" t="s">
        <v>27</v>
      </c>
      <c r="D69" s="14" t="s">
        <v>325</v>
      </c>
      <c r="E69" s="57" t="s">
        <v>192</v>
      </c>
      <c r="F69" s="94" t="s">
        <v>160</v>
      </c>
      <c r="G69" s="14">
        <v>0</v>
      </c>
      <c r="H69" s="96"/>
      <c r="I69" s="130">
        <f>SUMIFS(TInspectieTotaal[Aantal],TInspectieTotaal[EML code],MTRG[[#This Row],[Code]])</f>
        <v>0</v>
      </c>
      <c r="J69" s="639" t="s">
        <v>1589</v>
      </c>
      <c r="K69" s="289"/>
      <c r="L69" s="119"/>
      <c r="M69" s="145"/>
      <c r="N69" s="121"/>
      <c r="O69" s="112"/>
      <c r="P69" s="112"/>
      <c r="Q69" s="112"/>
      <c r="R69" s="112"/>
      <c r="S69" s="117"/>
      <c r="T69" s="117"/>
      <c r="U69" s="117"/>
      <c r="V69" s="117"/>
      <c r="W69" s="117"/>
      <c r="X69" s="85"/>
    </row>
    <row r="70" spans="2:24" x14ac:dyDescent="0.25">
      <c r="B70" s="46" t="s">
        <v>320</v>
      </c>
      <c r="C70" s="14" t="s">
        <v>28</v>
      </c>
      <c r="D70" s="48" t="s">
        <v>325</v>
      </c>
      <c r="E70" s="57" t="s">
        <v>193</v>
      </c>
      <c r="F70" s="95" t="s">
        <v>160</v>
      </c>
      <c r="G70" s="48">
        <v>0</v>
      </c>
      <c r="H70" s="96"/>
      <c r="I70" s="131">
        <f>SUMIFS(TInspectieTotaal[Aantal],TInspectieTotaal[EML code],MTRG[[#This Row],[Code]])</f>
        <v>0</v>
      </c>
      <c r="J70" s="640" t="s">
        <v>1589</v>
      </c>
      <c r="K70" s="289"/>
      <c r="L70" s="119"/>
      <c r="M70" s="145"/>
      <c r="N70" s="121"/>
      <c r="O70" s="112"/>
      <c r="P70" s="112"/>
      <c r="Q70" s="112"/>
      <c r="R70" s="112"/>
      <c r="S70" s="117"/>
      <c r="T70" s="117"/>
      <c r="U70" s="117"/>
      <c r="V70" s="117"/>
      <c r="W70" s="117"/>
      <c r="X70" s="85"/>
    </row>
    <row r="71" spans="2:24" x14ac:dyDescent="0.25">
      <c r="B71" s="46" t="s">
        <v>320</v>
      </c>
      <c r="C71" s="14" t="s">
        <v>29</v>
      </c>
      <c r="D71" s="48" t="s">
        <v>325</v>
      </c>
      <c r="E71" s="57" t="s">
        <v>194</v>
      </c>
      <c r="F71" s="95" t="s">
        <v>160</v>
      </c>
      <c r="G71" s="48">
        <v>0</v>
      </c>
      <c r="H71" s="96"/>
      <c r="I71" s="131">
        <f>SUMIFS(TInspectieTotaal[Aantal],TInspectieTotaal[EML code],MTRG[[#This Row],[Code]])</f>
        <v>0</v>
      </c>
      <c r="J71" s="640" t="s">
        <v>1589</v>
      </c>
      <c r="K71" s="289"/>
      <c r="L71" s="119"/>
      <c r="M71" s="145"/>
      <c r="N71" s="121"/>
      <c r="O71" s="112"/>
      <c r="P71" s="112"/>
      <c r="Q71" s="112"/>
      <c r="R71" s="112"/>
      <c r="S71" s="117"/>
      <c r="T71" s="117"/>
      <c r="U71" s="117"/>
      <c r="V71" s="117"/>
      <c r="W71" s="117"/>
      <c r="X71" s="85"/>
    </row>
    <row r="72" spans="2:24" x14ac:dyDescent="0.25">
      <c r="B72" s="46" t="s">
        <v>320</v>
      </c>
      <c r="C72" s="14" t="s">
        <v>30</v>
      </c>
      <c r="D72" s="48" t="s">
        <v>325</v>
      </c>
      <c r="E72" s="57" t="s">
        <v>195</v>
      </c>
      <c r="F72" s="95" t="s">
        <v>160</v>
      </c>
      <c r="G72" s="48">
        <v>0</v>
      </c>
      <c r="H72" s="96"/>
      <c r="I72" s="131">
        <f>SUMIFS(TInspectieTotaal[Aantal],TInspectieTotaal[EML code],MTRG[[#This Row],[Code]])</f>
        <v>0</v>
      </c>
      <c r="J72" s="640" t="s">
        <v>1589</v>
      </c>
      <c r="K72" s="289"/>
      <c r="L72" s="119"/>
      <c r="M72" s="145"/>
      <c r="N72" s="121"/>
      <c r="O72" s="112"/>
      <c r="P72" s="112"/>
      <c r="Q72" s="112"/>
      <c r="R72" s="112"/>
      <c r="S72" s="117"/>
      <c r="T72" s="117"/>
      <c r="U72" s="117"/>
      <c r="V72" s="117"/>
      <c r="W72" s="117"/>
      <c r="X72" s="85"/>
    </row>
    <row r="73" spans="2:24" x14ac:dyDescent="0.25">
      <c r="B73" s="46" t="s">
        <v>320</v>
      </c>
      <c r="C73" s="14" t="s">
        <v>31</v>
      </c>
      <c r="D73" s="48" t="s">
        <v>325</v>
      </c>
      <c r="E73" s="57" t="s">
        <v>196</v>
      </c>
      <c r="F73" s="95" t="s">
        <v>160</v>
      </c>
      <c r="G73" s="48">
        <v>0</v>
      </c>
      <c r="H73" s="799" t="s">
        <v>642</v>
      </c>
      <c r="I73" s="800">
        <f>SUMIFS(TInspectieTotaal[Aantal],TInspectieTotaal[EML code],MTRG[[#This Row],[Code]])</f>
        <v>0</v>
      </c>
      <c r="J73" s="798" t="s">
        <v>1577</v>
      </c>
      <c r="K73" s="795">
        <f>SUMIFS(TInspectieTotaal[Raming kosten
excl. BTW],TInspectieTotaal[EML code],MTRG[[#This Row],[Code]])</f>
        <v>0</v>
      </c>
      <c r="L73" s="119" t="s">
        <v>395</v>
      </c>
      <c r="M73" s="145"/>
      <c r="N73" s="122" t="s">
        <v>379</v>
      </c>
      <c r="O73" s="112"/>
      <c r="P73" s="112"/>
      <c r="Q73" s="112" t="s">
        <v>379</v>
      </c>
      <c r="R73" s="112"/>
      <c r="S73" s="117"/>
      <c r="T73" s="117"/>
      <c r="U73" s="117"/>
      <c r="V73" s="117"/>
      <c r="W73" s="117"/>
      <c r="X73" s="85"/>
    </row>
    <row r="74" spans="2:24" x14ac:dyDescent="0.25">
      <c r="B74" s="46" t="s">
        <v>320</v>
      </c>
      <c r="C74" s="14" t="s">
        <v>32</v>
      </c>
      <c r="D74" s="48" t="s">
        <v>325</v>
      </c>
      <c r="E74" s="57" t="s">
        <v>197</v>
      </c>
      <c r="F74" s="95" t="s">
        <v>160</v>
      </c>
      <c r="G74" s="48">
        <v>0</v>
      </c>
      <c r="H74" s="799" t="s">
        <v>642</v>
      </c>
      <c r="I74" s="800">
        <f>SUMIFS(TInspectieTotaal[Aantal],TInspectieTotaal[EML code],MTRG[[#This Row],[Code]])</f>
        <v>0</v>
      </c>
      <c r="J74" s="798" t="s">
        <v>1577</v>
      </c>
      <c r="K74" s="795">
        <f>SUMIFS(TInspectieTotaal[Raming kosten
excl. BTW],TInspectieTotaal[EML code],MTRG[[#This Row],[Code]])</f>
        <v>0</v>
      </c>
      <c r="L74" s="119" t="s">
        <v>395</v>
      </c>
      <c r="M74" s="145"/>
      <c r="N74" s="122" t="s">
        <v>379</v>
      </c>
      <c r="O74" s="112"/>
      <c r="P74" s="112"/>
      <c r="Q74" s="112" t="s">
        <v>379</v>
      </c>
      <c r="R74" s="112"/>
      <c r="S74" s="117"/>
      <c r="T74" s="117"/>
      <c r="U74" s="117"/>
      <c r="V74" s="117"/>
      <c r="W74" s="117"/>
      <c r="X74" s="85"/>
    </row>
    <row r="75" spans="2:24" x14ac:dyDescent="0.25">
      <c r="B75" s="46" t="s">
        <v>320</v>
      </c>
      <c r="C75" s="14" t="s">
        <v>33</v>
      </c>
      <c r="D75" s="48" t="s">
        <v>325</v>
      </c>
      <c r="E75" s="57" t="s">
        <v>198</v>
      </c>
      <c r="F75" s="95" t="s">
        <v>160</v>
      </c>
      <c r="G75" s="48">
        <v>0</v>
      </c>
      <c r="H75" s="799" t="s">
        <v>642</v>
      </c>
      <c r="I75" s="800">
        <f>SUMIFS(TInspectieTotaal[Aantal],TInspectieTotaal[EML code],MTRG[[#This Row],[Code]])</f>
        <v>0</v>
      </c>
      <c r="J75" s="798" t="s">
        <v>1577</v>
      </c>
      <c r="K75" s="795">
        <f>SUMIFS(TInspectieTotaal[Raming kosten
excl. BTW],TInspectieTotaal[EML code],MTRG[[#This Row],[Code]])</f>
        <v>0</v>
      </c>
      <c r="L75" s="119" t="s">
        <v>395</v>
      </c>
      <c r="M75" s="145"/>
      <c r="N75" s="122" t="s">
        <v>379</v>
      </c>
      <c r="O75" s="112"/>
      <c r="P75" s="112"/>
      <c r="Q75" s="112" t="s">
        <v>379</v>
      </c>
      <c r="R75" s="112"/>
      <c r="S75" s="117"/>
      <c r="T75" s="117"/>
      <c r="U75" s="117"/>
      <c r="V75" s="117"/>
      <c r="W75" s="117"/>
      <c r="X75" s="85"/>
    </row>
    <row r="76" spans="2:24" x14ac:dyDescent="0.25">
      <c r="B76" s="46" t="s">
        <v>320</v>
      </c>
      <c r="C76" s="14" t="s">
        <v>34</v>
      </c>
      <c r="D76" s="48" t="s">
        <v>325</v>
      </c>
      <c r="E76" s="57" t="s">
        <v>199</v>
      </c>
      <c r="F76" s="95" t="s">
        <v>160</v>
      </c>
      <c r="G76" s="48">
        <v>0</v>
      </c>
      <c r="H76" s="799" t="s">
        <v>642</v>
      </c>
      <c r="I76" s="800">
        <f>SUMIFS(TInspectieTotaal[Aantal],TInspectieTotaal[EML code],MTRG[[#This Row],[Code]])</f>
        <v>0</v>
      </c>
      <c r="J76" s="798" t="s">
        <v>1577</v>
      </c>
      <c r="K76" s="795">
        <f>SUMIFS(TInspectieTotaal[Raming kosten
excl. BTW],TInspectieTotaal[EML code],MTRG[[#This Row],[Code]])</f>
        <v>0</v>
      </c>
      <c r="L76" s="119" t="s">
        <v>395</v>
      </c>
      <c r="M76" s="145"/>
      <c r="N76" s="122" t="s">
        <v>379</v>
      </c>
      <c r="O76" s="112"/>
      <c r="P76" s="112"/>
      <c r="Q76" s="112" t="s">
        <v>379</v>
      </c>
      <c r="R76" s="112"/>
      <c r="S76" s="117"/>
      <c r="T76" s="117"/>
      <c r="U76" s="117"/>
      <c r="V76" s="117"/>
      <c r="W76" s="117"/>
      <c r="X76" s="85"/>
    </row>
    <row r="77" spans="2:24" ht="30.75" thickBot="1" x14ac:dyDescent="0.3">
      <c r="B77" s="46" t="s">
        <v>320</v>
      </c>
      <c r="C77" s="14" t="s">
        <v>35</v>
      </c>
      <c r="D77" s="48" t="s">
        <v>325</v>
      </c>
      <c r="E77" s="57" t="s">
        <v>200</v>
      </c>
      <c r="F77" s="95" t="s">
        <v>160</v>
      </c>
      <c r="G77" s="14">
        <v>0</v>
      </c>
      <c r="H77" s="799" t="s">
        <v>642</v>
      </c>
      <c r="I77" s="797">
        <f>SUMIFS(TInspectieTotaal[Aantal],TInspectieTotaal[EML code],MTRG[[#This Row],[Code]])</f>
        <v>0</v>
      </c>
      <c r="J77" s="798" t="s">
        <v>1577</v>
      </c>
      <c r="K77" s="795">
        <f>SUMIFS(TInspectieTotaal[Raming kosten
excl. BTW],TInspectieTotaal[EML code],MTRG[[#This Row],[Code]])</f>
        <v>0</v>
      </c>
      <c r="L77" s="119" t="s">
        <v>395</v>
      </c>
      <c r="M77" s="145"/>
      <c r="N77" s="122" t="s">
        <v>379</v>
      </c>
      <c r="O77" s="112"/>
      <c r="P77" s="112"/>
      <c r="Q77" s="112" t="s">
        <v>379</v>
      </c>
      <c r="R77" s="112"/>
      <c r="S77" s="117"/>
      <c r="T77" s="117"/>
      <c r="U77" s="117"/>
      <c r="V77" s="117"/>
      <c r="W77" s="117"/>
      <c r="X77" s="85"/>
    </row>
    <row r="78" spans="2:24" ht="16.5" thickTop="1" thickBot="1" x14ac:dyDescent="0.3">
      <c r="B78" s="46" t="s">
        <v>320</v>
      </c>
      <c r="C78" s="14" t="s">
        <v>36</v>
      </c>
      <c r="D78" s="48" t="s">
        <v>325</v>
      </c>
      <c r="E78" s="57" t="s">
        <v>201</v>
      </c>
      <c r="F78" s="95" t="s">
        <v>160</v>
      </c>
      <c r="G78" s="14">
        <v>0</v>
      </c>
      <c r="H78" s="799" t="s">
        <v>642</v>
      </c>
      <c r="I78" s="797">
        <f>SUMIFS(TInspectieTotaal[Aantal],TInspectieTotaal[EML code],MTRG[[#This Row],[Code]])</f>
        <v>0</v>
      </c>
      <c r="J78" s="798" t="s">
        <v>1577</v>
      </c>
      <c r="K78" s="795">
        <f>SUMIFS(TInspectieTotaal[Raming kosten
excl. BTW],TInspectieTotaal[EML code],MTRG[[#This Row],[Code]])</f>
        <v>0</v>
      </c>
      <c r="L78" s="300" t="s">
        <v>395</v>
      </c>
      <c r="M78" s="145"/>
      <c r="N78" s="122" t="s">
        <v>379</v>
      </c>
      <c r="O78" s="112"/>
      <c r="P78" s="112"/>
      <c r="Q78" s="112" t="s">
        <v>379</v>
      </c>
      <c r="R78" s="112"/>
      <c r="S78" s="117"/>
      <c r="T78" s="117"/>
      <c r="U78" s="117"/>
      <c r="V78" s="117"/>
      <c r="W78" s="117"/>
      <c r="X78" s="85"/>
    </row>
    <row r="79" spans="2:24" ht="15.75" thickTop="1" x14ac:dyDescent="0.25">
      <c r="B79" s="46" t="s">
        <v>320</v>
      </c>
      <c r="C79" s="14" t="s">
        <v>37</v>
      </c>
      <c r="D79" s="48" t="s">
        <v>325</v>
      </c>
      <c r="E79" s="57" t="s">
        <v>202</v>
      </c>
      <c r="F79" s="95" t="s">
        <v>160</v>
      </c>
      <c r="G79" s="14">
        <v>0</v>
      </c>
      <c r="H79" s="799" t="s">
        <v>642</v>
      </c>
      <c r="I79" s="797">
        <f>SUMIFS(TInspectieTotaal[Aantal],TInspectieTotaal[EML code],MTRG[[#This Row],[Code]])</f>
        <v>0</v>
      </c>
      <c r="J79" s="798" t="s">
        <v>1577</v>
      </c>
      <c r="K79" s="795">
        <f>SUMIFS(TInspectieTotaal[Raming kosten
excl. BTW],TInspectieTotaal[EML code],MTRG[[#This Row],[Code]])</f>
        <v>0</v>
      </c>
      <c r="L79" s="119" t="s">
        <v>395</v>
      </c>
      <c r="M79" s="145"/>
      <c r="N79" s="122" t="s">
        <v>379</v>
      </c>
      <c r="O79" s="112"/>
      <c r="P79" s="112"/>
      <c r="Q79" s="112" t="s">
        <v>379</v>
      </c>
      <c r="R79" s="112"/>
      <c r="S79" s="117"/>
      <c r="T79" s="117"/>
      <c r="U79" s="117"/>
      <c r="V79" s="117"/>
      <c r="W79" s="117"/>
      <c r="X79" s="85"/>
    </row>
    <row r="80" spans="2:24" x14ac:dyDescent="0.25">
      <c r="B80" s="46" t="s">
        <v>320</v>
      </c>
      <c r="C80" s="14" t="s">
        <v>38</v>
      </c>
      <c r="D80" s="48" t="s">
        <v>325</v>
      </c>
      <c r="E80" s="57" t="s">
        <v>203</v>
      </c>
      <c r="F80" s="95" t="s">
        <v>160</v>
      </c>
      <c r="G80" s="14">
        <v>0</v>
      </c>
      <c r="H80" s="801" t="s">
        <v>642</v>
      </c>
      <c r="I80" s="797">
        <f>SUMIFS(TInspectieTotaal[Aantal],TInspectieTotaal[EML code],MTRG[[#This Row],[Code]])</f>
        <v>0</v>
      </c>
      <c r="J80" s="798" t="s">
        <v>1577</v>
      </c>
      <c r="K80" s="795">
        <f>SUMIFS(TInspectieTotaal[Raming kosten
excl. BTW],TInspectieTotaal[EML code],MTRG[[#This Row],[Code]])</f>
        <v>0</v>
      </c>
      <c r="L80" s="119" t="s">
        <v>395</v>
      </c>
      <c r="M80" s="145"/>
      <c r="N80" s="122" t="s">
        <v>379</v>
      </c>
      <c r="O80" s="112"/>
      <c r="P80" s="112"/>
      <c r="Q80" s="112" t="s">
        <v>379</v>
      </c>
      <c r="R80" s="112"/>
      <c r="S80" s="117"/>
      <c r="T80" s="117"/>
      <c r="U80" s="117"/>
      <c r="V80" s="117"/>
      <c r="W80" s="117"/>
      <c r="X80" s="85"/>
    </row>
    <row r="81" spans="2:24" x14ac:dyDescent="0.25">
      <c r="B81" s="46" t="s">
        <v>320</v>
      </c>
      <c r="C81" s="14" t="s">
        <v>39</v>
      </c>
      <c r="D81" s="48" t="s">
        <v>325</v>
      </c>
      <c r="E81" s="57" t="s">
        <v>204</v>
      </c>
      <c r="F81" s="95" t="s">
        <v>160</v>
      </c>
      <c r="G81" s="14">
        <v>0</v>
      </c>
      <c r="H81" s="96"/>
      <c r="I81" s="130">
        <f>SUMIFS(TInspectieTotaal[Aantal],TInspectieTotaal[EML code],MTRG[[#This Row],[Code]])</f>
        <v>0</v>
      </c>
      <c r="J81" s="639" t="s">
        <v>1589</v>
      </c>
      <c r="K81" s="289"/>
      <c r="L81" s="119"/>
      <c r="M81" s="145"/>
      <c r="N81" s="121"/>
      <c r="O81" s="112"/>
      <c r="P81" s="112"/>
      <c r="Q81" s="112"/>
      <c r="R81" s="112"/>
      <c r="S81" s="117"/>
      <c r="T81" s="117"/>
      <c r="U81" s="117"/>
      <c r="V81" s="117"/>
      <c r="W81" s="117"/>
      <c r="X81" s="85"/>
    </row>
    <row r="82" spans="2:24" x14ac:dyDescent="0.25">
      <c r="B82" s="46" t="s">
        <v>320</v>
      </c>
      <c r="C82" s="14" t="s">
        <v>40</v>
      </c>
      <c r="D82" s="48" t="s">
        <v>325</v>
      </c>
      <c r="E82" s="57" t="s">
        <v>205</v>
      </c>
      <c r="F82" s="95" t="s">
        <v>160</v>
      </c>
      <c r="G82" s="14">
        <v>0</v>
      </c>
      <c r="H82" s="799" t="s">
        <v>642</v>
      </c>
      <c r="I82" s="797">
        <f>SUMIFS(TInspectieTotaal[Aantal],TInspectieTotaal[EML code],MTRG[[#This Row],[Code]])</f>
        <v>0</v>
      </c>
      <c r="J82" s="798" t="s">
        <v>1577</v>
      </c>
      <c r="K82" s="795">
        <f>SUMIFS(TInspectieTotaal[Raming kosten
excl. BTW],TInspectieTotaal[EML code],MTRG[[#This Row],[Code]])</f>
        <v>0</v>
      </c>
      <c r="L82" s="119" t="s">
        <v>372</v>
      </c>
      <c r="M82" s="145"/>
      <c r="N82" s="122" t="s">
        <v>379</v>
      </c>
      <c r="O82" s="112"/>
      <c r="P82" s="112"/>
      <c r="Q82" s="112" t="s">
        <v>379</v>
      </c>
      <c r="R82" s="112"/>
      <c r="S82" s="117"/>
      <c r="T82" s="117"/>
      <c r="U82" s="117"/>
      <c r="V82" s="117"/>
      <c r="W82" s="117"/>
      <c r="X82" s="85"/>
    </row>
    <row r="83" spans="2:24" x14ac:dyDescent="0.25">
      <c r="B83" s="46" t="s">
        <v>320</v>
      </c>
      <c r="C83" s="14" t="s">
        <v>41</v>
      </c>
      <c r="D83" s="55" t="s">
        <v>325</v>
      </c>
      <c r="E83" s="58" t="s">
        <v>206</v>
      </c>
      <c r="F83" s="97" t="s">
        <v>160</v>
      </c>
      <c r="G83" s="18">
        <v>0</v>
      </c>
      <c r="H83" s="806" t="s">
        <v>642</v>
      </c>
      <c r="I83" s="802">
        <f>SUMIFS(TInspectieTotaal[Aantal],TInspectieTotaal[EML code],MTRG[[#This Row],[Code]])</f>
        <v>0</v>
      </c>
      <c r="J83" s="798" t="s">
        <v>1577</v>
      </c>
      <c r="K83" s="795">
        <f>SUMIFS(TInspectieTotaal[Raming kosten
excl. BTW],TInspectieTotaal[EML code],MTRG[[#This Row],[Code]])</f>
        <v>0</v>
      </c>
      <c r="L83" s="119" t="s">
        <v>372</v>
      </c>
      <c r="M83" s="145"/>
      <c r="N83" s="122" t="s">
        <v>379</v>
      </c>
      <c r="O83" s="112"/>
      <c r="P83" s="112"/>
      <c r="Q83" s="112" t="s">
        <v>379</v>
      </c>
      <c r="R83" s="112"/>
      <c r="S83" s="117"/>
      <c r="T83" s="117"/>
      <c r="U83" s="117"/>
      <c r="V83" s="117"/>
      <c r="W83" s="117"/>
      <c r="X83" s="85"/>
    </row>
    <row r="84" spans="2:24" s="2" customFormat="1" x14ac:dyDescent="0.25">
      <c r="B84" s="51"/>
      <c r="C84" s="52"/>
      <c r="D84" s="53" t="str">
        <f>D85</f>
        <v>Grootkeukenapparatuur</v>
      </c>
      <c r="E84" s="54"/>
      <c r="F84" s="99"/>
      <c r="G84" s="53"/>
      <c r="H84" s="54"/>
      <c r="I84" s="133"/>
      <c r="J84" s="637"/>
      <c r="K84" s="289"/>
      <c r="L84" s="119"/>
      <c r="M84" s="145"/>
      <c r="N84" s="121"/>
      <c r="O84" s="139"/>
      <c r="P84" s="139"/>
      <c r="Q84" s="139" t="s">
        <v>379</v>
      </c>
      <c r="R84" s="139"/>
      <c r="S84" s="117"/>
      <c r="T84" s="117"/>
      <c r="U84" s="117"/>
      <c r="V84" s="117"/>
      <c r="W84" s="117"/>
      <c r="X84" s="90"/>
    </row>
    <row r="85" spans="2:24" x14ac:dyDescent="0.25">
      <c r="B85" s="46" t="s">
        <v>320</v>
      </c>
      <c r="C85" s="14" t="s">
        <v>42</v>
      </c>
      <c r="D85" s="14" t="s">
        <v>326</v>
      </c>
      <c r="E85" s="47" t="s">
        <v>207</v>
      </c>
      <c r="F85" s="94" t="s">
        <v>160</v>
      </c>
      <c r="G85" s="14">
        <v>0</v>
      </c>
      <c r="H85" s="96"/>
      <c r="I85" s="130">
        <f>SUMIFS(TInspectieTotaal[Aantal],TInspectieTotaal[EML code],MTRG[[#This Row],[Code]])</f>
        <v>0</v>
      </c>
      <c r="J85" s="639" t="s">
        <v>1589</v>
      </c>
      <c r="K85" s="289"/>
      <c r="L85" s="119"/>
      <c r="M85" s="145"/>
      <c r="N85" s="121"/>
      <c r="O85" s="112"/>
      <c r="P85" s="112"/>
      <c r="Q85" s="112"/>
      <c r="R85" s="112"/>
      <c r="S85" s="117"/>
      <c r="T85" s="117"/>
      <c r="U85" s="117"/>
      <c r="V85" s="117"/>
      <c r="W85" s="117"/>
      <c r="X85" s="85"/>
    </row>
    <row r="86" spans="2:24" x14ac:dyDescent="0.25">
      <c r="B86" s="46" t="s">
        <v>320</v>
      </c>
      <c r="C86" s="14" t="s">
        <v>43</v>
      </c>
      <c r="D86" s="48" t="s">
        <v>326</v>
      </c>
      <c r="E86" s="47" t="s">
        <v>208</v>
      </c>
      <c r="F86" s="95" t="s">
        <v>160</v>
      </c>
      <c r="G86" s="14">
        <v>0</v>
      </c>
      <c r="H86" s="801" t="s">
        <v>642</v>
      </c>
      <c r="I86" s="797">
        <f>SUMIFS(TInspectieTotaal[Aantal],TInspectieTotaal[EML code],MTRG[[#This Row],[Code]])</f>
        <v>0</v>
      </c>
      <c r="J86" s="798" t="s">
        <v>1577</v>
      </c>
      <c r="K86" s="795">
        <f>SUMIFS(TInspectieTotaal[Raming kosten
excl. BTW],TInspectieTotaal[EML code],MTRG[[#This Row],[Code]])</f>
        <v>0</v>
      </c>
      <c r="L86" s="119" t="s">
        <v>395</v>
      </c>
      <c r="M86" s="145"/>
      <c r="N86" s="122" t="s">
        <v>379</v>
      </c>
      <c r="O86" s="112"/>
      <c r="P86" s="112"/>
      <c r="Q86" s="112" t="s">
        <v>379</v>
      </c>
      <c r="R86" s="112"/>
      <c r="S86" s="117"/>
      <c r="T86" s="117"/>
      <c r="U86" s="117"/>
      <c r="V86" s="117"/>
      <c r="W86" s="117"/>
      <c r="X86" s="85"/>
    </row>
    <row r="87" spans="2:24" ht="15.75" thickBot="1" x14ac:dyDescent="0.3">
      <c r="B87" s="46" t="s">
        <v>320</v>
      </c>
      <c r="C87" s="14" t="s">
        <v>44</v>
      </c>
      <c r="D87" s="48" t="s">
        <v>326</v>
      </c>
      <c r="E87" s="47" t="s">
        <v>209</v>
      </c>
      <c r="F87" s="95" t="s">
        <v>160</v>
      </c>
      <c r="G87" s="14">
        <v>0</v>
      </c>
      <c r="H87" s="96"/>
      <c r="I87" s="130">
        <f>SUMIFS(TInspectieTotaal[Aantal],TInspectieTotaal[EML code],MTRG[[#This Row],[Code]])</f>
        <v>0</v>
      </c>
      <c r="J87" s="639" t="s">
        <v>1589</v>
      </c>
      <c r="K87" s="289"/>
      <c r="L87" s="119"/>
      <c r="M87" s="145"/>
      <c r="N87" s="120"/>
      <c r="O87" s="113"/>
      <c r="P87" s="113"/>
      <c r="Q87" s="113"/>
      <c r="R87" s="113"/>
      <c r="S87" s="117"/>
      <c r="T87" s="117"/>
      <c r="U87" s="117"/>
      <c r="V87" s="117"/>
      <c r="W87" s="117"/>
      <c r="X87" s="85"/>
    </row>
    <row r="88" spans="2:24" ht="16.5" thickTop="1" thickBot="1" x14ac:dyDescent="0.3">
      <c r="B88" s="46" t="s">
        <v>320</v>
      </c>
      <c r="C88" s="14" t="s">
        <v>45</v>
      </c>
      <c r="D88" s="48" t="s">
        <v>326</v>
      </c>
      <c r="E88" s="47" t="s">
        <v>210</v>
      </c>
      <c r="F88" s="95" t="s">
        <v>160</v>
      </c>
      <c r="G88" s="14">
        <v>0</v>
      </c>
      <c r="H88" s="801" t="s">
        <v>642</v>
      </c>
      <c r="I88" s="797">
        <f>SUMIFS(TInspectieTotaal[Aantal],TInspectieTotaal[EML code],MTRG[[#This Row],[Code]])</f>
        <v>0</v>
      </c>
      <c r="J88" s="798" t="s">
        <v>1577</v>
      </c>
      <c r="K88" s="795">
        <f>SUMIFS(TInspectieTotaal[Raming kosten
excl. BTW],TInspectieTotaal[EML code],MTRG[[#This Row],[Code]])</f>
        <v>0</v>
      </c>
      <c r="L88" s="300" t="s">
        <v>372</v>
      </c>
      <c r="M88" s="145"/>
      <c r="N88" s="122" t="s">
        <v>379</v>
      </c>
      <c r="O88" s="112"/>
      <c r="P88" s="112"/>
      <c r="Q88" s="112" t="s">
        <v>379</v>
      </c>
      <c r="R88" s="112"/>
      <c r="S88" s="117"/>
      <c r="T88" s="117"/>
      <c r="U88" s="117"/>
      <c r="V88" s="117"/>
      <c r="W88" s="117"/>
      <c r="X88" s="85"/>
    </row>
    <row r="89" spans="2:24" ht="15.75" thickTop="1" x14ac:dyDescent="0.25">
      <c r="B89" s="46" t="s">
        <v>320</v>
      </c>
      <c r="C89" s="14" t="s">
        <v>46</v>
      </c>
      <c r="D89" s="48" t="s">
        <v>326</v>
      </c>
      <c r="E89" s="47" t="s">
        <v>211</v>
      </c>
      <c r="F89" s="95" t="s">
        <v>160</v>
      </c>
      <c r="G89" s="14">
        <v>0</v>
      </c>
      <c r="H89" s="96"/>
      <c r="I89" s="130">
        <f>SUMIFS(TInspectieTotaal[Aantal],TInspectieTotaal[EML code],MTRG[[#This Row],[Code]])</f>
        <v>0</v>
      </c>
      <c r="J89" s="639" t="s">
        <v>1589</v>
      </c>
      <c r="K89" s="289"/>
      <c r="L89" s="119"/>
      <c r="M89" s="145"/>
      <c r="N89" s="121"/>
      <c r="O89" s="112"/>
      <c r="P89" s="112"/>
      <c r="Q89" s="112"/>
      <c r="R89" s="112"/>
      <c r="S89" s="117"/>
      <c r="T89" s="117"/>
      <c r="U89" s="117"/>
      <c r="V89" s="117"/>
      <c r="W89" s="117"/>
      <c r="X89" s="85"/>
    </row>
    <row r="90" spans="2:24" x14ac:dyDescent="0.25">
      <c r="B90" s="46" t="s">
        <v>320</v>
      </c>
      <c r="C90" s="14" t="s">
        <v>47</v>
      </c>
      <c r="D90" s="55" t="s">
        <v>326</v>
      </c>
      <c r="E90" s="50" t="s">
        <v>212</v>
      </c>
      <c r="F90" s="97" t="s">
        <v>160</v>
      </c>
      <c r="G90" s="18">
        <v>0</v>
      </c>
      <c r="H90" s="96"/>
      <c r="I90" s="132">
        <f>SUMIFS(TInspectieTotaal[Aantal],TInspectieTotaal[EML code],MTRG[[#This Row],[Code]])</f>
        <v>0</v>
      </c>
      <c r="J90" s="641" t="s">
        <v>1589</v>
      </c>
      <c r="K90" s="289"/>
      <c r="L90" s="119"/>
      <c r="M90" s="145"/>
      <c r="N90" s="120"/>
      <c r="O90" s="113"/>
      <c r="P90" s="113"/>
      <c r="Q90" s="113"/>
      <c r="R90" s="113"/>
      <c r="S90" s="117"/>
      <c r="T90" s="117"/>
      <c r="U90" s="117"/>
      <c r="V90" s="117"/>
      <c r="W90" s="117"/>
      <c r="X90" s="85"/>
    </row>
    <row r="91" spans="2:24" s="2" customFormat="1" x14ac:dyDescent="0.25">
      <c r="B91" s="51"/>
      <c r="C91" s="52"/>
      <c r="D91" s="53" t="str">
        <f>D92</f>
        <v>Ovens</v>
      </c>
      <c r="E91" s="54"/>
      <c r="F91" s="99"/>
      <c r="G91" s="53"/>
      <c r="H91" s="101"/>
      <c r="I91" s="133"/>
      <c r="J91" s="637"/>
      <c r="K91" s="289"/>
      <c r="L91" s="119"/>
      <c r="M91" s="145"/>
      <c r="N91" s="120"/>
      <c r="O91" s="140"/>
      <c r="P91" s="140"/>
      <c r="Q91" s="140"/>
      <c r="R91" s="140"/>
      <c r="S91" s="117"/>
      <c r="T91" s="117"/>
      <c r="U91" s="117"/>
      <c r="V91" s="117"/>
      <c r="W91" s="117"/>
      <c r="X91" s="90"/>
    </row>
    <row r="92" spans="2:24" ht="30" x14ac:dyDescent="0.25">
      <c r="B92" s="46" t="s">
        <v>320</v>
      </c>
      <c r="C92" s="14" t="s">
        <v>48</v>
      </c>
      <c r="D92" s="14" t="s">
        <v>327</v>
      </c>
      <c r="E92" s="57" t="s">
        <v>213</v>
      </c>
      <c r="F92" s="94" t="s">
        <v>160</v>
      </c>
      <c r="G92" s="14">
        <v>0</v>
      </c>
      <c r="H92" s="96"/>
      <c r="I92" s="130">
        <f>SUMIFS(TInspectieTotaal[Aantal],TInspectieTotaal[EML code],MTRG[[#This Row],[Code]])</f>
        <v>0</v>
      </c>
      <c r="J92" s="639" t="s">
        <v>1589</v>
      </c>
      <c r="K92" s="289"/>
      <c r="L92" s="119"/>
      <c r="M92" s="145"/>
      <c r="N92" s="121"/>
      <c r="O92" s="112"/>
      <c r="P92" s="112"/>
      <c r="Q92" s="112"/>
      <c r="R92" s="112"/>
      <c r="S92" s="117"/>
      <c r="T92" s="117"/>
      <c r="U92" s="117"/>
      <c r="V92" s="117"/>
      <c r="W92" s="117"/>
      <c r="X92" s="85"/>
    </row>
    <row r="93" spans="2:24" x14ac:dyDescent="0.25">
      <c r="B93" s="46" t="s">
        <v>320</v>
      </c>
      <c r="C93" s="14" t="s">
        <v>49</v>
      </c>
      <c r="D93" s="55" t="s">
        <v>327</v>
      </c>
      <c r="E93" s="58" t="s">
        <v>214</v>
      </c>
      <c r="F93" s="97" t="s">
        <v>160</v>
      </c>
      <c r="G93" s="18">
        <v>0</v>
      </c>
      <c r="H93" s="96"/>
      <c r="I93" s="132">
        <f>SUMIFS(TInspectieTotaal[Aantal],TInspectieTotaal[EML code],MTRG[[#This Row],[Code]])</f>
        <v>0</v>
      </c>
      <c r="J93" s="639" t="s">
        <v>1589</v>
      </c>
      <c r="K93" s="289"/>
      <c r="L93" s="119"/>
      <c r="M93" s="145"/>
      <c r="N93" s="121"/>
      <c r="O93" s="112"/>
      <c r="P93" s="112"/>
      <c r="Q93" s="112"/>
      <c r="R93" s="112"/>
      <c r="S93" s="117"/>
      <c r="T93" s="117"/>
      <c r="U93" s="117"/>
      <c r="V93" s="117"/>
      <c r="W93" s="117"/>
      <c r="X93" s="85"/>
    </row>
    <row r="94" spans="2:24" s="2" customFormat="1" ht="15.75" thickBot="1" x14ac:dyDescent="0.3">
      <c r="B94" s="51"/>
      <c r="C94" s="52"/>
      <c r="D94" s="53" t="str">
        <f>D95</f>
        <v>Terreinverlichting</v>
      </c>
      <c r="E94" s="54"/>
      <c r="F94" s="99"/>
      <c r="G94" s="53"/>
      <c r="H94" s="101"/>
      <c r="I94" s="133"/>
      <c r="J94" s="637"/>
      <c r="K94" s="289"/>
      <c r="L94" s="119"/>
      <c r="M94" s="145"/>
      <c r="N94" s="121"/>
      <c r="O94" s="139"/>
      <c r="P94" s="139" t="s">
        <v>379</v>
      </c>
      <c r="Q94" s="139"/>
      <c r="R94" s="139"/>
      <c r="S94" s="117"/>
      <c r="T94" s="117"/>
      <c r="U94" s="117"/>
      <c r="V94" s="117"/>
      <c r="W94" s="117"/>
      <c r="X94" s="90"/>
    </row>
    <row r="95" spans="2:24" ht="31.5" thickTop="1" thickBot="1" x14ac:dyDescent="0.3">
      <c r="B95" s="46" t="s">
        <v>320</v>
      </c>
      <c r="C95" s="14" t="s">
        <v>50</v>
      </c>
      <c r="D95" s="14" t="s">
        <v>328</v>
      </c>
      <c r="E95" s="47" t="s">
        <v>215</v>
      </c>
      <c r="F95" s="94" t="s">
        <v>160</v>
      </c>
      <c r="G95" s="14">
        <v>0</v>
      </c>
      <c r="H95" s="801" t="s">
        <v>642</v>
      </c>
      <c r="I95" s="797">
        <f>SUMIFS(TInspectieTotaal[Aantal],TInspectieTotaal[EML code],MTRG[[#This Row],[Code]])</f>
        <v>0</v>
      </c>
      <c r="J95" s="798" t="s">
        <v>1596</v>
      </c>
      <c r="K95" s="795">
        <f>SUMIFS(TInspectieTotaal[Raming kosten
excl. BTW],TInspectieTotaal[EML code],MTRG[[#This Row],[Code]])</f>
        <v>0</v>
      </c>
      <c r="L95" s="300" t="s">
        <v>395</v>
      </c>
      <c r="M95" s="145"/>
      <c r="N95" s="122" t="s">
        <v>379</v>
      </c>
      <c r="O95" s="112"/>
      <c r="P95" s="112" t="s">
        <v>379</v>
      </c>
      <c r="Q95" s="112"/>
      <c r="R95" s="112"/>
      <c r="S95" s="117"/>
      <c r="T95" s="117"/>
      <c r="U95" s="117"/>
      <c r="V95" s="117"/>
      <c r="W95" s="117"/>
      <c r="X95" s="85"/>
    </row>
    <row r="96" spans="2:24" ht="16.5" thickTop="1" thickBot="1" x14ac:dyDescent="0.3">
      <c r="B96" s="46" t="s">
        <v>320</v>
      </c>
      <c r="C96" s="14" t="s">
        <v>51</v>
      </c>
      <c r="D96" s="48" t="s">
        <v>328</v>
      </c>
      <c r="E96" s="47" t="s">
        <v>216</v>
      </c>
      <c r="F96" s="95" t="s">
        <v>160</v>
      </c>
      <c r="G96" s="14">
        <v>0</v>
      </c>
      <c r="H96" s="801" t="s">
        <v>642</v>
      </c>
      <c r="I96" s="797">
        <f>SUMIFS(TInspectieTotaal[Aantal],TInspectieTotaal[EML code],MTRG[[#This Row],[Code]])</f>
        <v>0</v>
      </c>
      <c r="J96" s="798" t="s">
        <v>1596</v>
      </c>
      <c r="K96" s="795">
        <f>SUMIFS(TInspectieTotaal[Raming kosten
excl. BTW],TInspectieTotaal[EML code],MTRG[[#This Row],[Code]])</f>
        <v>0</v>
      </c>
      <c r="L96" s="300" t="s">
        <v>395</v>
      </c>
      <c r="M96" s="145"/>
      <c r="N96" s="122" t="s">
        <v>379</v>
      </c>
      <c r="O96" s="112"/>
      <c r="P96" s="112" t="s">
        <v>379</v>
      </c>
      <c r="Q96" s="112"/>
      <c r="R96" s="112"/>
      <c r="S96" s="117"/>
      <c r="T96" s="117"/>
      <c r="U96" s="117"/>
      <c r="V96" s="117"/>
      <c r="W96" s="117"/>
      <c r="X96" s="85"/>
    </row>
    <row r="97" spans="2:24" ht="16.5" thickTop="1" thickBot="1" x14ac:dyDescent="0.3">
      <c r="B97" s="46" t="s">
        <v>320</v>
      </c>
      <c r="C97" s="14" t="s">
        <v>52</v>
      </c>
      <c r="D97" s="48" t="s">
        <v>328</v>
      </c>
      <c r="E97" s="47" t="s">
        <v>217</v>
      </c>
      <c r="F97" s="95" t="s">
        <v>160</v>
      </c>
      <c r="G97" s="14">
        <v>0</v>
      </c>
      <c r="H97" s="801" t="s">
        <v>642</v>
      </c>
      <c r="I97" s="797">
        <f>SUMIFS(TInspectieTotaal[Aantal],TInspectieTotaal[EML code],MTRG[[#This Row],[Code]])</f>
        <v>0</v>
      </c>
      <c r="J97" s="798" t="s">
        <v>1596</v>
      </c>
      <c r="K97" s="795">
        <f>SUMIFS(TInspectieTotaal[Raming kosten
excl. BTW],TInspectieTotaal[EML code],MTRG[[#This Row],[Code]])</f>
        <v>0</v>
      </c>
      <c r="L97" s="300" t="s">
        <v>395</v>
      </c>
      <c r="M97" s="145"/>
      <c r="N97" s="122" t="s">
        <v>379</v>
      </c>
      <c r="O97" s="112"/>
      <c r="P97" s="112" t="s">
        <v>379</v>
      </c>
      <c r="Q97" s="112"/>
      <c r="R97" s="112"/>
      <c r="S97" s="117"/>
      <c r="T97" s="117"/>
      <c r="U97" s="117"/>
      <c r="V97" s="117"/>
      <c r="W97" s="117"/>
      <c r="X97" s="85"/>
    </row>
    <row r="98" spans="2:24" ht="31.5" thickTop="1" thickBot="1" x14ac:dyDescent="0.3">
      <c r="B98" s="46" t="s">
        <v>320</v>
      </c>
      <c r="C98" s="14" t="s">
        <v>53</v>
      </c>
      <c r="D98" s="48" t="s">
        <v>328</v>
      </c>
      <c r="E98" s="47" t="s">
        <v>218</v>
      </c>
      <c r="F98" s="95" t="s">
        <v>160</v>
      </c>
      <c r="G98" s="14">
        <v>0</v>
      </c>
      <c r="H98" s="801" t="s">
        <v>642</v>
      </c>
      <c r="I98" s="797">
        <f>SUMIFS(TInspectieTotaal[Aantal],TInspectieTotaal[EML code],MTRG[[#This Row],[Code]])</f>
        <v>0</v>
      </c>
      <c r="J98" s="798" t="s">
        <v>1596</v>
      </c>
      <c r="K98" s="795">
        <f>SUMIFS(TInspectieTotaal[Raming kosten
excl. BTW],TInspectieTotaal[EML code],MTRG[[#This Row],[Code]])</f>
        <v>0</v>
      </c>
      <c r="L98" s="300" t="s">
        <v>372</v>
      </c>
      <c r="M98" s="145"/>
      <c r="N98" s="122" t="s">
        <v>379</v>
      </c>
      <c r="O98" s="112"/>
      <c r="P98" s="112" t="s">
        <v>379</v>
      </c>
      <c r="Q98" s="112"/>
      <c r="R98" s="112"/>
      <c r="S98" s="117"/>
      <c r="T98" s="117"/>
      <c r="U98" s="117"/>
      <c r="V98" s="117"/>
      <c r="W98" s="117"/>
      <c r="X98" s="85"/>
    </row>
    <row r="99" spans="2:24" ht="31.5" thickTop="1" thickBot="1" x14ac:dyDescent="0.3">
      <c r="B99" s="46" t="s">
        <v>320</v>
      </c>
      <c r="C99" s="14" t="s">
        <v>54</v>
      </c>
      <c r="D99" s="55" t="s">
        <v>328</v>
      </c>
      <c r="E99" s="50" t="s">
        <v>219</v>
      </c>
      <c r="F99" s="97" t="s">
        <v>160</v>
      </c>
      <c r="G99" s="18">
        <v>0</v>
      </c>
      <c r="H99" s="801" t="s">
        <v>642</v>
      </c>
      <c r="I99" s="802">
        <f>SUMIFS(TInspectieTotaal[Aantal],TInspectieTotaal[EML code],MTRG[[#This Row],[Code]])</f>
        <v>0</v>
      </c>
      <c r="J99" s="798" t="s">
        <v>1596</v>
      </c>
      <c r="K99" s="795">
        <f>SUMIFS(TInspectieTotaal[Raming kosten
excl. BTW],TInspectieTotaal[EML code],MTRG[[#This Row],[Code]])</f>
        <v>0</v>
      </c>
      <c r="L99" s="300" t="s">
        <v>372</v>
      </c>
      <c r="M99" s="145"/>
      <c r="N99" s="122" t="s">
        <v>379</v>
      </c>
      <c r="O99" s="112"/>
      <c r="P99" s="112" t="s">
        <v>379</v>
      </c>
      <c r="Q99" s="112"/>
      <c r="R99" s="112"/>
      <c r="S99" s="117"/>
      <c r="T99" s="117"/>
      <c r="U99" s="117"/>
      <c r="V99" s="117"/>
      <c r="W99" s="117"/>
      <c r="X99" s="85"/>
    </row>
    <row r="100" spans="2:24" s="2" customFormat="1" ht="16.5" thickTop="1" thickBot="1" x14ac:dyDescent="0.3">
      <c r="B100" s="51"/>
      <c r="C100" s="52"/>
      <c r="D100" s="53" t="str">
        <f>D101</f>
        <v>Zwembad</v>
      </c>
      <c r="E100" s="54"/>
      <c r="F100" s="99"/>
      <c r="G100" s="53"/>
      <c r="H100" s="54"/>
      <c r="I100" s="133"/>
      <c r="J100" s="637"/>
      <c r="K100" s="289"/>
      <c r="L100" s="119"/>
      <c r="M100" s="145"/>
      <c r="N100" s="121"/>
      <c r="O100" s="139" t="s">
        <v>379</v>
      </c>
      <c r="P100" s="139"/>
      <c r="Q100" s="139" t="s">
        <v>379</v>
      </c>
      <c r="R100" s="139"/>
      <c r="S100" s="117"/>
      <c r="T100" s="117"/>
      <c r="U100" s="117"/>
      <c r="V100" s="117"/>
      <c r="W100" s="117"/>
      <c r="X100" s="90"/>
    </row>
    <row r="101" spans="2:24" ht="16.5" thickTop="1" thickBot="1" x14ac:dyDescent="0.3">
      <c r="B101" s="46" t="s">
        <v>320</v>
      </c>
      <c r="C101" s="14" t="s">
        <v>55</v>
      </c>
      <c r="D101" s="14" t="s">
        <v>329</v>
      </c>
      <c r="E101" s="47" t="s">
        <v>220</v>
      </c>
      <c r="F101" s="94" t="s">
        <v>160</v>
      </c>
      <c r="G101" s="14">
        <v>0</v>
      </c>
      <c r="H101" s="801" t="s">
        <v>642</v>
      </c>
      <c r="I101" s="797">
        <f>SUMIFS(TInspectieTotaal[Aantal],TInspectieTotaal[EML code],MTRG[[#This Row],[Code]])</f>
        <v>0</v>
      </c>
      <c r="J101" s="798" t="s">
        <v>1577</v>
      </c>
      <c r="K101" s="795">
        <f>SUMIFS(TInspectieTotaal[Raming kosten
excl. BTW],TInspectieTotaal[EML code],MTRG[[#This Row],[Code]])</f>
        <v>0</v>
      </c>
      <c r="L101" s="300" t="s">
        <v>395</v>
      </c>
      <c r="M101" s="145"/>
      <c r="N101" s="122" t="s">
        <v>379</v>
      </c>
      <c r="O101" s="112" t="s">
        <v>379</v>
      </c>
      <c r="P101" s="112"/>
      <c r="Q101" s="112"/>
      <c r="R101" s="112"/>
      <c r="S101" s="117"/>
      <c r="T101" s="117"/>
      <c r="U101" s="117"/>
      <c r="V101" s="117"/>
      <c r="W101" s="117"/>
      <c r="X101" s="85"/>
    </row>
    <row r="102" spans="2:24" ht="15.75" thickTop="1" x14ac:dyDescent="0.25">
      <c r="B102" s="46" t="s">
        <v>320</v>
      </c>
      <c r="C102" s="14" t="s">
        <v>56</v>
      </c>
      <c r="D102" s="48" t="s">
        <v>329</v>
      </c>
      <c r="E102" s="47" t="s">
        <v>221</v>
      </c>
      <c r="F102" s="95" t="s">
        <v>160</v>
      </c>
      <c r="G102" s="14">
        <v>0</v>
      </c>
      <c r="H102" s="801" t="s">
        <v>642</v>
      </c>
      <c r="I102" s="797">
        <f>SUMIFS(TInspectieTotaal[Aantal],TInspectieTotaal[EML code],MTRG[[#This Row],[Code]])</f>
        <v>0</v>
      </c>
      <c r="J102" s="798" t="s">
        <v>1577</v>
      </c>
      <c r="K102" s="795">
        <f>SUMIFS(TInspectieTotaal[Raming kosten
excl. BTW],TInspectieTotaal[EML code],MTRG[[#This Row],[Code]])</f>
        <v>0</v>
      </c>
      <c r="L102" s="119" t="s">
        <v>395</v>
      </c>
      <c r="M102" s="145"/>
      <c r="N102" s="122" t="s">
        <v>379</v>
      </c>
      <c r="O102" s="112"/>
      <c r="P102" s="112"/>
      <c r="Q102" s="112" t="s">
        <v>379</v>
      </c>
      <c r="R102" s="112"/>
      <c r="S102" s="117"/>
      <c r="T102" s="117"/>
      <c r="U102" s="117"/>
      <c r="V102" s="117"/>
      <c r="W102" s="117"/>
      <c r="X102" s="85"/>
    </row>
    <row r="103" spans="2:24" x14ac:dyDescent="0.25">
      <c r="B103" s="46" t="s">
        <v>320</v>
      </c>
      <c r="C103" s="14" t="s">
        <v>57</v>
      </c>
      <c r="D103" s="48" t="s">
        <v>329</v>
      </c>
      <c r="E103" s="47" t="s">
        <v>222</v>
      </c>
      <c r="F103" s="95" t="s">
        <v>160</v>
      </c>
      <c r="G103" s="14">
        <v>0</v>
      </c>
      <c r="H103" s="96"/>
      <c r="I103" s="130">
        <f>SUMIFS(TInspectieTotaal[Aantal],TInspectieTotaal[EML code],MTRG[[#This Row],[Code]])</f>
        <v>0</v>
      </c>
      <c r="J103" s="639" t="s">
        <v>1589</v>
      </c>
      <c r="K103" s="289"/>
      <c r="L103" s="119"/>
      <c r="M103" s="145"/>
      <c r="N103" s="121"/>
      <c r="O103" s="112"/>
      <c r="P103" s="112"/>
      <c r="Q103" s="112"/>
      <c r="R103" s="112"/>
      <c r="S103" s="117"/>
      <c r="T103" s="117"/>
      <c r="U103" s="117"/>
      <c r="V103" s="117"/>
      <c r="W103" s="117"/>
      <c r="X103" s="85"/>
    </row>
    <row r="104" spans="2:24" ht="30" x14ac:dyDescent="0.25">
      <c r="B104" s="46" t="s">
        <v>320</v>
      </c>
      <c r="C104" s="14" t="s">
        <v>58</v>
      </c>
      <c r="D104" s="48" t="s">
        <v>329</v>
      </c>
      <c r="E104" s="47" t="s">
        <v>223</v>
      </c>
      <c r="F104" s="95" t="s">
        <v>160</v>
      </c>
      <c r="G104" s="14">
        <v>0</v>
      </c>
      <c r="H104" s="96"/>
      <c r="I104" s="130">
        <f>SUMIFS(TInspectieTotaal[Aantal],TInspectieTotaal[EML code],MTRG[[#This Row],[Code]])</f>
        <v>0</v>
      </c>
      <c r="J104" s="639" t="s">
        <v>1589</v>
      </c>
      <c r="K104" s="289"/>
      <c r="L104" s="119"/>
      <c r="M104" s="145"/>
      <c r="N104" s="121"/>
      <c r="O104" s="112"/>
      <c r="P104" s="112"/>
      <c r="Q104" s="112"/>
      <c r="R104" s="112"/>
      <c r="S104" s="117"/>
      <c r="T104" s="117"/>
      <c r="U104" s="117"/>
      <c r="V104" s="117"/>
      <c r="W104" s="117"/>
      <c r="X104" s="85"/>
    </row>
    <row r="105" spans="2:24" x14ac:dyDescent="0.25">
      <c r="B105" s="46" t="s">
        <v>320</v>
      </c>
      <c r="C105" s="14" t="s">
        <v>59</v>
      </c>
      <c r="D105" s="48" t="s">
        <v>329</v>
      </c>
      <c r="E105" s="47" t="s">
        <v>224</v>
      </c>
      <c r="F105" s="95" t="s">
        <v>160</v>
      </c>
      <c r="G105" s="14">
        <v>0</v>
      </c>
      <c r="H105" s="801" t="s">
        <v>642</v>
      </c>
      <c r="I105" s="797">
        <f>SUMIFS(TInspectieTotaal[Aantal],TInspectieTotaal[EML code],MTRG[[#This Row],[Code]])</f>
        <v>0</v>
      </c>
      <c r="J105" s="798" t="s">
        <v>1577</v>
      </c>
      <c r="K105" s="795">
        <f>SUMIFS(TInspectieTotaal[Raming kosten
excl. BTW],TInspectieTotaal[EML code],MTRG[[#This Row],[Code]])</f>
        <v>0</v>
      </c>
      <c r="L105" s="119" t="s">
        <v>395</v>
      </c>
      <c r="M105" s="145"/>
      <c r="N105" s="122" t="s">
        <v>379</v>
      </c>
      <c r="O105" s="112" t="s">
        <v>379</v>
      </c>
      <c r="P105" s="112"/>
      <c r="Q105" s="112"/>
      <c r="R105" s="112"/>
      <c r="S105" s="117"/>
      <c r="T105" s="117"/>
      <c r="U105" s="117"/>
      <c r="V105" s="117"/>
      <c r="W105" s="117"/>
      <c r="X105" s="85"/>
    </row>
    <row r="106" spans="2:24" x14ac:dyDescent="0.25">
      <c r="B106" s="46" t="s">
        <v>320</v>
      </c>
      <c r="C106" s="14" t="s">
        <v>60</v>
      </c>
      <c r="D106" s="48" t="s">
        <v>329</v>
      </c>
      <c r="E106" s="47" t="s">
        <v>225</v>
      </c>
      <c r="F106" s="95" t="s">
        <v>160</v>
      </c>
      <c r="G106" s="14">
        <v>0</v>
      </c>
      <c r="H106" s="801" t="s">
        <v>642</v>
      </c>
      <c r="I106" s="797">
        <f>SUMIFS(TInspectieTotaal[Aantal],TInspectieTotaal[EML code],MTRG[[#This Row],[Code]])</f>
        <v>0</v>
      </c>
      <c r="J106" s="798" t="s">
        <v>1577</v>
      </c>
      <c r="K106" s="795">
        <f>SUMIFS(TInspectieTotaal[Raming kosten
excl. BTW],TInspectieTotaal[EML code],MTRG[[#This Row],[Code]])</f>
        <v>0</v>
      </c>
      <c r="L106" s="119" t="s">
        <v>395</v>
      </c>
      <c r="M106" s="145"/>
      <c r="N106" s="122" t="s">
        <v>379</v>
      </c>
      <c r="O106" s="112"/>
      <c r="P106" s="112"/>
      <c r="Q106" s="112" t="s">
        <v>379</v>
      </c>
      <c r="R106" s="112"/>
      <c r="S106" s="117"/>
      <c r="T106" s="117"/>
      <c r="U106" s="117"/>
      <c r="V106" s="117"/>
      <c r="W106" s="117"/>
      <c r="X106" s="85"/>
    </row>
    <row r="107" spans="2:24" ht="15.75" thickBot="1" x14ac:dyDescent="0.3">
      <c r="B107" s="46" t="s">
        <v>320</v>
      </c>
      <c r="C107" s="14" t="s">
        <v>61</v>
      </c>
      <c r="D107" s="48" t="s">
        <v>329</v>
      </c>
      <c r="E107" s="47" t="s">
        <v>226</v>
      </c>
      <c r="F107" s="95" t="s">
        <v>160</v>
      </c>
      <c r="G107" s="14">
        <v>0</v>
      </c>
      <c r="H107" s="801" t="s">
        <v>642</v>
      </c>
      <c r="I107" s="797">
        <f>SUMIFS(TInspectieTotaal[Aantal],TInspectieTotaal[EML code],MTRG[[#This Row],[Code]])</f>
        <v>0</v>
      </c>
      <c r="J107" s="798" t="s">
        <v>1577</v>
      </c>
      <c r="K107" s="795">
        <f>SUMIFS(TInspectieTotaal[Raming kosten
excl. BTW],TInspectieTotaal[EML code],MTRG[[#This Row],[Code]])</f>
        <v>0</v>
      </c>
      <c r="L107" s="119" t="s">
        <v>395</v>
      </c>
      <c r="M107" s="145"/>
      <c r="N107" s="122" t="s">
        <v>379</v>
      </c>
      <c r="O107" s="112"/>
      <c r="P107" s="112"/>
      <c r="Q107" s="112" t="s">
        <v>379</v>
      </c>
      <c r="R107" s="112"/>
      <c r="S107" s="117"/>
      <c r="T107" s="117"/>
      <c r="U107" s="117"/>
      <c r="V107" s="117"/>
      <c r="W107" s="117"/>
      <c r="X107" s="85"/>
    </row>
    <row r="108" spans="2:24" ht="16.5" thickTop="1" thickBot="1" x14ac:dyDescent="0.3">
      <c r="B108" s="46" t="s">
        <v>320</v>
      </c>
      <c r="C108" s="14" t="s">
        <v>62</v>
      </c>
      <c r="D108" s="48" t="s">
        <v>329</v>
      </c>
      <c r="E108" s="47" t="s">
        <v>227</v>
      </c>
      <c r="F108" s="95" t="s">
        <v>160</v>
      </c>
      <c r="G108" s="14">
        <v>0</v>
      </c>
      <c r="H108" s="801" t="s">
        <v>642</v>
      </c>
      <c r="I108" s="797">
        <f>SUMIFS(TInspectieTotaal[Aantal],TInspectieTotaal[EML code],MTRG[[#This Row],[Code]])</f>
        <v>0</v>
      </c>
      <c r="J108" s="798" t="s">
        <v>1577</v>
      </c>
      <c r="K108" s="795">
        <f>SUMIFS(TInspectieTotaal[Raming kosten
excl. BTW],TInspectieTotaal[EML code],MTRG[[#This Row],[Code]])</f>
        <v>0</v>
      </c>
      <c r="L108" s="300" t="s">
        <v>372</v>
      </c>
      <c r="M108" s="145"/>
      <c r="N108" s="122" t="s">
        <v>379</v>
      </c>
      <c r="O108" s="112" t="s">
        <v>379</v>
      </c>
      <c r="P108" s="112"/>
      <c r="Q108" s="112"/>
      <c r="R108" s="112"/>
      <c r="S108" s="117"/>
      <c r="T108" s="117"/>
      <c r="U108" s="117"/>
      <c r="V108" s="117"/>
      <c r="W108" s="117"/>
      <c r="X108" s="85"/>
    </row>
    <row r="109" spans="2:24" ht="15.75" thickTop="1" x14ac:dyDescent="0.25">
      <c r="B109" s="46" t="s">
        <v>320</v>
      </c>
      <c r="C109" s="14" t="s">
        <v>63</v>
      </c>
      <c r="D109" s="55" t="s">
        <v>329</v>
      </c>
      <c r="E109" s="50" t="s">
        <v>228</v>
      </c>
      <c r="F109" s="97" t="s">
        <v>160</v>
      </c>
      <c r="G109" s="18">
        <v>0</v>
      </c>
      <c r="H109" s="801" t="s">
        <v>642</v>
      </c>
      <c r="I109" s="797">
        <f>SUMIFS(TInspectieTotaal[Aantal],TInspectieTotaal[EML code],MTRG[[#This Row],[Code]])</f>
        <v>0</v>
      </c>
      <c r="J109" s="798" t="s">
        <v>1577</v>
      </c>
      <c r="K109" s="795">
        <f>SUMIFS(TInspectieTotaal[Raming kosten
excl. BTW],TInspectieTotaal[EML code],MTRG[[#This Row],[Code]])</f>
        <v>0</v>
      </c>
      <c r="L109" s="119" t="s">
        <v>372</v>
      </c>
      <c r="M109" s="145"/>
      <c r="N109" s="122" t="s">
        <v>379</v>
      </c>
      <c r="O109" s="112"/>
      <c r="P109" s="112"/>
      <c r="Q109" s="112" t="s">
        <v>379</v>
      </c>
      <c r="R109" s="112"/>
      <c r="S109" s="117"/>
      <c r="T109" s="117"/>
      <c r="U109" s="117"/>
      <c r="V109" s="117"/>
      <c r="W109" s="117"/>
      <c r="X109" s="85"/>
    </row>
    <row r="110" spans="2:24" s="2" customFormat="1" x14ac:dyDescent="0.25">
      <c r="B110" s="51"/>
      <c r="C110" s="52"/>
      <c r="D110" s="53" t="str">
        <f>D111</f>
        <v>Serverruimte</v>
      </c>
      <c r="E110" s="54"/>
      <c r="F110" s="54"/>
      <c r="G110" s="54"/>
      <c r="H110" s="54"/>
      <c r="I110" s="54"/>
      <c r="J110" s="637"/>
      <c r="K110" s="289"/>
      <c r="L110" s="119"/>
      <c r="M110" s="145"/>
      <c r="N110" s="121"/>
      <c r="O110" s="139"/>
      <c r="P110" s="139"/>
      <c r="Q110" s="139" t="s">
        <v>379</v>
      </c>
      <c r="R110" s="139"/>
      <c r="S110" s="117"/>
      <c r="T110" s="117"/>
      <c r="U110" s="117"/>
      <c r="V110" s="117"/>
      <c r="W110" s="117"/>
      <c r="X110" s="90"/>
    </row>
    <row r="111" spans="2:24" x14ac:dyDescent="0.25">
      <c r="B111" s="46" t="s">
        <v>320</v>
      </c>
      <c r="C111" s="14" t="s">
        <v>64</v>
      </c>
      <c r="D111" s="14" t="s">
        <v>330</v>
      </c>
      <c r="E111" s="47" t="s">
        <v>229</v>
      </c>
      <c r="F111" s="94" t="s">
        <v>160</v>
      </c>
      <c r="G111" s="14">
        <v>0</v>
      </c>
      <c r="H111" s="96"/>
      <c r="I111" s="130">
        <f>SUMIFS(TInspectieTotaal[Aantal],TInspectieTotaal[EML code],MTRG[[#This Row],[Code]])</f>
        <v>0</v>
      </c>
      <c r="J111" s="639" t="s">
        <v>1589</v>
      </c>
      <c r="K111" s="289"/>
      <c r="L111" s="119"/>
      <c r="M111" s="145"/>
      <c r="N111" s="121"/>
      <c r="O111" s="112"/>
      <c r="P111" s="112"/>
      <c r="Q111" s="112"/>
      <c r="R111" s="112"/>
      <c r="S111" s="117"/>
      <c r="T111" s="117"/>
      <c r="U111" s="117"/>
      <c r="V111" s="117"/>
      <c r="W111" s="117"/>
      <c r="X111" s="85"/>
    </row>
    <row r="112" spans="2:24" x14ac:dyDescent="0.25">
      <c r="B112" s="46" t="s">
        <v>320</v>
      </c>
      <c r="C112" s="14" t="s">
        <v>65</v>
      </c>
      <c r="D112" s="48" t="s">
        <v>330</v>
      </c>
      <c r="E112" s="47" t="s">
        <v>230</v>
      </c>
      <c r="F112" s="95" t="s">
        <v>160</v>
      </c>
      <c r="G112" s="14">
        <v>0</v>
      </c>
      <c r="H112" s="96"/>
      <c r="I112" s="130">
        <f>SUMIFS(TInspectieTotaal[Aantal],TInspectieTotaal[EML code],MTRG[[#This Row],[Code]])</f>
        <v>0</v>
      </c>
      <c r="J112" s="639" t="s">
        <v>1589</v>
      </c>
      <c r="K112" s="289"/>
      <c r="L112" s="119"/>
      <c r="M112" s="145"/>
      <c r="N112" s="121"/>
      <c r="O112" s="112"/>
      <c r="P112" s="112"/>
      <c r="Q112" s="112"/>
      <c r="R112" s="112"/>
      <c r="S112" s="117"/>
      <c r="T112" s="117"/>
      <c r="U112" s="117"/>
      <c r="V112" s="117"/>
      <c r="W112" s="117"/>
      <c r="X112" s="85"/>
    </row>
    <row r="113" spans="2:24" x14ac:dyDescent="0.25">
      <c r="B113" s="46" t="s">
        <v>320</v>
      </c>
      <c r="C113" s="14" t="s">
        <v>66</v>
      </c>
      <c r="D113" s="48" t="s">
        <v>330</v>
      </c>
      <c r="E113" s="47" t="s">
        <v>231</v>
      </c>
      <c r="F113" s="95" t="s">
        <v>160</v>
      </c>
      <c r="G113" s="14">
        <v>0</v>
      </c>
      <c r="H113" s="96"/>
      <c r="I113" s="130">
        <f>SUMIFS(TInspectieTotaal[Aantal],TInspectieTotaal[EML code],MTRG[[#This Row],[Code]])</f>
        <v>0</v>
      </c>
      <c r="J113" s="639" t="s">
        <v>1589</v>
      </c>
      <c r="K113" s="289"/>
      <c r="L113" s="119"/>
      <c r="M113" s="145"/>
      <c r="N113" s="121"/>
      <c r="O113" s="112"/>
      <c r="P113" s="112"/>
      <c r="Q113" s="112"/>
      <c r="R113" s="112"/>
      <c r="S113" s="117"/>
      <c r="T113" s="117"/>
      <c r="U113" s="117"/>
      <c r="V113" s="117"/>
      <c r="W113" s="117"/>
      <c r="X113" s="85"/>
    </row>
    <row r="114" spans="2:24" x14ac:dyDescent="0.25">
      <c r="B114" s="46" t="s">
        <v>320</v>
      </c>
      <c r="C114" s="14" t="s">
        <v>67</v>
      </c>
      <c r="D114" s="48" t="s">
        <v>330</v>
      </c>
      <c r="E114" s="47" t="s">
        <v>232</v>
      </c>
      <c r="F114" s="95" t="s">
        <v>160</v>
      </c>
      <c r="G114" s="14">
        <v>0</v>
      </c>
      <c r="H114" s="96"/>
      <c r="I114" s="130">
        <f>SUMIFS(TInspectieTotaal[Aantal],TInspectieTotaal[EML code],MTRG[[#This Row],[Code]])</f>
        <v>0</v>
      </c>
      <c r="J114" s="639" t="s">
        <v>1589</v>
      </c>
      <c r="K114" s="289"/>
      <c r="L114" s="119"/>
      <c r="M114" s="145"/>
      <c r="N114" s="121"/>
      <c r="O114" s="112"/>
      <c r="P114" s="112"/>
      <c r="Q114" s="112"/>
      <c r="R114" s="112"/>
      <c r="S114" s="117"/>
      <c r="T114" s="117"/>
      <c r="U114" s="117"/>
      <c r="V114" s="117"/>
      <c r="W114" s="117"/>
      <c r="X114" s="85"/>
    </row>
    <row r="115" spans="2:24" x14ac:dyDescent="0.25">
      <c r="B115" s="46" t="s">
        <v>320</v>
      </c>
      <c r="C115" s="14" t="s">
        <v>68</v>
      </c>
      <c r="D115" s="48" t="s">
        <v>330</v>
      </c>
      <c r="E115" s="47" t="s">
        <v>233</v>
      </c>
      <c r="F115" s="95" t="s">
        <v>160</v>
      </c>
      <c r="G115" s="14">
        <v>0</v>
      </c>
      <c r="H115" s="801" t="s">
        <v>642</v>
      </c>
      <c r="I115" s="797">
        <f>SUMIFS(TInspectieTotaal[Aantal],TInspectieTotaal[EML code],MTRG[[#This Row],[Code]])</f>
        <v>0</v>
      </c>
      <c r="J115" s="798" t="s">
        <v>1577</v>
      </c>
      <c r="K115" s="795">
        <f>SUMIFS(TInspectieTotaal[Raming kosten
excl. BTW],TInspectieTotaal[EML code],MTRG[[#This Row],[Code]])</f>
        <v>0</v>
      </c>
      <c r="L115" s="119" t="s">
        <v>372</v>
      </c>
      <c r="M115" s="145"/>
      <c r="N115" s="122" t="s">
        <v>379</v>
      </c>
      <c r="O115" s="112"/>
      <c r="P115" s="112"/>
      <c r="Q115" s="112" t="s">
        <v>379</v>
      </c>
      <c r="R115" s="112"/>
      <c r="S115" s="117"/>
      <c r="T115" s="117"/>
      <c r="U115" s="117"/>
      <c r="V115" s="117"/>
      <c r="W115" s="117"/>
      <c r="X115" s="85"/>
    </row>
    <row r="116" spans="2:24" ht="30" x14ac:dyDescent="0.25">
      <c r="B116" s="46" t="s">
        <v>320</v>
      </c>
      <c r="C116" s="14" t="s">
        <v>69</v>
      </c>
      <c r="D116" s="55" t="s">
        <v>330</v>
      </c>
      <c r="E116" s="50" t="s">
        <v>234</v>
      </c>
      <c r="F116" s="97" t="s">
        <v>160</v>
      </c>
      <c r="G116" s="18">
        <v>0</v>
      </c>
      <c r="H116" s="96"/>
      <c r="I116" s="130">
        <f>SUMIFS(TInspectieTotaal[Aantal],TInspectieTotaal[EML code],MTRG[[#This Row],[Code]])</f>
        <v>0</v>
      </c>
      <c r="J116" s="641" t="s">
        <v>1589</v>
      </c>
      <c r="K116" s="289"/>
      <c r="L116" s="119"/>
      <c r="M116" s="145"/>
      <c r="N116" s="121"/>
      <c r="O116" s="112"/>
      <c r="P116" s="112"/>
      <c r="Q116" s="112"/>
      <c r="R116" s="112"/>
      <c r="S116" s="117"/>
      <c r="T116" s="117"/>
      <c r="U116" s="117"/>
      <c r="V116" s="117"/>
      <c r="W116" s="117"/>
      <c r="X116" s="85"/>
    </row>
    <row r="117" spans="2:24" s="2" customFormat="1" x14ac:dyDescent="0.25">
      <c r="B117" s="51"/>
      <c r="C117" s="52"/>
      <c r="D117" s="53" t="str">
        <f>D118</f>
        <v>Roltrap</v>
      </c>
      <c r="E117" s="54"/>
      <c r="F117" s="54"/>
      <c r="G117" s="54"/>
      <c r="H117" s="54"/>
      <c r="I117" s="54"/>
      <c r="J117" s="637"/>
      <c r="K117" s="289"/>
      <c r="L117" s="119"/>
      <c r="M117" s="145"/>
      <c r="N117" s="121"/>
      <c r="O117" s="137"/>
      <c r="P117" s="137"/>
      <c r="Q117" s="137"/>
      <c r="R117" s="137" t="s">
        <v>379</v>
      </c>
      <c r="S117" s="117"/>
      <c r="T117" s="117"/>
      <c r="U117" s="117"/>
      <c r="V117" s="117"/>
      <c r="W117" s="117"/>
      <c r="X117" s="90"/>
    </row>
    <row r="118" spans="2:24" ht="30" x14ac:dyDescent="0.25">
      <c r="B118" s="46" t="s">
        <v>320</v>
      </c>
      <c r="C118" s="14" t="s">
        <v>70</v>
      </c>
      <c r="D118" s="14" t="s">
        <v>331</v>
      </c>
      <c r="E118" s="47" t="s">
        <v>235</v>
      </c>
      <c r="F118" s="94" t="s">
        <v>160</v>
      </c>
      <c r="G118" s="14">
        <v>0</v>
      </c>
      <c r="H118" s="796" t="s">
        <v>642</v>
      </c>
      <c r="I118" s="797">
        <f>SUMIFS(TInspectieTotaal[Aantal],TInspectieTotaal[EML code],MTRG[[#This Row],[Code]])</f>
        <v>0</v>
      </c>
      <c r="J118" s="798" t="s">
        <v>1577</v>
      </c>
      <c r="K118" s="795">
        <f>SUMIFS(TInspectieTotaal[Raming kosten
excl. BTW],TInspectieTotaal[EML code],MTRG[[#This Row],[Code]])</f>
        <v>0</v>
      </c>
      <c r="L118" s="119" t="s">
        <v>395</v>
      </c>
      <c r="M118" s="145"/>
      <c r="N118" s="122" t="s">
        <v>379</v>
      </c>
      <c r="O118" s="112"/>
      <c r="P118" s="112"/>
      <c r="Q118" s="112"/>
      <c r="R118" s="112" t="s">
        <v>379</v>
      </c>
      <c r="S118" s="117"/>
      <c r="T118" s="117"/>
      <c r="U118" s="117"/>
      <c r="V118" s="117"/>
      <c r="W118" s="117"/>
      <c r="X118" s="85"/>
    </row>
    <row r="119" spans="2:24" s="2" customFormat="1" ht="15.75" thickBot="1" x14ac:dyDescent="0.3">
      <c r="B119" s="51"/>
      <c r="C119" s="52"/>
      <c r="D119" s="53" t="str">
        <f>D120</f>
        <v>Zonnepanelen</v>
      </c>
      <c r="E119" s="54"/>
      <c r="F119" s="54"/>
      <c r="G119" s="54"/>
      <c r="H119" s="54"/>
      <c r="I119" s="54"/>
      <c r="J119" s="637"/>
      <c r="K119" s="289"/>
      <c r="L119" s="119"/>
      <c r="M119" s="145"/>
      <c r="N119" s="121"/>
      <c r="O119" s="140"/>
      <c r="P119" s="140"/>
      <c r="Q119" s="140" t="s">
        <v>379</v>
      </c>
      <c r="R119" s="140"/>
      <c r="S119" s="117"/>
      <c r="T119" s="117"/>
      <c r="U119" s="117"/>
      <c r="V119" s="117"/>
      <c r="W119" s="117"/>
      <c r="X119" s="90"/>
    </row>
    <row r="120" spans="2:24" ht="16.5" thickTop="1" thickBot="1" x14ac:dyDescent="0.3">
      <c r="B120" s="59" t="s">
        <v>320</v>
      </c>
      <c r="C120" s="18" t="s">
        <v>71</v>
      </c>
      <c r="D120" s="55" t="s">
        <v>332</v>
      </c>
      <c r="E120" s="50" t="s">
        <v>678</v>
      </c>
      <c r="F120" s="97" t="s">
        <v>160</v>
      </c>
      <c r="G120" s="18">
        <v>0</v>
      </c>
      <c r="H120" s="803" t="s">
        <v>162</v>
      </c>
      <c r="I120" s="797">
        <f>SUMIFS(TInspectieTotaal[Aantal],TInspectieTotaal[EML code],MTRG[[#This Row],[Code]])</f>
        <v>0</v>
      </c>
      <c r="J120" s="798" t="s">
        <v>1588</v>
      </c>
      <c r="K120" s="795">
        <f>SUMIFS(TInspectieTotaal[Raming kosten
excl. BTW],TInspectieTotaal[EML code],MTRG[[#This Row],[Code]])</f>
        <v>0</v>
      </c>
      <c r="L120" s="300" t="s">
        <v>395</v>
      </c>
      <c r="M120" s="145"/>
      <c r="N120" s="122" t="s">
        <v>379</v>
      </c>
      <c r="O120" s="112" t="s">
        <v>379</v>
      </c>
      <c r="P120" s="112" t="s">
        <v>379</v>
      </c>
      <c r="Q120" s="112"/>
      <c r="R120" s="112"/>
      <c r="S120" s="117"/>
      <c r="T120" s="117"/>
      <c r="U120" s="117"/>
      <c r="V120" s="117"/>
      <c r="W120" s="117"/>
      <c r="X120" s="85"/>
    </row>
    <row r="121" spans="2:24" s="2" customFormat="1" ht="15.75" thickTop="1" x14ac:dyDescent="0.25">
      <c r="B121" s="60" t="s">
        <v>360</v>
      </c>
      <c r="C121" s="61"/>
      <c r="D121" s="61"/>
      <c r="E121" s="62"/>
      <c r="F121" s="102"/>
      <c r="G121" s="61"/>
      <c r="H121" s="103"/>
      <c r="I121" s="103"/>
      <c r="J121" s="643" t="s">
        <v>396</v>
      </c>
      <c r="K121" s="289"/>
      <c r="L121" s="119"/>
      <c r="M121" s="145"/>
      <c r="N121" s="120"/>
      <c r="O121" s="140" t="s">
        <v>379</v>
      </c>
      <c r="P121" s="140" t="s">
        <v>379</v>
      </c>
      <c r="Q121" s="140" t="s">
        <v>379</v>
      </c>
      <c r="R121" s="140" t="s">
        <v>379</v>
      </c>
      <c r="S121" s="117"/>
      <c r="T121" s="117"/>
      <c r="U121" s="117"/>
      <c r="V121" s="117"/>
      <c r="W121" s="117"/>
      <c r="X121" s="90"/>
    </row>
    <row r="122" spans="2:24" s="2" customFormat="1" x14ac:dyDescent="0.25">
      <c r="B122" s="63"/>
      <c r="C122" s="64"/>
      <c r="D122" s="65" t="str">
        <f>D123</f>
        <v>Energiebeheersysteem</v>
      </c>
      <c r="E122" s="66"/>
      <c r="F122" s="104"/>
      <c r="G122" s="65"/>
      <c r="H122" s="105"/>
      <c r="I122" s="105"/>
      <c r="J122" s="644"/>
      <c r="K122" s="289">
        <f>SUMIFS(TInspectieTotaal[Raming kosten
excl. BTW],TInspectieTotaal[EML code],MTRG[[#This Row],[Code]])</f>
        <v>0</v>
      </c>
      <c r="L122" s="119"/>
      <c r="M122" s="145"/>
      <c r="N122" s="121"/>
      <c r="O122" s="139" t="s">
        <v>379</v>
      </c>
      <c r="P122" s="139" t="s">
        <v>379</v>
      </c>
      <c r="Q122" s="139" t="s">
        <v>379</v>
      </c>
      <c r="R122" s="139"/>
      <c r="S122" s="117"/>
      <c r="T122" s="117"/>
      <c r="U122" s="117"/>
      <c r="V122" s="117"/>
      <c r="W122" s="117"/>
      <c r="X122" s="90"/>
    </row>
    <row r="123" spans="2:24" x14ac:dyDescent="0.25">
      <c r="B123" s="46" t="s">
        <v>166</v>
      </c>
      <c r="C123" s="14" t="s">
        <v>72</v>
      </c>
      <c r="D123" s="67" t="s">
        <v>333</v>
      </c>
      <c r="E123" s="68" t="s">
        <v>237</v>
      </c>
      <c r="F123" s="95" t="s">
        <v>160</v>
      </c>
      <c r="G123" s="67">
        <v>0</v>
      </c>
      <c r="H123" s="100" t="str">
        <f>IF(Advies!$B$25&lt;&gt;"",SCHOUW!$B$29,"")</f>
        <v/>
      </c>
      <c r="I123" s="130">
        <f>SUMIFS(TInspectieTotaal[Aantal],TInspectieTotaal[EML code],MTRG[[#This Row],[Code]])</f>
        <v>0</v>
      </c>
      <c r="J123" s="639" t="str">
        <f>IF(MTRG[[#This Row],[Status schouw]]="V","Voldoet aan gestelde eisen","")</f>
        <v/>
      </c>
      <c r="K123" s="289">
        <f>SUMIFS(TInspectieTotaal[Raming kosten
excl. BTW],TInspectieTotaal[EML code],MTRG[[#This Row],[Code]])</f>
        <v>0</v>
      </c>
      <c r="L123" s="119" t="s">
        <v>395</v>
      </c>
      <c r="M123" s="145"/>
      <c r="N123" s="122" t="s">
        <v>379</v>
      </c>
      <c r="O123" s="112"/>
      <c r="P123" s="112" t="s">
        <v>379</v>
      </c>
      <c r="Q123" s="112" t="s">
        <v>379</v>
      </c>
      <c r="R123" s="112"/>
      <c r="S123" s="117"/>
      <c r="T123" s="117"/>
      <c r="U123" s="117"/>
      <c r="V123" s="117"/>
      <c r="W123" s="117"/>
      <c r="X123" s="85"/>
    </row>
    <row r="124" spans="2:24" s="2" customFormat="1" ht="15.75" thickBot="1" x14ac:dyDescent="0.3">
      <c r="B124" s="63"/>
      <c r="C124" s="64"/>
      <c r="D124" s="65" t="str">
        <f>D125</f>
        <v>Isolatie van de schil</v>
      </c>
      <c r="E124" s="66"/>
      <c r="F124" s="104"/>
      <c r="G124" s="65"/>
      <c r="H124" s="65"/>
      <c r="I124" s="65"/>
      <c r="J124" s="644"/>
      <c r="K124" s="289"/>
      <c r="L124" s="119"/>
      <c r="M124" s="145"/>
      <c r="N124" s="121"/>
      <c r="O124" s="139"/>
      <c r="P124" s="139"/>
      <c r="Q124" s="139" t="s">
        <v>379</v>
      </c>
      <c r="R124" s="139"/>
      <c r="S124" s="117"/>
      <c r="T124" s="117"/>
      <c r="U124" s="117"/>
      <c r="V124" s="117"/>
      <c r="W124" s="117"/>
      <c r="X124" s="90"/>
    </row>
    <row r="125" spans="2:24" ht="16.5" thickTop="1" thickBot="1" x14ac:dyDescent="0.3">
      <c r="B125" s="46" t="s">
        <v>166</v>
      </c>
      <c r="C125" s="14" t="s">
        <v>73</v>
      </c>
      <c r="D125" s="14" t="s">
        <v>334</v>
      </c>
      <c r="E125" s="47" t="s">
        <v>238</v>
      </c>
      <c r="F125" s="94" t="s">
        <v>160</v>
      </c>
      <c r="G125" s="14">
        <v>0</v>
      </c>
      <c r="H125" s="803" t="s">
        <v>368</v>
      </c>
      <c r="I125" s="797" t="s">
        <v>1576</v>
      </c>
      <c r="J125" s="798" t="s">
        <v>1576</v>
      </c>
      <c r="K125" s="795">
        <f>SUMIFS(TInspectieTotaal[Raming kosten
excl. BTW],TInspectieTotaal[EML code],MTRG[[#This Row],[Code]])</f>
        <v>10850</v>
      </c>
      <c r="L125" s="300" t="s">
        <v>395</v>
      </c>
      <c r="M125" s="145"/>
      <c r="N125" s="122" t="s">
        <v>379</v>
      </c>
      <c r="O125" s="112" t="s">
        <v>379</v>
      </c>
      <c r="P125" s="112"/>
      <c r="Q125" s="112"/>
      <c r="R125" s="112"/>
      <c r="S125" s="117"/>
      <c r="T125" s="117"/>
      <c r="U125" s="117"/>
      <c r="V125" s="117"/>
      <c r="W125" s="117"/>
      <c r="X125" s="85"/>
    </row>
    <row r="126" spans="2:24" ht="16.5" thickTop="1" thickBot="1" x14ac:dyDescent="0.3">
      <c r="B126" s="46" t="s">
        <v>166</v>
      </c>
      <c r="C126" s="14" t="s">
        <v>74</v>
      </c>
      <c r="D126" s="48" t="s">
        <v>334</v>
      </c>
      <c r="E126" s="47" t="s">
        <v>239</v>
      </c>
      <c r="F126" s="95" t="s">
        <v>160</v>
      </c>
      <c r="G126" s="14">
        <v>0</v>
      </c>
      <c r="H126" s="807" t="s">
        <v>642</v>
      </c>
      <c r="I126" s="797" t="s">
        <v>1577</v>
      </c>
      <c r="J126" s="798" t="s">
        <v>1577</v>
      </c>
      <c r="K126" s="795">
        <f>SUMIFS(TInspectieTotaal[Raming kosten
excl. BTW],TInspectieTotaal[EML code],MTRG[[#This Row],[Code]])</f>
        <v>0</v>
      </c>
      <c r="L126" s="300" t="s">
        <v>395</v>
      </c>
      <c r="M126" s="145"/>
      <c r="N126" s="122" t="s">
        <v>379</v>
      </c>
      <c r="O126" s="112" t="s">
        <v>379</v>
      </c>
      <c r="P126" s="112"/>
      <c r="Q126" s="112"/>
      <c r="R126" s="112"/>
      <c r="S126" s="117"/>
      <c r="T126" s="117"/>
      <c r="U126" s="117"/>
      <c r="V126" s="117"/>
      <c r="W126" s="117"/>
      <c r="X126" s="85"/>
    </row>
    <row r="127" spans="2:24" ht="16.5" thickTop="1" thickBot="1" x14ac:dyDescent="0.3">
      <c r="B127" s="46" t="s">
        <v>166</v>
      </c>
      <c r="C127" s="14" t="s">
        <v>75</v>
      </c>
      <c r="D127" s="48" t="s">
        <v>334</v>
      </c>
      <c r="E127" s="47" t="s">
        <v>240</v>
      </c>
      <c r="F127" s="95" t="s">
        <v>160</v>
      </c>
      <c r="G127" s="14">
        <v>0</v>
      </c>
      <c r="H127" s="799" t="s">
        <v>642</v>
      </c>
      <c r="I127" s="797" t="s">
        <v>1577</v>
      </c>
      <c r="J127" s="798" t="s">
        <v>1577</v>
      </c>
      <c r="K127" s="795">
        <f>SUMIFS(TInspectieTotaal[Raming kosten
excl. BTW],TInspectieTotaal[EML code],MTRG[[#This Row],[Code]])</f>
        <v>0</v>
      </c>
      <c r="L127" s="300" t="s">
        <v>395</v>
      </c>
      <c r="M127" s="145"/>
      <c r="N127" s="122" t="s">
        <v>379</v>
      </c>
      <c r="O127" s="112" t="s">
        <v>379</v>
      </c>
      <c r="P127" s="112" t="s">
        <v>379</v>
      </c>
      <c r="Q127" s="112"/>
      <c r="R127" s="112"/>
      <c r="S127" s="117"/>
      <c r="T127" s="117"/>
      <c r="U127" s="117"/>
      <c r="V127" s="117"/>
      <c r="W127" s="117"/>
      <c r="X127" s="85"/>
    </row>
    <row r="128" spans="2:24" ht="16.5" thickTop="1" thickBot="1" x14ac:dyDescent="0.3">
      <c r="B128" s="46" t="s">
        <v>166</v>
      </c>
      <c r="C128" s="14" t="s">
        <v>76</v>
      </c>
      <c r="D128" s="48" t="s">
        <v>334</v>
      </c>
      <c r="E128" s="47" t="s">
        <v>241</v>
      </c>
      <c r="F128" s="95" t="s">
        <v>160</v>
      </c>
      <c r="G128" s="14">
        <v>0</v>
      </c>
      <c r="H128" s="799" t="s">
        <v>642</v>
      </c>
      <c r="I128" s="797" t="s">
        <v>1577</v>
      </c>
      <c r="J128" s="798" t="s">
        <v>1577</v>
      </c>
      <c r="K128" s="795">
        <f>SUMIFS(TInspectieTotaal[Raming kosten
excl. BTW],TInspectieTotaal[EML code],MTRG[[#This Row],[Code]])</f>
        <v>0</v>
      </c>
      <c r="L128" s="300" t="s">
        <v>372</v>
      </c>
      <c r="M128" s="145"/>
      <c r="N128" s="122" t="s">
        <v>379</v>
      </c>
      <c r="O128" s="112" t="s">
        <v>379</v>
      </c>
      <c r="P128" s="112"/>
      <c r="Q128" s="112"/>
      <c r="R128" s="112"/>
      <c r="S128" s="117"/>
      <c r="T128" s="117"/>
      <c r="U128" s="117"/>
      <c r="V128" s="117"/>
      <c r="W128" s="117"/>
      <c r="X128" s="85"/>
    </row>
    <row r="129" spans="2:24" ht="16.5" thickTop="1" thickBot="1" x14ac:dyDescent="0.3">
      <c r="B129" s="46" t="s">
        <v>166</v>
      </c>
      <c r="C129" s="14" t="s">
        <v>77</v>
      </c>
      <c r="D129" s="48" t="s">
        <v>334</v>
      </c>
      <c r="E129" s="47" t="s">
        <v>242</v>
      </c>
      <c r="F129" s="95" t="s">
        <v>160</v>
      </c>
      <c r="G129" s="14">
        <v>0</v>
      </c>
      <c r="H129" s="799" t="s">
        <v>162</v>
      </c>
      <c r="I129" s="797" t="s">
        <v>1578</v>
      </c>
      <c r="J129" s="798" t="s">
        <v>1578</v>
      </c>
      <c r="K129" s="795">
        <f>SUMIFS(TInspectieTotaal[Raming kosten
excl. BTW],TInspectieTotaal[EML code],MTRG[[#This Row],[Code]])</f>
        <v>0</v>
      </c>
      <c r="L129" s="300" t="s">
        <v>372</v>
      </c>
      <c r="M129" s="145"/>
      <c r="N129" s="122" t="s">
        <v>379</v>
      </c>
      <c r="O129" s="112" t="s">
        <v>379</v>
      </c>
      <c r="P129" s="112"/>
      <c r="Q129" s="112"/>
      <c r="R129" s="112"/>
      <c r="S129" s="117"/>
      <c r="T129" s="117"/>
      <c r="U129" s="117"/>
      <c r="V129" s="117"/>
      <c r="W129" s="117"/>
      <c r="X129" s="85"/>
    </row>
    <row r="130" spans="2:24" ht="16.5" thickTop="1" thickBot="1" x14ac:dyDescent="0.3">
      <c r="B130" s="46" t="s">
        <v>166</v>
      </c>
      <c r="C130" s="14" t="s">
        <v>78</v>
      </c>
      <c r="D130" s="48" t="s">
        <v>334</v>
      </c>
      <c r="E130" s="47" t="s">
        <v>243</v>
      </c>
      <c r="F130" s="95" t="s">
        <v>160</v>
      </c>
      <c r="G130" s="14">
        <v>0</v>
      </c>
      <c r="H130" s="807" t="s">
        <v>372</v>
      </c>
      <c r="I130" s="797" t="s">
        <v>1579</v>
      </c>
      <c r="J130" s="798" t="s">
        <v>1579</v>
      </c>
      <c r="K130" s="795">
        <f>SUMIFS(TInspectieTotaal[Raming kosten
excl. BTW],TInspectieTotaal[EML code],MTRG[[#This Row],[Code]])</f>
        <v>12000</v>
      </c>
      <c r="L130" s="300" t="s">
        <v>372</v>
      </c>
      <c r="M130" s="145"/>
      <c r="N130" s="122" t="s">
        <v>379</v>
      </c>
      <c r="O130" s="112" t="s">
        <v>379</v>
      </c>
      <c r="P130" s="112"/>
      <c r="Q130" s="112"/>
      <c r="R130" s="112"/>
      <c r="S130" s="117"/>
      <c r="T130" s="117"/>
      <c r="U130" s="117"/>
      <c r="V130" s="117"/>
      <c r="W130" s="117"/>
      <c r="X130" s="85"/>
    </row>
    <row r="131" spans="2:24" ht="16.5" thickTop="1" thickBot="1" x14ac:dyDescent="0.3">
      <c r="B131" s="46" t="s">
        <v>166</v>
      </c>
      <c r="C131" s="14" t="s">
        <v>79</v>
      </c>
      <c r="D131" s="48" t="s">
        <v>334</v>
      </c>
      <c r="E131" s="47" t="s">
        <v>244</v>
      </c>
      <c r="F131" s="95" t="s">
        <v>160</v>
      </c>
      <c r="G131" s="14">
        <v>0</v>
      </c>
      <c r="H131" s="799" t="s">
        <v>642</v>
      </c>
      <c r="I131" s="797" t="s">
        <v>1577</v>
      </c>
      <c r="J131" s="798" t="s">
        <v>1577</v>
      </c>
      <c r="K131" s="795">
        <f>SUMIFS(TInspectieTotaal[Raming kosten
excl. BTW],TInspectieTotaal[EML code],MTRG[[#This Row],[Code]])</f>
        <v>0</v>
      </c>
      <c r="L131" s="300" t="s">
        <v>372</v>
      </c>
      <c r="M131" s="145"/>
      <c r="N131" s="122" t="s">
        <v>379</v>
      </c>
      <c r="O131" s="112" t="s">
        <v>379</v>
      </c>
      <c r="P131" s="112" t="s">
        <v>379</v>
      </c>
      <c r="Q131" s="112"/>
      <c r="R131" s="112"/>
      <c r="S131" s="117"/>
      <c r="T131" s="117"/>
      <c r="U131" s="117"/>
      <c r="V131" s="117"/>
      <c r="W131" s="117"/>
      <c r="X131" s="85"/>
    </row>
    <row r="132" spans="2:24" ht="16.5" thickTop="1" thickBot="1" x14ac:dyDescent="0.3">
      <c r="B132" s="46" t="s">
        <v>166</v>
      </c>
      <c r="C132" s="14" t="s">
        <v>80</v>
      </c>
      <c r="D132" s="55" t="s">
        <v>334</v>
      </c>
      <c r="E132" s="50" t="s">
        <v>245</v>
      </c>
      <c r="F132" s="97" t="s">
        <v>160</v>
      </c>
      <c r="G132" s="18">
        <v>0</v>
      </c>
      <c r="H132" s="799" t="s">
        <v>642</v>
      </c>
      <c r="I132" s="797" t="s">
        <v>1577</v>
      </c>
      <c r="J132" s="798" t="s">
        <v>1577</v>
      </c>
      <c r="K132" s="795">
        <f>SUMIFS(TInspectieTotaal[Raming kosten
excl. BTW],TInspectieTotaal[EML code],MTRG[[#This Row],[Code]])</f>
        <v>0</v>
      </c>
      <c r="L132" s="300" t="s">
        <v>372</v>
      </c>
      <c r="M132" s="145"/>
      <c r="N132" s="122" t="s">
        <v>379</v>
      </c>
      <c r="O132" s="112" t="s">
        <v>379</v>
      </c>
      <c r="P132" s="112" t="s">
        <v>379</v>
      </c>
      <c r="Q132" s="112"/>
      <c r="R132" s="112"/>
      <c r="S132" s="117"/>
      <c r="T132" s="117"/>
      <c r="U132" s="117"/>
      <c r="V132" s="117"/>
      <c r="W132" s="117"/>
      <c r="X132" s="85"/>
    </row>
    <row r="133" spans="2:24" s="2" customFormat="1" ht="15.75" thickTop="1" x14ac:dyDescent="0.25">
      <c r="B133" s="63"/>
      <c r="C133" s="64"/>
      <c r="D133" s="65" t="str">
        <f>D134</f>
        <v>Ruimteverwarming</v>
      </c>
      <c r="E133" s="66"/>
      <c r="F133" s="104"/>
      <c r="G133" s="65"/>
      <c r="H133" s="65"/>
      <c r="I133" s="65"/>
      <c r="J133" s="644"/>
      <c r="K133" s="289"/>
      <c r="L133" s="119"/>
      <c r="M133" s="145"/>
      <c r="N133" s="121"/>
      <c r="O133" s="140"/>
      <c r="P133" s="140" t="s">
        <v>379</v>
      </c>
      <c r="Q133" s="140" t="s">
        <v>379</v>
      </c>
      <c r="R133" s="140"/>
      <c r="S133" s="117"/>
      <c r="T133" s="117"/>
      <c r="U133" s="117"/>
      <c r="V133" s="117"/>
      <c r="W133" s="117"/>
      <c r="X133" s="90"/>
    </row>
    <row r="134" spans="2:24" x14ac:dyDescent="0.25">
      <c r="B134" s="46" t="s">
        <v>166</v>
      </c>
      <c r="C134" s="14" t="s">
        <v>81</v>
      </c>
      <c r="D134" s="14" t="s">
        <v>335</v>
      </c>
      <c r="E134" s="47" t="s">
        <v>246</v>
      </c>
      <c r="F134" s="94" t="s">
        <v>160</v>
      </c>
      <c r="G134" s="14">
        <v>0</v>
      </c>
      <c r="H134" s="799" t="s">
        <v>163</v>
      </c>
      <c r="I134" s="797">
        <f>SUMIFS(TInspectieTotaal[Aantal],TInspectieTotaal[EML code],MTRG[[#This Row],[Code]])</f>
        <v>0</v>
      </c>
      <c r="J134" s="798" t="s">
        <v>1580</v>
      </c>
      <c r="K134" s="795">
        <f>SUMIFS(TInspectieTotaal[Raming kosten
excl. BTW],TInspectieTotaal[EML code],MTRG[[#This Row],[Code]])</f>
        <v>0</v>
      </c>
      <c r="L134" s="119" t="s">
        <v>395</v>
      </c>
      <c r="M134" s="145"/>
      <c r="N134" s="122" t="s">
        <v>379</v>
      </c>
      <c r="O134" s="112"/>
      <c r="P134" s="112" t="s">
        <v>379</v>
      </c>
      <c r="Q134" s="112"/>
      <c r="R134" s="112"/>
      <c r="S134" s="117"/>
      <c r="T134" s="117"/>
      <c r="U134" s="117"/>
      <c r="V134" s="117"/>
      <c r="W134" s="117"/>
      <c r="X134" s="85"/>
    </row>
    <row r="135" spans="2:24" x14ac:dyDescent="0.25">
      <c r="B135" s="46" t="s">
        <v>166</v>
      </c>
      <c r="C135" s="14" t="s">
        <v>82</v>
      </c>
      <c r="D135" s="48" t="s">
        <v>335</v>
      </c>
      <c r="E135" s="47" t="s">
        <v>247</v>
      </c>
      <c r="F135" s="95" t="s">
        <v>160</v>
      </c>
      <c r="G135" s="14">
        <v>0</v>
      </c>
      <c r="H135" s="807" t="s">
        <v>162</v>
      </c>
      <c r="I135" s="797">
        <f>SUMIFS(TInspectieTotaal[Aantal],TInspectieTotaal[EML code],MTRG[[#This Row],[Code]])</f>
        <v>0</v>
      </c>
      <c r="J135" s="798" t="s">
        <v>1581</v>
      </c>
      <c r="K135" s="795">
        <f>SUMIFS(TInspectieTotaal[Raming kosten
excl. BTW],TInspectieTotaal[EML code],MTRG[[#This Row],[Code]])</f>
        <v>0</v>
      </c>
      <c r="L135" s="119" t="s">
        <v>395</v>
      </c>
      <c r="M135" s="145"/>
      <c r="N135" s="122" t="s">
        <v>379</v>
      </c>
      <c r="O135" s="112"/>
      <c r="P135" s="112"/>
      <c r="Q135" s="112" t="s">
        <v>379</v>
      </c>
      <c r="R135" s="112"/>
      <c r="S135" s="117"/>
      <c r="T135" s="117"/>
      <c r="U135" s="117"/>
      <c r="V135" s="117"/>
      <c r="W135" s="117"/>
      <c r="X135" s="85"/>
    </row>
    <row r="136" spans="2:24" x14ac:dyDescent="0.25">
      <c r="B136" s="46" t="s">
        <v>166</v>
      </c>
      <c r="C136" s="14" t="s">
        <v>83</v>
      </c>
      <c r="D136" s="48" t="s">
        <v>335</v>
      </c>
      <c r="E136" s="47" t="s">
        <v>248</v>
      </c>
      <c r="F136" s="95" t="s">
        <v>160</v>
      </c>
      <c r="G136" s="14">
        <v>0</v>
      </c>
      <c r="H136" s="799" t="s">
        <v>163</v>
      </c>
      <c r="I136" s="797">
        <f>SUMIFS(TInspectieTotaal[Aantal],TInspectieTotaal[EML code],MTRG[[#This Row],[Code]])</f>
        <v>0</v>
      </c>
      <c r="J136" s="798" t="s">
        <v>1580</v>
      </c>
      <c r="K136" s="795">
        <f>SUMIFS(TInspectieTotaal[Raming kosten
excl. BTW],TInspectieTotaal[EML code],MTRG[[#This Row],[Code]])</f>
        <v>0</v>
      </c>
      <c r="L136" s="119" t="s">
        <v>395</v>
      </c>
      <c r="M136" s="145"/>
      <c r="N136" s="122" t="s">
        <v>379</v>
      </c>
      <c r="O136" s="112"/>
      <c r="P136" s="112" t="s">
        <v>379</v>
      </c>
      <c r="Q136" s="112" t="s">
        <v>379</v>
      </c>
      <c r="R136" s="112"/>
      <c r="S136" s="117"/>
      <c r="T136" s="117"/>
      <c r="U136" s="117"/>
      <c r="V136" s="117"/>
      <c r="W136" s="117"/>
      <c r="X136" s="85"/>
    </row>
    <row r="137" spans="2:24" x14ac:dyDescent="0.25">
      <c r="B137" s="46" t="s">
        <v>166</v>
      </c>
      <c r="C137" s="14" t="s">
        <v>84</v>
      </c>
      <c r="D137" s="48" t="s">
        <v>335</v>
      </c>
      <c r="E137" s="47" t="s">
        <v>249</v>
      </c>
      <c r="F137" s="95" t="s">
        <v>160</v>
      </c>
      <c r="G137" s="14">
        <v>0</v>
      </c>
      <c r="H137" s="799" t="s">
        <v>164</v>
      </c>
      <c r="I137" s="797">
        <f>SUMIFS(TInspectieTotaal[Aantal],TInspectieTotaal[EML code],MTRG[[#This Row],[Code]])</f>
        <v>30</v>
      </c>
      <c r="J137" s="798" t="s">
        <v>1582</v>
      </c>
      <c r="K137" s="795">
        <f>SUMIFS(TInspectieTotaal[Raming kosten
excl. BTW],TInspectieTotaal[EML code],MTRG[[#This Row],[Code]])</f>
        <v>1830</v>
      </c>
      <c r="L137" s="119" t="s">
        <v>395</v>
      </c>
      <c r="M137" s="145"/>
      <c r="N137" s="122" t="s">
        <v>379</v>
      </c>
      <c r="O137" s="112"/>
      <c r="P137" s="112"/>
      <c r="Q137" s="112" t="s">
        <v>379</v>
      </c>
      <c r="R137" s="112"/>
      <c r="S137" s="117"/>
      <c r="T137" s="117"/>
      <c r="U137" s="117"/>
      <c r="V137" s="117"/>
      <c r="W137" s="117"/>
      <c r="X137" s="85"/>
    </row>
    <row r="138" spans="2:24" x14ac:dyDescent="0.25">
      <c r="B138" s="46" t="s">
        <v>166</v>
      </c>
      <c r="C138" s="14" t="s">
        <v>85</v>
      </c>
      <c r="D138" s="48" t="s">
        <v>335</v>
      </c>
      <c r="E138" s="47" t="s">
        <v>250</v>
      </c>
      <c r="F138" s="95" t="s">
        <v>160</v>
      </c>
      <c r="G138" s="14">
        <v>0</v>
      </c>
      <c r="H138" s="799" t="s">
        <v>163</v>
      </c>
      <c r="I138" s="797">
        <f>SUMIFS(TInspectieTotaal[Aantal],TInspectieTotaal[EML code],MTRG[[#This Row],[Code]])</f>
        <v>0</v>
      </c>
      <c r="J138" s="798" t="s">
        <v>1580</v>
      </c>
      <c r="K138" s="795">
        <f>SUMIFS(TInspectieTotaal[Raming kosten
excl. BTW],TInspectieTotaal[EML code],MTRG[[#This Row],[Code]])</f>
        <v>0</v>
      </c>
      <c r="L138" s="119" t="s">
        <v>395</v>
      </c>
      <c r="M138" s="145"/>
      <c r="N138" s="122" t="s">
        <v>379</v>
      </c>
      <c r="O138" s="112"/>
      <c r="P138" s="112"/>
      <c r="Q138" s="112" t="s">
        <v>379</v>
      </c>
      <c r="R138" s="112"/>
      <c r="S138" s="117"/>
      <c r="T138" s="117"/>
      <c r="U138" s="117"/>
      <c r="V138" s="117"/>
      <c r="W138" s="117"/>
      <c r="X138" s="85"/>
    </row>
    <row r="139" spans="2:24" x14ac:dyDescent="0.25">
      <c r="B139" s="46" t="s">
        <v>166</v>
      </c>
      <c r="C139" s="14" t="s">
        <v>86</v>
      </c>
      <c r="D139" s="48" t="s">
        <v>335</v>
      </c>
      <c r="E139" s="47" t="s">
        <v>251</v>
      </c>
      <c r="F139" s="95" t="s">
        <v>160</v>
      </c>
      <c r="G139" s="14">
        <v>0</v>
      </c>
      <c r="H139" s="799" t="s">
        <v>163</v>
      </c>
      <c r="I139" s="797">
        <f>SUMIFS(TInspectieTotaal[Aantal],TInspectieTotaal[EML code],MTRG[[#This Row],[Code]])</f>
        <v>0</v>
      </c>
      <c r="J139" s="798" t="s">
        <v>1580</v>
      </c>
      <c r="K139" s="795">
        <f>SUMIFS(TInspectieTotaal[Raming kosten
excl. BTW],TInspectieTotaal[EML code],MTRG[[#This Row],[Code]])</f>
        <v>0</v>
      </c>
      <c r="L139" s="119" t="s">
        <v>372</v>
      </c>
      <c r="M139" s="145"/>
      <c r="N139" s="122" t="s">
        <v>379</v>
      </c>
      <c r="O139" s="112"/>
      <c r="P139" s="112" t="s">
        <v>379</v>
      </c>
      <c r="Q139" s="112" t="s">
        <v>379</v>
      </c>
      <c r="R139" s="112"/>
      <c r="S139" s="117"/>
      <c r="T139" s="117"/>
      <c r="U139" s="117"/>
      <c r="V139" s="117"/>
      <c r="W139" s="117"/>
      <c r="X139" s="85"/>
    </row>
    <row r="140" spans="2:24" x14ac:dyDescent="0.25">
      <c r="B140" s="46" t="s">
        <v>166</v>
      </c>
      <c r="C140" s="14" t="s">
        <v>87</v>
      </c>
      <c r="D140" s="48" t="s">
        <v>335</v>
      </c>
      <c r="E140" s="47" t="s">
        <v>252</v>
      </c>
      <c r="F140" s="95" t="s">
        <v>160</v>
      </c>
      <c r="G140" s="14">
        <v>0</v>
      </c>
      <c r="H140" s="799" t="s">
        <v>164</v>
      </c>
      <c r="I140" s="797">
        <f>SUMIFS(TInspectieTotaal[Aantal],TInspectieTotaal[EML code],MTRG[[#This Row],[Code]])</f>
        <v>2</v>
      </c>
      <c r="J140" s="798" t="s">
        <v>1583</v>
      </c>
      <c r="K140" s="795">
        <f>SUMIFS(TInspectieTotaal[Raming kosten
excl. BTW],TInspectieTotaal[EML code],MTRG[[#This Row],[Code]])</f>
        <v>1210</v>
      </c>
      <c r="L140" s="119" t="s">
        <v>372</v>
      </c>
      <c r="M140" s="145"/>
      <c r="N140" s="122" t="s">
        <v>379</v>
      </c>
      <c r="O140" s="112"/>
      <c r="P140" s="112"/>
      <c r="Q140" s="112" t="s">
        <v>379</v>
      </c>
      <c r="R140" s="112"/>
      <c r="S140" s="117"/>
      <c r="T140" s="117"/>
      <c r="U140" s="117"/>
      <c r="V140" s="117"/>
      <c r="W140" s="117"/>
      <c r="X140" s="85"/>
    </row>
    <row r="141" spans="2:24" x14ac:dyDescent="0.25">
      <c r="B141" s="46" t="s">
        <v>166</v>
      </c>
      <c r="C141" s="14" t="s">
        <v>88</v>
      </c>
      <c r="D141" s="55" t="s">
        <v>335</v>
      </c>
      <c r="E141" s="50" t="s">
        <v>253</v>
      </c>
      <c r="F141" s="97" t="s">
        <v>160</v>
      </c>
      <c r="G141" s="18">
        <v>0</v>
      </c>
      <c r="H141" s="807" t="s">
        <v>642</v>
      </c>
      <c r="I141" s="797">
        <f>SUMIFS(TInspectieTotaal[Aantal],TInspectieTotaal[EML code],MTRG[[#This Row],[Code]])</f>
        <v>0</v>
      </c>
      <c r="J141" s="798" t="s">
        <v>1577</v>
      </c>
      <c r="K141" s="795">
        <f>SUMIFS(TInspectieTotaal[Raming kosten
excl. BTW],TInspectieTotaal[EML code],MTRG[[#This Row],[Code]])</f>
        <v>0</v>
      </c>
      <c r="L141" s="119" t="s">
        <v>372</v>
      </c>
      <c r="M141" s="145"/>
      <c r="N141" s="122" t="s">
        <v>379</v>
      </c>
      <c r="O141" s="112"/>
      <c r="P141" s="112"/>
      <c r="Q141" s="112" t="s">
        <v>379</v>
      </c>
      <c r="R141" s="112"/>
      <c r="S141" s="117"/>
      <c r="T141" s="117"/>
      <c r="U141" s="117"/>
      <c r="V141" s="117"/>
      <c r="W141" s="117"/>
      <c r="X141" s="85"/>
    </row>
    <row r="142" spans="2:24" s="2" customFormat="1" ht="15.75" thickBot="1" x14ac:dyDescent="0.3">
      <c r="B142" s="63"/>
      <c r="C142" s="64"/>
      <c r="D142" s="65" t="str">
        <f>D143</f>
        <v>Ruimteventilatie</v>
      </c>
      <c r="E142" s="66"/>
      <c r="F142" s="104"/>
      <c r="G142" s="65"/>
      <c r="H142" s="65"/>
      <c r="I142" s="65"/>
      <c r="J142" s="644"/>
      <c r="K142" s="289"/>
      <c r="L142" s="119"/>
      <c r="M142" s="145"/>
      <c r="N142" s="121"/>
      <c r="O142" s="139"/>
      <c r="P142" s="139" t="s">
        <v>379</v>
      </c>
      <c r="Q142" s="139" t="s">
        <v>379</v>
      </c>
      <c r="R142" s="139"/>
      <c r="S142" s="117"/>
      <c r="T142" s="117"/>
      <c r="U142" s="117"/>
      <c r="V142" s="117"/>
      <c r="W142" s="117"/>
      <c r="X142" s="90"/>
    </row>
    <row r="143" spans="2:24" ht="16.5" thickTop="1" thickBot="1" x14ac:dyDescent="0.3">
      <c r="B143" s="46" t="s">
        <v>166</v>
      </c>
      <c r="C143" s="14" t="s">
        <v>89</v>
      </c>
      <c r="D143" s="14" t="s">
        <v>336</v>
      </c>
      <c r="E143" s="47" t="s">
        <v>254</v>
      </c>
      <c r="F143" s="95" t="s">
        <v>160</v>
      </c>
      <c r="G143" s="14">
        <v>0</v>
      </c>
      <c r="H143" s="799" t="s">
        <v>163</v>
      </c>
      <c r="I143" s="797">
        <f>SUMIFS(TInspectieTotaal[Aantal],TInspectieTotaal[EML code],MTRG[[#This Row],[Code]])</f>
        <v>0</v>
      </c>
      <c r="J143" s="798" t="s">
        <v>388</v>
      </c>
      <c r="K143" s="795">
        <f>SUMIFS(TInspectieTotaal[Raming kosten
excl. BTW],TInspectieTotaal[EML code],MTRG[[#This Row],[Code]])</f>
        <v>0</v>
      </c>
      <c r="L143" s="300" t="s">
        <v>395</v>
      </c>
      <c r="M143" s="145"/>
      <c r="N143" s="122" t="s">
        <v>379</v>
      </c>
      <c r="O143" s="112"/>
      <c r="P143" s="112" t="s">
        <v>379</v>
      </c>
      <c r="Q143" s="112" t="s">
        <v>379</v>
      </c>
      <c r="R143" s="112"/>
      <c r="S143" s="117"/>
      <c r="T143" s="117"/>
      <c r="U143" s="117"/>
      <c r="V143" s="117"/>
      <c r="W143" s="117"/>
      <c r="X143" s="85"/>
    </row>
    <row r="144" spans="2:24" ht="16.5" thickTop="1" thickBot="1" x14ac:dyDescent="0.3">
      <c r="B144" s="46" t="s">
        <v>166</v>
      </c>
      <c r="C144" s="14" t="s">
        <v>90</v>
      </c>
      <c r="D144" s="48" t="s">
        <v>336</v>
      </c>
      <c r="E144" s="47" t="s">
        <v>255</v>
      </c>
      <c r="F144" s="95" t="s">
        <v>160</v>
      </c>
      <c r="G144" s="14">
        <v>0</v>
      </c>
      <c r="H144" s="799" t="s">
        <v>642</v>
      </c>
      <c r="I144" s="797">
        <f>SUMIFS(TInspectieTotaal[Aantal],TInspectieTotaal[EML code],MTRG[[#This Row],[Code]])</f>
        <v>0</v>
      </c>
      <c r="J144" s="798" t="s">
        <v>1577</v>
      </c>
      <c r="K144" s="795">
        <f>SUMIFS(TInspectieTotaal[Raming kosten
excl. BTW],TInspectieTotaal[EML code],MTRG[[#This Row],[Code]])</f>
        <v>0</v>
      </c>
      <c r="L144" s="300" t="s">
        <v>395</v>
      </c>
      <c r="M144" s="145"/>
      <c r="N144" s="122" t="s">
        <v>379</v>
      </c>
      <c r="O144" s="112"/>
      <c r="P144" s="112"/>
      <c r="Q144" s="112" t="s">
        <v>379</v>
      </c>
      <c r="R144" s="112"/>
      <c r="S144" s="117"/>
      <c r="T144" s="117"/>
      <c r="U144" s="117"/>
      <c r="V144" s="117"/>
      <c r="W144" s="117"/>
      <c r="X144" s="85"/>
    </row>
    <row r="145" spans="2:24" ht="16.5" thickTop="1" thickBot="1" x14ac:dyDescent="0.3">
      <c r="B145" s="46" t="s">
        <v>166</v>
      </c>
      <c r="C145" s="14" t="s">
        <v>91</v>
      </c>
      <c r="D145" s="48" t="s">
        <v>336</v>
      </c>
      <c r="E145" s="47" t="s">
        <v>256</v>
      </c>
      <c r="F145" s="95" t="s">
        <v>160</v>
      </c>
      <c r="G145" s="14">
        <v>0</v>
      </c>
      <c r="H145" s="799" t="s">
        <v>162</v>
      </c>
      <c r="I145" s="797">
        <f>SUMIFS(TInspectieTotaal[Aantal],TInspectieTotaal[EML code],MTRG[[#This Row],[Code]])</f>
        <v>0</v>
      </c>
      <c r="J145" s="798" t="s">
        <v>1585</v>
      </c>
      <c r="K145" s="795">
        <f>SUMIFS(TInspectieTotaal[Raming kosten
excl. BTW],TInspectieTotaal[EML code],MTRG[[#This Row],[Code]])</f>
        <v>0</v>
      </c>
      <c r="L145" s="300" t="s">
        <v>395</v>
      </c>
      <c r="M145" s="145"/>
      <c r="N145" s="122" t="s">
        <v>379</v>
      </c>
      <c r="O145" s="112"/>
      <c r="P145" s="112"/>
      <c r="Q145" s="112" t="s">
        <v>379</v>
      </c>
      <c r="R145" s="112"/>
      <c r="S145" s="117"/>
      <c r="T145" s="117"/>
      <c r="U145" s="117"/>
      <c r="V145" s="117"/>
      <c r="W145" s="117"/>
      <c r="X145" s="85"/>
    </row>
    <row r="146" spans="2:24" ht="16.5" thickTop="1" thickBot="1" x14ac:dyDescent="0.3">
      <c r="B146" s="46" t="s">
        <v>166</v>
      </c>
      <c r="C146" s="14" t="s">
        <v>92</v>
      </c>
      <c r="D146" s="48" t="s">
        <v>336</v>
      </c>
      <c r="E146" s="47" t="s">
        <v>257</v>
      </c>
      <c r="F146" s="95" t="s">
        <v>160</v>
      </c>
      <c r="G146" s="14">
        <v>0</v>
      </c>
      <c r="H146" s="799" t="s">
        <v>642</v>
      </c>
      <c r="I146" s="797">
        <f>SUMIFS(TInspectieTotaal[Aantal],TInspectieTotaal[EML code],MTRG[[#This Row],[Code]])</f>
        <v>0</v>
      </c>
      <c r="J146" s="798" t="s">
        <v>1577</v>
      </c>
      <c r="K146" s="795">
        <f>SUMIFS(TInspectieTotaal[Raming kosten
excl. BTW],TInspectieTotaal[EML code],MTRG[[#This Row],[Code]])</f>
        <v>0</v>
      </c>
      <c r="L146" s="300" t="s">
        <v>395</v>
      </c>
      <c r="M146" s="145"/>
      <c r="N146" s="122" t="s">
        <v>379</v>
      </c>
      <c r="O146" s="112"/>
      <c r="P146" s="112"/>
      <c r="Q146" s="112" t="s">
        <v>379</v>
      </c>
      <c r="R146" s="112"/>
      <c r="S146" s="117"/>
      <c r="T146" s="117"/>
      <c r="U146" s="117"/>
      <c r="V146" s="117"/>
      <c r="W146" s="117"/>
      <c r="X146" s="85"/>
    </row>
    <row r="147" spans="2:24" ht="16.5" thickTop="1" thickBot="1" x14ac:dyDescent="0.3">
      <c r="B147" s="46" t="s">
        <v>166</v>
      </c>
      <c r="C147" s="14" t="s">
        <v>93</v>
      </c>
      <c r="D147" s="48" t="s">
        <v>336</v>
      </c>
      <c r="E147" s="47" t="s">
        <v>258</v>
      </c>
      <c r="F147" s="95" t="s">
        <v>160</v>
      </c>
      <c r="G147" s="14">
        <v>0</v>
      </c>
      <c r="H147" s="799" t="s">
        <v>642</v>
      </c>
      <c r="I147" s="797">
        <f>SUMIFS(TInspectieTotaal[Aantal],TInspectieTotaal[EML code],MTRG[[#This Row],[Code]])</f>
        <v>0</v>
      </c>
      <c r="J147" s="798" t="s">
        <v>1577</v>
      </c>
      <c r="K147" s="795">
        <f>SUMIFS(TInspectieTotaal[Raming kosten
excl. BTW],TInspectieTotaal[EML code],MTRG[[#This Row],[Code]])</f>
        <v>0</v>
      </c>
      <c r="L147" s="300" t="s">
        <v>395</v>
      </c>
      <c r="M147" s="145"/>
      <c r="N147" s="122" t="s">
        <v>379</v>
      </c>
      <c r="O147" s="112"/>
      <c r="P147" s="112"/>
      <c r="Q147" s="112" t="s">
        <v>379</v>
      </c>
      <c r="R147" s="112"/>
      <c r="S147" s="117"/>
      <c r="T147" s="117"/>
      <c r="U147" s="117"/>
      <c r="V147" s="117"/>
      <c r="W147" s="117"/>
      <c r="X147" s="85"/>
    </row>
    <row r="148" spans="2:24" ht="16.5" thickTop="1" thickBot="1" x14ac:dyDescent="0.3">
      <c r="B148" s="46" t="s">
        <v>166</v>
      </c>
      <c r="C148" s="14" t="s">
        <v>94</v>
      </c>
      <c r="D148" s="48" t="s">
        <v>336</v>
      </c>
      <c r="E148" s="47" t="s">
        <v>259</v>
      </c>
      <c r="F148" s="95" t="s">
        <v>160</v>
      </c>
      <c r="G148" s="14">
        <v>0</v>
      </c>
      <c r="H148" s="799" t="s">
        <v>642</v>
      </c>
      <c r="I148" s="797">
        <f>SUMIFS(TInspectieTotaal[Aantal],TInspectieTotaal[EML code],MTRG[[#This Row],[Code]])</f>
        <v>0</v>
      </c>
      <c r="J148" s="798" t="s">
        <v>1577</v>
      </c>
      <c r="K148" s="795">
        <f>SUMIFS(TInspectieTotaal[Raming kosten
excl. BTW],TInspectieTotaal[EML code],MTRG[[#This Row],[Code]])</f>
        <v>0</v>
      </c>
      <c r="L148" s="300" t="s">
        <v>395</v>
      </c>
      <c r="M148" s="145"/>
      <c r="N148" s="122" t="s">
        <v>379</v>
      </c>
      <c r="O148" s="112"/>
      <c r="P148" s="112"/>
      <c r="Q148" s="112" t="s">
        <v>379</v>
      </c>
      <c r="R148" s="112"/>
      <c r="S148" s="117"/>
      <c r="T148" s="117"/>
      <c r="U148" s="117"/>
      <c r="V148" s="117"/>
      <c r="W148" s="117"/>
      <c r="X148" s="85"/>
    </row>
    <row r="149" spans="2:24" ht="16.5" thickTop="1" thickBot="1" x14ac:dyDescent="0.3">
      <c r="B149" s="46" t="s">
        <v>166</v>
      </c>
      <c r="C149" s="14" t="s">
        <v>95</v>
      </c>
      <c r="D149" s="55" t="s">
        <v>336</v>
      </c>
      <c r="E149" s="50" t="s">
        <v>260</v>
      </c>
      <c r="F149" s="95" t="s">
        <v>160</v>
      </c>
      <c r="G149" s="18">
        <v>0</v>
      </c>
      <c r="H149" s="799" t="s">
        <v>642</v>
      </c>
      <c r="I149" s="797">
        <f>SUMIFS(TInspectieTotaal[Aantal],TInspectieTotaal[EML code],MTRG[[#This Row],[Code]])</f>
        <v>0</v>
      </c>
      <c r="J149" s="798" t="s">
        <v>1577</v>
      </c>
      <c r="K149" s="795">
        <f>SUMIFS(TInspectieTotaal[Raming kosten
excl. BTW],TInspectieTotaal[EML code],MTRG[[#This Row],[Code]])</f>
        <v>0</v>
      </c>
      <c r="L149" s="300" t="s">
        <v>372</v>
      </c>
      <c r="M149" s="145"/>
      <c r="N149" s="122" t="s">
        <v>379</v>
      </c>
      <c r="O149" s="112"/>
      <c r="P149" s="112"/>
      <c r="Q149" s="112" t="s">
        <v>379</v>
      </c>
      <c r="R149" s="112"/>
      <c r="S149" s="117"/>
      <c r="T149" s="117"/>
      <c r="U149" s="117"/>
      <c r="V149" s="117"/>
      <c r="W149" s="117"/>
      <c r="X149" s="85"/>
    </row>
    <row r="150" spans="2:24" s="2" customFormat="1" ht="15.75" thickTop="1" x14ac:dyDescent="0.25">
      <c r="B150" s="63"/>
      <c r="C150" s="64"/>
      <c r="D150" s="65" t="str">
        <f>D151</f>
        <v>Warm tapwater</v>
      </c>
      <c r="E150" s="66"/>
      <c r="F150" s="104"/>
      <c r="G150" s="65"/>
      <c r="H150" s="65"/>
      <c r="I150" s="65"/>
      <c r="J150" s="644"/>
      <c r="K150" s="289"/>
      <c r="L150" s="119"/>
      <c r="M150" s="145"/>
      <c r="N150" s="121"/>
      <c r="O150" s="139"/>
      <c r="P150" s="139"/>
      <c r="Q150" s="139" t="s">
        <v>379</v>
      </c>
      <c r="R150" s="139"/>
      <c r="S150" s="117"/>
      <c r="T150" s="117"/>
      <c r="U150" s="117"/>
      <c r="V150" s="117"/>
      <c r="W150" s="117"/>
      <c r="X150" s="90"/>
    </row>
    <row r="151" spans="2:24" x14ac:dyDescent="0.25">
      <c r="B151" s="46" t="s">
        <v>166</v>
      </c>
      <c r="C151" s="14" t="s">
        <v>96</v>
      </c>
      <c r="D151" s="14" t="s">
        <v>337</v>
      </c>
      <c r="E151" s="47" t="s">
        <v>261</v>
      </c>
      <c r="F151" s="94" t="s">
        <v>160</v>
      </c>
      <c r="G151" s="14">
        <v>0</v>
      </c>
      <c r="H151" s="799" t="s">
        <v>642</v>
      </c>
      <c r="I151" s="797">
        <f>SUMIFS(TInspectieTotaal[Aantal],TInspectieTotaal[EML code],MTRG[[#This Row],[Code]])</f>
        <v>0</v>
      </c>
      <c r="J151" s="798" t="s">
        <v>1577</v>
      </c>
      <c r="K151" s="795">
        <f>SUMIFS(TInspectieTotaal[Raming kosten
excl. BTW],TInspectieTotaal[EML code],MTRG[[#This Row],[Code]])</f>
        <v>0</v>
      </c>
      <c r="L151" s="119" t="s">
        <v>395</v>
      </c>
      <c r="M151" s="145"/>
      <c r="N151" s="122" t="s">
        <v>379</v>
      </c>
      <c r="O151" s="112"/>
      <c r="P151" s="112"/>
      <c r="Q151" s="112" t="s">
        <v>379</v>
      </c>
      <c r="R151" s="112"/>
      <c r="S151" s="117"/>
      <c r="T151" s="117"/>
      <c r="U151" s="117"/>
      <c r="V151" s="117"/>
      <c r="W151" s="117"/>
      <c r="X151" s="85"/>
    </row>
    <row r="152" spans="2:24" x14ac:dyDescent="0.25">
      <c r="B152" s="46" t="s">
        <v>166</v>
      </c>
      <c r="C152" s="14" t="s">
        <v>97</v>
      </c>
      <c r="D152" s="48" t="s">
        <v>337</v>
      </c>
      <c r="E152" s="47" t="s">
        <v>262</v>
      </c>
      <c r="F152" s="95" t="s">
        <v>160</v>
      </c>
      <c r="G152" s="14">
        <v>0</v>
      </c>
      <c r="H152" s="799" t="s">
        <v>642</v>
      </c>
      <c r="I152" s="797">
        <f>SUMIFS(TInspectieTotaal[Aantal],TInspectieTotaal[EML code],MTRG[[#This Row],[Code]])</f>
        <v>0</v>
      </c>
      <c r="J152" s="798" t="s">
        <v>1577</v>
      </c>
      <c r="K152" s="795">
        <f>SUMIFS(TInspectieTotaal[Raming kosten
excl. BTW],TInspectieTotaal[EML code],MTRG[[#This Row],[Code]])</f>
        <v>0</v>
      </c>
      <c r="L152" s="119" t="s">
        <v>395</v>
      </c>
      <c r="M152" s="145"/>
      <c r="N152" s="122" t="s">
        <v>379</v>
      </c>
      <c r="O152" s="112"/>
      <c r="P152" s="112"/>
      <c r="Q152" s="112" t="s">
        <v>379</v>
      </c>
      <c r="R152" s="112"/>
      <c r="S152" s="117"/>
      <c r="T152" s="117"/>
      <c r="U152" s="117"/>
      <c r="V152" s="117"/>
      <c r="W152" s="117"/>
      <c r="X152" s="85"/>
    </row>
    <row r="153" spans="2:24" x14ac:dyDescent="0.25">
      <c r="B153" s="46" t="s">
        <v>166</v>
      </c>
      <c r="C153" s="14" t="s">
        <v>98</v>
      </c>
      <c r="D153" s="55" t="s">
        <v>337</v>
      </c>
      <c r="E153" s="50" t="s">
        <v>263</v>
      </c>
      <c r="F153" s="97" t="s">
        <v>160</v>
      </c>
      <c r="G153" s="18">
        <v>0</v>
      </c>
      <c r="H153" s="799" t="s">
        <v>642</v>
      </c>
      <c r="I153" s="797">
        <f>SUMIFS(TInspectieTotaal[Aantal],TInspectieTotaal[EML code],MTRG[[#This Row],[Code]])</f>
        <v>0</v>
      </c>
      <c r="J153" s="798" t="s">
        <v>1577</v>
      </c>
      <c r="K153" s="795">
        <f>SUMIFS(TInspectieTotaal[Raming kosten
excl. BTW],TInspectieTotaal[EML code],MTRG[[#This Row],[Code]])</f>
        <v>0</v>
      </c>
      <c r="L153" s="119" t="s">
        <v>372</v>
      </c>
      <c r="M153" s="145"/>
      <c r="N153" s="122" t="s">
        <v>379</v>
      </c>
      <c r="O153" s="112"/>
      <c r="P153" s="112"/>
      <c r="Q153" s="112" t="s">
        <v>379</v>
      </c>
      <c r="R153" s="112"/>
      <c r="S153" s="117"/>
      <c r="T153" s="117"/>
      <c r="U153" s="117"/>
      <c r="V153" s="117"/>
      <c r="W153" s="117"/>
      <c r="X153" s="85"/>
    </row>
    <row r="154" spans="2:24" s="2" customFormat="1" x14ac:dyDescent="0.25">
      <c r="B154" s="63"/>
      <c r="C154" s="64"/>
      <c r="D154" s="65" t="str">
        <f>D155</f>
        <v>Binnenverlichting</v>
      </c>
      <c r="E154" s="66"/>
      <c r="F154" s="104"/>
      <c r="G154" s="65"/>
      <c r="H154" s="65"/>
      <c r="I154" s="65"/>
      <c r="J154" s="644"/>
      <c r="K154" s="289"/>
      <c r="L154" s="119"/>
      <c r="M154" s="145"/>
      <c r="N154" s="121"/>
      <c r="O154" s="139"/>
      <c r="P154" s="139" t="s">
        <v>379</v>
      </c>
      <c r="Q154" s="139"/>
      <c r="R154" s="139" t="s">
        <v>379</v>
      </c>
      <c r="S154" s="117"/>
      <c r="T154" s="117"/>
      <c r="U154" s="117"/>
      <c r="V154" s="117"/>
      <c r="W154" s="117"/>
      <c r="X154" s="90"/>
    </row>
    <row r="155" spans="2:24" x14ac:dyDescent="0.25">
      <c r="B155" s="46" t="s">
        <v>166</v>
      </c>
      <c r="C155" s="14" t="s">
        <v>99</v>
      </c>
      <c r="D155" s="14" t="s">
        <v>338</v>
      </c>
      <c r="E155" s="47" t="s">
        <v>264</v>
      </c>
      <c r="F155" s="94" t="s">
        <v>160</v>
      </c>
      <c r="G155" s="14">
        <v>0</v>
      </c>
      <c r="H155" s="799" t="s">
        <v>368</v>
      </c>
      <c r="I155" s="797">
        <f>SUMIFS(TInspectieTotaal[Aantal],TInspectieTotaal[EML code],MTRG[[#This Row],[Code]])</f>
        <v>20</v>
      </c>
      <c r="J155" s="798" t="s">
        <v>1586</v>
      </c>
      <c r="K155" s="795">
        <f>SUMIFS(TInspectieTotaal[Raming kosten
excl. BTW],TInspectieTotaal[EML code],MTRG[[#This Row],[Code]])</f>
        <v>3380</v>
      </c>
      <c r="L155" s="119" t="s">
        <v>395</v>
      </c>
      <c r="M155" s="119" t="s">
        <v>395</v>
      </c>
      <c r="N155" s="122" t="s">
        <v>379</v>
      </c>
      <c r="O155" s="112"/>
      <c r="P155" s="112" t="s">
        <v>379</v>
      </c>
      <c r="Q155" s="112"/>
      <c r="R155" s="112"/>
      <c r="S155" s="117"/>
      <c r="T155" s="117"/>
      <c r="U155" s="117"/>
      <c r="V155" s="117"/>
      <c r="W155" s="117"/>
      <c r="X155" s="85"/>
    </row>
    <row r="156" spans="2:24" x14ac:dyDescent="0.25">
      <c r="B156" s="46" t="s">
        <v>166</v>
      </c>
      <c r="C156" s="14" t="s">
        <v>100</v>
      </c>
      <c r="D156" s="48" t="s">
        <v>338</v>
      </c>
      <c r="E156" s="47" t="s">
        <v>265</v>
      </c>
      <c r="F156" s="95" t="s">
        <v>160</v>
      </c>
      <c r="G156" s="14">
        <v>0</v>
      </c>
      <c r="H156" s="799" t="s">
        <v>642</v>
      </c>
      <c r="I156" s="797">
        <f>SUMIFS(TInspectieTotaal[Aantal],TInspectieTotaal[EML code],MTRG[[#This Row],[Code]])</f>
        <v>0</v>
      </c>
      <c r="J156" s="798" t="s">
        <v>1577</v>
      </c>
      <c r="K156" s="795">
        <f>SUMIFS(TInspectieTotaal[Raming kosten
excl. BTW],TInspectieTotaal[EML code],MTRG[[#This Row],[Code]])</f>
        <v>0</v>
      </c>
      <c r="L156" s="119" t="s">
        <v>395</v>
      </c>
      <c r="M156" s="119" t="s">
        <v>395</v>
      </c>
      <c r="N156" s="122" t="s">
        <v>379</v>
      </c>
      <c r="O156" s="112"/>
      <c r="P156" s="112" t="s">
        <v>379</v>
      </c>
      <c r="Q156" s="112"/>
      <c r="R156" s="112" t="s">
        <v>379</v>
      </c>
      <c r="S156" s="117"/>
      <c r="T156" s="117"/>
      <c r="U156" s="117"/>
      <c r="V156" s="117"/>
      <c r="W156" s="117"/>
      <c r="X156" s="85"/>
    </row>
    <row r="157" spans="2:24" x14ac:dyDescent="0.25">
      <c r="B157" s="46" t="s">
        <v>166</v>
      </c>
      <c r="C157" s="14" t="s">
        <v>101</v>
      </c>
      <c r="D157" s="48" t="s">
        <v>338</v>
      </c>
      <c r="E157" s="47" t="s">
        <v>266</v>
      </c>
      <c r="F157" s="95" t="s">
        <v>160</v>
      </c>
      <c r="G157" s="14">
        <v>0</v>
      </c>
      <c r="H157" s="799" t="s">
        <v>642</v>
      </c>
      <c r="I157" s="797">
        <f>SUMIFS(TInspectieTotaal[Aantal],TInspectieTotaal[EML code],MTRG[[#This Row],[Code]])</f>
        <v>0</v>
      </c>
      <c r="J157" s="798" t="s">
        <v>1577</v>
      </c>
      <c r="K157" s="795">
        <f>SUMIFS(TInspectieTotaal[Raming kosten
excl. BTW],TInspectieTotaal[EML code],MTRG[[#This Row],[Code]])</f>
        <v>0</v>
      </c>
      <c r="L157" s="119" t="s">
        <v>395</v>
      </c>
      <c r="M157" s="119" t="s">
        <v>395</v>
      </c>
      <c r="N157" s="122" t="s">
        <v>379</v>
      </c>
      <c r="O157" s="112"/>
      <c r="P157" s="112" t="s">
        <v>379</v>
      </c>
      <c r="Q157" s="112"/>
      <c r="R157" s="112" t="s">
        <v>379</v>
      </c>
      <c r="S157" s="117"/>
      <c r="T157" s="117"/>
      <c r="U157" s="117"/>
      <c r="V157" s="117"/>
      <c r="W157" s="117"/>
      <c r="X157" s="85"/>
    </row>
    <row r="158" spans="2:24" x14ac:dyDescent="0.25">
      <c r="B158" s="46" t="s">
        <v>166</v>
      </c>
      <c r="C158" s="14" t="s">
        <v>102</v>
      </c>
      <c r="D158" s="48" t="s">
        <v>338</v>
      </c>
      <c r="E158" s="47" t="s">
        <v>267</v>
      </c>
      <c r="F158" s="95" t="s">
        <v>160</v>
      </c>
      <c r="G158" s="14">
        <v>0</v>
      </c>
      <c r="H158" s="799" t="s">
        <v>642</v>
      </c>
      <c r="I158" s="797">
        <f>SUMIFS(TInspectieTotaal[Aantal],TInspectieTotaal[EML code],MTRG[[#This Row],[Code]])</f>
        <v>0</v>
      </c>
      <c r="J158" s="798" t="s">
        <v>1577</v>
      </c>
      <c r="K158" s="795">
        <f>SUMIFS(TInspectieTotaal[Raming kosten
excl. BTW],TInspectieTotaal[EML code],MTRG[[#This Row],[Code]])</f>
        <v>0</v>
      </c>
      <c r="L158" s="119" t="s">
        <v>395</v>
      </c>
      <c r="M158" s="119" t="s">
        <v>395</v>
      </c>
      <c r="N158" s="122" t="s">
        <v>379</v>
      </c>
      <c r="O158" s="112"/>
      <c r="P158" s="112" t="s">
        <v>379</v>
      </c>
      <c r="Q158" s="112"/>
      <c r="R158" s="112" t="s">
        <v>379</v>
      </c>
      <c r="S158" s="117"/>
      <c r="T158" s="117"/>
      <c r="U158" s="117"/>
      <c r="V158" s="117"/>
      <c r="W158" s="117"/>
      <c r="X158" s="85"/>
    </row>
    <row r="159" spans="2:24" x14ac:dyDescent="0.25">
      <c r="B159" s="46" t="s">
        <v>166</v>
      </c>
      <c r="C159" s="14" t="s">
        <v>103</v>
      </c>
      <c r="D159" s="48" t="s">
        <v>338</v>
      </c>
      <c r="E159" s="47" t="s">
        <v>268</v>
      </c>
      <c r="F159" s="95" t="s">
        <v>160</v>
      </c>
      <c r="G159" s="14">
        <v>0</v>
      </c>
      <c r="H159" s="799" t="s">
        <v>642</v>
      </c>
      <c r="I159" s="797">
        <f>SUMIFS(TInspectieTotaal[Aantal],TInspectieTotaal[EML code],MTRG[[#This Row],[Code]])</f>
        <v>0</v>
      </c>
      <c r="J159" s="798" t="s">
        <v>1577</v>
      </c>
      <c r="K159" s="795">
        <f>SUMIFS(TInspectieTotaal[Raming kosten
excl. BTW],TInspectieTotaal[EML code],MTRG[[#This Row],[Code]])</f>
        <v>0</v>
      </c>
      <c r="L159" s="119" t="s">
        <v>395</v>
      </c>
      <c r="M159" s="119" t="s">
        <v>395</v>
      </c>
      <c r="N159" s="122" t="s">
        <v>379</v>
      </c>
      <c r="O159" s="112"/>
      <c r="P159" s="112" t="s">
        <v>379</v>
      </c>
      <c r="Q159" s="112"/>
      <c r="R159" s="112" t="s">
        <v>379</v>
      </c>
      <c r="S159" s="117"/>
      <c r="T159" s="117"/>
      <c r="U159" s="117"/>
      <c r="V159" s="117"/>
      <c r="W159" s="117"/>
      <c r="X159" s="85"/>
    </row>
    <row r="160" spans="2:24" x14ac:dyDescent="0.25">
      <c r="B160" s="46" t="s">
        <v>166</v>
      </c>
      <c r="C160" s="14" t="s">
        <v>104</v>
      </c>
      <c r="D160" s="48" t="s">
        <v>338</v>
      </c>
      <c r="E160" s="47" t="s">
        <v>269</v>
      </c>
      <c r="F160" s="95" t="s">
        <v>160</v>
      </c>
      <c r="G160" s="14">
        <v>0</v>
      </c>
      <c r="H160" s="799" t="s">
        <v>368</v>
      </c>
      <c r="I160" s="797">
        <f>SUMIFS(TInspectieTotaal[Aantal],TInspectieTotaal[EML code],MTRG[[#This Row],[Code]])</f>
        <v>6</v>
      </c>
      <c r="J160" s="798" t="s">
        <v>1587</v>
      </c>
      <c r="K160" s="795">
        <f>SUMIFS(TInspectieTotaal[Raming kosten
excl. BTW],TInspectieTotaal[EML code],MTRG[[#This Row],[Code]])</f>
        <v>1760</v>
      </c>
      <c r="L160" s="119" t="s">
        <v>395</v>
      </c>
      <c r="M160" s="119" t="s">
        <v>395</v>
      </c>
      <c r="N160" s="122" t="s">
        <v>379</v>
      </c>
      <c r="O160" s="112"/>
      <c r="P160" s="112" t="s">
        <v>379</v>
      </c>
      <c r="Q160" s="112"/>
      <c r="R160" s="112" t="s">
        <v>379</v>
      </c>
      <c r="S160" s="117"/>
      <c r="T160" s="117"/>
      <c r="U160" s="117"/>
      <c r="V160" s="117"/>
      <c r="W160" s="117"/>
      <c r="X160" s="85"/>
    </row>
    <row r="161" spans="2:24" x14ac:dyDescent="0.25">
      <c r="B161" s="46" t="s">
        <v>166</v>
      </c>
      <c r="C161" s="14" t="s">
        <v>105</v>
      </c>
      <c r="D161" s="48" t="s">
        <v>338</v>
      </c>
      <c r="E161" s="47" t="s">
        <v>270</v>
      </c>
      <c r="F161" s="95" t="s">
        <v>160</v>
      </c>
      <c r="G161" s="14">
        <v>0</v>
      </c>
      <c r="H161" s="799" t="s">
        <v>642</v>
      </c>
      <c r="I161" s="797">
        <f>SUMIFS(TInspectieTotaal[Aantal],TInspectieTotaal[EML code],MTRG[[#This Row],[Code]])</f>
        <v>0</v>
      </c>
      <c r="J161" s="798" t="s">
        <v>1577</v>
      </c>
      <c r="K161" s="795">
        <f>SUMIFS(TInspectieTotaal[Raming kosten
excl. BTW],TInspectieTotaal[EML code],MTRG[[#This Row],[Code]])</f>
        <v>0</v>
      </c>
      <c r="L161" s="119" t="s">
        <v>395</v>
      </c>
      <c r="M161" s="119" t="s">
        <v>395</v>
      </c>
      <c r="N161" s="122" t="s">
        <v>379</v>
      </c>
      <c r="O161" s="112"/>
      <c r="P161" s="112" t="s">
        <v>379</v>
      </c>
      <c r="Q161" s="112"/>
      <c r="R161" s="112" t="s">
        <v>379</v>
      </c>
      <c r="S161" s="117"/>
      <c r="T161" s="117"/>
      <c r="U161" s="117"/>
      <c r="V161" s="117"/>
      <c r="W161" s="117"/>
      <c r="X161" s="85"/>
    </row>
    <row r="162" spans="2:24" x14ac:dyDescent="0.25">
      <c r="B162" s="46" t="s">
        <v>166</v>
      </c>
      <c r="C162" s="14" t="s">
        <v>106</v>
      </c>
      <c r="D162" s="48" t="s">
        <v>338</v>
      </c>
      <c r="E162" s="47" t="s">
        <v>271</v>
      </c>
      <c r="F162" s="95" t="s">
        <v>160</v>
      </c>
      <c r="G162" s="14">
        <v>0</v>
      </c>
      <c r="H162" s="799" t="s">
        <v>642</v>
      </c>
      <c r="I162" s="797">
        <f>SUMIFS(TInspectieTotaal[Aantal],TInspectieTotaal[EML code],MTRG[[#This Row],[Code]])</f>
        <v>0</v>
      </c>
      <c r="J162" s="798" t="s">
        <v>1577</v>
      </c>
      <c r="K162" s="795">
        <f>SUMIFS(TInspectieTotaal[Raming kosten
excl. BTW],TInspectieTotaal[EML code],MTRG[[#This Row],[Code]])</f>
        <v>0</v>
      </c>
      <c r="L162" s="119" t="s">
        <v>395</v>
      </c>
      <c r="M162" s="119" t="s">
        <v>395</v>
      </c>
      <c r="N162" s="122" t="s">
        <v>379</v>
      </c>
      <c r="O162" s="112"/>
      <c r="P162" s="112" t="s">
        <v>379</v>
      </c>
      <c r="Q162" s="112"/>
      <c r="R162" s="112" t="s">
        <v>379</v>
      </c>
      <c r="S162" s="117"/>
      <c r="T162" s="117"/>
      <c r="U162" s="117"/>
      <c r="V162" s="117"/>
      <c r="W162" s="117"/>
      <c r="X162" s="85"/>
    </row>
    <row r="163" spans="2:24" x14ac:dyDescent="0.25">
      <c r="B163" s="46" t="s">
        <v>166</v>
      </c>
      <c r="C163" s="14" t="s">
        <v>107</v>
      </c>
      <c r="D163" s="48" t="s">
        <v>338</v>
      </c>
      <c r="E163" s="47" t="s">
        <v>272</v>
      </c>
      <c r="F163" s="95" t="s">
        <v>160</v>
      </c>
      <c r="G163" s="14">
        <v>0</v>
      </c>
      <c r="H163" s="799" t="s">
        <v>642</v>
      </c>
      <c r="I163" s="797">
        <f>SUMIFS(TInspectieTotaal[Aantal],TInspectieTotaal[EML code],MTRG[[#This Row],[Code]])</f>
        <v>0</v>
      </c>
      <c r="J163" s="798" t="s">
        <v>1577</v>
      </c>
      <c r="K163" s="795">
        <f>SUMIFS(TInspectieTotaal[Raming kosten
excl. BTW],TInspectieTotaal[EML code],MTRG[[#This Row],[Code]])</f>
        <v>0</v>
      </c>
      <c r="L163" s="119" t="s">
        <v>395</v>
      </c>
      <c r="M163" s="119" t="s">
        <v>395</v>
      </c>
      <c r="N163" s="122" t="s">
        <v>379</v>
      </c>
      <c r="O163" s="112"/>
      <c r="P163" s="112" t="s">
        <v>379</v>
      </c>
      <c r="Q163" s="112"/>
      <c r="R163" s="112" t="s">
        <v>379</v>
      </c>
      <c r="S163" s="117"/>
      <c r="T163" s="117"/>
      <c r="U163" s="117"/>
      <c r="V163" s="117"/>
      <c r="W163" s="117"/>
      <c r="X163" s="85"/>
    </row>
    <row r="164" spans="2:24" x14ac:dyDescent="0.25">
      <c r="B164" s="46" t="s">
        <v>166</v>
      </c>
      <c r="C164" s="14" t="s">
        <v>108</v>
      </c>
      <c r="D164" s="48" t="s">
        <v>338</v>
      </c>
      <c r="E164" s="47" t="s">
        <v>273</v>
      </c>
      <c r="F164" s="95" t="s">
        <v>160</v>
      </c>
      <c r="G164" s="14">
        <v>0</v>
      </c>
      <c r="H164" s="799" t="s">
        <v>642</v>
      </c>
      <c r="I164" s="797">
        <f>SUMIFS(TInspectieTotaal[Aantal],TInspectieTotaal[EML code],MTRG[[#This Row],[Code]])</f>
        <v>0</v>
      </c>
      <c r="J164" s="798" t="s">
        <v>1577</v>
      </c>
      <c r="K164" s="795">
        <f>SUMIFS(TInspectieTotaal[Raming kosten
excl. BTW],TInspectieTotaal[EML code],MTRG[[#This Row],[Code]])</f>
        <v>0</v>
      </c>
      <c r="L164" s="119" t="s">
        <v>395</v>
      </c>
      <c r="M164" s="119" t="s">
        <v>395</v>
      </c>
      <c r="N164" s="122" t="s">
        <v>379</v>
      </c>
      <c r="O164" s="112"/>
      <c r="P164" s="112" t="s">
        <v>379</v>
      </c>
      <c r="Q164" s="112"/>
      <c r="R164" s="112" t="s">
        <v>379</v>
      </c>
      <c r="S164" s="117"/>
      <c r="T164" s="117"/>
      <c r="U164" s="117"/>
      <c r="V164" s="117"/>
      <c r="W164" s="117"/>
      <c r="X164" s="85"/>
    </row>
    <row r="165" spans="2:24" x14ac:dyDescent="0.25">
      <c r="B165" s="46" t="s">
        <v>166</v>
      </c>
      <c r="C165" s="14" t="s">
        <v>109</v>
      </c>
      <c r="D165" s="48" t="s">
        <v>338</v>
      </c>
      <c r="E165" s="47" t="s">
        <v>274</v>
      </c>
      <c r="F165" s="95" t="s">
        <v>160</v>
      </c>
      <c r="G165" s="14">
        <v>0</v>
      </c>
      <c r="H165" s="799" t="s">
        <v>642</v>
      </c>
      <c r="I165" s="797">
        <f>SUMIFS(TInspectieTotaal[Aantal],TInspectieTotaal[EML code],MTRG[[#This Row],[Code]])</f>
        <v>0</v>
      </c>
      <c r="J165" s="798" t="s">
        <v>1577</v>
      </c>
      <c r="K165" s="795">
        <f>SUMIFS(TInspectieTotaal[Raming kosten
excl. BTW],TInspectieTotaal[EML code],MTRG[[#This Row],[Code]])</f>
        <v>0</v>
      </c>
      <c r="L165" s="119" t="s">
        <v>395</v>
      </c>
      <c r="M165" s="119" t="s">
        <v>395</v>
      </c>
      <c r="N165" s="122" t="s">
        <v>379</v>
      </c>
      <c r="O165" s="112"/>
      <c r="P165" s="112" t="s">
        <v>379</v>
      </c>
      <c r="Q165" s="112"/>
      <c r="R165" s="112" t="s">
        <v>379</v>
      </c>
      <c r="S165" s="117"/>
      <c r="T165" s="117"/>
      <c r="U165" s="117"/>
      <c r="V165" s="117"/>
      <c r="W165" s="117"/>
      <c r="X165" s="85"/>
    </row>
    <row r="166" spans="2:24" x14ac:dyDescent="0.25">
      <c r="B166" s="46" t="s">
        <v>166</v>
      </c>
      <c r="C166" s="14" t="s">
        <v>110</v>
      </c>
      <c r="D166" s="48" t="s">
        <v>338</v>
      </c>
      <c r="E166" s="47" t="s">
        <v>275</v>
      </c>
      <c r="F166" s="95" t="s">
        <v>160</v>
      </c>
      <c r="G166" s="14">
        <v>0</v>
      </c>
      <c r="H166" s="799" t="s">
        <v>642</v>
      </c>
      <c r="I166" s="797">
        <f>SUMIFS(TInspectieTotaal[Aantal],TInspectieTotaal[EML code],MTRG[[#This Row],[Code]])</f>
        <v>0</v>
      </c>
      <c r="J166" s="798" t="s">
        <v>1577</v>
      </c>
      <c r="K166" s="795">
        <f>SUMIFS(TInspectieTotaal[Raming kosten
excl. BTW],TInspectieTotaal[EML code],MTRG[[#This Row],[Code]])</f>
        <v>0</v>
      </c>
      <c r="L166" s="119" t="s">
        <v>395</v>
      </c>
      <c r="M166" s="119" t="s">
        <v>395</v>
      </c>
      <c r="N166" s="122" t="s">
        <v>379</v>
      </c>
      <c r="O166" s="112"/>
      <c r="P166" s="112" t="s">
        <v>379</v>
      </c>
      <c r="Q166" s="112"/>
      <c r="R166" s="112"/>
      <c r="S166" s="117"/>
      <c r="T166" s="117"/>
      <c r="U166" s="117"/>
      <c r="V166" s="117"/>
      <c r="W166" s="117"/>
      <c r="X166" s="85"/>
    </row>
    <row r="167" spans="2:24" ht="30" x14ac:dyDescent="0.25">
      <c r="B167" s="46" t="s">
        <v>166</v>
      </c>
      <c r="C167" s="14" t="s">
        <v>111</v>
      </c>
      <c r="D167" s="48" t="s">
        <v>338</v>
      </c>
      <c r="E167" s="47" t="s">
        <v>276</v>
      </c>
      <c r="F167" s="95" t="s">
        <v>160</v>
      </c>
      <c r="G167" s="14">
        <v>0</v>
      </c>
      <c r="H167" s="799" t="s">
        <v>642</v>
      </c>
      <c r="I167" s="797">
        <f>SUMIFS(TInspectieTotaal[Aantal],TInspectieTotaal[EML code],MTRG[[#This Row],[Code]])</f>
        <v>0</v>
      </c>
      <c r="J167" s="798" t="s">
        <v>1577</v>
      </c>
      <c r="K167" s="795">
        <f>SUMIFS(TInspectieTotaal[Raming kosten
excl. BTW],TInspectieTotaal[EML code],MTRG[[#This Row],[Code]])</f>
        <v>0</v>
      </c>
      <c r="L167" s="119" t="s">
        <v>372</v>
      </c>
      <c r="M167" s="119" t="s">
        <v>395</v>
      </c>
      <c r="N167" s="122" t="s">
        <v>379</v>
      </c>
      <c r="O167" s="112"/>
      <c r="P167" s="112" t="s">
        <v>379</v>
      </c>
      <c r="Q167" s="112"/>
      <c r="R167" s="112"/>
      <c r="S167" s="117"/>
      <c r="T167" s="117"/>
      <c r="U167" s="117"/>
      <c r="V167" s="117"/>
      <c r="W167" s="117"/>
      <c r="X167" s="85"/>
    </row>
    <row r="168" spans="2:24" x14ac:dyDescent="0.25">
      <c r="B168" s="46" t="s">
        <v>166</v>
      </c>
      <c r="C168" s="14" t="s">
        <v>112</v>
      </c>
      <c r="D168" s="48" t="s">
        <v>338</v>
      </c>
      <c r="E168" s="47" t="s">
        <v>277</v>
      </c>
      <c r="F168" s="95" t="s">
        <v>160</v>
      </c>
      <c r="G168" s="14">
        <v>0</v>
      </c>
      <c r="H168" s="799" t="s">
        <v>368</v>
      </c>
      <c r="I168" s="797">
        <f>SUMIFS(TInspectieTotaal[Aantal],TInspectieTotaal[EML code],MTRG[[#This Row],[Code]])</f>
        <v>57</v>
      </c>
      <c r="J168" s="798" t="s">
        <v>1587</v>
      </c>
      <c r="K168" s="795">
        <f>SUMIFS(TInspectieTotaal[Raming kosten
excl. BTW],TInspectieTotaal[EML code],MTRG[[#This Row],[Code]])</f>
        <v>16700</v>
      </c>
      <c r="L168" s="119" t="s">
        <v>372</v>
      </c>
      <c r="M168" s="119" t="s">
        <v>395</v>
      </c>
      <c r="N168" s="122" t="s">
        <v>379</v>
      </c>
      <c r="O168" s="112"/>
      <c r="P168" s="112" t="s">
        <v>379</v>
      </c>
      <c r="Q168" s="112"/>
      <c r="R168" s="112" t="s">
        <v>379</v>
      </c>
      <c r="S168" s="117"/>
      <c r="T168" s="117"/>
      <c r="U168" s="117"/>
      <c r="V168" s="117"/>
      <c r="W168" s="117"/>
      <c r="X168" s="85"/>
    </row>
    <row r="169" spans="2:24" x14ac:dyDescent="0.25">
      <c r="B169" s="46" t="s">
        <v>166</v>
      </c>
      <c r="C169" s="14" t="s">
        <v>113</v>
      </c>
      <c r="D169" s="55" t="s">
        <v>338</v>
      </c>
      <c r="E169" s="50" t="s">
        <v>278</v>
      </c>
      <c r="F169" s="97" t="s">
        <v>160</v>
      </c>
      <c r="G169" s="18">
        <v>0</v>
      </c>
      <c r="H169" s="799" t="s">
        <v>163</v>
      </c>
      <c r="I169" s="797">
        <f>SUMIFS(TInspectieTotaal[Aantal],TInspectieTotaal[EML code],MTRG[[#This Row],[Code]])</f>
        <v>0</v>
      </c>
      <c r="J169" s="798" t="s">
        <v>1580</v>
      </c>
      <c r="K169" s="795">
        <f>SUMIFS(TInspectieTotaal[Raming kosten
excl. BTW],TInspectieTotaal[EML code],MTRG[[#This Row],[Code]])</f>
        <v>0</v>
      </c>
      <c r="L169" s="119" t="s">
        <v>372</v>
      </c>
      <c r="M169" s="119" t="s">
        <v>395</v>
      </c>
      <c r="N169" s="122" t="s">
        <v>379</v>
      </c>
      <c r="O169" s="112"/>
      <c r="P169" s="112" t="s">
        <v>379</v>
      </c>
      <c r="Q169" s="112"/>
      <c r="R169" s="112"/>
      <c r="S169" s="117"/>
      <c r="T169" s="117"/>
      <c r="U169" s="117"/>
      <c r="V169" s="117"/>
      <c r="W169" s="117"/>
      <c r="X169" s="85"/>
    </row>
    <row r="170" spans="2:24" s="2" customFormat="1" ht="15.75" thickBot="1" x14ac:dyDescent="0.3">
      <c r="B170" s="63"/>
      <c r="C170" s="64"/>
      <c r="D170" s="65" t="str">
        <f>D171</f>
        <v>Buitenverlichting</v>
      </c>
      <c r="E170" s="66"/>
      <c r="F170" s="104"/>
      <c r="G170" s="65"/>
      <c r="H170" s="65"/>
      <c r="I170" s="65"/>
      <c r="J170" s="644"/>
      <c r="K170" s="289"/>
      <c r="L170" s="119"/>
      <c r="M170" s="145"/>
      <c r="N170" s="121"/>
      <c r="O170" s="139"/>
      <c r="P170" s="139" t="s">
        <v>379</v>
      </c>
      <c r="Q170" s="139"/>
      <c r="R170" s="139"/>
      <c r="S170" s="117"/>
      <c r="T170" s="117"/>
      <c r="U170" s="117"/>
      <c r="V170" s="117"/>
      <c r="W170" s="117"/>
      <c r="X170" s="90"/>
    </row>
    <row r="171" spans="2:24" ht="16.5" thickTop="1" thickBot="1" x14ac:dyDescent="0.3">
      <c r="B171" s="46" t="s">
        <v>166</v>
      </c>
      <c r="C171" s="14" t="s">
        <v>114</v>
      </c>
      <c r="D171" s="14" t="s">
        <v>339</v>
      </c>
      <c r="E171" s="47" t="s">
        <v>279</v>
      </c>
      <c r="F171" s="94" t="s">
        <v>160</v>
      </c>
      <c r="G171" s="14">
        <v>0</v>
      </c>
      <c r="H171" s="799" t="s">
        <v>1584</v>
      </c>
      <c r="I171" s="797">
        <f>SUMIFS(TInspectieTotaal[Aantal],TInspectieTotaal[EML code],MTRG[[#This Row],[Code]])</f>
        <v>0</v>
      </c>
      <c r="J171" s="798" t="s">
        <v>1577</v>
      </c>
      <c r="K171" s="795">
        <f>SUMIFS(TInspectieTotaal[Raming kosten
excl. BTW],TInspectieTotaal[EML code],MTRG[[#This Row],[Code]])</f>
        <v>0</v>
      </c>
      <c r="L171" s="300" t="s">
        <v>372</v>
      </c>
      <c r="M171" s="119" t="s">
        <v>395</v>
      </c>
      <c r="N171" s="122" t="s">
        <v>379</v>
      </c>
      <c r="O171" s="112"/>
      <c r="P171" s="112" t="s">
        <v>379</v>
      </c>
      <c r="Q171" s="112"/>
      <c r="R171" s="112"/>
      <c r="S171" s="117"/>
      <c r="T171" s="117"/>
      <c r="U171" s="117"/>
      <c r="V171" s="117"/>
      <c r="W171" s="117"/>
      <c r="X171" s="85"/>
    </row>
    <row r="172" spans="2:24" ht="16.5" thickTop="1" thickBot="1" x14ac:dyDescent="0.3">
      <c r="B172" s="46" t="s">
        <v>166</v>
      </c>
      <c r="C172" s="14" t="s">
        <v>115</v>
      </c>
      <c r="D172" s="48" t="s">
        <v>339</v>
      </c>
      <c r="E172" s="47" t="s">
        <v>280</v>
      </c>
      <c r="F172" s="95" t="s">
        <v>160</v>
      </c>
      <c r="G172" s="14">
        <v>0</v>
      </c>
      <c r="H172" s="799" t="s">
        <v>642</v>
      </c>
      <c r="I172" s="797">
        <f>SUMIFS(TInspectieTotaal[Aantal],TInspectieTotaal[EML code],MTRG[[#This Row],[Code]])</f>
        <v>0</v>
      </c>
      <c r="J172" s="798" t="s">
        <v>1577</v>
      </c>
      <c r="K172" s="795">
        <f>SUMIFS(TInspectieTotaal[Raming kosten
excl. BTW],TInspectieTotaal[EML code],MTRG[[#This Row],[Code]])</f>
        <v>0</v>
      </c>
      <c r="L172" s="300" t="s">
        <v>372</v>
      </c>
      <c r="M172" s="119" t="s">
        <v>395</v>
      </c>
      <c r="N172" s="122" t="s">
        <v>379</v>
      </c>
      <c r="O172" s="112"/>
      <c r="P172" s="112" t="s">
        <v>379</v>
      </c>
      <c r="Q172" s="112"/>
      <c r="R172" s="112"/>
      <c r="S172" s="117"/>
      <c r="T172" s="117"/>
      <c r="U172" s="117"/>
      <c r="V172" s="117"/>
      <c r="W172" s="117"/>
      <c r="X172" s="85"/>
    </row>
    <row r="173" spans="2:24" ht="16.5" thickTop="1" thickBot="1" x14ac:dyDescent="0.3">
      <c r="B173" s="46" t="s">
        <v>166</v>
      </c>
      <c r="C173" s="14" t="s">
        <v>116</v>
      </c>
      <c r="D173" s="48" t="s">
        <v>339</v>
      </c>
      <c r="E173" s="47" t="s">
        <v>281</v>
      </c>
      <c r="F173" s="95" t="s">
        <v>160</v>
      </c>
      <c r="G173" s="14">
        <v>0</v>
      </c>
      <c r="H173" s="799" t="s">
        <v>642</v>
      </c>
      <c r="I173" s="797">
        <f>SUMIFS(TInspectieTotaal[Aantal],TInspectieTotaal[EML code],MTRG[[#This Row],[Code]])</f>
        <v>0</v>
      </c>
      <c r="J173" s="798" t="s">
        <v>1577</v>
      </c>
      <c r="K173" s="795">
        <f>SUMIFS(TInspectieTotaal[Raming kosten
excl. BTW],TInspectieTotaal[EML code],MTRG[[#This Row],[Code]])</f>
        <v>0</v>
      </c>
      <c r="L173" s="300" t="s">
        <v>372</v>
      </c>
      <c r="M173" s="119" t="s">
        <v>395</v>
      </c>
      <c r="N173" s="122" t="s">
        <v>379</v>
      </c>
      <c r="O173" s="112"/>
      <c r="P173" s="112" t="s">
        <v>379</v>
      </c>
      <c r="Q173" s="112"/>
      <c r="R173" s="112"/>
      <c r="S173" s="117"/>
      <c r="T173" s="117"/>
      <c r="U173" s="117"/>
      <c r="V173" s="117"/>
      <c r="W173" s="117"/>
      <c r="X173" s="85"/>
    </row>
    <row r="174" spans="2:24" ht="16.5" thickTop="1" thickBot="1" x14ac:dyDescent="0.3">
      <c r="B174" s="46" t="s">
        <v>166</v>
      </c>
      <c r="C174" s="14" t="s">
        <v>117</v>
      </c>
      <c r="D174" s="55" t="s">
        <v>339</v>
      </c>
      <c r="E174" s="50" t="s">
        <v>282</v>
      </c>
      <c r="F174" s="97" t="s">
        <v>160</v>
      </c>
      <c r="G174" s="18">
        <v>0</v>
      </c>
      <c r="H174" s="806" t="s">
        <v>642</v>
      </c>
      <c r="I174" s="797">
        <f>SUMIFS(TInspectieTotaal[Aantal],TInspectieTotaal[EML code],MTRG[[#This Row],[Code]])</f>
        <v>0</v>
      </c>
      <c r="J174" s="798" t="s">
        <v>1577</v>
      </c>
      <c r="K174" s="795">
        <f>SUMIFS(TInspectieTotaal[Raming kosten
excl. BTW],TInspectieTotaal[EML code],MTRG[[#This Row],[Code]])</f>
        <v>0</v>
      </c>
      <c r="L174" s="300" t="s">
        <v>372</v>
      </c>
      <c r="M174" s="119" t="s">
        <v>395</v>
      </c>
      <c r="N174" s="122" t="s">
        <v>379</v>
      </c>
      <c r="O174" s="112"/>
      <c r="P174" s="112" t="s">
        <v>379</v>
      </c>
      <c r="Q174" s="112"/>
      <c r="R174" s="112"/>
      <c r="S174" s="117"/>
      <c r="T174" s="117"/>
      <c r="U174" s="117"/>
      <c r="V174" s="117"/>
      <c r="W174" s="117"/>
      <c r="X174" s="85"/>
    </row>
    <row r="175" spans="2:24" s="2" customFormat="1" ht="16.5" thickTop="1" thickBot="1" x14ac:dyDescent="0.3">
      <c r="B175" s="63"/>
      <c r="C175" s="64"/>
      <c r="D175" s="65" t="str">
        <f>D176</f>
        <v>Zonnepanelen</v>
      </c>
      <c r="E175" s="66"/>
      <c r="F175" s="104"/>
      <c r="G175" s="65"/>
      <c r="H175" s="65"/>
      <c r="I175" s="65"/>
      <c r="J175" s="644"/>
      <c r="K175" s="289"/>
      <c r="L175" s="119"/>
      <c r="M175" s="145"/>
      <c r="N175" s="138"/>
      <c r="O175" s="140"/>
      <c r="P175" s="140" t="s">
        <v>379</v>
      </c>
      <c r="Q175" s="140"/>
      <c r="R175" s="140"/>
      <c r="S175" s="117"/>
      <c r="T175" s="117"/>
      <c r="U175" s="117"/>
      <c r="V175" s="117"/>
      <c r="W175" s="117"/>
      <c r="X175" s="90"/>
    </row>
    <row r="176" spans="2:24" ht="16.5" thickTop="1" thickBot="1" x14ac:dyDescent="0.3">
      <c r="B176" s="59" t="s">
        <v>166</v>
      </c>
      <c r="C176" s="18" t="s">
        <v>118</v>
      </c>
      <c r="D176" s="18" t="s">
        <v>332</v>
      </c>
      <c r="E176" s="50" t="s">
        <v>236</v>
      </c>
      <c r="F176" s="100" t="s">
        <v>160</v>
      </c>
      <c r="G176" s="18">
        <v>0</v>
      </c>
      <c r="H176" s="803" t="s">
        <v>162</v>
      </c>
      <c r="I176" s="797">
        <f>SUMIFS(TInspectieTotaal[Aantal],TInspectieTotaal[EML code],MTRG[[#This Row],[Code]])</f>
        <v>0</v>
      </c>
      <c r="J176" s="798" t="s">
        <v>1588</v>
      </c>
      <c r="K176" s="795">
        <f>SUMIFS(TInspectieTotaal[Raming kosten
excl. BTW],TInspectieTotaal[EML code],MTRG[[#This Row],[Code]])</f>
        <v>0</v>
      </c>
      <c r="L176" s="300" t="s">
        <v>395</v>
      </c>
      <c r="M176" s="145"/>
      <c r="N176" s="122" t="s">
        <v>379</v>
      </c>
      <c r="O176" s="112" t="s">
        <v>379</v>
      </c>
      <c r="P176" s="112" t="s">
        <v>379</v>
      </c>
      <c r="Q176" s="112"/>
      <c r="R176" s="112"/>
      <c r="S176" s="117"/>
      <c r="T176" s="117"/>
      <c r="U176" s="117"/>
      <c r="V176" s="117"/>
      <c r="W176" s="117"/>
      <c r="X176" s="85"/>
    </row>
    <row r="177" spans="2:24" s="2" customFormat="1" ht="15.75" thickTop="1" x14ac:dyDescent="0.25">
      <c r="B177" s="69" t="s">
        <v>321</v>
      </c>
      <c r="C177" s="70"/>
      <c r="D177" s="70"/>
      <c r="E177" s="71"/>
      <c r="F177" s="106"/>
      <c r="G177" s="70"/>
      <c r="H177" s="107"/>
      <c r="I177" s="135"/>
      <c r="J177" s="645" t="s">
        <v>387</v>
      </c>
      <c r="K177" s="119"/>
      <c r="L177" s="119"/>
      <c r="M177" s="145"/>
      <c r="N177" s="120"/>
      <c r="O177" s="113"/>
      <c r="P177" s="113"/>
      <c r="Q177" s="113"/>
      <c r="R177" s="113"/>
      <c r="S177" s="117"/>
      <c r="T177" s="117"/>
      <c r="U177" s="117"/>
      <c r="V177" s="117"/>
      <c r="W177" s="117"/>
      <c r="X177" s="90"/>
    </row>
    <row r="178" spans="2:24" s="2" customFormat="1" x14ac:dyDescent="0.25">
      <c r="B178" s="72"/>
      <c r="C178" s="73"/>
      <c r="D178" s="74" t="str">
        <f>D179</f>
        <v>Natlakspuitcabines</v>
      </c>
      <c r="E178" s="75"/>
      <c r="F178" s="108"/>
      <c r="G178" s="74"/>
      <c r="H178" s="109"/>
      <c r="I178" s="136"/>
      <c r="J178" s="646"/>
      <c r="K178" s="119"/>
      <c r="L178" s="119"/>
      <c r="M178" s="145"/>
      <c r="N178" s="120"/>
      <c r="O178" s="113"/>
      <c r="P178" s="113"/>
      <c r="Q178" s="113"/>
      <c r="R178" s="113"/>
      <c r="S178" s="117"/>
      <c r="T178" s="117"/>
      <c r="U178" s="117"/>
      <c r="V178" s="117"/>
      <c r="W178" s="117"/>
      <c r="X178" s="90"/>
    </row>
    <row r="179" spans="2:24" x14ac:dyDescent="0.25">
      <c r="B179" s="46" t="s">
        <v>321</v>
      </c>
      <c r="C179" s="14" t="s">
        <v>119</v>
      </c>
      <c r="D179" s="21" t="s">
        <v>340</v>
      </c>
      <c r="E179" s="76" t="s">
        <v>283</v>
      </c>
      <c r="F179" s="94" t="s">
        <v>160</v>
      </c>
      <c r="G179" s="21">
        <v>0</v>
      </c>
      <c r="H179" s="96"/>
      <c r="I179" s="129">
        <v>0</v>
      </c>
      <c r="J179" s="639" t="s">
        <v>387</v>
      </c>
      <c r="K179" s="119"/>
      <c r="L179" s="119"/>
      <c r="M179" s="145"/>
      <c r="N179" s="121"/>
      <c r="O179" s="112"/>
      <c r="P179" s="112"/>
      <c r="Q179" s="112"/>
      <c r="R179" s="112"/>
      <c r="S179" s="117"/>
      <c r="T179" s="117"/>
      <c r="U179" s="117"/>
      <c r="V179" s="117"/>
      <c r="W179" s="117"/>
      <c r="X179" s="85"/>
    </row>
    <row r="180" spans="2:24" x14ac:dyDescent="0.25">
      <c r="B180" s="77" t="s">
        <v>321</v>
      </c>
      <c r="C180" s="14" t="s">
        <v>120</v>
      </c>
      <c r="D180" s="48" t="s">
        <v>340</v>
      </c>
      <c r="E180" s="47" t="s">
        <v>284</v>
      </c>
      <c r="F180" s="95" t="s">
        <v>160</v>
      </c>
      <c r="G180" s="14">
        <v>0</v>
      </c>
      <c r="H180" s="96"/>
      <c r="I180" s="130">
        <v>0</v>
      </c>
      <c r="J180" s="639" t="s">
        <v>387</v>
      </c>
      <c r="K180" s="119"/>
      <c r="L180" s="119"/>
      <c r="M180" s="145"/>
      <c r="N180" s="121"/>
      <c r="O180" s="112"/>
      <c r="P180" s="112"/>
      <c r="Q180" s="112"/>
      <c r="R180" s="112"/>
      <c r="S180" s="117"/>
      <c r="T180" s="117"/>
      <c r="U180" s="117"/>
      <c r="V180" s="117"/>
      <c r="W180" s="117"/>
      <c r="X180" s="85"/>
    </row>
    <row r="181" spans="2:24" x14ac:dyDescent="0.25">
      <c r="B181" s="77" t="s">
        <v>321</v>
      </c>
      <c r="C181" s="14" t="s">
        <v>121</v>
      </c>
      <c r="D181" s="48" t="s">
        <v>340</v>
      </c>
      <c r="E181" s="47" t="s">
        <v>285</v>
      </c>
      <c r="F181" s="95" t="s">
        <v>160</v>
      </c>
      <c r="G181" s="14">
        <v>0</v>
      </c>
      <c r="H181" s="96"/>
      <c r="I181" s="130">
        <v>0</v>
      </c>
      <c r="J181" s="639" t="s">
        <v>387</v>
      </c>
      <c r="K181" s="119"/>
      <c r="L181" s="119"/>
      <c r="M181" s="145"/>
      <c r="N181" s="121"/>
      <c r="O181" s="112"/>
      <c r="P181" s="112"/>
      <c r="Q181" s="112"/>
      <c r="R181" s="112"/>
      <c r="S181" s="117"/>
      <c r="T181" s="117"/>
      <c r="U181" s="117"/>
      <c r="V181" s="117"/>
      <c r="W181" s="117"/>
      <c r="X181" s="85"/>
    </row>
    <row r="182" spans="2:24" ht="30" x14ac:dyDescent="0.25">
      <c r="B182" s="77" t="s">
        <v>321</v>
      </c>
      <c r="C182" s="14" t="s">
        <v>122</v>
      </c>
      <c r="D182" s="48" t="s">
        <v>340</v>
      </c>
      <c r="E182" s="47" t="s">
        <v>286</v>
      </c>
      <c r="F182" s="95" t="s">
        <v>160</v>
      </c>
      <c r="G182" s="14">
        <v>0</v>
      </c>
      <c r="H182" s="96"/>
      <c r="I182" s="130">
        <v>0</v>
      </c>
      <c r="J182" s="639" t="s">
        <v>387</v>
      </c>
      <c r="K182" s="119"/>
      <c r="L182" s="119"/>
      <c r="M182" s="145"/>
      <c r="N182" s="121"/>
      <c r="O182" s="112"/>
      <c r="P182" s="112"/>
      <c r="Q182" s="112"/>
      <c r="R182" s="112"/>
      <c r="S182" s="117"/>
      <c r="T182" s="117"/>
      <c r="U182" s="117"/>
      <c r="V182" s="117"/>
      <c r="W182" s="117"/>
      <c r="X182" s="85"/>
    </row>
    <row r="183" spans="2:24" x14ac:dyDescent="0.25">
      <c r="B183" s="77" t="s">
        <v>321</v>
      </c>
      <c r="C183" s="14" t="s">
        <v>123</v>
      </c>
      <c r="D183" s="55" t="s">
        <v>340</v>
      </c>
      <c r="E183" s="50" t="s">
        <v>287</v>
      </c>
      <c r="F183" s="97" t="s">
        <v>160</v>
      </c>
      <c r="G183" s="18">
        <v>0</v>
      </c>
      <c r="H183" s="96"/>
      <c r="I183" s="132">
        <v>0</v>
      </c>
      <c r="J183" s="639" t="s">
        <v>387</v>
      </c>
      <c r="K183" s="119"/>
      <c r="L183" s="119"/>
      <c r="M183" s="145"/>
      <c r="N183" s="121"/>
      <c r="O183" s="112"/>
      <c r="P183" s="112"/>
      <c r="Q183" s="112"/>
      <c r="R183" s="112"/>
      <c r="S183" s="117"/>
      <c r="T183" s="117"/>
      <c r="U183" s="117"/>
      <c r="V183" s="117"/>
      <c r="W183" s="117"/>
      <c r="X183" s="85"/>
    </row>
    <row r="184" spans="2:24" s="2" customFormat="1" x14ac:dyDescent="0.25">
      <c r="B184" s="72"/>
      <c r="C184" s="73"/>
      <c r="D184" s="74" t="str">
        <f>D185</f>
        <v>Drogen</v>
      </c>
      <c r="E184" s="75"/>
      <c r="F184" s="108"/>
      <c r="G184" s="74"/>
      <c r="H184" s="109"/>
      <c r="I184" s="136"/>
      <c r="J184" s="646"/>
      <c r="K184" s="119"/>
      <c r="L184" s="119"/>
      <c r="M184" s="145"/>
      <c r="N184" s="120"/>
      <c r="O184" s="113"/>
      <c r="P184" s="113"/>
      <c r="Q184" s="113"/>
      <c r="R184" s="113"/>
      <c r="S184" s="117"/>
      <c r="T184" s="117"/>
      <c r="U184" s="117"/>
      <c r="V184" s="117"/>
      <c r="W184" s="117"/>
      <c r="X184" s="90"/>
    </row>
    <row r="185" spans="2:24" x14ac:dyDescent="0.25">
      <c r="B185" s="46" t="s">
        <v>321</v>
      </c>
      <c r="C185" s="14" t="s">
        <v>124</v>
      </c>
      <c r="D185" s="14" t="s">
        <v>341</v>
      </c>
      <c r="E185" s="47" t="s">
        <v>288</v>
      </c>
      <c r="F185" s="94" t="s">
        <v>160</v>
      </c>
      <c r="G185" s="14">
        <v>0</v>
      </c>
      <c r="H185" s="96"/>
      <c r="I185" s="130">
        <v>0</v>
      </c>
      <c r="J185" s="639" t="s">
        <v>387</v>
      </c>
      <c r="K185" s="119"/>
      <c r="L185" s="119"/>
      <c r="M185" s="145"/>
      <c r="N185" s="121"/>
      <c r="O185" s="112"/>
      <c r="P185" s="112"/>
      <c r="Q185" s="112"/>
      <c r="R185" s="112"/>
      <c r="S185" s="117"/>
      <c r="T185" s="117"/>
      <c r="U185" s="117"/>
      <c r="V185" s="117"/>
      <c r="W185" s="117"/>
      <c r="X185" s="85"/>
    </row>
    <row r="186" spans="2:24" x14ac:dyDescent="0.25">
      <c r="B186" s="46" t="s">
        <v>321</v>
      </c>
      <c r="C186" s="14" t="s">
        <v>125</v>
      </c>
      <c r="D186" s="55" t="s">
        <v>341</v>
      </c>
      <c r="E186" s="50" t="s">
        <v>289</v>
      </c>
      <c r="F186" s="97" t="s">
        <v>160</v>
      </c>
      <c r="G186" s="18">
        <v>0</v>
      </c>
      <c r="H186" s="96"/>
      <c r="I186" s="132">
        <v>0</v>
      </c>
      <c r="J186" s="639" t="s">
        <v>387</v>
      </c>
      <c r="K186" s="119"/>
      <c r="L186" s="119"/>
      <c r="M186" s="145"/>
      <c r="N186" s="121"/>
      <c r="O186" s="112"/>
      <c r="P186" s="112"/>
      <c r="Q186" s="112"/>
      <c r="R186" s="112"/>
      <c r="S186" s="117"/>
      <c r="T186" s="117"/>
      <c r="U186" s="117"/>
      <c r="V186" s="117"/>
      <c r="W186" s="117"/>
      <c r="X186" s="85"/>
    </row>
    <row r="187" spans="2:24" s="2" customFormat="1" x14ac:dyDescent="0.25">
      <c r="B187" s="72"/>
      <c r="C187" s="73"/>
      <c r="D187" s="74" t="str">
        <f>D188</f>
        <v>Procesbaden</v>
      </c>
      <c r="E187" s="75"/>
      <c r="F187" s="108"/>
      <c r="G187" s="74"/>
      <c r="H187" s="109"/>
      <c r="I187" s="136"/>
      <c r="J187" s="646"/>
      <c r="K187" s="119"/>
      <c r="L187" s="119"/>
      <c r="M187" s="145"/>
      <c r="N187" s="120"/>
      <c r="O187" s="113"/>
      <c r="P187" s="113"/>
      <c r="Q187" s="113"/>
      <c r="R187" s="113"/>
      <c r="S187" s="117"/>
      <c r="T187" s="117"/>
      <c r="U187" s="117"/>
      <c r="V187" s="117"/>
      <c r="W187" s="117"/>
      <c r="X187" s="90"/>
    </row>
    <row r="188" spans="2:24" x14ac:dyDescent="0.25">
      <c r="B188" s="46" t="s">
        <v>321</v>
      </c>
      <c r="C188" s="14" t="s">
        <v>126</v>
      </c>
      <c r="D188" s="14" t="s">
        <v>342</v>
      </c>
      <c r="E188" s="47" t="s">
        <v>290</v>
      </c>
      <c r="F188" s="94" t="s">
        <v>160</v>
      </c>
      <c r="G188" s="14">
        <v>0</v>
      </c>
      <c r="H188" s="96"/>
      <c r="I188" s="130">
        <v>0</v>
      </c>
      <c r="J188" s="639" t="s">
        <v>387</v>
      </c>
      <c r="K188" s="119"/>
      <c r="L188" s="119"/>
      <c r="M188" s="145"/>
      <c r="N188" s="121"/>
      <c r="O188" s="112"/>
      <c r="P188" s="112"/>
      <c r="Q188" s="112"/>
      <c r="R188" s="112"/>
      <c r="S188" s="117"/>
      <c r="T188" s="117"/>
      <c r="U188" s="117"/>
      <c r="V188" s="117"/>
      <c r="W188" s="117"/>
      <c r="X188" s="85"/>
    </row>
    <row r="189" spans="2:24" x14ac:dyDescent="0.25">
      <c r="B189" s="46" t="s">
        <v>321</v>
      </c>
      <c r="C189" s="14" t="s">
        <v>127</v>
      </c>
      <c r="D189" s="48" t="s">
        <v>342</v>
      </c>
      <c r="E189" s="47" t="s">
        <v>291</v>
      </c>
      <c r="F189" s="95" t="s">
        <v>160</v>
      </c>
      <c r="G189" s="14">
        <v>0</v>
      </c>
      <c r="H189" s="96"/>
      <c r="I189" s="130">
        <v>0</v>
      </c>
      <c r="J189" s="639" t="s">
        <v>387</v>
      </c>
      <c r="K189" s="119"/>
      <c r="L189" s="119"/>
      <c r="M189" s="145"/>
      <c r="N189" s="121"/>
      <c r="O189" s="112"/>
      <c r="P189" s="112"/>
      <c r="Q189" s="112"/>
      <c r="R189" s="112"/>
      <c r="S189" s="117"/>
      <c r="T189" s="117"/>
      <c r="U189" s="117"/>
      <c r="V189" s="117"/>
      <c r="W189" s="117"/>
      <c r="X189" s="85"/>
    </row>
    <row r="190" spans="2:24" x14ac:dyDescent="0.25">
      <c r="B190" s="46" t="s">
        <v>321</v>
      </c>
      <c r="C190" s="14" t="s">
        <v>128</v>
      </c>
      <c r="D190" s="55" t="s">
        <v>342</v>
      </c>
      <c r="E190" s="50" t="s">
        <v>292</v>
      </c>
      <c r="F190" s="97" t="s">
        <v>160</v>
      </c>
      <c r="G190" s="18">
        <v>0</v>
      </c>
      <c r="H190" s="96"/>
      <c r="I190" s="132">
        <v>0</v>
      </c>
      <c r="J190" s="639" t="s">
        <v>387</v>
      </c>
      <c r="K190" s="119"/>
      <c r="L190" s="119"/>
      <c r="M190" s="145"/>
      <c r="N190" s="121"/>
      <c r="O190" s="112"/>
      <c r="P190" s="112"/>
      <c r="Q190" s="112"/>
      <c r="R190" s="112"/>
      <c r="S190" s="117"/>
      <c r="T190" s="117"/>
      <c r="U190" s="117"/>
      <c r="V190" s="117"/>
      <c r="W190" s="117"/>
      <c r="X190" s="85"/>
    </row>
    <row r="191" spans="2:24" s="2" customFormat="1" x14ac:dyDescent="0.25">
      <c r="B191" s="72"/>
      <c r="C191" s="73"/>
      <c r="D191" s="74" t="str">
        <f>D192</f>
        <v>Procesapparatuur</v>
      </c>
      <c r="E191" s="75"/>
      <c r="F191" s="108"/>
      <c r="G191" s="74"/>
      <c r="H191" s="109"/>
      <c r="I191" s="136"/>
      <c r="J191" s="646"/>
      <c r="K191" s="119"/>
      <c r="L191" s="119"/>
      <c r="M191" s="145"/>
      <c r="N191" s="120"/>
      <c r="O191" s="113"/>
      <c r="P191" s="113"/>
      <c r="Q191" s="113"/>
      <c r="R191" s="113"/>
      <c r="S191" s="117"/>
      <c r="T191" s="117"/>
      <c r="U191" s="117"/>
      <c r="V191" s="117"/>
      <c r="W191" s="117"/>
      <c r="X191" s="90"/>
    </row>
    <row r="192" spans="2:24" x14ac:dyDescent="0.25">
      <c r="B192" s="46" t="s">
        <v>321</v>
      </c>
      <c r="C192" s="14" t="s">
        <v>129</v>
      </c>
      <c r="D192" s="14" t="s">
        <v>343</v>
      </c>
      <c r="E192" s="47" t="s">
        <v>293</v>
      </c>
      <c r="F192" s="94" t="s">
        <v>160</v>
      </c>
      <c r="G192" s="14">
        <v>0</v>
      </c>
      <c r="H192" s="96"/>
      <c r="I192" s="130">
        <v>0</v>
      </c>
      <c r="J192" s="639" t="s">
        <v>387</v>
      </c>
      <c r="K192" s="119"/>
      <c r="L192" s="119"/>
      <c r="M192" s="145"/>
      <c r="N192" s="120"/>
      <c r="O192" s="113"/>
      <c r="P192" s="113"/>
      <c r="Q192" s="113"/>
      <c r="R192" s="113"/>
      <c r="S192" s="117"/>
      <c r="T192" s="117"/>
      <c r="U192" s="117"/>
      <c r="V192" s="117"/>
      <c r="W192" s="117"/>
      <c r="X192" s="85"/>
    </row>
    <row r="193" spans="2:24" ht="30" x14ac:dyDescent="0.25">
      <c r="B193" s="46" t="s">
        <v>321</v>
      </c>
      <c r="C193" s="14" t="s">
        <v>130</v>
      </c>
      <c r="D193" s="48" t="s">
        <v>343</v>
      </c>
      <c r="E193" s="47" t="s">
        <v>294</v>
      </c>
      <c r="F193" s="95" t="s">
        <v>160</v>
      </c>
      <c r="G193" s="14">
        <v>0</v>
      </c>
      <c r="H193" s="96"/>
      <c r="I193" s="130">
        <v>0</v>
      </c>
      <c r="J193" s="639" t="s">
        <v>387</v>
      </c>
      <c r="K193" s="119"/>
      <c r="L193" s="119"/>
      <c r="M193" s="145"/>
      <c r="N193" s="120"/>
      <c r="O193" s="113"/>
      <c r="P193" s="113"/>
      <c r="Q193" s="113"/>
      <c r="R193" s="113"/>
      <c r="S193" s="117"/>
      <c r="T193" s="117"/>
      <c r="U193" s="117"/>
      <c r="V193" s="117"/>
      <c r="W193" s="117"/>
      <c r="X193" s="85"/>
    </row>
    <row r="194" spans="2:24" x14ac:dyDescent="0.25">
      <c r="B194" s="46" t="s">
        <v>321</v>
      </c>
      <c r="C194" s="14" t="s">
        <v>131</v>
      </c>
      <c r="D194" s="48" t="s">
        <v>343</v>
      </c>
      <c r="E194" s="47" t="s">
        <v>295</v>
      </c>
      <c r="F194" s="95" t="s">
        <v>160</v>
      </c>
      <c r="G194" s="14">
        <v>0</v>
      </c>
      <c r="H194" s="96"/>
      <c r="I194" s="130">
        <v>0</v>
      </c>
      <c r="J194" s="639" t="s">
        <v>387</v>
      </c>
      <c r="K194" s="119"/>
      <c r="L194" s="119"/>
      <c r="M194" s="145"/>
      <c r="N194" s="120"/>
      <c r="O194" s="113"/>
      <c r="P194" s="113"/>
      <c r="Q194" s="113"/>
      <c r="R194" s="113"/>
      <c r="S194" s="117"/>
      <c r="T194" s="117"/>
      <c r="U194" s="117"/>
      <c r="V194" s="117"/>
      <c r="W194" s="117"/>
      <c r="X194" s="85"/>
    </row>
    <row r="195" spans="2:24" x14ac:dyDescent="0.25">
      <c r="B195" s="46" t="s">
        <v>321</v>
      </c>
      <c r="C195" s="14" t="s">
        <v>132</v>
      </c>
      <c r="D195" s="48" t="s">
        <v>343</v>
      </c>
      <c r="E195" s="47" t="s">
        <v>296</v>
      </c>
      <c r="F195" s="95" t="s">
        <v>160</v>
      </c>
      <c r="G195" s="14">
        <v>0</v>
      </c>
      <c r="H195" s="96"/>
      <c r="I195" s="130">
        <v>0</v>
      </c>
      <c r="J195" s="639" t="s">
        <v>387</v>
      </c>
      <c r="K195" s="119"/>
      <c r="L195" s="119"/>
      <c r="M195" s="145"/>
      <c r="N195" s="120"/>
      <c r="O195" s="113"/>
      <c r="P195" s="113"/>
      <c r="Q195" s="113"/>
      <c r="R195" s="113"/>
      <c r="S195" s="117"/>
      <c r="T195" s="117"/>
      <c r="U195" s="117"/>
      <c r="V195" s="117"/>
      <c r="W195" s="117"/>
      <c r="X195" s="85"/>
    </row>
    <row r="196" spans="2:24" ht="30" x14ac:dyDescent="0.25">
      <c r="B196" s="46" t="s">
        <v>321</v>
      </c>
      <c r="C196" s="14" t="s">
        <v>133</v>
      </c>
      <c r="D196" s="48" t="s">
        <v>343</v>
      </c>
      <c r="E196" s="47" t="s">
        <v>297</v>
      </c>
      <c r="F196" s="95" t="s">
        <v>160</v>
      </c>
      <c r="G196" s="14">
        <v>0</v>
      </c>
      <c r="H196" s="96"/>
      <c r="I196" s="130">
        <v>0</v>
      </c>
      <c r="J196" s="639" t="s">
        <v>387</v>
      </c>
      <c r="K196" s="119"/>
      <c r="L196" s="119"/>
      <c r="M196" s="145"/>
      <c r="N196" s="120"/>
      <c r="O196" s="113"/>
      <c r="P196" s="113"/>
      <c r="Q196" s="113"/>
      <c r="R196" s="113"/>
      <c r="S196" s="117"/>
      <c r="T196" s="117"/>
      <c r="U196" s="117"/>
      <c r="V196" s="117"/>
      <c r="W196" s="117"/>
      <c r="X196" s="85"/>
    </row>
    <row r="197" spans="2:24" x14ac:dyDescent="0.25">
      <c r="B197" s="13" t="s">
        <v>321</v>
      </c>
      <c r="C197" s="14" t="s">
        <v>134</v>
      </c>
      <c r="D197" s="48" t="s">
        <v>343</v>
      </c>
      <c r="E197" s="47" t="s">
        <v>298</v>
      </c>
      <c r="F197" s="95" t="s">
        <v>160</v>
      </c>
      <c r="G197" s="14">
        <v>0</v>
      </c>
      <c r="H197" s="96"/>
      <c r="I197" s="130">
        <v>0</v>
      </c>
      <c r="J197" s="639" t="s">
        <v>387</v>
      </c>
      <c r="K197" s="119"/>
      <c r="L197" s="119"/>
      <c r="M197" s="145"/>
      <c r="N197" s="121"/>
      <c r="O197" s="112"/>
      <c r="P197" s="112"/>
      <c r="Q197" s="112"/>
      <c r="R197" s="112"/>
      <c r="S197" s="117"/>
      <c r="T197" s="117"/>
      <c r="U197" s="117"/>
      <c r="V197" s="117"/>
      <c r="W197" s="117"/>
      <c r="X197" s="85"/>
    </row>
    <row r="198" spans="2:24" ht="30" x14ac:dyDescent="0.25">
      <c r="B198" s="13" t="s">
        <v>321</v>
      </c>
      <c r="C198" s="14" t="s">
        <v>135</v>
      </c>
      <c r="D198" s="48" t="s">
        <v>343</v>
      </c>
      <c r="E198" s="47" t="s">
        <v>299</v>
      </c>
      <c r="F198" s="95" t="s">
        <v>160</v>
      </c>
      <c r="G198" s="14">
        <v>0</v>
      </c>
      <c r="H198" s="96"/>
      <c r="I198" s="130">
        <v>0</v>
      </c>
      <c r="J198" s="639" t="s">
        <v>387</v>
      </c>
      <c r="K198" s="119"/>
      <c r="L198" s="119"/>
      <c r="M198" s="145"/>
      <c r="N198" s="121"/>
      <c r="O198" s="112"/>
      <c r="P198" s="112"/>
      <c r="Q198" s="112"/>
      <c r="R198" s="112"/>
      <c r="S198" s="117"/>
      <c r="T198" s="117"/>
      <c r="U198" s="117"/>
      <c r="V198" s="117"/>
      <c r="W198" s="117"/>
      <c r="X198" s="85"/>
    </row>
    <row r="199" spans="2:24" ht="30" x14ac:dyDescent="0.25">
      <c r="B199" s="13" t="s">
        <v>321</v>
      </c>
      <c r="C199" s="14" t="s">
        <v>136</v>
      </c>
      <c r="D199" s="48" t="s">
        <v>343</v>
      </c>
      <c r="E199" s="47" t="s">
        <v>300</v>
      </c>
      <c r="F199" s="95" t="s">
        <v>160</v>
      </c>
      <c r="G199" s="14">
        <v>0</v>
      </c>
      <c r="H199" s="96"/>
      <c r="I199" s="130">
        <v>0</v>
      </c>
      <c r="J199" s="639" t="s">
        <v>387</v>
      </c>
      <c r="K199" s="119"/>
      <c r="L199" s="119"/>
      <c r="M199" s="145"/>
      <c r="N199" s="121"/>
      <c r="O199" s="112"/>
      <c r="P199" s="112"/>
      <c r="Q199" s="112"/>
      <c r="R199" s="112"/>
      <c r="S199" s="117"/>
      <c r="T199" s="117"/>
      <c r="U199" s="117"/>
      <c r="V199" s="117"/>
      <c r="W199" s="117"/>
      <c r="X199" s="85"/>
    </row>
    <row r="200" spans="2:24" x14ac:dyDescent="0.25">
      <c r="B200" s="13" t="s">
        <v>321</v>
      </c>
      <c r="C200" s="14" t="s">
        <v>137</v>
      </c>
      <c r="D200" s="55" t="s">
        <v>343</v>
      </c>
      <c r="E200" s="50" t="s">
        <v>301</v>
      </c>
      <c r="F200" s="97" t="s">
        <v>160</v>
      </c>
      <c r="G200" s="18">
        <v>0</v>
      </c>
      <c r="H200" s="96"/>
      <c r="I200" s="132">
        <v>0</v>
      </c>
      <c r="J200" s="639" t="s">
        <v>387</v>
      </c>
      <c r="K200" s="119"/>
      <c r="L200" s="119"/>
      <c r="M200" s="145"/>
      <c r="N200" s="121"/>
      <c r="O200" s="112"/>
      <c r="P200" s="112"/>
      <c r="Q200" s="112"/>
      <c r="R200" s="112"/>
      <c r="S200" s="117"/>
      <c r="T200" s="117"/>
      <c r="U200" s="117"/>
      <c r="V200" s="117"/>
      <c r="W200" s="117"/>
      <c r="X200" s="85"/>
    </row>
    <row r="201" spans="2:24" s="2" customFormat="1" x14ac:dyDescent="0.25">
      <c r="B201" s="78"/>
      <c r="C201" s="73"/>
      <c r="D201" s="74" t="str">
        <f>D202</f>
        <v>Proceswarmte</v>
      </c>
      <c r="E201" s="75"/>
      <c r="F201" s="108"/>
      <c r="G201" s="74"/>
      <c r="H201" s="109"/>
      <c r="I201" s="136"/>
      <c r="J201" s="646"/>
      <c r="K201" s="119"/>
      <c r="L201" s="119"/>
      <c r="M201" s="145"/>
      <c r="N201" s="120"/>
      <c r="O201" s="113"/>
      <c r="P201" s="113"/>
      <c r="Q201" s="113"/>
      <c r="R201" s="113"/>
      <c r="S201" s="117"/>
      <c r="T201" s="117"/>
      <c r="U201" s="117"/>
      <c r="V201" s="117"/>
      <c r="W201" s="117"/>
      <c r="X201" s="90"/>
    </row>
    <row r="202" spans="2:24" x14ac:dyDescent="0.25">
      <c r="B202" s="13" t="s">
        <v>321</v>
      </c>
      <c r="C202" s="14" t="s">
        <v>138</v>
      </c>
      <c r="D202" s="14" t="s">
        <v>344</v>
      </c>
      <c r="E202" s="47" t="s">
        <v>302</v>
      </c>
      <c r="F202" s="94" t="s">
        <v>160</v>
      </c>
      <c r="G202" s="14">
        <v>0</v>
      </c>
      <c r="H202" s="96"/>
      <c r="I202" s="130">
        <v>0</v>
      </c>
      <c r="J202" s="639" t="s">
        <v>387</v>
      </c>
      <c r="K202" s="119"/>
      <c r="L202" s="119"/>
      <c r="M202" s="145"/>
      <c r="N202" s="121"/>
      <c r="O202" s="112"/>
      <c r="P202" s="112"/>
      <c r="Q202" s="112"/>
      <c r="R202" s="112"/>
      <c r="S202" s="117"/>
      <c r="T202" s="117"/>
      <c r="U202" s="117"/>
      <c r="V202" s="117"/>
      <c r="W202" s="117"/>
      <c r="X202" s="85"/>
    </row>
    <row r="203" spans="2:24" x14ac:dyDescent="0.25">
      <c r="B203" s="13" t="s">
        <v>321</v>
      </c>
      <c r="C203" s="14" t="s">
        <v>139</v>
      </c>
      <c r="D203" s="48" t="s">
        <v>344</v>
      </c>
      <c r="E203" s="47" t="s">
        <v>303</v>
      </c>
      <c r="F203" s="95" t="s">
        <v>160</v>
      </c>
      <c r="G203" s="14">
        <v>0</v>
      </c>
      <c r="H203" s="96"/>
      <c r="I203" s="130">
        <v>0</v>
      </c>
      <c r="J203" s="639" t="s">
        <v>387</v>
      </c>
      <c r="K203" s="119"/>
      <c r="L203" s="119"/>
      <c r="M203" s="145"/>
      <c r="N203" s="121"/>
      <c r="O203" s="112"/>
      <c r="P203" s="112"/>
      <c r="Q203" s="112"/>
      <c r="R203" s="112"/>
      <c r="S203" s="117"/>
      <c r="T203" s="117"/>
      <c r="U203" s="117"/>
      <c r="V203" s="117"/>
      <c r="W203" s="117"/>
      <c r="X203" s="85"/>
    </row>
    <row r="204" spans="2:24" x14ac:dyDescent="0.25">
      <c r="B204" s="13" t="s">
        <v>321</v>
      </c>
      <c r="C204" s="14" t="s">
        <v>140</v>
      </c>
      <c r="D204" s="48" t="s">
        <v>344</v>
      </c>
      <c r="E204" s="47" t="s">
        <v>304</v>
      </c>
      <c r="F204" s="95" t="s">
        <v>160</v>
      </c>
      <c r="G204" s="14">
        <v>0</v>
      </c>
      <c r="H204" s="96"/>
      <c r="I204" s="130">
        <v>0</v>
      </c>
      <c r="J204" s="639" t="s">
        <v>387</v>
      </c>
      <c r="K204" s="119"/>
      <c r="L204" s="119"/>
      <c r="M204" s="145"/>
      <c r="N204" s="121"/>
      <c r="O204" s="112"/>
      <c r="P204" s="112"/>
      <c r="Q204" s="112"/>
      <c r="R204" s="112"/>
      <c r="S204" s="117"/>
      <c r="T204" s="117"/>
      <c r="U204" s="117"/>
      <c r="V204" s="117"/>
      <c r="W204" s="117"/>
      <c r="X204" s="85"/>
    </row>
    <row r="205" spans="2:24" x14ac:dyDescent="0.25">
      <c r="B205" s="13" t="s">
        <v>321</v>
      </c>
      <c r="C205" s="14" t="s">
        <v>141</v>
      </c>
      <c r="D205" s="48" t="s">
        <v>344</v>
      </c>
      <c r="E205" s="47" t="s">
        <v>305</v>
      </c>
      <c r="F205" s="95" t="s">
        <v>160</v>
      </c>
      <c r="G205" s="14">
        <v>0</v>
      </c>
      <c r="H205" s="96"/>
      <c r="I205" s="130">
        <v>0</v>
      </c>
      <c r="J205" s="639" t="s">
        <v>387</v>
      </c>
      <c r="K205" s="119"/>
      <c r="L205" s="119"/>
      <c r="M205" s="145"/>
      <c r="N205" s="121"/>
      <c r="O205" s="112"/>
      <c r="P205" s="112"/>
      <c r="Q205" s="112"/>
      <c r="R205" s="112"/>
      <c r="S205" s="117"/>
      <c r="T205" s="117"/>
      <c r="U205" s="117"/>
      <c r="V205" s="117"/>
      <c r="W205" s="117"/>
      <c r="X205" s="85"/>
    </row>
    <row r="206" spans="2:24" x14ac:dyDescent="0.25">
      <c r="B206" s="13" t="s">
        <v>321</v>
      </c>
      <c r="C206" s="14" t="s">
        <v>142</v>
      </c>
      <c r="D206" s="48" t="s">
        <v>344</v>
      </c>
      <c r="E206" s="47" t="s">
        <v>306</v>
      </c>
      <c r="F206" s="95" t="s">
        <v>160</v>
      </c>
      <c r="G206" s="14">
        <v>0</v>
      </c>
      <c r="H206" s="96"/>
      <c r="I206" s="130">
        <v>0</v>
      </c>
      <c r="J206" s="639" t="s">
        <v>387</v>
      </c>
      <c r="K206" s="119"/>
      <c r="L206" s="119"/>
      <c r="M206" s="145"/>
      <c r="N206" s="121"/>
      <c r="O206" s="112"/>
      <c r="P206" s="112"/>
      <c r="Q206" s="112"/>
      <c r="R206" s="112"/>
      <c r="S206" s="117"/>
      <c r="T206" s="117"/>
      <c r="U206" s="117"/>
      <c r="V206" s="117"/>
      <c r="W206" s="117"/>
      <c r="X206" s="85"/>
    </row>
    <row r="207" spans="2:24" x14ac:dyDescent="0.25">
      <c r="B207" s="13" t="s">
        <v>321</v>
      </c>
      <c r="C207" s="14" t="s">
        <v>143</v>
      </c>
      <c r="D207" s="48" t="s">
        <v>344</v>
      </c>
      <c r="E207" s="47" t="s">
        <v>307</v>
      </c>
      <c r="F207" s="95" t="s">
        <v>160</v>
      </c>
      <c r="G207" s="14">
        <v>0</v>
      </c>
      <c r="H207" s="96"/>
      <c r="I207" s="130">
        <v>0</v>
      </c>
      <c r="J207" s="639" t="s">
        <v>387</v>
      </c>
      <c r="K207" s="119"/>
      <c r="L207" s="119"/>
      <c r="M207" s="145"/>
      <c r="N207" s="121"/>
      <c r="O207" s="112"/>
      <c r="P207" s="112"/>
      <c r="Q207" s="112"/>
      <c r="R207" s="112"/>
      <c r="S207" s="117"/>
      <c r="T207" s="117"/>
      <c r="U207" s="117"/>
      <c r="V207" s="117"/>
      <c r="W207" s="117"/>
      <c r="X207" s="85"/>
    </row>
    <row r="208" spans="2:24" x14ac:dyDescent="0.25">
      <c r="B208" s="13" t="s">
        <v>321</v>
      </c>
      <c r="C208" s="14" t="s">
        <v>144</v>
      </c>
      <c r="D208" s="48" t="s">
        <v>344</v>
      </c>
      <c r="E208" s="47" t="s">
        <v>308</v>
      </c>
      <c r="F208" s="95" t="s">
        <v>160</v>
      </c>
      <c r="G208" s="14">
        <v>0</v>
      </c>
      <c r="H208" s="96"/>
      <c r="I208" s="130">
        <v>0</v>
      </c>
      <c r="J208" s="639" t="s">
        <v>387</v>
      </c>
      <c r="K208" s="119"/>
      <c r="L208" s="119"/>
      <c r="M208" s="145"/>
      <c r="N208" s="121"/>
      <c r="O208" s="112"/>
      <c r="P208" s="112"/>
      <c r="Q208" s="112"/>
      <c r="R208" s="112"/>
      <c r="S208" s="117"/>
      <c r="T208" s="117"/>
      <c r="U208" s="117"/>
      <c r="V208" s="117"/>
      <c r="W208" s="117"/>
      <c r="X208" s="85"/>
    </row>
    <row r="209" spans="2:24" x14ac:dyDescent="0.25">
      <c r="B209" s="13" t="s">
        <v>321</v>
      </c>
      <c r="C209" s="14" t="s">
        <v>145</v>
      </c>
      <c r="D209" s="55" t="s">
        <v>344</v>
      </c>
      <c r="E209" s="50" t="s">
        <v>309</v>
      </c>
      <c r="F209" s="97" t="s">
        <v>160</v>
      </c>
      <c r="G209" s="18">
        <v>0</v>
      </c>
      <c r="H209" s="96"/>
      <c r="I209" s="132">
        <v>0</v>
      </c>
      <c r="J209" s="639" t="s">
        <v>387</v>
      </c>
      <c r="K209" s="119"/>
      <c r="L209" s="119"/>
      <c r="M209" s="145"/>
      <c r="N209" s="121"/>
      <c r="O209" s="112"/>
      <c r="P209" s="112"/>
      <c r="Q209" s="112"/>
      <c r="R209" s="112"/>
      <c r="S209" s="117"/>
      <c r="T209" s="117"/>
      <c r="U209" s="117"/>
      <c r="V209" s="117"/>
      <c r="W209" s="117"/>
      <c r="X209" s="85"/>
    </row>
    <row r="210" spans="2:24" s="2" customFormat="1" x14ac:dyDescent="0.25">
      <c r="B210" s="78"/>
      <c r="C210" s="73"/>
      <c r="D210" s="74" t="str">
        <f>D211</f>
        <v>Proceskoeling</v>
      </c>
      <c r="E210" s="75"/>
      <c r="F210" s="108"/>
      <c r="G210" s="74"/>
      <c r="H210" s="109"/>
      <c r="I210" s="136"/>
      <c r="J210" s="646"/>
      <c r="K210" s="119"/>
      <c r="L210" s="119"/>
      <c r="M210" s="145"/>
      <c r="N210" s="120"/>
      <c r="O210" s="113"/>
      <c r="P210" s="113"/>
      <c r="Q210" s="113"/>
      <c r="R210" s="113"/>
      <c r="S210" s="117"/>
      <c r="T210" s="117"/>
      <c r="U210" s="117"/>
      <c r="V210" s="117"/>
      <c r="W210" s="117"/>
      <c r="X210" s="90"/>
    </row>
    <row r="211" spans="2:24" x14ac:dyDescent="0.25">
      <c r="B211" s="13" t="s">
        <v>321</v>
      </c>
      <c r="C211" s="14" t="s">
        <v>146</v>
      </c>
      <c r="D211" s="14" t="s">
        <v>345</v>
      </c>
      <c r="E211" s="57" t="s">
        <v>310</v>
      </c>
      <c r="F211" s="94" t="s">
        <v>160</v>
      </c>
      <c r="G211" s="14">
        <v>0</v>
      </c>
      <c r="H211" s="96"/>
      <c r="I211" s="130">
        <v>0</v>
      </c>
      <c r="J211" s="639" t="s">
        <v>387</v>
      </c>
      <c r="K211" s="119"/>
      <c r="L211" s="119"/>
      <c r="M211" s="145"/>
      <c r="N211" s="121"/>
      <c r="O211" s="112"/>
      <c r="P211" s="112"/>
      <c r="Q211" s="112"/>
      <c r="R211" s="112"/>
      <c r="S211" s="117"/>
      <c r="T211" s="117"/>
      <c r="U211" s="117"/>
      <c r="V211" s="117"/>
      <c r="W211" s="117"/>
      <c r="X211" s="85"/>
    </row>
    <row r="212" spans="2:24" x14ac:dyDescent="0.25">
      <c r="B212" s="13" t="s">
        <v>321</v>
      </c>
      <c r="C212" s="14" t="s">
        <v>147</v>
      </c>
      <c r="D212" s="48" t="s">
        <v>345</v>
      </c>
      <c r="E212" s="57" t="s">
        <v>311</v>
      </c>
      <c r="F212" s="95" t="s">
        <v>160</v>
      </c>
      <c r="G212" s="14">
        <v>0</v>
      </c>
      <c r="H212" s="96"/>
      <c r="I212" s="130">
        <v>0</v>
      </c>
      <c r="J212" s="639" t="s">
        <v>387</v>
      </c>
      <c r="K212" s="119"/>
      <c r="L212" s="119"/>
      <c r="M212" s="145"/>
      <c r="N212" s="121"/>
      <c r="O212" s="112"/>
      <c r="P212" s="112"/>
      <c r="Q212" s="112"/>
      <c r="R212" s="112"/>
      <c r="S212" s="117"/>
      <c r="T212" s="117"/>
      <c r="U212" s="117"/>
      <c r="V212" s="117"/>
      <c r="W212" s="117"/>
      <c r="X212" s="85"/>
    </row>
    <row r="213" spans="2:24" x14ac:dyDescent="0.25">
      <c r="B213" s="13" t="s">
        <v>321</v>
      </c>
      <c r="C213" s="14" t="s">
        <v>148</v>
      </c>
      <c r="D213" s="55" t="s">
        <v>345</v>
      </c>
      <c r="E213" s="58" t="s">
        <v>312</v>
      </c>
      <c r="F213" s="97" t="s">
        <v>160</v>
      </c>
      <c r="G213" s="18">
        <v>0</v>
      </c>
      <c r="H213" s="96"/>
      <c r="I213" s="132">
        <v>0</v>
      </c>
      <c r="J213" s="639" t="s">
        <v>387</v>
      </c>
      <c r="K213" s="119"/>
      <c r="L213" s="119"/>
      <c r="M213" s="145"/>
      <c r="N213" s="121"/>
      <c r="O213" s="112"/>
      <c r="P213" s="112"/>
      <c r="Q213" s="112"/>
      <c r="R213" s="112"/>
      <c r="S213" s="117"/>
      <c r="T213" s="117"/>
      <c r="U213" s="117"/>
      <c r="V213" s="117"/>
      <c r="W213" s="117"/>
      <c r="X213" s="85"/>
    </row>
    <row r="214" spans="2:24" s="2" customFormat="1" x14ac:dyDescent="0.25">
      <c r="B214" s="78"/>
      <c r="C214" s="73"/>
      <c r="D214" s="74" t="str">
        <f>D215</f>
        <v>Veehouderijen</v>
      </c>
      <c r="E214" s="75"/>
      <c r="F214" s="108"/>
      <c r="G214" s="74"/>
      <c r="H214" s="109"/>
      <c r="I214" s="136"/>
      <c r="J214" s="646"/>
      <c r="K214" s="119"/>
      <c r="L214" s="119"/>
      <c r="M214" s="145"/>
      <c r="N214" s="120"/>
      <c r="O214" s="113"/>
      <c r="P214" s="113"/>
      <c r="Q214" s="113"/>
      <c r="R214" s="113"/>
      <c r="S214" s="117"/>
      <c r="T214" s="117"/>
      <c r="U214" s="117"/>
      <c r="V214" s="117"/>
      <c r="W214" s="117"/>
      <c r="X214" s="90"/>
    </row>
    <row r="215" spans="2:24" x14ac:dyDescent="0.25">
      <c r="B215" s="13" t="s">
        <v>321</v>
      </c>
      <c r="C215" s="14" t="s">
        <v>149</v>
      </c>
      <c r="D215" s="14" t="s">
        <v>346</v>
      </c>
      <c r="E215" s="57" t="s">
        <v>313</v>
      </c>
      <c r="F215" s="94" t="s">
        <v>160</v>
      </c>
      <c r="G215" s="14">
        <v>0</v>
      </c>
      <c r="H215" s="96"/>
      <c r="I215" s="130">
        <v>0</v>
      </c>
      <c r="J215" s="639" t="s">
        <v>387</v>
      </c>
      <c r="K215" s="119"/>
      <c r="L215" s="119"/>
      <c r="M215" s="145"/>
      <c r="N215" s="121"/>
      <c r="O215" s="112"/>
      <c r="P215" s="112"/>
      <c r="Q215" s="112"/>
      <c r="R215" s="112"/>
      <c r="S215" s="117"/>
      <c r="T215" s="117"/>
      <c r="U215" s="117"/>
      <c r="V215" s="117"/>
      <c r="W215" s="117"/>
      <c r="X215" s="85"/>
    </row>
    <row r="216" spans="2:24" ht="30" x14ac:dyDescent="0.25">
      <c r="B216" s="13" t="s">
        <v>321</v>
      </c>
      <c r="C216" s="14" t="s">
        <v>150</v>
      </c>
      <c r="D216" s="48" t="s">
        <v>346</v>
      </c>
      <c r="E216" s="57" t="s">
        <v>314</v>
      </c>
      <c r="F216" s="95" t="s">
        <v>160</v>
      </c>
      <c r="G216" s="14">
        <v>0</v>
      </c>
      <c r="H216" s="96"/>
      <c r="I216" s="130">
        <v>0</v>
      </c>
      <c r="J216" s="639" t="s">
        <v>387</v>
      </c>
      <c r="K216" s="119"/>
      <c r="L216" s="119"/>
      <c r="M216" s="145"/>
      <c r="N216" s="121"/>
      <c r="O216" s="112"/>
      <c r="P216" s="112"/>
      <c r="Q216" s="112"/>
      <c r="R216" s="112"/>
      <c r="S216" s="117"/>
      <c r="T216" s="117"/>
      <c r="U216" s="117"/>
      <c r="V216" s="117"/>
      <c r="W216" s="117"/>
      <c r="X216" s="85"/>
    </row>
    <row r="217" spans="2:24" x14ac:dyDescent="0.25">
      <c r="B217" s="13" t="s">
        <v>321</v>
      </c>
      <c r="C217" s="14" t="s">
        <v>151</v>
      </c>
      <c r="D217" s="55" t="s">
        <v>346</v>
      </c>
      <c r="E217" s="58" t="s">
        <v>315</v>
      </c>
      <c r="F217" s="97" t="s">
        <v>160</v>
      </c>
      <c r="G217" s="18">
        <v>0</v>
      </c>
      <c r="H217" s="96"/>
      <c r="I217" s="132">
        <v>0</v>
      </c>
      <c r="J217" s="639" t="s">
        <v>387</v>
      </c>
      <c r="K217" s="119"/>
      <c r="L217" s="119"/>
      <c r="M217" s="145"/>
      <c r="N217" s="121"/>
      <c r="O217" s="112"/>
      <c r="P217" s="112"/>
      <c r="Q217" s="112"/>
      <c r="R217" s="112"/>
      <c r="S217" s="117"/>
      <c r="T217" s="117"/>
      <c r="U217" s="117"/>
      <c r="V217" s="117"/>
      <c r="W217" s="117"/>
      <c r="X217" s="85"/>
    </row>
    <row r="218" spans="2:24" s="2" customFormat="1" x14ac:dyDescent="0.25">
      <c r="B218" s="78"/>
      <c r="C218" s="73"/>
      <c r="D218" s="74" t="str">
        <f>D219</f>
        <v>Datacentrum</v>
      </c>
      <c r="E218" s="75"/>
      <c r="F218" s="108"/>
      <c r="G218" s="74"/>
      <c r="H218" s="109"/>
      <c r="I218" s="136"/>
      <c r="J218" s="646"/>
      <c r="K218" s="119"/>
      <c r="L218" s="119"/>
      <c r="M218" s="145"/>
      <c r="N218" s="120"/>
      <c r="O218" s="113"/>
      <c r="P218" s="113"/>
      <c r="Q218" s="113"/>
      <c r="R218" s="113"/>
      <c r="S218" s="117"/>
      <c r="T218" s="117"/>
      <c r="U218" s="117"/>
      <c r="V218" s="117"/>
      <c r="W218" s="117"/>
      <c r="X218" s="90"/>
    </row>
    <row r="219" spans="2:24" x14ac:dyDescent="0.25">
      <c r="B219" s="79" t="s">
        <v>321</v>
      </c>
      <c r="C219" s="14" t="s">
        <v>152</v>
      </c>
      <c r="D219" s="14" t="s">
        <v>347</v>
      </c>
      <c r="E219" s="57" t="s">
        <v>316</v>
      </c>
      <c r="F219" s="94" t="s">
        <v>160</v>
      </c>
      <c r="G219" s="14">
        <v>0</v>
      </c>
      <c r="H219" s="96"/>
      <c r="I219" s="130">
        <v>0</v>
      </c>
      <c r="J219" s="639" t="s">
        <v>387</v>
      </c>
      <c r="K219" s="119"/>
      <c r="L219" s="119"/>
      <c r="M219" s="145"/>
      <c r="N219" s="121"/>
      <c r="O219" s="112"/>
      <c r="P219" s="112"/>
      <c r="Q219" s="112"/>
      <c r="R219" s="112"/>
      <c r="S219" s="117"/>
      <c r="T219" s="117"/>
      <c r="U219" s="117"/>
      <c r="V219" s="117"/>
      <c r="W219" s="117"/>
      <c r="X219" s="85"/>
    </row>
    <row r="220" spans="2:24" x14ac:dyDescent="0.25">
      <c r="B220" s="80" t="s">
        <v>321</v>
      </c>
      <c r="C220" s="14" t="s">
        <v>153</v>
      </c>
      <c r="D220" s="48" t="s">
        <v>347</v>
      </c>
      <c r="E220" s="57" t="s">
        <v>317</v>
      </c>
      <c r="F220" s="95" t="s">
        <v>160</v>
      </c>
      <c r="G220" s="14">
        <v>0</v>
      </c>
      <c r="H220" s="96"/>
      <c r="I220" s="130">
        <v>0</v>
      </c>
      <c r="J220" s="639" t="s">
        <v>387</v>
      </c>
      <c r="K220" s="119"/>
      <c r="L220" s="119"/>
      <c r="M220" s="145"/>
      <c r="N220" s="121"/>
      <c r="O220" s="112"/>
      <c r="P220" s="112"/>
      <c r="Q220" s="112"/>
      <c r="R220" s="112"/>
      <c r="S220" s="117"/>
      <c r="T220" s="117"/>
      <c r="U220" s="117"/>
      <c r="V220" s="117"/>
      <c r="W220" s="117"/>
      <c r="X220" s="85"/>
    </row>
    <row r="221" spans="2:24" x14ac:dyDescent="0.25">
      <c r="B221" s="81" t="s">
        <v>321</v>
      </c>
      <c r="C221" s="82" t="s">
        <v>154</v>
      </c>
      <c r="D221" s="83" t="s">
        <v>347</v>
      </c>
      <c r="E221" s="84" t="s">
        <v>318</v>
      </c>
      <c r="F221" s="110" t="s">
        <v>160</v>
      </c>
      <c r="G221" s="83">
        <v>0</v>
      </c>
      <c r="H221" s="290"/>
      <c r="I221" s="291">
        <v>0</v>
      </c>
      <c r="J221" s="647" t="s">
        <v>387</v>
      </c>
      <c r="K221" s="119"/>
      <c r="L221" s="119"/>
      <c r="M221" s="145"/>
      <c r="N221" s="121"/>
      <c r="O221" s="112"/>
      <c r="P221" s="112"/>
      <c r="Q221" s="112"/>
      <c r="R221" s="112"/>
      <c r="S221" s="117"/>
      <c r="T221" s="117"/>
      <c r="U221" s="117"/>
      <c r="V221" s="117"/>
      <c r="W221" s="117"/>
      <c r="X221" s="85"/>
    </row>
    <row r="223" spans="2:24" x14ac:dyDescent="0.25">
      <c r="F223" s="6"/>
      <c r="G223" s="6"/>
      <c r="H223" s="6"/>
      <c r="I223" s="6"/>
    </row>
    <row r="224" spans="2:24" x14ac:dyDescent="0.25">
      <c r="F224" s="6"/>
      <c r="G224" s="6"/>
      <c r="H224" s="6"/>
      <c r="I224" s="6"/>
    </row>
  </sheetData>
  <mergeCells count="6">
    <mergeCell ref="O36:P36"/>
    <mergeCell ref="O37:P37"/>
    <mergeCell ref="F41:G41"/>
    <mergeCell ref="H41:I41"/>
    <mergeCell ref="N41:O41"/>
    <mergeCell ref="P41:Q41"/>
  </mergeCells>
  <phoneticPr fontId="7" type="noConversion"/>
  <conditionalFormatting sqref="B29:B37 H42 F42:F109 H45:H52 H54:H61 H63:H67 H69:H83 H85:H90 H92:H93 H95:H99 H101:H109 F111:F116 H111:H116 F118 H118 H120 F120:F221 H123 H125:H132 H134:H141 H143:H149 H151:H153 H155:H169 H171:H174 H176 H179:H183 H185:H186 H188:H190 H192:H200 H202:H209 H211:H213 H215:H217 H219:H221">
    <cfRule type="cellIs" dxfId="80" priority="1" operator="equal">
      <formula>"A"</formula>
    </cfRule>
    <cfRule type="cellIs" dxfId="79" priority="26" operator="equal">
      <formula>"V"</formula>
    </cfRule>
    <cfRule type="cellIs" dxfId="78" priority="27" operator="equal">
      <formula>"G"</formula>
    </cfRule>
    <cfRule type="cellIs" dxfId="77" priority="28" operator="equal">
      <formula>"U"</formula>
    </cfRule>
    <cfRule type="cellIs" dxfId="76" priority="29" operator="equal">
      <formula>"X"</formula>
    </cfRule>
    <cfRule type="cellIs" dxfId="75" priority="30" operator="equal">
      <formula>"NM"</formula>
    </cfRule>
    <cfRule type="cellIs" dxfId="74" priority="32" operator="equal">
      <formula>"R"</formula>
    </cfRule>
    <cfRule type="cellIs" dxfId="73" priority="33" operator="equal">
      <formula>"-"</formula>
    </cfRule>
    <cfRule type="cellIs" dxfId="72" priority="34" operator="equal">
      <formula>"O"</formula>
    </cfRule>
  </conditionalFormatting>
  <dataValidations count="3">
    <dataValidation type="list" allowBlank="1" showInputMessage="1" showErrorMessage="1" sqref="H219:H221 H215:H217 H211:H213 H202:H209 H192:H200 H188:H190 H185:H186 H179:H183 H62:H90 H176 H118 H111:H116 H171:H174 H92:H93 H103:H109 H44:H53 H125:H132 H134:H141 H143:H149 H151:H153 H155:H169 H95:H100" xr:uid="{C5216EF2-11B1-4B3B-A23C-5FA421C7CC13}">
      <formula1>$B$29:$B$37</formula1>
    </dataValidation>
    <dataValidation type="list" allowBlank="1" showInputMessage="1" sqref="H101:H102 H54:H61 H123" xr:uid="{14F70486-A4F5-42A1-BABC-FC7D7F222EC2}">
      <formula1>$B$29:$B$37</formula1>
    </dataValidation>
    <dataValidation allowBlank="1" showInputMessage="1" sqref="H120" xr:uid="{031A04B0-1287-455E-A376-0E59E9E34E8D}"/>
  </dataValidations>
  <hyperlinks>
    <hyperlink ref="E45" r:id="rId1" xr:uid="{6711C957-B695-45DE-A5E8-FFB4B59C227C}"/>
  </hyperlinks>
  <pageMargins left="0.7" right="0.7" top="0.75" bottom="0.75" header="0.3" footer="0.3"/>
  <pageSetup paperSize="9" orientation="portrait" horizontalDpi="1200" verticalDpi="1200" r:id="rId2"/>
  <ignoredErrors>
    <ignoredError sqref="H43:I43 F45:G45 F46:G109 F175:G175 F170:G170 F124:G124 I219:I220 H218:I218 I215:I217 H214:I214 I211:I213 H210:I210 I202:I209 H201:I201 I192:I200 H191:I191 I188:I190 H187:I187 I185:I186 H184:I184 I179:I183 H177:I178 H121:H122 I100 I94 I91 I84 I68 I53 I62 F142:G142 F133:G133 G125 G126 G127 G128 G129 G130 G131 G132 G139 G134 G135 G136 G137 G138 G140:G141 F123:G123 F125:F132 F134:F141 F150:G150 G143 G144:G148 F143:F148 F149:G149 F154:G154 G151 G152 G153 F151:F153 G155 F171:F174 F155:F169 G156:G169 G171:G174 F177:G221 I44 F176:G176 F111:G116 F118:G118 F120:G122" calculatedColumn="1"/>
  </ignoredErrors>
  <legacyDrawing r:id="rId3"/>
  <tableParts count="1">
    <tablePart r:id="rId4"/>
  </tableParts>
  <extLst>
    <ext xmlns:x14="http://schemas.microsoft.com/office/spreadsheetml/2009/9/main" uri="{CCE6A557-97BC-4b89-ADB6-D9C93CAAB3DF}">
      <x14:dataValidations xmlns:xm="http://schemas.microsoft.com/office/excel/2006/main" count="72">
        <x14:dataValidation type="list" allowBlank="1" showInputMessage="1" xr:uid="{15A0D209-D9F1-4527-9A98-3AC9DFE47A3F}">
          <x14:formula1>
            <xm:f>'Menu''s'!$C$3:$C$9</xm:f>
          </x14:formula1>
          <xm:sqref>J68 J44 J62 J53 J100 J84 J119 J110 J117 J124 J133 J142 J150 J154 J170 J175</xm:sqref>
        </x14:dataValidation>
        <x14:dataValidation type="list" allowBlank="1" showInputMessage="1" xr:uid="{E950D7C2-4B30-47C2-A0CA-16955DE7CEC6}">
          <x14:formula1>
            <xm:f>'Menu''s'!$C$42:$C$46</xm:f>
          </x14:formula1>
          <xm:sqref>J55:J61</xm:sqref>
        </x14:dataValidation>
        <x14:dataValidation type="list" allowBlank="1" showInputMessage="1" xr:uid="{9E87D2BE-2E72-4DE7-A1FA-57CA7044B478}">
          <x14:formula1>
            <xm:f>'Menu''s'!$C$84:$C$91</xm:f>
          </x14:formula1>
          <xm:sqref>J64</xm:sqref>
        </x14:dataValidation>
        <x14:dataValidation type="list" allowBlank="1" showInputMessage="1" xr:uid="{8E33C369-141A-4C6E-BC5A-91D5E07D3E4F}">
          <x14:formula1>
            <xm:f>'Menu''s'!$C$93:$C$100</xm:f>
          </x14:formula1>
          <xm:sqref>J65</xm:sqref>
        </x14:dataValidation>
        <x14:dataValidation type="list" allowBlank="1" showInputMessage="1" xr:uid="{0C4F342B-769B-485A-A018-6B76CA527DD6}">
          <x14:formula1>
            <xm:f>'Menu''s'!$C$102:$C$106</xm:f>
          </x14:formula1>
          <xm:sqref>J66</xm:sqref>
        </x14:dataValidation>
        <x14:dataValidation type="list" allowBlank="1" showInputMessage="1" xr:uid="{7DE60E9D-6103-43B1-B5CB-FAEA1EE6DB42}">
          <x14:formula1>
            <xm:f>'Menu''s'!$C$108:$C$110</xm:f>
          </x14:formula1>
          <xm:sqref>J73</xm:sqref>
        </x14:dataValidation>
        <x14:dataValidation type="list" allowBlank="1" showInputMessage="1" xr:uid="{57ADE5A0-64DE-4816-AD7E-9DC5416AECA0}">
          <x14:formula1>
            <xm:f>'Menu''s'!$C$112:$C$117</xm:f>
          </x14:formula1>
          <xm:sqref>J74</xm:sqref>
        </x14:dataValidation>
        <x14:dataValidation type="list" allowBlank="1" showInputMessage="1" xr:uid="{BB978F13-C65F-4848-86C1-A5C923D3B554}">
          <x14:formula1>
            <xm:f>'Menu''s'!$C$124:$C$130</xm:f>
          </x14:formula1>
          <xm:sqref>J76</xm:sqref>
        </x14:dataValidation>
        <x14:dataValidation type="list" allowBlank="1" showInputMessage="1" xr:uid="{7C4F0C15-1B65-455D-80F1-866C0C52F265}">
          <x14:formula1>
            <xm:f>'Menu''s'!$C$132:$C$137</xm:f>
          </x14:formula1>
          <xm:sqref>J77</xm:sqref>
        </x14:dataValidation>
        <x14:dataValidation type="list" allowBlank="1" showInputMessage="1" xr:uid="{F408FCDC-26D8-4BB7-9E25-8F12523A1EE4}">
          <x14:formula1>
            <xm:f>'Menu''s'!$C$139:$C$145</xm:f>
          </x14:formula1>
          <xm:sqref>J78</xm:sqref>
        </x14:dataValidation>
        <x14:dataValidation type="list" allowBlank="1" showInputMessage="1" xr:uid="{215792B8-04B6-46BF-9BA8-15AE1C5011E0}">
          <x14:formula1>
            <xm:f>'Menu''s'!$C$147:$C$153</xm:f>
          </x14:formula1>
          <xm:sqref>J79</xm:sqref>
        </x14:dataValidation>
        <x14:dataValidation type="list" allowBlank="1" showInputMessage="1" xr:uid="{59B65203-84F0-4F40-BD85-4912F26E1D3B}">
          <x14:formula1>
            <xm:f>'Menu''s'!$C$155:$C$160</xm:f>
          </x14:formula1>
          <xm:sqref>J80</xm:sqref>
        </x14:dataValidation>
        <x14:dataValidation type="list" allowBlank="1" showInputMessage="1" xr:uid="{D2DBA059-A5A6-498B-A065-CC3CA96AC59B}">
          <x14:formula1>
            <xm:f>'Menu''s'!$C$162:$C$166</xm:f>
          </x14:formula1>
          <xm:sqref>J82</xm:sqref>
        </x14:dataValidation>
        <x14:dataValidation type="list" allowBlank="1" showInputMessage="1" xr:uid="{E1BE3D2D-6138-47AC-97D5-C96D9329A2BA}">
          <x14:formula1>
            <xm:f>'Menu''s'!$C$168:$C$171</xm:f>
          </x14:formula1>
          <xm:sqref>J83</xm:sqref>
        </x14:dataValidation>
        <x14:dataValidation type="list" allowBlank="1" showInputMessage="1" xr:uid="{D9013AD6-8B55-4847-9A17-DF1E9CDC7F1C}">
          <x14:formula1>
            <xm:f>'Menu''s'!$C$173:$C$178</xm:f>
          </x14:formula1>
          <xm:sqref>J86</xm:sqref>
        </x14:dataValidation>
        <x14:dataValidation type="list" allowBlank="1" showInputMessage="1" xr:uid="{C962EBD5-9BBB-4C40-88F9-095439ECF90B}">
          <x14:formula1>
            <xm:f>'Menu''s'!$C$180:$C$184</xm:f>
          </x14:formula1>
          <xm:sqref>J88</xm:sqref>
        </x14:dataValidation>
        <x14:dataValidation type="list" allowBlank="1" showInputMessage="1" xr:uid="{BEDDC8D5-B8A2-435B-97C1-B53FE4076EA6}">
          <x14:formula1>
            <xm:f>'Menu''s'!$C$186:$C$189</xm:f>
          </x14:formula1>
          <xm:sqref>J95</xm:sqref>
        </x14:dataValidation>
        <x14:dataValidation type="list" allowBlank="1" showInputMessage="1" xr:uid="{0C73A995-21E8-4F42-9185-577E1F1AA4F0}">
          <x14:formula1>
            <xm:f>'Menu''s'!$C$191:$C$195</xm:f>
          </x14:formula1>
          <xm:sqref>J96</xm:sqref>
        </x14:dataValidation>
        <x14:dataValidation type="list" allowBlank="1" showInputMessage="1" xr:uid="{05D73752-BC10-431E-A31C-31C1FFEC0716}">
          <x14:formula1>
            <xm:f>'Menu''s'!$C$197:$C$203</xm:f>
          </x14:formula1>
          <xm:sqref>J97</xm:sqref>
        </x14:dataValidation>
        <x14:dataValidation type="list" allowBlank="1" showInputMessage="1" xr:uid="{4B484E17-DF0B-45C5-8B83-4362ACAF8137}">
          <x14:formula1>
            <xm:f>'Menu''s'!$C$205:$C$210</xm:f>
          </x14:formula1>
          <xm:sqref>J98</xm:sqref>
        </x14:dataValidation>
        <x14:dataValidation type="list" allowBlank="1" showInputMessage="1" xr:uid="{7870C179-603A-4534-BD85-2C427D362A8D}">
          <x14:formula1>
            <xm:f>'Menu''s'!$C$212:$C$215</xm:f>
          </x14:formula1>
          <xm:sqref>J99</xm:sqref>
        </x14:dataValidation>
        <x14:dataValidation type="list" allowBlank="1" showInputMessage="1" xr:uid="{3D957D96-B426-4481-83B4-FC3AF4A88822}">
          <x14:formula1>
            <xm:f>'Menu''s'!$C$217:$C$221</xm:f>
          </x14:formula1>
          <xm:sqref>J101:J102</xm:sqref>
        </x14:dataValidation>
        <x14:dataValidation type="list" allowBlank="1" showInputMessage="1" xr:uid="{D0012C4E-4C37-48DB-A09E-1A1CFF5D1EFE}">
          <x14:formula1>
            <xm:f>'Menu''s'!$C$228:$C$231</xm:f>
          </x14:formula1>
          <xm:sqref>J105:J109</xm:sqref>
        </x14:dataValidation>
        <x14:dataValidation type="list" allowBlank="1" showInputMessage="1" xr:uid="{20A0AA0F-D988-4E8C-A172-FA8CA4D1895B}">
          <x14:formula1>
            <xm:f>'Menu''s'!$C$257:$C$262</xm:f>
          </x14:formula1>
          <xm:sqref>J115</xm:sqref>
        </x14:dataValidation>
        <x14:dataValidation type="list" allowBlank="1" showInputMessage="1" xr:uid="{915662E0-5451-4AB9-81DF-2E1060CFBCF4}">
          <x14:formula1>
            <xm:f>'Menu''s'!$C$264:$C$268</xm:f>
          </x14:formula1>
          <xm:sqref>J118</xm:sqref>
        </x14:dataValidation>
        <x14:dataValidation type="list" allowBlank="1" showInputMessage="1" xr:uid="{0AE3BFFE-5D41-4E33-8C72-2E9504096291}">
          <x14:formula1>
            <xm:f>'Menu''s'!$C$270:$C$275</xm:f>
          </x14:formula1>
          <xm:sqref>J120 J176</xm:sqref>
        </x14:dataValidation>
        <x14:dataValidation type="list" allowBlank="1" showInputMessage="1" xr:uid="{8D4277E6-83DE-460B-9A0A-10753FE51A13}">
          <x14:formula1>
            <xm:f>'Menu''s'!$C$277:$C$280</xm:f>
          </x14:formula1>
          <xm:sqref>J123</xm:sqref>
        </x14:dataValidation>
        <x14:dataValidation type="list" allowBlank="1" showInputMessage="1" xr:uid="{37336079-5BEE-409F-B519-246BCBE2AAA7}">
          <x14:formula1>
            <xm:f>'Menu''s'!$C$282:$C$291</xm:f>
          </x14:formula1>
          <xm:sqref>J125</xm:sqref>
        </x14:dataValidation>
        <x14:dataValidation type="list" allowBlank="1" showInputMessage="1" xr:uid="{CD80D691-D509-4B1B-BCAF-B6E0F002317D}">
          <x14:formula1>
            <xm:f>'Menu''s'!$C$293:$C$301</xm:f>
          </x14:formula1>
          <xm:sqref>J126</xm:sqref>
        </x14:dataValidation>
        <x14:dataValidation type="list" allowBlank="1" showInputMessage="1" xr:uid="{29238181-6E84-4B32-82CE-0548EC10576D}">
          <x14:formula1>
            <xm:f>'Menu''s'!$C$303:$C$307</xm:f>
          </x14:formula1>
          <xm:sqref>J127</xm:sqref>
        </x14:dataValidation>
        <x14:dataValidation type="list" allowBlank="1" showInputMessage="1" xr:uid="{331F4D0C-82FA-4CB0-93CD-ACE490E126AC}">
          <x14:formula1>
            <xm:f>'Menu''s'!$C$309:$C$316</xm:f>
          </x14:formula1>
          <xm:sqref>J128</xm:sqref>
        </x14:dataValidation>
        <x14:dataValidation type="list" allowBlank="1" showInputMessage="1" xr:uid="{9506A2D2-8ECC-4A81-8DF3-338D82BFDA9A}">
          <x14:formula1>
            <xm:f>'Menu''s'!$C$318:$C$326</xm:f>
          </x14:formula1>
          <xm:sqref>J129</xm:sqref>
        </x14:dataValidation>
        <x14:dataValidation type="list" allowBlank="1" showInputMessage="1" xr:uid="{37ADE780-4FEA-4C13-8917-AE20700F6621}">
          <x14:formula1>
            <xm:f>'Menu''s'!$C$328:$C$337</xm:f>
          </x14:formula1>
          <xm:sqref>J130</xm:sqref>
        </x14:dataValidation>
        <x14:dataValidation type="list" allowBlank="1" showInputMessage="1" xr:uid="{38DDB571-9470-4A91-B250-625C4B3B6521}">
          <x14:formula1>
            <xm:f>'Menu''s'!$C$339:$C$345</xm:f>
          </x14:formula1>
          <xm:sqref>J131</xm:sqref>
        </x14:dataValidation>
        <x14:dataValidation type="list" allowBlank="1" showInputMessage="1" xr:uid="{C64AD053-93C9-46B3-928B-16EE482A286B}">
          <x14:formula1>
            <xm:f>'Menu''s'!$C$347:$C$353</xm:f>
          </x14:formula1>
          <xm:sqref>J132</xm:sqref>
        </x14:dataValidation>
        <x14:dataValidation type="list" allowBlank="1" showInputMessage="1" xr:uid="{D231066D-29A0-4A47-9C7F-79D0E940264D}">
          <x14:formula1>
            <xm:f>'Menu''s'!$C$361:$C$373</xm:f>
          </x14:formula1>
          <xm:sqref>J135</xm:sqref>
        </x14:dataValidation>
        <x14:dataValidation type="list" allowBlank="1" showInputMessage="1" xr:uid="{1361E94F-9F2E-42AE-BF75-A17474AFCDAA}">
          <x14:formula1>
            <xm:f>'Menu''s'!$C$387:$C$391</xm:f>
          </x14:formula1>
          <xm:sqref>J138</xm:sqref>
        </x14:dataValidation>
        <x14:dataValidation type="list" allowBlank="1" showInputMessage="1" xr:uid="{C4C47EEF-8D4E-453B-BB34-BCFFE7D148E0}">
          <x14:formula1>
            <xm:f>'Menu''s'!$C$393:$C$397</xm:f>
          </x14:formula1>
          <xm:sqref>J139</xm:sqref>
        </x14:dataValidation>
        <x14:dataValidation type="list" allowBlank="1" showInputMessage="1" xr:uid="{DC241D47-97FE-4C57-A078-D6853B276B70}">
          <x14:formula1>
            <xm:f>'Menu''s'!$C$399:$C$404</xm:f>
          </x14:formula1>
          <xm:sqref>J140</xm:sqref>
        </x14:dataValidation>
        <x14:dataValidation type="list" allowBlank="1" showInputMessage="1" xr:uid="{9B6A24F4-75CB-4F18-9507-5C9C56C03F6A}">
          <x14:formula1>
            <xm:f>'Menu''s'!$C$406:$C$413</xm:f>
          </x14:formula1>
          <xm:sqref>J141</xm:sqref>
        </x14:dataValidation>
        <x14:dataValidation type="list" allowBlank="1" showInputMessage="1" xr:uid="{3CDF17B3-0E7C-4FC5-8F10-537DD3D164E1}">
          <x14:formula1>
            <xm:f>'Menu''s'!$C$415:$C$419</xm:f>
          </x14:formula1>
          <xm:sqref>J143</xm:sqref>
        </x14:dataValidation>
        <x14:dataValidation type="list" allowBlank="1" showInputMessage="1" xr:uid="{CED342E8-A2FC-4050-992A-BF9D718F9750}">
          <x14:formula1>
            <xm:f>'Menu''s'!$C$421:$C$425</xm:f>
          </x14:formula1>
          <xm:sqref>J144</xm:sqref>
        </x14:dataValidation>
        <x14:dataValidation type="list" allowBlank="1" showInputMessage="1" xr:uid="{38103258-C044-436B-B1C4-108BDE1C1B31}">
          <x14:formula1>
            <xm:f>'Menu''s'!$C$427:$C$431</xm:f>
          </x14:formula1>
          <xm:sqref>J145</xm:sqref>
        </x14:dataValidation>
        <x14:dataValidation type="list" allowBlank="1" showInputMessage="1" xr:uid="{87838B6C-7121-4459-A39C-03E80458A54F}">
          <x14:formula1>
            <xm:f>'Menu''s'!$C$433:$C$437</xm:f>
          </x14:formula1>
          <xm:sqref>J146</xm:sqref>
        </x14:dataValidation>
        <x14:dataValidation type="list" allowBlank="1" showInputMessage="1" xr:uid="{AC6B339A-B7E5-491B-B28C-7237FD134B95}">
          <x14:formula1>
            <xm:f>'Menu''s'!$C$439:$C$443</xm:f>
          </x14:formula1>
          <xm:sqref>J147</xm:sqref>
        </x14:dataValidation>
        <x14:dataValidation type="list" allowBlank="1" showInputMessage="1" xr:uid="{A76D9F6C-54CC-4BDE-974B-D2FA98D81F52}">
          <x14:formula1>
            <xm:f>'Menu''s'!$C$445:$C$449</xm:f>
          </x14:formula1>
          <xm:sqref>J148</xm:sqref>
        </x14:dataValidation>
        <x14:dataValidation type="list" allowBlank="1" showInputMessage="1" xr:uid="{8A5990AE-E625-46DA-944C-D8CEEA745380}">
          <x14:formula1>
            <xm:f>'Menu''s'!$C$451:$C$455</xm:f>
          </x14:formula1>
          <xm:sqref>J149</xm:sqref>
        </x14:dataValidation>
        <x14:dataValidation type="list" allowBlank="1" showInputMessage="1" xr:uid="{9A7E0BDE-9FFF-489A-ACE2-E9CE6007089C}">
          <x14:formula1>
            <xm:f>'Menu''s'!$C$457:$C$460</xm:f>
          </x14:formula1>
          <xm:sqref>J151</xm:sqref>
        </x14:dataValidation>
        <x14:dataValidation type="list" allowBlank="1" showInputMessage="1" xr:uid="{7881D8F5-233E-49DC-8859-045A51E23632}">
          <x14:formula1>
            <xm:f>'Menu''s'!$C$462:$C$467</xm:f>
          </x14:formula1>
          <xm:sqref>J152</xm:sqref>
        </x14:dataValidation>
        <x14:dataValidation type="list" allowBlank="1" showInputMessage="1" xr:uid="{BB956645-71A3-4AA4-AC94-911646FC9141}">
          <x14:formula1>
            <xm:f>'Menu''s'!$C$469:$C$475</xm:f>
          </x14:formula1>
          <xm:sqref>J153</xm:sqref>
        </x14:dataValidation>
        <x14:dataValidation type="list" allowBlank="1" showInputMessage="1" xr:uid="{5A58FB45-D596-40D0-B69E-F7C519DAD65C}">
          <x14:formula1>
            <xm:f>'Menu''s'!$C$477:$C$480</xm:f>
          </x14:formula1>
          <xm:sqref>J155</xm:sqref>
        </x14:dataValidation>
        <x14:dataValidation type="list" allowBlank="1" showInputMessage="1" xr:uid="{F2D70A78-6263-45D1-8272-9D858B1B8DFD}">
          <x14:formula1>
            <xm:f>'Menu''s'!$C$488:$C$492</xm:f>
          </x14:formula1>
          <xm:sqref>J157</xm:sqref>
        </x14:dataValidation>
        <x14:dataValidation type="list" allowBlank="1" showInputMessage="1" xr:uid="{EF3AFD91-1A89-489D-AD33-30F7C239DD84}">
          <x14:formula1>
            <xm:f>'Menu''s'!$C$494:$C$498</xm:f>
          </x14:formula1>
          <xm:sqref>J158</xm:sqref>
        </x14:dataValidation>
        <x14:dataValidation type="list" allowBlank="1" showInputMessage="1" xr:uid="{11CEBC34-203F-4BCF-88EB-F10ECDC58995}">
          <x14:formula1>
            <xm:f>'Menu''s'!$C$500:$C$504</xm:f>
          </x14:formula1>
          <xm:sqref>J159</xm:sqref>
        </x14:dataValidation>
        <x14:dataValidation type="list" allowBlank="1" showInputMessage="1" xr:uid="{903C0E6C-0924-447E-94A2-CB55B014A191}">
          <x14:formula1>
            <xm:f>'Menu''s'!$C$506:$C$509</xm:f>
          </x14:formula1>
          <xm:sqref>J160</xm:sqref>
        </x14:dataValidation>
        <x14:dataValidation type="list" allowBlank="1" showInputMessage="1" xr:uid="{47664EA4-9AEE-41EB-8B4F-D7538283E011}">
          <x14:formula1>
            <xm:f>'Menu''s'!$C$511:$C$514</xm:f>
          </x14:formula1>
          <xm:sqref>J161</xm:sqref>
        </x14:dataValidation>
        <x14:dataValidation type="list" allowBlank="1" showInputMessage="1" xr:uid="{A81351BB-5B40-49F5-B3C5-5E637DB76757}">
          <x14:formula1>
            <xm:f>'Menu''s'!$C$516:$C$519</xm:f>
          </x14:formula1>
          <xm:sqref>J162</xm:sqref>
        </x14:dataValidation>
        <x14:dataValidation type="list" allowBlank="1" showInputMessage="1" xr:uid="{F288B6AB-F1D5-447B-A98F-50CB38BC38C3}">
          <x14:formula1>
            <xm:f>'Menu''s'!$C$521:$C$524</xm:f>
          </x14:formula1>
          <xm:sqref>J163</xm:sqref>
        </x14:dataValidation>
        <x14:dataValidation type="list" allowBlank="1" showInputMessage="1" xr:uid="{9ECBEBC4-BE0A-4F4D-89CA-1748DDD7C173}">
          <x14:formula1>
            <xm:f>'Menu''s'!$C$526:$C$529</xm:f>
          </x14:formula1>
          <xm:sqref>J164</xm:sqref>
        </x14:dataValidation>
        <x14:dataValidation type="list" allowBlank="1" showInputMessage="1" xr:uid="{2BD1C7D0-EBA6-4FFB-A93B-9EE228EC1F91}">
          <x14:formula1>
            <xm:f>'Menu''s'!$C$531:$C$535</xm:f>
          </x14:formula1>
          <xm:sqref>J165</xm:sqref>
        </x14:dataValidation>
        <x14:dataValidation type="list" allowBlank="1" showInputMessage="1" xr:uid="{39C39BB6-8999-4A6A-A60D-2A43378E596D}">
          <x14:formula1>
            <xm:f>'Menu''s'!$C$537:$C$541</xm:f>
          </x14:formula1>
          <xm:sqref>J166</xm:sqref>
        </x14:dataValidation>
        <x14:dataValidation type="list" allowBlank="1" showInputMessage="1" xr:uid="{507538DF-E539-4242-8E05-436F554361B5}">
          <x14:formula1>
            <xm:f>'Menu''s'!$C$543:$C$546</xm:f>
          </x14:formula1>
          <xm:sqref>J167:J169</xm:sqref>
        </x14:dataValidation>
        <x14:dataValidation type="list" allowBlank="1" showInputMessage="1" xr:uid="{5B400B94-2CFC-4F8A-8CB9-715D32CCE456}">
          <x14:formula1>
            <xm:f>'Menu''s'!$C$549:$C$552</xm:f>
          </x14:formula1>
          <xm:sqref>J171:J174</xm:sqref>
        </x14:dataValidation>
        <x14:dataValidation type="list" allowBlank="1" showInputMessage="1" xr:uid="{C8B65761-734A-4843-B436-3B3989C7F5A0}">
          <x14:formula1>
            <xm:f>'Menu''s'!$C$11:$C$14</xm:f>
          </x14:formula1>
          <xm:sqref>J46</xm:sqref>
        </x14:dataValidation>
        <x14:dataValidation type="list" allowBlank="1" showInputMessage="1" xr:uid="{62881454-0650-4781-B7DE-616B59BFA373}">
          <x14:formula1>
            <xm:f>'Menu''s'!$C$16:$C$21</xm:f>
          </x14:formula1>
          <xm:sqref>J47</xm:sqref>
        </x14:dataValidation>
        <x14:dataValidation type="list" allowBlank="1" showInputMessage="1" xr:uid="{CB80D1F5-D346-4786-BE8F-43C0A41BE731}">
          <x14:formula1>
            <xm:f>'Menu''s'!$C$23:$C$29</xm:f>
          </x14:formula1>
          <xm:sqref>J48</xm:sqref>
        </x14:dataValidation>
        <x14:dataValidation type="list" allowBlank="1" showInputMessage="1" xr:uid="{B02A6BC7-B1AE-492A-9E3B-89405D01A499}">
          <x14:formula1>
            <xm:f>'Menu''s'!$C$382:$C$385</xm:f>
          </x14:formula1>
          <xm:sqref>J137</xm:sqref>
        </x14:dataValidation>
        <x14:dataValidation type="list" allowBlank="1" showInputMessage="1" xr:uid="{BCDF2F2F-9867-4DF0-8221-0B6FAA4B84C9}">
          <x14:formula1>
            <xm:f>'Menu''s'!$C$119:$C$122</xm:f>
          </x14:formula1>
          <xm:sqref>J75</xm:sqref>
        </x14:dataValidation>
        <x14:dataValidation type="list" allowBlank="1" showInputMessage="1" xr:uid="{2536056C-0A73-484E-8BFD-4D5EA4429F4E}">
          <x14:formula1>
            <xm:f>'Menu''s'!$C$355:$C$359</xm:f>
          </x14:formula1>
          <xm:sqref>J134</xm:sqref>
        </x14:dataValidation>
        <x14:dataValidation type="list" allowBlank="1" showInputMessage="1" xr:uid="{D65125FE-EC34-4C57-AF1C-97757A506F6A}">
          <x14:formula1>
            <xm:f>'Menu''s'!$C$375:$C$380</xm:f>
          </x14:formula1>
          <xm:sqref>J136</xm:sqref>
        </x14:dataValidation>
        <x14:dataValidation type="list" allowBlank="1" showInputMessage="1" xr:uid="{DA3715AF-431D-4CD9-8F96-0199635A418C}">
          <x14:formula1>
            <xm:f>'Menu''s'!$C$482:$C$486</xm:f>
          </x14:formula1>
          <xm:sqref>J156</xm:sqref>
        </x14:dataValidation>
        <x14:dataValidation type="list" allowBlank="1" showInputMessage="1" xr:uid="{D1AD045A-4415-4E45-9705-B70219959997}">
          <x14:formula1>
            <xm:f>'Menu''s'!$C$31:$C$40</xm:f>
          </x14:formula1>
          <xm:sqref>J54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9BE6B-EBA6-4C49-8033-B56322ECEF3C}">
  <dimension ref="A1:BC118"/>
  <sheetViews>
    <sheetView showGridLines="0" zoomScale="90" zoomScaleNormal="90" workbookViewId="0">
      <pane xSplit="4" ySplit="4" topLeftCell="E5" activePane="bottomRight" state="frozen"/>
      <selection pane="topRight" activeCell="E1" sqref="E1"/>
      <selection pane="bottomLeft" activeCell="A8" sqref="A8"/>
      <selection pane="bottomRight" activeCell="F20" sqref="F20"/>
    </sheetView>
  </sheetViews>
  <sheetFormatPr defaultColWidth="8.85546875" defaultRowHeight="15" x14ac:dyDescent="0.25"/>
  <cols>
    <col min="1" max="1" width="13" style="169" customWidth="1"/>
    <col min="2" max="2" width="14.42578125" style="169" bestFit="1" customWidth="1"/>
    <col min="3" max="3" width="27.5703125" customWidth="1"/>
    <col min="4" max="4" width="7.85546875" customWidth="1"/>
    <col min="5" max="5" width="11.140625" style="169" bestFit="1" customWidth="1"/>
    <col min="6" max="6" width="9.42578125" style="170" customWidth="1"/>
    <col min="7" max="7" width="10.42578125" style="170" customWidth="1"/>
    <col min="9" max="9" width="7.42578125" customWidth="1"/>
    <col min="10" max="10" width="9.5703125" customWidth="1"/>
    <col min="11" max="12" width="13.42578125" style="169" customWidth="1"/>
    <col min="13" max="13" width="11.140625" customWidth="1"/>
    <col min="14" max="17" width="13.85546875" style="169" customWidth="1"/>
    <col min="18" max="18" width="13.42578125" style="169" customWidth="1"/>
    <col min="19" max="19" width="15.5703125" style="169" customWidth="1"/>
    <col min="20" max="20" width="15.5703125" customWidth="1"/>
    <col min="21" max="21" width="20.5703125" customWidth="1"/>
    <col min="23" max="24" width="13.42578125" style="169" customWidth="1"/>
    <col min="25" max="25" width="14.5703125" style="169" customWidth="1"/>
    <col min="26" max="26" width="13.42578125" style="169" customWidth="1"/>
    <col min="27" max="30" width="15.5703125" customWidth="1"/>
    <col min="31" max="31" width="12.85546875" customWidth="1"/>
    <col min="32" max="32" width="13" customWidth="1"/>
    <col min="33" max="33" width="11.140625" customWidth="1"/>
    <col min="34" max="34" width="10.85546875" customWidth="1"/>
    <col min="35" max="35" width="11.5703125" customWidth="1"/>
    <col min="36" max="36" width="14.42578125" customWidth="1"/>
    <col min="37" max="37" width="12.5703125" customWidth="1"/>
    <col min="38" max="38" width="13.140625" customWidth="1"/>
    <col min="39" max="39" width="65" style="85" customWidth="1"/>
    <col min="41" max="41" width="7.42578125" style="169" customWidth="1"/>
    <col min="42" max="42" width="6.5703125" style="171" customWidth="1"/>
    <col min="43" max="43" width="10.5703125" style="169" customWidth="1"/>
    <col min="45" max="45" width="10.5703125" style="169" customWidth="1"/>
    <col min="47" max="47" width="13.42578125" style="169" customWidth="1"/>
    <col min="48" max="48" width="10.5703125" style="169" customWidth="1"/>
    <col min="49" max="49" width="12.5703125" style="169" customWidth="1"/>
    <col min="50" max="50" width="13.5703125" style="169" customWidth="1"/>
    <col min="51" max="51" width="36" style="170" customWidth="1"/>
    <col min="52" max="52" width="9.5703125" style="169" customWidth="1"/>
    <col min="53" max="53" width="11.5703125" style="169" customWidth="1"/>
    <col min="54" max="54" width="13.5703125" style="172" bestFit="1" customWidth="1"/>
    <col min="55" max="55" width="9.5703125" style="172" customWidth="1"/>
    <col min="56" max="56" width="9.42578125" style="169" bestFit="1" customWidth="1"/>
    <col min="57" max="57" width="12.85546875" style="169" bestFit="1" customWidth="1"/>
    <col min="58" max="58" width="8.85546875" style="169" customWidth="1"/>
    <col min="59" max="16384" width="8.85546875" style="169"/>
  </cols>
  <sheetData>
    <row r="1" spans="1:55" ht="30" customHeight="1" thickBot="1" x14ac:dyDescent="0.3">
      <c r="A1" s="168" t="s">
        <v>567</v>
      </c>
      <c r="C1" s="169"/>
      <c r="D1" s="168"/>
      <c r="H1" s="169"/>
      <c r="I1" s="171"/>
      <c r="J1" s="169"/>
      <c r="M1" s="169"/>
      <c r="Q1" s="170"/>
      <c r="T1" s="172"/>
      <c r="U1" s="172"/>
      <c r="V1" s="169"/>
      <c r="AA1" s="169"/>
      <c r="AB1" s="169"/>
      <c r="AC1" s="169"/>
      <c r="AD1" s="169"/>
      <c r="AE1" s="169"/>
      <c r="AF1" s="169"/>
      <c r="AG1" s="169"/>
      <c r="AH1" s="169"/>
      <c r="AI1" s="169"/>
      <c r="AJ1" s="169"/>
      <c r="AK1" s="169"/>
      <c r="AL1" s="170"/>
      <c r="AM1" s="169"/>
      <c r="AN1" s="169"/>
      <c r="AP1" s="169"/>
      <c r="AR1" s="169"/>
      <c r="AT1" s="169"/>
      <c r="AY1" s="169"/>
      <c r="BB1" s="169"/>
      <c r="BC1" s="169"/>
    </row>
    <row r="2" spans="1:55" ht="23.1" customHeight="1" thickBot="1" x14ac:dyDescent="0.3">
      <c r="A2" s="173" t="s">
        <v>1</v>
      </c>
      <c r="B2" s="174" t="str">
        <f>CONCATENATE(Advies!B10,".",Advies!B12)</f>
        <v>Voorbeeld.Voorbeeld</v>
      </c>
      <c r="C2" s="735" t="str">
        <f>Advies!B11</f>
        <v>Voorbeeld</v>
      </c>
      <c r="D2" s="736"/>
      <c r="E2" s="736"/>
      <c r="F2" s="737"/>
      <c r="H2" s="171"/>
      <c r="I2" s="169"/>
      <c r="J2" s="169"/>
      <c r="M2" s="175" t="s">
        <v>568</v>
      </c>
      <c r="N2" s="218">
        <f>Advies!B18</f>
        <v>636</v>
      </c>
      <c r="O2" s="175" t="s">
        <v>158</v>
      </c>
      <c r="P2" s="176">
        <f>Advies!B17</f>
        <v>1943</v>
      </c>
      <c r="Q2" s="172"/>
      <c r="R2" s="177" t="s">
        <v>569</v>
      </c>
      <c r="S2" s="738"/>
      <c r="T2" s="739"/>
      <c r="U2" s="739"/>
      <c r="V2" s="739"/>
      <c r="W2" s="740"/>
      <c r="AA2" s="169"/>
      <c r="AB2" s="178"/>
      <c r="AC2" s="178"/>
      <c r="AD2" s="178"/>
      <c r="AE2" s="178"/>
      <c r="AF2" s="169"/>
      <c r="AG2" s="169"/>
      <c r="AH2" s="169"/>
      <c r="AI2" s="169"/>
      <c r="AJ2" s="169"/>
      <c r="AK2" s="169"/>
      <c r="AL2" s="169"/>
      <c r="AM2" s="169"/>
      <c r="AN2" s="169"/>
      <c r="AP2" s="169"/>
      <c r="AR2" s="169"/>
      <c r="AT2" s="169"/>
      <c r="AY2" s="169"/>
      <c r="BB2" s="169"/>
      <c r="BC2" s="169"/>
    </row>
    <row r="3" spans="1:55" ht="15.6" customHeight="1" thickTop="1" thickBot="1" x14ac:dyDescent="0.3">
      <c r="C3" s="169"/>
      <c r="D3" s="169"/>
      <c r="H3" s="171"/>
      <c r="I3" s="169"/>
      <c r="J3" s="169"/>
      <c r="M3" s="169"/>
      <c r="Q3" s="172"/>
      <c r="T3" s="169"/>
      <c r="U3" s="169"/>
      <c r="V3" s="169"/>
      <c r="X3" s="741" t="s">
        <v>570</v>
      </c>
      <c r="Y3" s="742"/>
      <c r="Z3" s="742"/>
      <c r="AA3" s="743"/>
      <c r="AB3" s="169"/>
      <c r="AC3" s="169"/>
      <c r="AD3" s="169"/>
      <c r="AE3" s="169"/>
      <c r="AF3" s="169"/>
      <c r="AG3" s="169"/>
      <c r="AI3" s="741" t="s">
        <v>571</v>
      </c>
      <c r="AJ3" s="742"/>
      <c r="AK3" s="742"/>
      <c r="AL3" s="743"/>
      <c r="AM3" s="169"/>
      <c r="AN3" s="169"/>
      <c r="AP3" s="169"/>
      <c r="AR3" s="169"/>
      <c r="AT3" s="169"/>
      <c r="AY3" s="169"/>
      <c r="BB3" s="169"/>
      <c r="BC3" s="169"/>
    </row>
    <row r="4" spans="1:55" s="170" customFormat="1" ht="51" customHeight="1" thickTop="1" x14ac:dyDescent="0.25">
      <c r="A4" s="179" t="s">
        <v>572</v>
      </c>
      <c r="B4" s="179" t="s">
        <v>573</v>
      </c>
      <c r="C4" s="180" t="s">
        <v>574</v>
      </c>
      <c r="D4" s="180" t="s">
        <v>575</v>
      </c>
      <c r="E4" s="180" t="s">
        <v>1</v>
      </c>
      <c r="F4" s="181" t="s">
        <v>576</v>
      </c>
      <c r="G4" s="180" t="s">
        <v>577</v>
      </c>
      <c r="H4" s="181" t="s">
        <v>578</v>
      </c>
      <c r="I4" s="179" t="s">
        <v>355</v>
      </c>
      <c r="J4" s="180" t="s">
        <v>579</v>
      </c>
      <c r="K4" s="180" t="s">
        <v>580</v>
      </c>
      <c r="L4" s="181" t="s">
        <v>581</v>
      </c>
      <c r="M4" s="181" t="s">
        <v>582</v>
      </c>
      <c r="N4" s="180" t="s">
        <v>583</v>
      </c>
      <c r="O4" s="180" t="s">
        <v>584</v>
      </c>
      <c r="P4" s="180" t="s">
        <v>585</v>
      </c>
      <c r="Q4" s="180" t="s">
        <v>586</v>
      </c>
      <c r="R4" s="182" t="s">
        <v>587</v>
      </c>
      <c r="S4" s="183" t="s">
        <v>588</v>
      </c>
      <c r="T4" s="183" t="s">
        <v>589</v>
      </c>
      <c r="U4" s="183" t="s">
        <v>590</v>
      </c>
      <c r="V4" s="180" t="s">
        <v>591</v>
      </c>
      <c r="W4" s="184" t="s">
        <v>592</v>
      </c>
      <c r="X4" s="185" t="s">
        <v>593</v>
      </c>
      <c r="Y4" s="183" t="s">
        <v>594</v>
      </c>
      <c r="Z4" s="183" t="s">
        <v>595</v>
      </c>
      <c r="AA4" s="186" t="s">
        <v>596</v>
      </c>
      <c r="AB4" s="181" t="s">
        <v>597</v>
      </c>
      <c r="AC4" s="181" t="s">
        <v>1149</v>
      </c>
      <c r="AD4" s="181" t="s">
        <v>598</v>
      </c>
      <c r="AE4" s="181" t="s">
        <v>599</v>
      </c>
      <c r="AF4" s="181" t="s">
        <v>600</v>
      </c>
      <c r="AG4" s="180" t="s">
        <v>601</v>
      </c>
      <c r="AH4" s="184" t="s">
        <v>602</v>
      </c>
      <c r="AI4" s="187" t="s">
        <v>603</v>
      </c>
      <c r="AJ4" s="180" t="s">
        <v>604</v>
      </c>
      <c r="AK4" s="180" t="s">
        <v>605</v>
      </c>
      <c r="AL4" s="188" t="s">
        <v>606</v>
      </c>
      <c r="AM4" s="181" t="s">
        <v>607</v>
      </c>
    </row>
    <row r="5" spans="1:55" ht="10.5" x14ac:dyDescent="0.25">
      <c r="A5" s="196"/>
      <c r="B5" s="190"/>
      <c r="C5" s="234"/>
      <c r="D5" s="190"/>
      <c r="E5" s="190"/>
      <c r="F5" s="191"/>
      <c r="G5" s="192"/>
      <c r="H5" s="192"/>
      <c r="I5" s="190"/>
      <c r="J5" s="190"/>
      <c r="K5" s="190"/>
      <c r="L5" s="192"/>
      <c r="M5" s="192"/>
      <c r="N5" s="237"/>
      <c r="O5" s="237"/>
      <c r="P5" s="238"/>
      <c r="Q5" s="194"/>
      <c r="R5" s="239"/>
      <c r="S5" s="235"/>
      <c r="T5" s="235"/>
      <c r="U5" s="196"/>
      <c r="V5" s="190"/>
      <c r="W5" s="197"/>
      <c r="X5" s="198"/>
      <c r="Y5" s="199"/>
      <c r="Z5" s="195"/>
      <c r="AA5" s="200"/>
      <c r="AB5" s="193"/>
      <c r="AC5" s="193"/>
      <c r="AD5" s="189"/>
      <c r="AE5" s="189"/>
      <c r="AF5" s="189"/>
      <c r="AG5" s="196"/>
      <c r="AH5" s="201"/>
      <c r="AI5" s="202"/>
      <c r="AJ5" s="189"/>
      <c r="AK5" s="203"/>
      <c r="AL5" s="204"/>
      <c r="AM5" s="203"/>
      <c r="AN5" s="169"/>
      <c r="AP5" s="169"/>
      <c r="AR5" s="169"/>
      <c r="AT5" s="169"/>
      <c r="AY5" s="169"/>
      <c r="BB5" s="169"/>
      <c r="BC5" s="169"/>
    </row>
    <row r="6" spans="1:55" ht="10.5" x14ac:dyDescent="0.25">
      <c r="A6" s="196"/>
      <c r="B6" s="190"/>
      <c r="C6" s="234"/>
      <c r="D6" s="190"/>
      <c r="E6" s="190"/>
      <c r="F6" s="191"/>
      <c r="G6" s="192"/>
      <c r="H6" s="192"/>
      <c r="I6" s="190"/>
      <c r="J6" s="190"/>
      <c r="K6" s="190"/>
      <c r="L6" s="192"/>
      <c r="M6" s="192"/>
      <c r="N6" s="237"/>
      <c r="O6" s="237"/>
      <c r="P6" s="205"/>
      <c r="Q6" s="194"/>
      <c r="R6" s="239"/>
      <c r="S6" s="235"/>
      <c r="T6" s="235"/>
      <c r="U6" s="196"/>
      <c r="V6" s="190"/>
      <c r="W6" s="197"/>
      <c r="X6" s="198"/>
      <c r="Y6" s="199"/>
      <c r="Z6" s="195"/>
      <c r="AA6" s="200"/>
      <c r="AB6" s="193"/>
      <c r="AC6" s="193"/>
      <c r="AD6" s="189"/>
      <c r="AE6" s="189"/>
      <c r="AF6" s="189"/>
      <c r="AG6" s="196"/>
      <c r="AH6" s="201"/>
      <c r="AI6" s="202"/>
      <c r="AJ6" s="189"/>
      <c r="AK6" s="203"/>
      <c r="AL6" s="204"/>
      <c r="AM6" s="203"/>
      <c r="AN6" s="169"/>
      <c r="AP6" s="169"/>
      <c r="AR6" s="169"/>
      <c r="AT6" s="169"/>
      <c r="AY6" s="169"/>
      <c r="BB6" s="169"/>
      <c r="BC6" s="169"/>
    </row>
    <row r="7" spans="1:55" ht="10.5" x14ac:dyDescent="0.25">
      <c r="A7" s="233"/>
      <c r="B7" s="240"/>
      <c r="C7" s="227"/>
      <c r="D7" s="221"/>
      <c r="E7" s="219"/>
      <c r="F7" s="220"/>
      <c r="G7" s="222"/>
      <c r="H7" s="222"/>
      <c r="I7" s="221"/>
      <c r="J7" s="219"/>
      <c r="K7" s="240"/>
      <c r="L7" s="241"/>
      <c r="M7" s="222"/>
      <c r="N7" s="223"/>
      <c r="O7" s="224"/>
      <c r="P7" s="225"/>
      <c r="Q7" s="224"/>
      <c r="R7" s="242"/>
      <c r="S7" s="243"/>
      <c r="T7" s="242"/>
      <c r="U7" s="221"/>
      <c r="V7" s="221"/>
      <c r="W7" s="219"/>
      <c r="X7" s="226"/>
      <c r="Y7" s="227"/>
      <c r="Z7" s="228"/>
      <c r="AA7" s="200"/>
      <c r="AB7" s="193"/>
      <c r="AC7" s="193"/>
      <c r="AD7" s="221"/>
      <c r="AE7" s="229"/>
      <c r="AF7" s="229"/>
      <c r="AG7" s="221"/>
      <c r="AH7" s="230"/>
      <c r="AI7" s="231"/>
      <c r="AJ7" s="189"/>
      <c r="AK7" s="203"/>
      <c r="AL7" s="204"/>
      <c r="AM7" s="203"/>
      <c r="AN7" s="169"/>
      <c r="AP7" s="169"/>
      <c r="AR7" s="169"/>
      <c r="AT7" s="169"/>
      <c r="AY7" s="169"/>
      <c r="BB7" s="169"/>
      <c r="BC7" s="169"/>
    </row>
    <row r="8" spans="1:55" ht="10.5" x14ac:dyDescent="0.25">
      <c r="A8" s="233"/>
      <c r="B8" s="240"/>
      <c r="C8" s="227"/>
      <c r="D8" s="221"/>
      <c r="E8" s="219"/>
      <c r="F8" s="220"/>
      <c r="G8" s="222"/>
      <c r="H8" s="222"/>
      <c r="I8" s="221"/>
      <c r="J8" s="219"/>
      <c r="K8" s="240"/>
      <c r="L8" s="241"/>
      <c r="M8" s="222"/>
      <c r="N8" s="223"/>
      <c r="O8" s="224"/>
      <c r="P8" s="225"/>
      <c r="Q8" s="224"/>
      <c r="R8" s="242"/>
      <c r="S8" s="243"/>
      <c r="T8" s="242"/>
      <c r="U8" s="221"/>
      <c r="V8" s="221"/>
      <c r="W8" s="219"/>
      <c r="X8" s="226"/>
      <c r="Y8" s="227"/>
      <c r="Z8" s="228"/>
      <c r="AA8" s="200"/>
      <c r="AB8" s="193"/>
      <c r="AC8" s="193"/>
      <c r="AD8" s="221"/>
      <c r="AE8" s="229"/>
      <c r="AF8" s="229"/>
      <c r="AG8" s="221"/>
      <c r="AH8" s="230"/>
      <c r="AI8" s="231"/>
      <c r="AJ8" s="189"/>
      <c r="AK8" s="203"/>
      <c r="AL8" s="204"/>
      <c r="AM8" s="203"/>
      <c r="AN8" s="169"/>
      <c r="AP8" s="169"/>
      <c r="AR8" s="169"/>
      <c r="AT8" s="169"/>
      <c r="AY8" s="169"/>
      <c r="BB8" s="169"/>
      <c r="BC8" s="169"/>
    </row>
    <row r="9" spans="1:55" ht="10.5" x14ac:dyDescent="0.25">
      <c r="A9" s="233"/>
      <c r="B9" s="240"/>
      <c r="C9" s="227"/>
      <c r="D9" s="221"/>
      <c r="E9" s="219"/>
      <c r="F9" s="220"/>
      <c r="G9" s="222"/>
      <c r="H9" s="222"/>
      <c r="I9" s="221"/>
      <c r="J9" s="219"/>
      <c r="K9" s="240"/>
      <c r="L9" s="241"/>
      <c r="M9" s="222"/>
      <c r="N9" s="223"/>
      <c r="O9" s="224"/>
      <c r="P9" s="225"/>
      <c r="Q9" s="224"/>
      <c r="R9" s="242"/>
      <c r="S9" s="243"/>
      <c r="T9" s="242"/>
      <c r="U9" s="221"/>
      <c r="V9" s="221"/>
      <c r="W9" s="219"/>
      <c r="X9" s="226"/>
      <c r="Y9" s="227"/>
      <c r="Z9" s="228"/>
      <c r="AA9" s="200"/>
      <c r="AB9" s="193"/>
      <c r="AC9" s="193"/>
      <c r="AD9" s="221"/>
      <c r="AE9" s="229"/>
      <c r="AF9" s="229"/>
      <c r="AG9" s="221"/>
      <c r="AH9" s="230"/>
      <c r="AI9" s="231"/>
      <c r="AJ9" s="189"/>
      <c r="AK9" s="203"/>
      <c r="AL9" s="204"/>
      <c r="AM9" s="203"/>
      <c r="AN9" s="169"/>
      <c r="AP9" s="169"/>
      <c r="AR9" s="169"/>
      <c r="AT9" s="169"/>
      <c r="AY9" s="169"/>
      <c r="BB9" s="169"/>
      <c r="BC9" s="169"/>
    </row>
    <row r="10" spans="1:55" ht="10.5" x14ac:dyDescent="0.25">
      <c r="A10" s="233"/>
      <c r="B10" s="240"/>
      <c r="C10" s="227"/>
      <c r="D10" s="221"/>
      <c r="E10" s="219"/>
      <c r="F10" s="220"/>
      <c r="G10" s="222"/>
      <c r="H10" s="222"/>
      <c r="I10" s="221"/>
      <c r="J10" s="219"/>
      <c r="K10" s="240"/>
      <c r="L10" s="241"/>
      <c r="M10" s="222"/>
      <c r="N10" s="223"/>
      <c r="O10" s="224"/>
      <c r="P10" s="225"/>
      <c r="Q10" s="224"/>
      <c r="R10" s="242"/>
      <c r="S10" s="243"/>
      <c r="T10" s="242"/>
      <c r="U10" s="221"/>
      <c r="V10" s="221"/>
      <c r="W10" s="219"/>
      <c r="X10" s="226"/>
      <c r="Y10" s="227"/>
      <c r="Z10" s="228"/>
      <c r="AA10" s="200"/>
      <c r="AB10" s="193"/>
      <c r="AC10" s="193"/>
      <c r="AD10" s="221"/>
      <c r="AE10" s="229"/>
      <c r="AF10" s="229"/>
      <c r="AG10" s="221"/>
      <c r="AH10" s="230"/>
      <c r="AI10" s="231"/>
      <c r="AJ10" s="189"/>
      <c r="AK10" s="203"/>
      <c r="AL10" s="204"/>
      <c r="AM10" s="203"/>
      <c r="AN10" s="169"/>
      <c r="AP10" s="169"/>
      <c r="AR10" s="169"/>
      <c r="AT10" s="169"/>
      <c r="AY10" s="169"/>
      <c r="BB10" s="169"/>
      <c r="BC10" s="169"/>
    </row>
    <row r="11" spans="1:55" ht="10.5" x14ac:dyDescent="0.25">
      <c r="A11" s="233"/>
      <c r="B11" s="240"/>
      <c r="C11" s="227"/>
      <c r="D11" s="221"/>
      <c r="E11" s="219"/>
      <c r="F11" s="220"/>
      <c r="G11" s="222"/>
      <c r="H11" s="222"/>
      <c r="I11" s="221"/>
      <c r="J11" s="219"/>
      <c r="K11" s="240"/>
      <c r="L11" s="241"/>
      <c r="M11" s="222"/>
      <c r="N11" s="223"/>
      <c r="O11" s="224"/>
      <c r="P11" s="225"/>
      <c r="Q11" s="224"/>
      <c r="R11" s="242"/>
      <c r="S11" s="243"/>
      <c r="T11" s="242"/>
      <c r="U11" s="221"/>
      <c r="V11" s="221"/>
      <c r="W11" s="219"/>
      <c r="X11" s="226"/>
      <c r="Y11" s="227"/>
      <c r="Z11" s="228"/>
      <c r="AA11" s="200"/>
      <c r="AB11" s="193"/>
      <c r="AC11" s="193"/>
      <c r="AD11" s="221"/>
      <c r="AE11" s="229"/>
      <c r="AF11" s="229"/>
      <c r="AG11" s="221"/>
      <c r="AH11" s="230"/>
      <c r="AI11" s="231"/>
      <c r="AJ11" s="189"/>
      <c r="AK11" s="203"/>
      <c r="AL11" s="204"/>
      <c r="AM11" s="203"/>
      <c r="AN11" s="169"/>
      <c r="AP11" s="169"/>
      <c r="AR11" s="169"/>
      <c r="AT11" s="169"/>
      <c r="AY11" s="169"/>
      <c r="BB11" s="169"/>
      <c r="BC11" s="169"/>
    </row>
    <row r="12" spans="1:55" ht="10.5" x14ac:dyDescent="0.25">
      <c r="A12" s="233"/>
      <c r="B12" s="240"/>
      <c r="C12" s="227"/>
      <c r="D12" s="221"/>
      <c r="E12" s="219"/>
      <c r="F12" s="220"/>
      <c r="G12" s="222"/>
      <c r="H12" s="222"/>
      <c r="I12" s="221"/>
      <c r="J12" s="219"/>
      <c r="K12" s="240"/>
      <c r="L12" s="241"/>
      <c r="M12" s="222"/>
      <c r="N12" s="223"/>
      <c r="O12" s="224"/>
      <c r="P12" s="225"/>
      <c r="Q12" s="224"/>
      <c r="R12" s="242"/>
      <c r="S12" s="243"/>
      <c r="T12" s="242"/>
      <c r="U12" s="221"/>
      <c r="V12" s="221"/>
      <c r="W12" s="219"/>
      <c r="X12" s="226"/>
      <c r="Y12" s="227"/>
      <c r="Z12" s="228"/>
      <c r="AA12" s="200"/>
      <c r="AB12" s="193"/>
      <c r="AC12" s="193"/>
      <c r="AD12" s="221"/>
      <c r="AE12" s="229"/>
      <c r="AF12" s="229"/>
      <c r="AG12" s="221"/>
      <c r="AH12" s="230"/>
      <c r="AI12" s="231"/>
      <c r="AJ12" s="189"/>
      <c r="AK12" s="203"/>
      <c r="AL12" s="204"/>
      <c r="AM12" s="203"/>
      <c r="AN12" s="169"/>
      <c r="AP12" s="169"/>
      <c r="AR12" s="169"/>
      <c r="AT12" s="169"/>
      <c r="AY12" s="169"/>
      <c r="BB12" s="169"/>
      <c r="BC12" s="169"/>
    </row>
    <row r="13" spans="1:55" ht="10.5" x14ac:dyDescent="0.25">
      <c r="A13" s="233"/>
      <c r="B13" s="240"/>
      <c r="C13" s="227"/>
      <c r="D13" s="221"/>
      <c r="E13" s="219"/>
      <c r="F13" s="220"/>
      <c r="G13" s="222"/>
      <c r="H13" s="222"/>
      <c r="I13" s="221"/>
      <c r="J13" s="219"/>
      <c r="K13" s="240"/>
      <c r="L13" s="241"/>
      <c r="M13" s="222"/>
      <c r="N13" s="223"/>
      <c r="O13" s="224"/>
      <c r="P13" s="225"/>
      <c r="Q13" s="224"/>
      <c r="R13" s="242"/>
      <c r="S13" s="243"/>
      <c r="T13" s="242"/>
      <c r="U13" s="221"/>
      <c r="V13" s="221"/>
      <c r="W13" s="219"/>
      <c r="X13" s="226"/>
      <c r="Y13" s="227"/>
      <c r="Z13" s="228"/>
      <c r="AA13" s="200"/>
      <c r="AB13" s="193"/>
      <c r="AC13" s="193"/>
      <c r="AD13" s="221"/>
      <c r="AE13" s="229"/>
      <c r="AF13" s="229"/>
      <c r="AG13" s="221"/>
      <c r="AH13" s="230"/>
      <c r="AI13" s="231"/>
      <c r="AJ13" s="189"/>
      <c r="AK13" s="203"/>
      <c r="AL13" s="204"/>
      <c r="AM13" s="203"/>
      <c r="AN13" s="169"/>
      <c r="AP13" s="169"/>
      <c r="AR13" s="169"/>
      <c r="AT13" s="169"/>
      <c r="AY13" s="169"/>
      <c r="BB13" s="169"/>
      <c r="BC13" s="169"/>
    </row>
    <row r="14" spans="1:55" ht="10.5" x14ac:dyDescent="0.25">
      <c r="A14" s="233"/>
      <c r="B14" s="240"/>
      <c r="C14" s="227"/>
      <c r="D14" s="221"/>
      <c r="E14" s="219"/>
      <c r="F14" s="220"/>
      <c r="G14" s="222"/>
      <c r="H14" s="222"/>
      <c r="I14" s="221"/>
      <c r="J14" s="219"/>
      <c r="K14" s="240"/>
      <c r="L14" s="241"/>
      <c r="M14" s="222"/>
      <c r="N14" s="223"/>
      <c r="O14" s="224"/>
      <c r="P14" s="225"/>
      <c r="Q14" s="224"/>
      <c r="R14" s="242"/>
      <c r="S14" s="243"/>
      <c r="T14" s="242"/>
      <c r="U14" s="221"/>
      <c r="V14" s="221"/>
      <c r="W14" s="219"/>
      <c r="X14" s="226"/>
      <c r="Y14" s="227"/>
      <c r="Z14" s="228"/>
      <c r="AA14" s="200"/>
      <c r="AB14" s="193"/>
      <c r="AC14" s="193"/>
      <c r="AD14" s="221"/>
      <c r="AE14" s="229"/>
      <c r="AF14" s="229"/>
      <c r="AG14" s="221"/>
      <c r="AH14" s="230"/>
      <c r="AI14" s="231"/>
      <c r="AJ14" s="189"/>
      <c r="AK14" s="203"/>
      <c r="AL14" s="204"/>
      <c r="AM14" s="203"/>
      <c r="AN14" s="169"/>
      <c r="AP14" s="169"/>
      <c r="AR14" s="169"/>
      <c r="AT14" s="169"/>
      <c r="AY14" s="169"/>
      <c r="BB14" s="169"/>
      <c r="BC14" s="169"/>
    </row>
    <row r="15" spans="1:55" ht="10.5" x14ac:dyDescent="0.25">
      <c r="A15" s="233"/>
      <c r="B15" s="240"/>
      <c r="C15" s="227"/>
      <c r="D15" s="221"/>
      <c r="E15" s="219"/>
      <c r="F15" s="220"/>
      <c r="G15" s="222"/>
      <c r="H15" s="222"/>
      <c r="I15" s="221"/>
      <c r="J15" s="219"/>
      <c r="K15" s="240"/>
      <c r="L15" s="241"/>
      <c r="M15" s="222"/>
      <c r="N15" s="223"/>
      <c r="O15" s="224"/>
      <c r="P15" s="225"/>
      <c r="Q15" s="224"/>
      <c r="R15" s="242"/>
      <c r="S15" s="243"/>
      <c r="T15" s="242"/>
      <c r="U15" s="221"/>
      <c r="V15" s="221"/>
      <c r="W15" s="219"/>
      <c r="X15" s="226"/>
      <c r="Y15" s="227"/>
      <c r="Z15" s="228"/>
      <c r="AA15" s="200"/>
      <c r="AB15" s="193"/>
      <c r="AC15" s="193"/>
      <c r="AD15" s="221"/>
      <c r="AE15" s="229"/>
      <c r="AF15" s="229"/>
      <c r="AG15" s="221"/>
      <c r="AH15" s="230"/>
      <c r="AI15" s="231"/>
      <c r="AJ15" s="189"/>
      <c r="AK15" s="203"/>
      <c r="AL15" s="204"/>
      <c r="AM15" s="203"/>
      <c r="AN15" s="169"/>
      <c r="AP15" s="169"/>
      <c r="AR15" s="169"/>
      <c r="AT15" s="169"/>
      <c r="AY15" s="169"/>
      <c r="BB15" s="169"/>
      <c r="BC15" s="169"/>
    </row>
    <row r="16" spans="1:55" ht="10.5" x14ac:dyDescent="0.25">
      <c r="A16" s="233"/>
      <c r="B16" s="240"/>
      <c r="C16" s="227"/>
      <c r="D16" s="221"/>
      <c r="E16" s="219"/>
      <c r="F16" s="220"/>
      <c r="G16" s="222"/>
      <c r="H16" s="222"/>
      <c r="I16" s="221"/>
      <c r="J16" s="219"/>
      <c r="K16" s="240"/>
      <c r="L16" s="241"/>
      <c r="M16" s="222"/>
      <c r="N16" s="223"/>
      <c r="O16" s="224"/>
      <c r="P16" s="225"/>
      <c r="Q16" s="224"/>
      <c r="R16" s="242"/>
      <c r="S16" s="243"/>
      <c r="T16" s="242"/>
      <c r="U16" s="221"/>
      <c r="V16" s="221"/>
      <c r="W16" s="219"/>
      <c r="X16" s="226"/>
      <c r="Y16" s="227"/>
      <c r="Z16" s="228"/>
      <c r="AA16" s="200"/>
      <c r="AB16" s="193"/>
      <c r="AC16" s="193"/>
      <c r="AD16" s="221"/>
      <c r="AE16" s="229"/>
      <c r="AF16" s="229"/>
      <c r="AG16" s="221"/>
      <c r="AH16" s="230"/>
      <c r="AI16" s="231"/>
      <c r="AJ16" s="189"/>
      <c r="AK16" s="203"/>
      <c r="AL16" s="204"/>
      <c r="AM16" s="203"/>
      <c r="AN16" s="169"/>
      <c r="AP16" s="169"/>
      <c r="AR16" s="169"/>
      <c r="AT16" s="169"/>
      <c r="AY16" s="169"/>
      <c r="BB16" s="169"/>
      <c r="BC16" s="169"/>
    </row>
    <row r="17" spans="1:55" ht="10.5" x14ac:dyDescent="0.25">
      <c r="A17" s="233"/>
      <c r="B17" s="240"/>
      <c r="C17" s="227"/>
      <c r="D17" s="221"/>
      <c r="E17" s="219"/>
      <c r="F17" s="220"/>
      <c r="G17" s="222"/>
      <c r="H17" s="222"/>
      <c r="I17" s="221"/>
      <c r="J17" s="219"/>
      <c r="K17" s="240"/>
      <c r="L17" s="241"/>
      <c r="M17" s="222"/>
      <c r="N17" s="223"/>
      <c r="O17" s="224"/>
      <c r="P17" s="225"/>
      <c r="Q17" s="224"/>
      <c r="R17" s="242"/>
      <c r="S17" s="243"/>
      <c r="T17" s="242"/>
      <c r="U17" s="221"/>
      <c r="V17" s="221"/>
      <c r="W17" s="219"/>
      <c r="X17" s="226"/>
      <c r="Y17" s="227"/>
      <c r="Z17" s="228"/>
      <c r="AA17" s="200"/>
      <c r="AB17" s="193"/>
      <c r="AC17" s="193"/>
      <c r="AD17" s="221"/>
      <c r="AE17" s="229"/>
      <c r="AF17" s="229"/>
      <c r="AG17" s="221"/>
      <c r="AH17" s="230"/>
      <c r="AI17" s="231"/>
      <c r="AJ17" s="189"/>
      <c r="AK17" s="203"/>
      <c r="AL17" s="204"/>
      <c r="AM17" s="203"/>
      <c r="AN17" s="169"/>
      <c r="AP17" s="169"/>
      <c r="AR17" s="169"/>
      <c r="AT17" s="169"/>
      <c r="AY17" s="169"/>
      <c r="BB17" s="169"/>
      <c r="BC17" s="169"/>
    </row>
    <row r="18" spans="1:55" ht="10.5" x14ac:dyDescent="0.25">
      <c r="A18" s="233"/>
      <c r="B18" s="240"/>
      <c r="C18" s="227"/>
      <c r="D18" s="221"/>
      <c r="E18" s="219"/>
      <c r="F18" s="220"/>
      <c r="G18" s="222"/>
      <c r="H18" s="222"/>
      <c r="I18" s="221"/>
      <c r="J18" s="219"/>
      <c r="K18" s="240"/>
      <c r="L18" s="241"/>
      <c r="M18" s="222"/>
      <c r="N18" s="223"/>
      <c r="O18" s="224"/>
      <c r="P18" s="225"/>
      <c r="Q18" s="224"/>
      <c r="R18" s="242"/>
      <c r="S18" s="243"/>
      <c r="T18" s="242"/>
      <c r="U18" s="221"/>
      <c r="V18" s="221"/>
      <c r="W18" s="219"/>
      <c r="X18" s="226"/>
      <c r="Y18" s="227"/>
      <c r="Z18" s="228"/>
      <c r="AA18" s="200"/>
      <c r="AB18" s="193"/>
      <c r="AC18" s="193"/>
      <c r="AD18" s="221"/>
      <c r="AE18" s="229"/>
      <c r="AF18" s="229"/>
      <c r="AG18" s="221"/>
      <c r="AH18" s="230"/>
      <c r="AI18" s="231"/>
      <c r="AJ18" s="189"/>
      <c r="AK18" s="203"/>
      <c r="AL18" s="204"/>
      <c r="AM18" s="203"/>
      <c r="AN18" s="169"/>
      <c r="AP18" s="169"/>
      <c r="AR18" s="169"/>
      <c r="AT18" s="169"/>
      <c r="AY18" s="169"/>
      <c r="BB18" s="169"/>
      <c r="BC18" s="169"/>
    </row>
    <row r="19" spans="1:55" ht="10.5" x14ac:dyDescent="0.25">
      <c r="A19" s="233"/>
      <c r="B19" s="240"/>
      <c r="C19" s="227"/>
      <c r="D19" s="221"/>
      <c r="E19" s="219"/>
      <c r="F19" s="220"/>
      <c r="G19" s="222"/>
      <c r="H19" s="222"/>
      <c r="I19" s="221"/>
      <c r="J19" s="219"/>
      <c r="K19" s="240"/>
      <c r="L19" s="241"/>
      <c r="M19" s="222"/>
      <c r="N19" s="223"/>
      <c r="O19" s="224"/>
      <c r="P19" s="225"/>
      <c r="Q19" s="224"/>
      <c r="R19" s="242"/>
      <c r="S19" s="243"/>
      <c r="T19" s="242"/>
      <c r="U19" s="221"/>
      <c r="V19" s="221"/>
      <c r="W19" s="219"/>
      <c r="X19" s="226"/>
      <c r="Y19" s="227"/>
      <c r="Z19" s="228"/>
      <c r="AA19" s="200"/>
      <c r="AB19" s="193"/>
      <c r="AC19" s="193"/>
      <c r="AD19" s="221"/>
      <c r="AE19" s="229"/>
      <c r="AF19" s="229"/>
      <c r="AG19" s="221"/>
      <c r="AH19" s="230"/>
      <c r="AI19" s="231"/>
      <c r="AJ19" s="189"/>
      <c r="AK19" s="203"/>
      <c r="AL19" s="204"/>
      <c r="AM19" s="203"/>
      <c r="AN19" s="169"/>
      <c r="AP19" s="169"/>
      <c r="AR19" s="169"/>
      <c r="AT19" s="169"/>
      <c r="AY19" s="169"/>
      <c r="BB19" s="169"/>
      <c r="BC19" s="169"/>
    </row>
    <row r="20" spans="1:55" ht="10.5" x14ac:dyDescent="0.25">
      <c r="A20" s="233"/>
      <c r="B20" s="240"/>
      <c r="C20" s="227"/>
      <c r="D20" s="221"/>
      <c r="E20" s="219"/>
      <c r="F20" s="220"/>
      <c r="G20" s="222"/>
      <c r="H20" s="222"/>
      <c r="I20" s="221"/>
      <c r="J20" s="219"/>
      <c r="K20" s="240"/>
      <c r="L20" s="241"/>
      <c r="M20" s="222"/>
      <c r="N20" s="223"/>
      <c r="O20" s="224"/>
      <c r="P20" s="225"/>
      <c r="Q20" s="224"/>
      <c r="R20" s="242"/>
      <c r="S20" s="243"/>
      <c r="T20" s="242"/>
      <c r="U20" s="221"/>
      <c r="V20" s="221"/>
      <c r="W20" s="219"/>
      <c r="X20" s="226"/>
      <c r="Y20" s="227"/>
      <c r="Z20" s="228"/>
      <c r="AA20" s="200"/>
      <c r="AB20" s="193"/>
      <c r="AC20" s="193"/>
      <c r="AD20" s="221"/>
      <c r="AE20" s="229"/>
      <c r="AF20" s="229"/>
      <c r="AG20" s="221"/>
      <c r="AH20" s="230"/>
      <c r="AI20" s="231"/>
      <c r="AJ20" s="189"/>
      <c r="AK20" s="203"/>
      <c r="AL20" s="204"/>
      <c r="AM20" s="203"/>
      <c r="AN20" s="169"/>
      <c r="AP20" s="169"/>
      <c r="AR20" s="169"/>
      <c r="AT20" s="169"/>
      <c r="AY20" s="169"/>
      <c r="BB20" s="169"/>
      <c r="BC20" s="169"/>
    </row>
    <row r="21" spans="1:55" ht="10.5" x14ac:dyDescent="0.25">
      <c r="A21" s="233"/>
      <c r="B21" s="240"/>
      <c r="C21" s="227"/>
      <c r="D21" s="221"/>
      <c r="E21" s="219"/>
      <c r="F21" s="220"/>
      <c r="G21" s="222"/>
      <c r="H21" s="222"/>
      <c r="I21" s="221"/>
      <c r="J21" s="219"/>
      <c r="K21" s="240"/>
      <c r="L21" s="241"/>
      <c r="M21" s="222"/>
      <c r="N21" s="223"/>
      <c r="O21" s="224"/>
      <c r="P21" s="225"/>
      <c r="Q21" s="224"/>
      <c r="R21" s="242"/>
      <c r="S21" s="243"/>
      <c r="T21" s="242"/>
      <c r="U21" s="221"/>
      <c r="V21" s="221"/>
      <c r="W21" s="219"/>
      <c r="X21" s="226"/>
      <c r="Y21" s="227"/>
      <c r="Z21" s="228"/>
      <c r="AA21" s="200"/>
      <c r="AB21" s="193"/>
      <c r="AC21" s="193"/>
      <c r="AD21" s="221"/>
      <c r="AE21" s="229"/>
      <c r="AF21" s="229"/>
      <c r="AG21" s="221"/>
      <c r="AH21" s="230"/>
      <c r="AI21" s="231"/>
      <c r="AJ21" s="189"/>
      <c r="AK21" s="203"/>
      <c r="AL21" s="204"/>
      <c r="AM21" s="203"/>
      <c r="AN21" s="169"/>
      <c r="AP21" s="169"/>
      <c r="AR21" s="169"/>
      <c r="AT21" s="169"/>
      <c r="AY21" s="169"/>
      <c r="BB21" s="169"/>
      <c r="BC21" s="169"/>
    </row>
    <row r="22" spans="1:55" ht="10.5" x14ac:dyDescent="0.25">
      <c r="A22" s="233"/>
      <c r="B22" s="240"/>
      <c r="C22" s="227"/>
      <c r="D22" s="221"/>
      <c r="E22" s="219"/>
      <c r="F22" s="220"/>
      <c r="G22" s="222"/>
      <c r="H22" s="222"/>
      <c r="I22" s="221"/>
      <c r="J22" s="219"/>
      <c r="K22" s="240"/>
      <c r="L22" s="241"/>
      <c r="M22" s="222"/>
      <c r="N22" s="223"/>
      <c r="O22" s="224"/>
      <c r="P22" s="225"/>
      <c r="Q22" s="224"/>
      <c r="R22" s="242"/>
      <c r="S22" s="243"/>
      <c r="T22" s="242"/>
      <c r="U22" s="221"/>
      <c r="V22" s="221"/>
      <c r="W22" s="219"/>
      <c r="X22" s="226"/>
      <c r="Y22" s="227"/>
      <c r="Z22" s="228"/>
      <c r="AA22" s="200"/>
      <c r="AB22" s="193"/>
      <c r="AC22" s="193"/>
      <c r="AD22" s="221"/>
      <c r="AE22" s="229"/>
      <c r="AF22" s="229"/>
      <c r="AG22" s="221"/>
      <c r="AH22" s="230"/>
      <c r="AI22" s="231"/>
      <c r="AJ22" s="189"/>
      <c r="AK22" s="203"/>
      <c r="AL22" s="204"/>
      <c r="AM22" s="203"/>
      <c r="AN22" s="169"/>
      <c r="AP22" s="169"/>
      <c r="AR22" s="169"/>
      <c r="AT22" s="169"/>
      <c r="AY22" s="169"/>
      <c r="BB22" s="169"/>
      <c r="BC22" s="169"/>
    </row>
    <row r="23" spans="1:55" ht="10.5" x14ac:dyDescent="0.25">
      <c r="A23" s="233"/>
      <c r="B23" s="240"/>
      <c r="C23" s="227"/>
      <c r="D23" s="221"/>
      <c r="E23" s="219"/>
      <c r="F23" s="220"/>
      <c r="G23" s="222"/>
      <c r="H23" s="222"/>
      <c r="I23" s="221"/>
      <c r="J23" s="219"/>
      <c r="K23" s="240"/>
      <c r="L23" s="241"/>
      <c r="M23" s="222"/>
      <c r="N23" s="223"/>
      <c r="O23" s="224"/>
      <c r="P23" s="225"/>
      <c r="Q23" s="224"/>
      <c r="R23" s="242"/>
      <c r="S23" s="243"/>
      <c r="T23" s="242"/>
      <c r="U23" s="221"/>
      <c r="V23" s="221"/>
      <c r="W23" s="219"/>
      <c r="X23" s="226"/>
      <c r="Y23" s="227"/>
      <c r="Z23" s="228"/>
      <c r="AA23" s="200"/>
      <c r="AB23" s="193"/>
      <c r="AC23" s="193"/>
      <c r="AD23" s="221"/>
      <c r="AE23" s="229"/>
      <c r="AF23" s="229"/>
      <c r="AG23" s="221"/>
      <c r="AH23" s="230"/>
      <c r="AI23" s="231"/>
      <c r="AJ23" s="189"/>
      <c r="AK23" s="203"/>
      <c r="AL23" s="204"/>
      <c r="AM23" s="203"/>
      <c r="AN23" s="169"/>
      <c r="AP23" s="169"/>
      <c r="AR23" s="169"/>
      <c r="AT23" s="169"/>
      <c r="AY23" s="169"/>
      <c r="BB23" s="169"/>
      <c r="BC23" s="169"/>
    </row>
    <row r="24" spans="1:55" ht="10.5" x14ac:dyDescent="0.25">
      <c r="A24" s="233"/>
      <c r="B24" s="240"/>
      <c r="C24" s="227"/>
      <c r="D24" s="221"/>
      <c r="E24" s="219"/>
      <c r="F24" s="220"/>
      <c r="G24" s="222"/>
      <c r="H24" s="222"/>
      <c r="I24" s="221"/>
      <c r="J24" s="219"/>
      <c r="K24" s="240"/>
      <c r="L24" s="241"/>
      <c r="M24" s="222"/>
      <c r="N24" s="223"/>
      <c r="O24" s="224"/>
      <c r="P24" s="225"/>
      <c r="Q24" s="224"/>
      <c r="R24" s="242"/>
      <c r="S24" s="243"/>
      <c r="T24" s="242"/>
      <c r="U24" s="221"/>
      <c r="V24" s="221"/>
      <c r="W24" s="219"/>
      <c r="X24" s="226"/>
      <c r="Y24" s="227"/>
      <c r="Z24" s="228"/>
      <c r="AA24" s="200"/>
      <c r="AB24" s="193"/>
      <c r="AC24" s="193"/>
      <c r="AD24" s="221"/>
      <c r="AE24" s="229"/>
      <c r="AF24" s="229"/>
      <c r="AG24" s="221"/>
      <c r="AH24" s="230"/>
      <c r="AI24" s="231"/>
      <c r="AJ24" s="189"/>
      <c r="AK24" s="203"/>
      <c r="AL24" s="204"/>
      <c r="AM24" s="203"/>
      <c r="AN24" s="169"/>
      <c r="AP24" s="169"/>
      <c r="AR24" s="169"/>
      <c r="AT24" s="169"/>
      <c r="AY24" s="169"/>
      <c r="BB24" s="169"/>
      <c r="BC24" s="169"/>
    </row>
    <row r="25" spans="1:55" ht="10.5" x14ac:dyDescent="0.25">
      <c r="A25" s="233"/>
      <c r="B25" s="240"/>
      <c r="C25" s="227"/>
      <c r="D25" s="221"/>
      <c r="E25" s="219"/>
      <c r="F25" s="220"/>
      <c r="G25" s="222"/>
      <c r="H25" s="222"/>
      <c r="I25" s="221"/>
      <c r="J25" s="219"/>
      <c r="K25" s="240"/>
      <c r="L25" s="241"/>
      <c r="M25" s="222"/>
      <c r="N25" s="223"/>
      <c r="O25" s="224"/>
      <c r="P25" s="225"/>
      <c r="Q25" s="224"/>
      <c r="R25" s="242"/>
      <c r="S25" s="243"/>
      <c r="T25" s="242"/>
      <c r="U25" s="221"/>
      <c r="V25" s="221"/>
      <c r="W25" s="219"/>
      <c r="X25" s="226"/>
      <c r="Y25" s="227"/>
      <c r="Z25" s="228"/>
      <c r="AA25" s="200"/>
      <c r="AB25" s="193"/>
      <c r="AC25" s="193"/>
      <c r="AD25" s="221"/>
      <c r="AE25" s="229"/>
      <c r="AF25" s="229"/>
      <c r="AG25" s="221"/>
      <c r="AH25" s="230"/>
      <c r="AI25" s="231"/>
      <c r="AJ25" s="189"/>
      <c r="AK25" s="203"/>
      <c r="AL25" s="204"/>
      <c r="AM25" s="203"/>
      <c r="AN25" s="169"/>
      <c r="AP25" s="169"/>
      <c r="AR25" s="169"/>
      <c r="AT25" s="169"/>
      <c r="AY25" s="169"/>
      <c r="BB25" s="169"/>
      <c r="BC25" s="169"/>
    </row>
    <row r="26" spans="1:55" ht="10.5" x14ac:dyDescent="0.25">
      <c r="A26" s="233"/>
      <c r="B26" s="240"/>
      <c r="C26" s="227"/>
      <c r="D26" s="221"/>
      <c r="E26" s="219"/>
      <c r="F26" s="220"/>
      <c r="G26" s="222"/>
      <c r="H26" s="222"/>
      <c r="I26" s="221"/>
      <c r="J26" s="219"/>
      <c r="K26" s="240"/>
      <c r="L26" s="241"/>
      <c r="M26" s="222"/>
      <c r="N26" s="223"/>
      <c r="O26" s="224"/>
      <c r="P26" s="225"/>
      <c r="Q26" s="224"/>
      <c r="R26" s="242"/>
      <c r="S26" s="243"/>
      <c r="T26" s="242"/>
      <c r="U26" s="221"/>
      <c r="V26" s="221"/>
      <c r="W26" s="219"/>
      <c r="X26" s="226"/>
      <c r="Y26" s="227"/>
      <c r="Z26" s="228"/>
      <c r="AA26" s="200"/>
      <c r="AB26" s="193"/>
      <c r="AC26" s="193"/>
      <c r="AD26" s="221"/>
      <c r="AE26" s="229"/>
      <c r="AF26" s="229"/>
      <c r="AG26" s="221"/>
      <c r="AH26" s="230"/>
      <c r="AI26" s="231"/>
      <c r="AJ26" s="189"/>
      <c r="AK26" s="203"/>
      <c r="AL26" s="204"/>
      <c r="AM26" s="203"/>
      <c r="AN26" s="169"/>
      <c r="AP26" s="169"/>
      <c r="AR26" s="169"/>
      <c r="AT26" s="169"/>
      <c r="AY26" s="169"/>
      <c r="BB26" s="169"/>
      <c r="BC26" s="169"/>
    </row>
    <row r="27" spans="1:55" ht="10.5" x14ac:dyDescent="0.25">
      <c r="A27" s="233"/>
      <c r="B27" s="240"/>
      <c r="C27" s="227"/>
      <c r="D27" s="221"/>
      <c r="E27" s="219"/>
      <c r="F27" s="220"/>
      <c r="G27" s="222"/>
      <c r="H27" s="222"/>
      <c r="I27" s="221"/>
      <c r="J27" s="219"/>
      <c r="K27" s="240"/>
      <c r="L27" s="241"/>
      <c r="M27" s="222"/>
      <c r="N27" s="223"/>
      <c r="O27" s="224"/>
      <c r="P27" s="225"/>
      <c r="Q27" s="224"/>
      <c r="R27" s="242"/>
      <c r="S27" s="243"/>
      <c r="T27" s="242"/>
      <c r="U27" s="221"/>
      <c r="V27" s="221"/>
      <c r="W27" s="219"/>
      <c r="X27" s="226"/>
      <c r="Y27" s="227"/>
      <c r="Z27" s="228"/>
      <c r="AA27" s="200"/>
      <c r="AB27" s="193"/>
      <c r="AC27" s="193"/>
      <c r="AD27" s="221"/>
      <c r="AE27" s="229"/>
      <c r="AF27" s="229"/>
      <c r="AG27" s="221"/>
      <c r="AH27" s="230"/>
      <c r="AI27" s="231"/>
      <c r="AJ27" s="189"/>
      <c r="AK27" s="203"/>
      <c r="AL27" s="204"/>
      <c r="AM27" s="203"/>
      <c r="AN27" s="169"/>
      <c r="AP27" s="169"/>
      <c r="AR27" s="169"/>
      <c r="AT27" s="169"/>
      <c r="AY27" s="169"/>
      <c r="BB27" s="169"/>
      <c r="BC27" s="169"/>
    </row>
    <row r="28" spans="1:55" ht="10.5" x14ac:dyDescent="0.25">
      <c r="A28" s="233"/>
      <c r="B28" s="240"/>
      <c r="C28" s="227"/>
      <c r="D28" s="221"/>
      <c r="E28" s="219"/>
      <c r="F28" s="220"/>
      <c r="G28" s="222"/>
      <c r="H28" s="222"/>
      <c r="I28" s="221"/>
      <c r="J28" s="219"/>
      <c r="K28" s="240"/>
      <c r="L28" s="241"/>
      <c r="M28" s="222"/>
      <c r="N28" s="223"/>
      <c r="O28" s="224"/>
      <c r="P28" s="225"/>
      <c r="Q28" s="224"/>
      <c r="R28" s="242"/>
      <c r="S28" s="243"/>
      <c r="T28" s="242"/>
      <c r="U28" s="221"/>
      <c r="V28" s="221"/>
      <c r="W28" s="219"/>
      <c r="X28" s="226"/>
      <c r="Y28" s="227"/>
      <c r="Z28" s="228"/>
      <c r="AA28" s="200"/>
      <c r="AB28" s="193"/>
      <c r="AC28" s="193"/>
      <c r="AD28" s="221"/>
      <c r="AE28" s="229"/>
      <c r="AF28" s="229"/>
      <c r="AG28" s="221"/>
      <c r="AH28" s="230"/>
      <c r="AI28" s="231"/>
      <c r="AJ28" s="189"/>
      <c r="AK28" s="203"/>
      <c r="AL28" s="204"/>
      <c r="AM28" s="203"/>
      <c r="AN28" s="169"/>
      <c r="AP28" s="169"/>
      <c r="AR28" s="169"/>
      <c r="AT28" s="169"/>
      <c r="AY28" s="169"/>
      <c r="BB28" s="169"/>
      <c r="BC28" s="169"/>
    </row>
    <row r="29" spans="1:55" ht="10.5" x14ac:dyDescent="0.25">
      <c r="A29" s="233"/>
      <c r="B29" s="240"/>
      <c r="C29" s="227"/>
      <c r="D29" s="221"/>
      <c r="E29" s="219"/>
      <c r="F29" s="220"/>
      <c r="G29" s="222"/>
      <c r="H29" s="222"/>
      <c r="I29" s="221"/>
      <c r="J29" s="219"/>
      <c r="K29" s="240"/>
      <c r="L29" s="241"/>
      <c r="M29" s="222"/>
      <c r="N29" s="223"/>
      <c r="O29" s="224"/>
      <c r="P29" s="225"/>
      <c r="Q29" s="224"/>
      <c r="R29" s="242"/>
      <c r="S29" s="243"/>
      <c r="T29" s="242"/>
      <c r="U29" s="221"/>
      <c r="V29" s="221"/>
      <c r="W29" s="219"/>
      <c r="X29" s="226"/>
      <c r="Y29" s="227"/>
      <c r="Z29" s="228"/>
      <c r="AA29" s="200"/>
      <c r="AB29" s="193"/>
      <c r="AC29" s="193"/>
      <c r="AD29" s="221"/>
      <c r="AE29" s="229"/>
      <c r="AF29" s="229"/>
      <c r="AG29" s="221"/>
      <c r="AH29" s="230"/>
      <c r="AI29" s="231"/>
      <c r="AJ29" s="189"/>
      <c r="AK29" s="203"/>
      <c r="AL29" s="204"/>
      <c r="AM29" s="203"/>
      <c r="AN29" s="169"/>
      <c r="AP29" s="169"/>
      <c r="AR29" s="169"/>
      <c r="AT29" s="169"/>
      <c r="AY29" s="169"/>
      <c r="BB29" s="169"/>
      <c r="BC29" s="169"/>
    </row>
    <row r="30" spans="1:55" ht="10.5" x14ac:dyDescent="0.25">
      <c r="A30" s="233"/>
      <c r="B30" s="240"/>
      <c r="C30" s="227"/>
      <c r="D30" s="221"/>
      <c r="E30" s="219"/>
      <c r="F30" s="220"/>
      <c r="G30" s="222"/>
      <c r="H30" s="222"/>
      <c r="I30" s="221"/>
      <c r="J30" s="219"/>
      <c r="K30" s="240"/>
      <c r="L30" s="241"/>
      <c r="M30" s="222"/>
      <c r="N30" s="223"/>
      <c r="O30" s="224"/>
      <c r="P30" s="225"/>
      <c r="Q30" s="224"/>
      <c r="R30" s="242"/>
      <c r="S30" s="243"/>
      <c r="T30" s="242"/>
      <c r="U30" s="221"/>
      <c r="V30" s="221"/>
      <c r="W30" s="219"/>
      <c r="X30" s="226"/>
      <c r="Y30" s="227"/>
      <c r="Z30" s="228"/>
      <c r="AA30" s="200"/>
      <c r="AB30" s="193"/>
      <c r="AC30" s="193"/>
      <c r="AD30" s="221"/>
      <c r="AE30" s="229"/>
      <c r="AF30" s="229"/>
      <c r="AG30" s="221"/>
      <c r="AH30" s="230"/>
      <c r="AI30" s="231"/>
      <c r="AJ30" s="189"/>
      <c r="AK30" s="203"/>
      <c r="AL30" s="204"/>
      <c r="AM30" s="203"/>
      <c r="AN30" s="169"/>
      <c r="AP30" s="169"/>
      <c r="AR30" s="169"/>
      <c r="AT30" s="169"/>
      <c r="AY30" s="169"/>
      <c r="BB30" s="169"/>
      <c r="BC30" s="169"/>
    </row>
    <row r="31" spans="1:55" ht="10.5" x14ac:dyDescent="0.25">
      <c r="A31" s="233"/>
      <c r="B31" s="240"/>
      <c r="C31" s="227"/>
      <c r="D31" s="221"/>
      <c r="E31" s="219"/>
      <c r="F31" s="220"/>
      <c r="G31" s="222"/>
      <c r="H31" s="222"/>
      <c r="I31" s="221"/>
      <c r="J31" s="219"/>
      <c r="K31" s="240"/>
      <c r="L31" s="241"/>
      <c r="M31" s="222"/>
      <c r="N31" s="223"/>
      <c r="O31" s="224"/>
      <c r="P31" s="225"/>
      <c r="Q31" s="224"/>
      <c r="R31" s="242"/>
      <c r="S31" s="243"/>
      <c r="T31" s="242"/>
      <c r="U31" s="221"/>
      <c r="V31" s="221"/>
      <c r="W31" s="219"/>
      <c r="X31" s="226"/>
      <c r="Y31" s="227"/>
      <c r="Z31" s="228"/>
      <c r="AA31" s="200"/>
      <c r="AB31" s="193"/>
      <c r="AC31" s="193"/>
      <c r="AD31" s="221"/>
      <c r="AE31" s="229"/>
      <c r="AF31" s="229"/>
      <c r="AG31" s="221"/>
      <c r="AH31" s="230"/>
      <c r="AI31" s="231"/>
      <c r="AJ31" s="189"/>
      <c r="AK31" s="203"/>
      <c r="AL31" s="204"/>
      <c r="AM31" s="203"/>
      <c r="AN31" s="169"/>
      <c r="AP31" s="169"/>
      <c r="AR31" s="169"/>
      <c r="AT31" s="169"/>
      <c r="AY31" s="169"/>
      <c r="BB31" s="169"/>
      <c r="BC31" s="169"/>
    </row>
    <row r="32" spans="1:55" ht="10.5" x14ac:dyDescent="0.25">
      <c r="A32" s="233"/>
      <c r="B32" s="240"/>
      <c r="C32" s="227"/>
      <c r="D32" s="221"/>
      <c r="E32" s="219"/>
      <c r="F32" s="220"/>
      <c r="G32" s="222"/>
      <c r="H32" s="222"/>
      <c r="I32" s="221"/>
      <c r="J32" s="219"/>
      <c r="K32" s="240"/>
      <c r="L32" s="241"/>
      <c r="M32" s="222"/>
      <c r="N32" s="223"/>
      <c r="O32" s="224"/>
      <c r="P32" s="225"/>
      <c r="Q32" s="224"/>
      <c r="R32" s="242"/>
      <c r="S32" s="243"/>
      <c r="T32" s="242"/>
      <c r="U32" s="221"/>
      <c r="V32" s="221"/>
      <c r="W32" s="219"/>
      <c r="X32" s="226"/>
      <c r="Y32" s="227"/>
      <c r="Z32" s="228"/>
      <c r="AA32" s="200"/>
      <c r="AB32" s="193"/>
      <c r="AC32" s="193"/>
      <c r="AD32" s="221"/>
      <c r="AE32" s="229"/>
      <c r="AF32" s="229"/>
      <c r="AG32" s="221"/>
      <c r="AH32" s="230"/>
      <c r="AI32" s="231"/>
      <c r="AJ32" s="189"/>
      <c r="AK32" s="203"/>
      <c r="AL32" s="204"/>
      <c r="AM32" s="203"/>
      <c r="AN32" s="169"/>
      <c r="AP32" s="169"/>
      <c r="AR32" s="169"/>
      <c r="AT32" s="169"/>
      <c r="AY32" s="169"/>
      <c r="BB32" s="169"/>
      <c r="BC32" s="169"/>
    </row>
    <row r="33" spans="1:55" ht="10.5" x14ac:dyDescent="0.25">
      <c r="A33" s="233"/>
      <c r="B33" s="240"/>
      <c r="C33" s="227"/>
      <c r="D33" s="221"/>
      <c r="E33" s="219"/>
      <c r="F33" s="220"/>
      <c r="G33" s="222"/>
      <c r="H33" s="222"/>
      <c r="I33" s="221"/>
      <c r="J33" s="219"/>
      <c r="K33" s="240"/>
      <c r="L33" s="241"/>
      <c r="M33" s="222"/>
      <c r="N33" s="223"/>
      <c r="O33" s="224"/>
      <c r="P33" s="225"/>
      <c r="Q33" s="224"/>
      <c r="R33" s="242"/>
      <c r="S33" s="243"/>
      <c r="T33" s="242"/>
      <c r="U33" s="221"/>
      <c r="V33" s="221"/>
      <c r="W33" s="219"/>
      <c r="X33" s="226"/>
      <c r="Y33" s="227"/>
      <c r="Z33" s="228"/>
      <c r="AA33" s="200"/>
      <c r="AB33" s="193"/>
      <c r="AC33" s="193"/>
      <c r="AD33" s="221"/>
      <c r="AE33" s="229"/>
      <c r="AF33" s="229"/>
      <c r="AG33" s="221"/>
      <c r="AH33" s="230"/>
      <c r="AI33" s="231"/>
      <c r="AJ33" s="189"/>
      <c r="AK33" s="203"/>
      <c r="AL33" s="204"/>
      <c r="AM33" s="203"/>
      <c r="AN33" s="169"/>
      <c r="AP33" s="169"/>
      <c r="AR33" s="169"/>
      <c r="AT33" s="169"/>
      <c r="AY33" s="169"/>
      <c r="BB33" s="169"/>
      <c r="BC33" s="169"/>
    </row>
    <row r="34" spans="1:55" ht="10.5" x14ac:dyDescent="0.25">
      <c r="A34" s="233"/>
      <c r="B34" s="240"/>
      <c r="C34" s="227"/>
      <c r="D34" s="221"/>
      <c r="E34" s="219"/>
      <c r="F34" s="220"/>
      <c r="G34" s="222"/>
      <c r="H34" s="222"/>
      <c r="I34" s="221"/>
      <c r="J34" s="219"/>
      <c r="K34" s="240"/>
      <c r="L34" s="241"/>
      <c r="M34" s="222"/>
      <c r="N34" s="223"/>
      <c r="O34" s="224"/>
      <c r="P34" s="225"/>
      <c r="Q34" s="224"/>
      <c r="R34" s="242"/>
      <c r="S34" s="243"/>
      <c r="T34" s="242"/>
      <c r="U34" s="221"/>
      <c r="V34" s="221"/>
      <c r="W34" s="219"/>
      <c r="X34" s="226"/>
      <c r="Y34" s="227"/>
      <c r="Z34" s="228"/>
      <c r="AA34" s="200"/>
      <c r="AB34" s="193"/>
      <c r="AC34" s="193"/>
      <c r="AD34" s="221"/>
      <c r="AE34" s="229"/>
      <c r="AF34" s="229"/>
      <c r="AG34" s="221"/>
      <c r="AH34" s="230"/>
      <c r="AI34" s="231"/>
      <c r="AJ34" s="189"/>
      <c r="AK34" s="203"/>
      <c r="AL34" s="204"/>
      <c r="AM34" s="203"/>
      <c r="AN34" s="169"/>
      <c r="AP34" s="169"/>
      <c r="AR34" s="169"/>
      <c r="AT34" s="169"/>
      <c r="AY34" s="169"/>
      <c r="BB34" s="169"/>
      <c r="BC34" s="169"/>
    </row>
    <row r="35" spans="1:55" ht="10.5" x14ac:dyDescent="0.25">
      <c r="A35" s="233"/>
      <c r="B35" s="240"/>
      <c r="C35" s="227"/>
      <c r="D35" s="221"/>
      <c r="E35" s="219"/>
      <c r="F35" s="220"/>
      <c r="G35" s="222"/>
      <c r="H35" s="222"/>
      <c r="I35" s="221"/>
      <c r="J35" s="219"/>
      <c r="K35" s="240"/>
      <c r="L35" s="241"/>
      <c r="M35" s="222"/>
      <c r="N35" s="223"/>
      <c r="O35" s="224"/>
      <c r="P35" s="225"/>
      <c r="Q35" s="224"/>
      <c r="R35" s="242"/>
      <c r="S35" s="243"/>
      <c r="T35" s="242"/>
      <c r="U35" s="221"/>
      <c r="V35" s="221"/>
      <c r="W35" s="219"/>
      <c r="X35" s="226"/>
      <c r="Y35" s="227"/>
      <c r="Z35" s="228"/>
      <c r="AA35" s="200"/>
      <c r="AB35" s="193"/>
      <c r="AC35" s="193"/>
      <c r="AD35" s="221"/>
      <c r="AE35" s="229"/>
      <c r="AF35" s="229"/>
      <c r="AG35" s="221"/>
      <c r="AH35" s="230"/>
      <c r="AI35" s="231"/>
      <c r="AJ35" s="189"/>
      <c r="AK35" s="203"/>
      <c r="AL35" s="204"/>
      <c r="AM35" s="203"/>
      <c r="AN35" s="169"/>
      <c r="AP35" s="169"/>
      <c r="AR35" s="169"/>
      <c r="AT35" s="169"/>
      <c r="AY35" s="169"/>
      <c r="BB35" s="169"/>
      <c r="BC35" s="169"/>
    </row>
    <row r="36" spans="1:55" ht="10.5" x14ac:dyDescent="0.25">
      <c r="A36" s="233"/>
      <c r="B36" s="240"/>
      <c r="C36" s="227"/>
      <c r="D36" s="221"/>
      <c r="E36" s="219"/>
      <c r="F36" s="220"/>
      <c r="G36" s="222"/>
      <c r="H36" s="222"/>
      <c r="I36" s="221"/>
      <c r="J36" s="219"/>
      <c r="K36" s="240"/>
      <c r="L36" s="241"/>
      <c r="M36" s="222"/>
      <c r="N36" s="223"/>
      <c r="O36" s="224"/>
      <c r="P36" s="225"/>
      <c r="Q36" s="224"/>
      <c r="R36" s="242"/>
      <c r="S36" s="243"/>
      <c r="T36" s="242"/>
      <c r="U36" s="221"/>
      <c r="V36" s="221"/>
      <c r="W36" s="219"/>
      <c r="X36" s="226"/>
      <c r="Y36" s="227"/>
      <c r="Z36" s="228"/>
      <c r="AA36" s="200"/>
      <c r="AB36" s="193"/>
      <c r="AC36" s="193"/>
      <c r="AD36" s="221"/>
      <c r="AE36" s="229"/>
      <c r="AF36" s="229"/>
      <c r="AG36" s="221"/>
      <c r="AH36" s="230"/>
      <c r="AI36" s="231"/>
      <c r="AJ36" s="189"/>
      <c r="AK36" s="203"/>
      <c r="AL36" s="204"/>
      <c r="AM36" s="203"/>
      <c r="AN36" s="169"/>
      <c r="AP36" s="169"/>
      <c r="AR36" s="169"/>
      <c r="AT36" s="169"/>
      <c r="AY36" s="169"/>
      <c r="BB36" s="169"/>
      <c r="BC36" s="169"/>
    </row>
    <row r="37" spans="1:55" ht="10.5" x14ac:dyDescent="0.25">
      <c r="A37" s="233"/>
      <c r="B37" s="240"/>
      <c r="C37" s="227"/>
      <c r="D37" s="221"/>
      <c r="E37" s="219"/>
      <c r="F37" s="220"/>
      <c r="G37" s="222"/>
      <c r="H37" s="222"/>
      <c r="I37" s="221"/>
      <c r="J37" s="219"/>
      <c r="K37" s="240"/>
      <c r="L37" s="241"/>
      <c r="M37" s="222"/>
      <c r="N37" s="223"/>
      <c r="O37" s="224"/>
      <c r="P37" s="225"/>
      <c r="Q37" s="224"/>
      <c r="R37" s="242"/>
      <c r="S37" s="243"/>
      <c r="T37" s="242"/>
      <c r="U37" s="221"/>
      <c r="V37" s="221"/>
      <c r="W37" s="219"/>
      <c r="X37" s="226"/>
      <c r="Y37" s="227"/>
      <c r="Z37" s="228"/>
      <c r="AA37" s="200"/>
      <c r="AB37" s="193"/>
      <c r="AC37" s="193"/>
      <c r="AD37" s="221"/>
      <c r="AE37" s="229"/>
      <c r="AF37" s="229"/>
      <c r="AG37" s="221"/>
      <c r="AH37" s="230"/>
      <c r="AI37" s="231"/>
      <c r="AJ37" s="189"/>
      <c r="AK37" s="203"/>
      <c r="AL37" s="204"/>
      <c r="AM37" s="203"/>
      <c r="AN37" s="169"/>
      <c r="AP37" s="169"/>
      <c r="AR37" s="169"/>
      <c r="AT37" s="169"/>
      <c r="AY37" s="169"/>
      <c r="BB37" s="169"/>
      <c r="BC37" s="169"/>
    </row>
    <row r="38" spans="1:55" ht="10.5" x14ac:dyDescent="0.25">
      <c r="A38" s="233"/>
      <c r="B38" s="240"/>
      <c r="C38" s="227"/>
      <c r="D38" s="221"/>
      <c r="E38" s="219"/>
      <c r="F38" s="220"/>
      <c r="G38" s="222"/>
      <c r="H38" s="222"/>
      <c r="I38" s="221"/>
      <c r="J38" s="219"/>
      <c r="K38" s="240"/>
      <c r="L38" s="241"/>
      <c r="M38" s="222"/>
      <c r="N38" s="223"/>
      <c r="O38" s="224"/>
      <c r="P38" s="225"/>
      <c r="Q38" s="224"/>
      <c r="R38" s="242"/>
      <c r="S38" s="243"/>
      <c r="T38" s="242"/>
      <c r="U38" s="221"/>
      <c r="V38" s="221"/>
      <c r="W38" s="219"/>
      <c r="X38" s="226"/>
      <c r="Y38" s="227"/>
      <c r="Z38" s="228"/>
      <c r="AA38" s="200"/>
      <c r="AB38" s="193"/>
      <c r="AC38" s="193"/>
      <c r="AD38" s="221"/>
      <c r="AE38" s="229"/>
      <c r="AF38" s="229"/>
      <c r="AG38" s="221"/>
      <c r="AH38" s="230"/>
      <c r="AI38" s="231"/>
      <c r="AJ38" s="189"/>
      <c r="AK38" s="203"/>
      <c r="AL38" s="204"/>
      <c r="AM38" s="203"/>
      <c r="AN38" s="169"/>
      <c r="AP38" s="169"/>
      <c r="AR38" s="169"/>
      <c r="AT38" s="169"/>
      <c r="AY38" s="169"/>
      <c r="BB38" s="169"/>
      <c r="BC38" s="169"/>
    </row>
    <row r="39" spans="1:55" ht="10.5" x14ac:dyDescent="0.25">
      <c r="A39" s="233"/>
      <c r="B39" s="240"/>
      <c r="C39" s="227"/>
      <c r="D39" s="221"/>
      <c r="E39" s="219"/>
      <c r="F39" s="220"/>
      <c r="G39" s="222"/>
      <c r="H39" s="222"/>
      <c r="I39" s="221"/>
      <c r="J39" s="219"/>
      <c r="K39" s="240"/>
      <c r="L39" s="241"/>
      <c r="M39" s="222"/>
      <c r="N39" s="223"/>
      <c r="O39" s="224"/>
      <c r="P39" s="225"/>
      <c r="Q39" s="224"/>
      <c r="R39" s="242"/>
      <c r="S39" s="243"/>
      <c r="T39" s="242"/>
      <c r="U39" s="221"/>
      <c r="V39" s="221"/>
      <c r="W39" s="219"/>
      <c r="X39" s="226"/>
      <c r="Y39" s="227"/>
      <c r="Z39" s="228"/>
      <c r="AA39" s="200"/>
      <c r="AB39" s="193"/>
      <c r="AC39" s="193"/>
      <c r="AD39" s="221"/>
      <c r="AE39" s="229"/>
      <c r="AF39" s="229"/>
      <c r="AG39" s="221"/>
      <c r="AH39" s="230"/>
      <c r="AI39" s="231"/>
      <c r="AJ39" s="189"/>
      <c r="AK39" s="203"/>
      <c r="AL39" s="204"/>
      <c r="AM39" s="203"/>
      <c r="AN39" s="169"/>
      <c r="AP39" s="169"/>
      <c r="AR39" s="169"/>
      <c r="AT39" s="169"/>
      <c r="AY39" s="169"/>
      <c r="BB39" s="169"/>
      <c r="BC39" s="169"/>
    </row>
    <row r="40" spans="1:55" ht="10.5" x14ac:dyDescent="0.25">
      <c r="A40" s="233"/>
      <c r="B40" s="240"/>
      <c r="C40" s="227"/>
      <c r="D40" s="221"/>
      <c r="E40" s="219"/>
      <c r="F40" s="220"/>
      <c r="G40" s="222"/>
      <c r="H40" s="222"/>
      <c r="I40" s="221"/>
      <c r="J40" s="219"/>
      <c r="K40" s="240"/>
      <c r="L40" s="241"/>
      <c r="M40" s="222"/>
      <c r="N40" s="223"/>
      <c r="O40" s="224"/>
      <c r="P40" s="225"/>
      <c r="Q40" s="224"/>
      <c r="R40" s="242"/>
      <c r="S40" s="243"/>
      <c r="T40" s="242"/>
      <c r="U40" s="221"/>
      <c r="V40" s="221"/>
      <c r="W40" s="219"/>
      <c r="X40" s="226"/>
      <c r="Y40" s="227"/>
      <c r="Z40" s="228"/>
      <c r="AA40" s="200"/>
      <c r="AB40" s="193"/>
      <c r="AC40" s="193"/>
      <c r="AD40" s="221"/>
      <c r="AE40" s="229"/>
      <c r="AF40" s="229"/>
      <c r="AG40" s="221"/>
      <c r="AH40" s="230"/>
      <c r="AI40" s="231"/>
      <c r="AJ40" s="189"/>
      <c r="AK40" s="203"/>
      <c r="AL40" s="204"/>
      <c r="AM40" s="203"/>
      <c r="AN40" s="169"/>
      <c r="AP40" s="169"/>
      <c r="AR40" s="169"/>
      <c r="AT40" s="169"/>
      <c r="AY40" s="169"/>
      <c r="BB40" s="169"/>
      <c r="BC40" s="169"/>
    </row>
    <row r="41" spans="1:55" ht="10.5" x14ac:dyDescent="0.25">
      <c r="A41" s="233"/>
      <c r="B41" s="240"/>
      <c r="C41" s="227"/>
      <c r="D41" s="221"/>
      <c r="E41" s="219"/>
      <c r="F41" s="220"/>
      <c r="G41" s="222"/>
      <c r="H41" s="222"/>
      <c r="I41" s="221"/>
      <c r="J41" s="219"/>
      <c r="K41" s="240"/>
      <c r="L41" s="241"/>
      <c r="M41" s="222"/>
      <c r="N41" s="223"/>
      <c r="O41" s="224"/>
      <c r="P41" s="225"/>
      <c r="Q41" s="224"/>
      <c r="R41" s="242"/>
      <c r="S41" s="243"/>
      <c r="T41" s="242"/>
      <c r="U41" s="221"/>
      <c r="V41" s="221"/>
      <c r="W41" s="219"/>
      <c r="X41" s="226"/>
      <c r="Y41" s="227"/>
      <c r="Z41" s="228"/>
      <c r="AA41" s="200"/>
      <c r="AB41" s="193"/>
      <c r="AC41" s="193"/>
      <c r="AD41" s="221"/>
      <c r="AE41" s="229"/>
      <c r="AF41" s="229"/>
      <c r="AG41" s="221"/>
      <c r="AH41" s="230"/>
      <c r="AI41" s="231"/>
      <c r="AJ41" s="189"/>
      <c r="AK41" s="203"/>
      <c r="AL41" s="204"/>
      <c r="AM41" s="203"/>
      <c r="AN41" s="169"/>
      <c r="AP41" s="169"/>
      <c r="AR41" s="169"/>
      <c r="AT41" s="169"/>
      <c r="AY41" s="169"/>
      <c r="BB41" s="169"/>
      <c r="BC41" s="169"/>
    </row>
    <row r="42" spans="1:55" ht="10.5" x14ac:dyDescent="0.25">
      <c r="A42" s="233"/>
      <c r="B42" s="240"/>
      <c r="C42" s="227"/>
      <c r="D42" s="221"/>
      <c r="E42" s="219"/>
      <c r="F42" s="220"/>
      <c r="G42" s="222"/>
      <c r="H42" s="222"/>
      <c r="I42" s="221"/>
      <c r="J42" s="219"/>
      <c r="K42" s="240"/>
      <c r="L42" s="241"/>
      <c r="M42" s="222"/>
      <c r="N42" s="223"/>
      <c r="O42" s="224"/>
      <c r="P42" s="225"/>
      <c r="Q42" s="224"/>
      <c r="R42" s="242"/>
      <c r="S42" s="243"/>
      <c r="T42" s="242"/>
      <c r="U42" s="221"/>
      <c r="V42" s="221"/>
      <c r="W42" s="219"/>
      <c r="X42" s="226"/>
      <c r="Y42" s="227"/>
      <c r="Z42" s="228"/>
      <c r="AA42" s="200"/>
      <c r="AB42" s="193"/>
      <c r="AC42" s="193"/>
      <c r="AD42" s="221"/>
      <c r="AE42" s="229"/>
      <c r="AF42" s="229"/>
      <c r="AG42" s="221"/>
      <c r="AH42" s="230"/>
      <c r="AI42" s="231"/>
      <c r="AJ42" s="189"/>
      <c r="AK42" s="203"/>
      <c r="AL42" s="204"/>
      <c r="AM42" s="203"/>
      <c r="AN42" s="169"/>
      <c r="AP42" s="169"/>
      <c r="AR42" s="169"/>
      <c r="AT42" s="169"/>
      <c r="AY42" s="169"/>
      <c r="BB42" s="169"/>
      <c r="BC42" s="169"/>
    </row>
    <row r="43" spans="1:55" ht="10.5" x14ac:dyDescent="0.25">
      <c r="A43" s="233"/>
      <c r="B43" s="240"/>
      <c r="C43" s="227"/>
      <c r="D43" s="221"/>
      <c r="E43" s="219"/>
      <c r="F43" s="220"/>
      <c r="G43" s="222"/>
      <c r="H43" s="222"/>
      <c r="I43" s="221"/>
      <c r="J43" s="219"/>
      <c r="K43" s="240"/>
      <c r="L43" s="241"/>
      <c r="M43" s="222"/>
      <c r="N43" s="223"/>
      <c r="O43" s="224"/>
      <c r="P43" s="225"/>
      <c r="Q43" s="224"/>
      <c r="R43" s="242"/>
      <c r="S43" s="243"/>
      <c r="T43" s="242"/>
      <c r="U43" s="221"/>
      <c r="V43" s="221"/>
      <c r="W43" s="219"/>
      <c r="X43" s="226"/>
      <c r="Y43" s="227"/>
      <c r="Z43" s="228"/>
      <c r="AA43" s="200"/>
      <c r="AB43" s="193"/>
      <c r="AC43" s="193"/>
      <c r="AD43" s="221"/>
      <c r="AE43" s="229"/>
      <c r="AF43" s="229"/>
      <c r="AG43" s="221"/>
      <c r="AH43" s="230"/>
      <c r="AI43" s="231"/>
      <c r="AJ43" s="189"/>
      <c r="AK43" s="203"/>
      <c r="AL43" s="204"/>
      <c r="AM43" s="203"/>
      <c r="AN43" s="169"/>
      <c r="AP43" s="169"/>
      <c r="AR43" s="169"/>
      <c r="AT43" s="169"/>
      <c r="AY43" s="169"/>
      <c r="BB43" s="169"/>
      <c r="BC43" s="169"/>
    </row>
    <row r="44" spans="1:55" ht="10.5" x14ac:dyDescent="0.25">
      <c r="A44" s="233"/>
      <c r="B44" s="240"/>
      <c r="C44" s="227"/>
      <c r="D44" s="221"/>
      <c r="E44" s="219"/>
      <c r="F44" s="220"/>
      <c r="G44" s="222"/>
      <c r="H44" s="222"/>
      <c r="I44" s="221"/>
      <c r="J44" s="219"/>
      <c r="K44" s="240"/>
      <c r="L44" s="241"/>
      <c r="M44" s="222"/>
      <c r="N44" s="223"/>
      <c r="O44" s="224"/>
      <c r="P44" s="225"/>
      <c r="Q44" s="224"/>
      <c r="R44" s="242"/>
      <c r="S44" s="243"/>
      <c r="T44" s="242"/>
      <c r="U44" s="221"/>
      <c r="V44" s="221"/>
      <c r="W44" s="219"/>
      <c r="X44" s="226"/>
      <c r="Y44" s="227"/>
      <c r="Z44" s="228"/>
      <c r="AA44" s="200"/>
      <c r="AB44" s="193"/>
      <c r="AC44" s="193"/>
      <c r="AD44" s="221"/>
      <c r="AE44" s="229"/>
      <c r="AF44" s="229"/>
      <c r="AG44" s="221"/>
      <c r="AH44" s="230"/>
      <c r="AI44" s="231"/>
      <c r="AJ44" s="189"/>
      <c r="AK44" s="203"/>
      <c r="AL44" s="204"/>
      <c r="AM44" s="203"/>
      <c r="AN44" s="169"/>
      <c r="AP44" s="169"/>
      <c r="AR44" s="169"/>
      <c r="AT44" s="169"/>
      <c r="AY44" s="169"/>
      <c r="BB44" s="169"/>
      <c r="BC44" s="169"/>
    </row>
    <row r="45" spans="1:55" ht="10.5" x14ac:dyDescent="0.25">
      <c r="A45" s="233"/>
      <c r="B45" s="240"/>
      <c r="C45" s="227"/>
      <c r="D45" s="221"/>
      <c r="E45" s="219"/>
      <c r="F45" s="220"/>
      <c r="G45" s="222"/>
      <c r="H45" s="222"/>
      <c r="I45" s="221"/>
      <c r="J45" s="219"/>
      <c r="K45" s="240"/>
      <c r="L45" s="241"/>
      <c r="M45" s="222"/>
      <c r="N45" s="223"/>
      <c r="O45" s="224"/>
      <c r="P45" s="225"/>
      <c r="Q45" s="224"/>
      <c r="R45" s="242"/>
      <c r="S45" s="243"/>
      <c r="T45" s="242"/>
      <c r="U45" s="221"/>
      <c r="V45" s="221"/>
      <c r="W45" s="219"/>
      <c r="X45" s="226"/>
      <c r="Y45" s="227"/>
      <c r="Z45" s="228"/>
      <c r="AA45" s="200"/>
      <c r="AB45" s="193"/>
      <c r="AC45" s="193"/>
      <c r="AD45" s="221"/>
      <c r="AE45" s="229"/>
      <c r="AF45" s="229"/>
      <c r="AG45" s="221"/>
      <c r="AH45" s="230"/>
      <c r="AI45" s="231"/>
      <c r="AJ45" s="189"/>
      <c r="AK45" s="203"/>
      <c r="AL45" s="204"/>
      <c r="AM45" s="203"/>
      <c r="AN45" s="169"/>
      <c r="AP45" s="169"/>
      <c r="AR45" s="169"/>
      <c r="AT45" s="169"/>
      <c r="AY45" s="169"/>
      <c r="BB45" s="169"/>
      <c r="BC45" s="169"/>
    </row>
    <row r="46" spans="1:55" ht="10.5" x14ac:dyDescent="0.25">
      <c r="A46" s="233"/>
      <c r="B46" s="240"/>
      <c r="C46" s="227"/>
      <c r="D46" s="221"/>
      <c r="E46" s="219"/>
      <c r="F46" s="220"/>
      <c r="G46" s="222"/>
      <c r="H46" s="222"/>
      <c r="I46" s="221"/>
      <c r="J46" s="219"/>
      <c r="K46" s="240"/>
      <c r="L46" s="241"/>
      <c r="M46" s="222"/>
      <c r="N46" s="223"/>
      <c r="O46" s="224"/>
      <c r="P46" s="225"/>
      <c r="Q46" s="224"/>
      <c r="R46" s="242"/>
      <c r="S46" s="243"/>
      <c r="T46" s="242"/>
      <c r="U46" s="221"/>
      <c r="V46" s="221"/>
      <c r="W46" s="219"/>
      <c r="X46" s="226"/>
      <c r="Y46" s="227"/>
      <c r="Z46" s="228"/>
      <c r="AA46" s="200"/>
      <c r="AB46" s="193"/>
      <c r="AC46" s="193"/>
      <c r="AD46" s="221"/>
      <c r="AE46" s="229"/>
      <c r="AF46" s="229"/>
      <c r="AG46" s="221"/>
      <c r="AH46" s="230"/>
      <c r="AI46" s="231"/>
      <c r="AJ46" s="189"/>
      <c r="AK46" s="203"/>
      <c r="AL46" s="204"/>
      <c r="AM46" s="203"/>
      <c r="AN46" s="169"/>
      <c r="AP46" s="169"/>
      <c r="AR46" s="169"/>
      <c r="AT46" s="169"/>
      <c r="AY46" s="169"/>
      <c r="BB46" s="169"/>
      <c r="BC46" s="169"/>
    </row>
    <row r="47" spans="1:55" ht="10.5" x14ac:dyDescent="0.25">
      <c r="A47" s="233"/>
      <c r="B47" s="240"/>
      <c r="C47" s="227"/>
      <c r="D47" s="221"/>
      <c r="E47" s="219"/>
      <c r="F47" s="220"/>
      <c r="G47" s="222"/>
      <c r="H47" s="222"/>
      <c r="I47" s="221"/>
      <c r="J47" s="219"/>
      <c r="K47" s="240"/>
      <c r="L47" s="241"/>
      <c r="M47" s="222"/>
      <c r="N47" s="223"/>
      <c r="O47" s="224"/>
      <c r="P47" s="225"/>
      <c r="Q47" s="224"/>
      <c r="R47" s="242"/>
      <c r="S47" s="243"/>
      <c r="T47" s="242"/>
      <c r="U47" s="221"/>
      <c r="V47" s="221"/>
      <c r="W47" s="219"/>
      <c r="X47" s="226"/>
      <c r="Y47" s="227"/>
      <c r="Z47" s="228"/>
      <c r="AA47" s="200"/>
      <c r="AB47" s="193"/>
      <c r="AC47" s="193"/>
      <c r="AD47" s="221"/>
      <c r="AE47" s="229"/>
      <c r="AF47" s="229"/>
      <c r="AG47" s="221"/>
      <c r="AH47" s="230"/>
      <c r="AI47" s="231"/>
      <c r="AJ47" s="189"/>
      <c r="AK47" s="203"/>
      <c r="AL47" s="204"/>
      <c r="AM47" s="203"/>
      <c r="AN47" s="169"/>
      <c r="AP47" s="169"/>
      <c r="AR47" s="169"/>
      <c r="AT47" s="169"/>
      <c r="AY47" s="169"/>
      <c r="BB47" s="169"/>
      <c r="BC47" s="169"/>
    </row>
    <row r="48" spans="1:55" ht="10.5" x14ac:dyDescent="0.25">
      <c r="A48" s="233"/>
      <c r="B48" s="240"/>
      <c r="C48" s="227"/>
      <c r="D48" s="221"/>
      <c r="E48" s="219"/>
      <c r="F48" s="220"/>
      <c r="G48" s="222"/>
      <c r="H48" s="222"/>
      <c r="I48" s="221"/>
      <c r="J48" s="219"/>
      <c r="K48" s="240"/>
      <c r="L48" s="241"/>
      <c r="M48" s="222"/>
      <c r="N48" s="223"/>
      <c r="O48" s="224"/>
      <c r="P48" s="225"/>
      <c r="Q48" s="224"/>
      <c r="R48" s="242"/>
      <c r="S48" s="243"/>
      <c r="T48" s="242"/>
      <c r="U48" s="221"/>
      <c r="V48" s="221"/>
      <c r="W48" s="219"/>
      <c r="X48" s="226"/>
      <c r="Y48" s="227"/>
      <c r="Z48" s="228"/>
      <c r="AA48" s="200"/>
      <c r="AB48" s="193"/>
      <c r="AC48" s="193"/>
      <c r="AD48" s="221"/>
      <c r="AE48" s="229"/>
      <c r="AF48" s="229"/>
      <c r="AG48" s="221"/>
      <c r="AH48" s="230"/>
      <c r="AI48" s="231"/>
      <c r="AJ48" s="189"/>
      <c r="AK48" s="203"/>
      <c r="AL48" s="204"/>
      <c r="AM48" s="203"/>
      <c r="AN48" s="169"/>
      <c r="AP48" s="169"/>
      <c r="AR48" s="169"/>
      <c r="AT48" s="169"/>
      <c r="AY48" s="169"/>
      <c r="BB48" s="169"/>
      <c r="BC48" s="169"/>
    </row>
    <row r="49" spans="1:55" ht="10.5" x14ac:dyDescent="0.25">
      <c r="A49" s="233"/>
      <c r="B49" s="240"/>
      <c r="C49" s="227"/>
      <c r="D49" s="221"/>
      <c r="E49" s="219"/>
      <c r="F49" s="220"/>
      <c r="G49" s="222"/>
      <c r="H49" s="222"/>
      <c r="I49" s="221"/>
      <c r="J49" s="219"/>
      <c r="K49" s="240"/>
      <c r="L49" s="241"/>
      <c r="M49" s="222"/>
      <c r="N49" s="223"/>
      <c r="O49" s="224"/>
      <c r="P49" s="225"/>
      <c r="Q49" s="224"/>
      <c r="R49" s="242"/>
      <c r="S49" s="243"/>
      <c r="T49" s="242"/>
      <c r="U49" s="221"/>
      <c r="V49" s="221"/>
      <c r="W49" s="219"/>
      <c r="X49" s="226"/>
      <c r="Y49" s="227"/>
      <c r="Z49" s="228"/>
      <c r="AA49" s="200"/>
      <c r="AB49" s="193"/>
      <c r="AC49" s="193"/>
      <c r="AD49" s="221"/>
      <c r="AE49" s="229"/>
      <c r="AF49" s="229"/>
      <c r="AG49" s="221"/>
      <c r="AH49" s="230"/>
      <c r="AI49" s="231"/>
      <c r="AJ49" s="189"/>
      <c r="AK49" s="203"/>
      <c r="AL49" s="204"/>
      <c r="AM49" s="203"/>
      <c r="AN49" s="169"/>
      <c r="AP49" s="169"/>
      <c r="AR49" s="169"/>
      <c r="AT49" s="169"/>
      <c r="AY49" s="169"/>
      <c r="BB49" s="169"/>
      <c r="BC49" s="169"/>
    </row>
    <row r="50" spans="1:55" ht="10.5" x14ac:dyDescent="0.25">
      <c r="A50" s="233"/>
      <c r="B50" s="240"/>
      <c r="C50" s="227"/>
      <c r="D50" s="221"/>
      <c r="E50" s="219"/>
      <c r="F50" s="220"/>
      <c r="G50" s="222"/>
      <c r="H50" s="222"/>
      <c r="I50" s="221"/>
      <c r="J50" s="219"/>
      <c r="K50" s="240"/>
      <c r="L50" s="241"/>
      <c r="M50" s="222"/>
      <c r="N50" s="223"/>
      <c r="O50" s="224"/>
      <c r="P50" s="225"/>
      <c r="Q50" s="224"/>
      <c r="R50" s="242"/>
      <c r="S50" s="243"/>
      <c r="T50" s="242"/>
      <c r="U50" s="221"/>
      <c r="V50" s="221"/>
      <c r="W50" s="219"/>
      <c r="X50" s="226"/>
      <c r="Y50" s="227"/>
      <c r="Z50" s="228"/>
      <c r="AA50" s="200"/>
      <c r="AB50" s="193"/>
      <c r="AC50" s="193"/>
      <c r="AD50" s="221"/>
      <c r="AE50" s="229"/>
      <c r="AF50" s="229"/>
      <c r="AG50" s="221"/>
      <c r="AH50" s="230"/>
      <c r="AI50" s="231"/>
      <c r="AJ50" s="189"/>
      <c r="AK50" s="203"/>
      <c r="AL50" s="204"/>
      <c r="AM50" s="203"/>
      <c r="AN50" s="169"/>
      <c r="AP50" s="169"/>
      <c r="AR50" s="169"/>
      <c r="AT50" s="169"/>
      <c r="AY50" s="169"/>
      <c r="BB50" s="169"/>
      <c r="BC50" s="169"/>
    </row>
    <row r="51" spans="1:55" ht="10.5" x14ac:dyDescent="0.25">
      <c r="A51" s="233"/>
      <c r="B51" s="240"/>
      <c r="C51" s="227"/>
      <c r="D51" s="221"/>
      <c r="E51" s="219"/>
      <c r="F51" s="220"/>
      <c r="G51" s="222"/>
      <c r="H51" s="222"/>
      <c r="I51" s="221"/>
      <c r="J51" s="219"/>
      <c r="K51" s="240"/>
      <c r="L51" s="241"/>
      <c r="M51" s="222"/>
      <c r="N51" s="223"/>
      <c r="O51" s="224"/>
      <c r="P51" s="225"/>
      <c r="Q51" s="224"/>
      <c r="R51" s="242"/>
      <c r="S51" s="243"/>
      <c r="T51" s="242"/>
      <c r="U51" s="221"/>
      <c r="V51" s="221"/>
      <c r="W51" s="219"/>
      <c r="X51" s="226"/>
      <c r="Y51" s="227"/>
      <c r="Z51" s="228"/>
      <c r="AA51" s="200"/>
      <c r="AB51" s="193"/>
      <c r="AC51" s="193"/>
      <c r="AD51" s="221"/>
      <c r="AE51" s="229"/>
      <c r="AF51" s="229"/>
      <c r="AG51" s="221"/>
      <c r="AH51" s="230"/>
      <c r="AI51" s="231"/>
      <c r="AJ51" s="189"/>
      <c r="AK51" s="203"/>
      <c r="AL51" s="204"/>
      <c r="AM51" s="203"/>
      <c r="AN51" s="169"/>
      <c r="AP51" s="169"/>
      <c r="AR51" s="169"/>
      <c r="AT51" s="169"/>
      <c r="AY51" s="169"/>
      <c r="BB51" s="169"/>
      <c r="BC51" s="169"/>
    </row>
    <row r="52" spans="1:55" ht="10.5" x14ac:dyDescent="0.25">
      <c r="A52" s="233"/>
      <c r="B52" s="240"/>
      <c r="C52" s="227"/>
      <c r="D52" s="221"/>
      <c r="E52" s="219"/>
      <c r="F52" s="220"/>
      <c r="G52" s="222"/>
      <c r="H52" s="222"/>
      <c r="I52" s="221"/>
      <c r="J52" s="219"/>
      <c r="K52" s="240"/>
      <c r="L52" s="241"/>
      <c r="M52" s="222"/>
      <c r="N52" s="223"/>
      <c r="O52" s="224"/>
      <c r="P52" s="225"/>
      <c r="Q52" s="224"/>
      <c r="R52" s="242"/>
      <c r="S52" s="243"/>
      <c r="T52" s="242"/>
      <c r="U52" s="221"/>
      <c r="V52" s="221"/>
      <c r="W52" s="219"/>
      <c r="X52" s="226"/>
      <c r="Y52" s="227"/>
      <c r="Z52" s="228"/>
      <c r="AA52" s="200"/>
      <c r="AB52" s="193"/>
      <c r="AC52" s="193"/>
      <c r="AD52" s="221"/>
      <c r="AE52" s="229"/>
      <c r="AF52" s="229"/>
      <c r="AG52" s="221"/>
      <c r="AH52" s="230"/>
      <c r="AI52" s="231"/>
      <c r="AJ52" s="189"/>
      <c r="AK52" s="203"/>
      <c r="AL52" s="204"/>
      <c r="AM52" s="203"/>
      <c r="AN52" s="169"/>
      <c r="AP52" s="169"/>
      <c r="AR52" s="169"/>
      <c r="AT52" s="169"/>
      <c r="AY52" s="169"/>
      <c r="BB52" s="169"/>
      <c r="BC52" s="169"/>
    </row>
    <row r="53" spans="1:55" ht="10.5" x14ac:dyDescent="0.25">
      <c r="A53" s="233"/>
      <c r="B53" s="240"/>
      <c r="C53" s="227"/>
      <c r="D53" s="221"/>
      <c r="E53" s="219"/>
      <c r="F53" s="220"/>
      <c r="G53" s="222"/>
      <c r="H53" s="222"/>
      <c r="I53" s="221"/>
      <c r="J53" s="219"/>
      <c r="K53" s="240"/>
      <c r="L53" s="241"/>
      <c r="M53" s="222"/>
      <c r="N53" s="223"/>
      <c r="O53" s="224"/>
      <c r="P53" s="225"/>
      <c r="Q53" s="224"/>
      <c r="R53" s="242"/>
      <c r="S53" s="243"/>
      <c r="T53" s="242"/>
      <c r="U53" s="221"/>
      <c r="V53" s="221"/>
      <c r="W53" s="219"/>
      <c r="X53" s="226"/>
      <c r="Y53" s="227"/>
      <c r="Z53" s="228"/>
      <c r="AA53" s="200"/>
      <c r="AB53" s="193"/>
      <c r="AC53" s="193"/>
      <c r="AD53" s="221"/>
      <c r="AE53" s="229"/>
      <c r="AF53" s="229"/>
      <c r="AG53" s="221"/>
      <c r="AH53" s="230"/>
      <c r="AI53" s="231"/>
      <c r="AJ53" s="189"/>
      <c r="AK53" s="203"/>
      <c r="AL53" s="204"/>
      <c r="AM53" s="203"/>
      <c r="AN53" s="169"/>
      <c r="AP53" s="169"/>
      <c r="AR53" s="169"/>
      <c r="AT53" s="169"/>
      <c r="AY53" s="169"/>
      <c r="BB53" s="169"/>
      <c r="BC53" s="169"/>
    </row>
    <row r="54" spans="1:55" ht="10.5" x14ac:dyDescent="0.25">
      <c r="A54" s="233"/>
      <c r="B54" s="240"/>
      <c r="C54" s="227"/>
      <c r="D54" s="221"/>
      <c r="E54" s="219"/>
      <c r="F54" s="220"/>
      <c r="G54" s="222"/>
      <c r="H54" s="222"/>
      <c r="I54" s="221"/>
      <c r="J54" s="219"/>
      <c r="K54" s="240"/>
      <c r="L54" s="241"/>
      <c r="M54" s="222"/>
      <c r="N54" s="223"/>
      <c r="O54" s="224"/>
      <c r="P54" s="225"/>
      <c r="Q54" s="224"/>
      <c r="R54" s="242"/>
      <c r="S54" s="243"/>
      <c r="T54" s="242"/>
      <c r="U54" s="221"/>
      <c r="V54" s="221"/>
      <c r="W54" s="219"/>
      <c r="X54" s="226"/>
      <c r="Y54" s="227"/>
      <c r="Z54" s="228"/>
      <c r="AA54" s="200"/>
      <c r="AB54" s="193"/>
      <c r="AC54" s="193"/>
      <c r="AD54" s="221"/>
      <c r="AE54" s="229"/>
      <c r="AF54" s="229"/>
      <c r="AG54" s="221"/>
      <c r="AH54" s="230"/>
      <c r="AI54" s="231"/>
      <c r="AJ54" s="189"/>
      <c r="AK54" s="203"/>
      <c r="AL54" s="204"/>
      <c r="AM54" s="203"/>
      <c r="AN54" s="169"/>
      <c r="AP54" s="169"/>
      <c r="AR54" s="169"/>
      <c r="AT54" s="169"/>
      <c r="AY54" s="169"/>
      <c r="BB54" s="169"/>
      <c r="BC54" s="169"/>
    </row>
    <row r="55" spans="1:55" ht="10.5" x14ac:dyDescent="0.25">
      <c r="A55" s="233"/>
      <c r="B55" s="240"/>
      <c r="C55" s="227"/>
      <c r="D55" s="221"/>
      <c r="E55" s="219"/>
      <c r="F55" s="220"/>
      <c r="G55" s="222"/>
      <c r="H55" s="222"/>
      <c r="I55" s="221"/>
      <c r="J55" s="219"/>
      <c r="K55" s="240"/>
      <c r="L55" s="241"/>
      <c r="M55" s="222"/>
      <c r="N55" s="223"/>
      <c r="O55" s="224"/>
      <c r="P55" s="225"/>
      <c r="Q55" s="224"/>
      <c r="R55" s="242"/>
      <c r="S55" s="243"/>
      <c r="T55" s="242"/>
      <c r="U55" s="221"/>
      <c r="V55" s="221"/>
      <c r="W55" s="219"/>
      <c r="X55" s="226"/>
      <c r="Y55" s="227"/>
      <c r="Z55" s="228"/>
      <c r="AA55" s="200"/>
      <c r="AB55" s="193"/>
      <c r="AC55" s="193"/>
      <c r="AD55" s="221"/>
      <c r="AE55" s="229"/>
      <c r="AF55" s="229"/>
      <c r="AG55" s="221"/>
      <c r="AH55" s="230"/>
      <c r="AI55" s="231"/>
      <c r="AJ55" s="189"/>
      <c r="AK55" s="203"/>
      <c r="AL55" s="204"/>
      <c r="AM55" s="203"/>
      <c r="AN55" s="169"/>
      <c r="AP55" s="169"/>
      <c r="AR55" s="169"/>
      <c r="AT55" s="169"/>
      <c r="AY55" s="169"/>
      <c r="BB55" s="169"/>
      <c r="BC55" s="169"/>
    </row>
    <row r="56" spans="1:55" ht="10.5" x14ac:dyDescent="0.25">
      <c r="A56" s="233"/>
      <c r="B56" s="240"/>
      <c r="C56" s="227"/>
      <c r="D56" s="221"/>
      <c r="E56" s="219"/>
      <c r="F56" s="220"/>
      <c r="G56" s="222"/>
      <c r="H56" s="222"/>
      <c r="I56" s="221"/>
      <c r="J56" s="219"/>
      <c r="K56" s="240"/>
      <c r="L56" s="241"/>
      <c r="M56" s="222"/>
      <c r="N56" s="223"/>
      <c r="O56" s="224"/>
      <c r="P56" s="225"/>
      <c r="Q56" s="224"/>
      <c r="R56" s="242"/>
      <c r="S56" s="243"/>
      <c r="T56" s="242"/>
      <c r="U56" s="221"/>
      <c r="V56" s="221"/>
      <c r="W56" s="219"/>
      <c r="X56" s="226"/>
      <c r="Y56" s="227"/>
      <c r="Z56" s="228"/>
      <c r="AA56" s="200"/>
      <c r="AB56" s="193"/>
      <c r="AC56" s="193"/>
      <c r="AD56" s="221"/>
      <c r="AE56" s="229"/>
      <c r="AF56" s="229"/>
      <c r="AG56" s="221"/>
      <c r="AH56" s="230"/>
      <c r="AI56" s="231"/>
      <c r="AJ56" s="189"/>
      <c r="AK56" s="203"/>
      <c r="AL56" s="204"/>
      <c r="AM56" s="203"/>
      <c r="AN56" s="169"/>
      <c r="AP56" s="169"/>
      <c r="AR56" s="169"/>
      <c r="AT56" s="169"/>
      <c r="AY56" s="169"/>
      <c r="BB56" s="169"/>
      <c r="BC56" s="169"/>
    </row>
    <row r="57" spans="1:55" ht="10.5" x14ac:dyDescent="0.25">
      <c r="A57" s="233"/>
      <c r="B57" s="240"/>
      <c r="C57" s="227"/>
      <c r="D57" s="221"/>
      <c r="E57" s="219"/>
      <c r="F57" s="220"/>
      <c r="G57" s="222"/>
      <c r="H57" s="222"/>
      <c r="I57" s="221"/>
      <c r="J57" s="219"/>
      <c r="K57" s="240"/>
      <c r="L57" s="241"/>
      <c r="M57" s="222"/>
      <c r="N57" s="223"/>
      <c r="O57" s="224"/>
      <c r="P57" s="225"/>
      <c r="Q57" s="224"/>
      <c r="R57" s="242"/>
      <c r="S57" s="243"/>
      <c r="T57" s="242"/>
      <c r="U57" s="221"/>
      <c r="V57" s="221"/>
      <c r="W57" s="219"/>
      <c r="X57" s="226"/>
      <c r="Y57" s="227"/>
      <c r="Z57" s="228"/>
      <c r="AA57" s="200"/>
      <c r="AB57" s="193"/>
      <c r="AC57" s="193"/>
      <c r="AD57" s="221"/>
      <c r="AE57" s="229"/>
      <c r="AF57" s="229"/>
      <c r="AG57" s="221"/>
      <c r="AH57" s="230"/>
      <c r="AI57" s="231"/>
      <c r="AJ57" s="189"/>
      <c r="AK57" s="203"/>
      <c r="AL57" s="204"/>
      <c r="AM57" s="203"/>
      <c r="AN57" s="169"/>
      <c r="AP57" s="169"/>
      <c r="AR57" s="169"/>
      <c r="AT57" s="169"/>
      <c r="AY57" s="169"/>
      <c r="BB57" s="169"/>
      <c r="BC57" s="169"/>
    </row>
    <row r="58" spans="1:55" s="236" customFormat="1" ht="10.5" x14ac:dyDescent="0.25">
      <c r="A58" s="219"/>
      <c r="B58" s="240"/>
      <c r="C58" s="227"/>
      <c r="D58" s="221"/>
      <c r="E58" s="219"/>
      <c r="F58" s="220"/>
      <c r="G58" s="222"/>
      <c r="H58" s="222"/>
      <c r="I58" s="221"/>
      <c r="J58" s="219"/>
      <c r="K58" s="240"/>
      <c r="L58" s="241"/>
      <c r="M58" s="222"/>
      <c r="N58" s="223"/>
      <c r="O58" s="224"/>
      <c r="P58" s="225"/>
      <c r="Q58" s="224"/>
      <c r="R58" s="242"/>
      <c r="S58" s="243"/>
      <c r="T58" s="242"/>
      <c r="U58" s="221"/>
      <c r="V58" s="221"/>
      <c r="W58" s="219"/>
      <c r="X58" s="226"/>
      <c r="Y58" s="227"/>
      <c r="Z58" s="228"/>
      <c r="AA58" s="200"/>
      <c r="AB58" s="193"/>
      <c r="AC58" s="193"/>
      <c r="AD58" s="221"/>
      <c r="AE58" s="229"/>
      <c r="AF58" s="229"/>
      <c r="AG58" s="221"/>
      <c r="AH58" s="230"/>
      <c r="AI58" s="231"/>
      <c r="AJ58" s="189"/>
      <c r="AK58" s="203"/>
      <c r="AL58" s="204"/>
      <c r="AM58" s="203"/>
    </row>
    <row r="59" spans="1:55" s="236" customFormat="1" ht="10.5" x14ac:dyDescent="0.25">
      <c r="A59" s="219"/>
      <c r="B59" s="240"/>
      <c r="C59" s="227"/>
      <c r="D59" s="221"/>
      <c r="E59" s="219"/>
      <c r="F59" s="220"/>
      <c r="G59" s="222"/>
      <c r="H59" s="222"/>
      <c r="I59" s="221"/>
      <c r="J59" s="219"/>
      <c r="K59" s="240"/>
      <c r="L59" s="241"/>
      <c r="M59" s="222"/>
      <c r="N59" s="223"/>
      <c r="O59" s="224"/>
      <c r="P59" s="225"/>
      <c r="Q59" s="224"/>
      <c r="R59" s="242"/>
      <c r="S59" s="243"/>
      <c r="T59" s="242"/>
      <c r="U59" s="221"/>
      <c r="V59" s="221"/>
      <c r="W59" s="219"/>
      <c r="X59" s="226"/>
      <c r="Y59" s="227"/>
      <c r="Z59" s="228"/>
      <c r="AA59" s="200"/>
      <c r="AB59" s="193"/>
      <c r="AC59" s="193"/>
      <c r="AD59" s="221"/>
      <c r="AE59" s="229"/>
      <c r="AF59" s="229"/>
      <c r="AG59" s="221"/>
      <c r="AH59" s="230"/>
      <c r="AI59" s="231"/>
      <c r="AJ59" s="189"/>
      <c r="AK59" s="203"/>
      <c r="AL59" s="204"/>
      <c r="AM59" s="203"/>
    </row>
    <row r="60" spans="1:55" s="236" customFormat="1" ht="10.5" x14ac:dyDescent="0.25">
      <c r="A60" s="219"/>
      <c r="B60" s="240"/>
      <c r="C60" s="227"/>
      <c r="D60" s="221"/>
      <c r="E60" s="219"/>
      <c r="F60" s="220"/>
      <c r="G60" s="222"/>
      <c r="H60" s="222"/>
      <c r="I60" s="221"/>
      <c r="J60" s="219"/>
      <c r="K60" s="240"/>
      <c r="L60" s="241"/>
      <c r="M60" s="222"/>
      <c r="N60" s="223"/>
      <c r="O60" s="224"/>
      <c r="P60" s="225"/>
      <c r="Q60" s="224"/>
      <c r="R60" s="242"/>
      <c r="S60" s="243"/>
      <c r="T60" s="242"/>
      <c r="U60" s="221"/>
      <c r="V60" s="221"/>
      <c r="W60" s="219"/>
      <c r="X60" s="226"/>
      <c r="Y60" s="227"/>
      <c r="Z60" s="228"/>
      <c r="AA60" s="200"/>
      <c r="AB60" s="193"/>
      <c r="AC60" s="193"/>
      <c r="AD60" s="221"/>
      <c r="AE60" s="229"/>
      <c r="AF60" s="229"/>
      <c r="AG60" s="221"/>
      <c r="AH60" s="230"/>
      <c r="AI60" s="231"/>
      <c r="AJ60" s="189"/>
      <c r="AK60" s="203"/>
      <c r="AL60" s="204"/>
      <c r="AM60" s="203"/>
    </row>
    <row r="61" spans="1:55" s="236" customFormat="1" ht="10.5" x14ac:dyDescent="0.25">
      <c r="A61" s="219"/>
      <c r="B61" s="240"/>
      <c r="C61" s="227"/>
      <c r="D61" s="221"/>
      <c r="E61" s="219"/>
      <c r="F61" s="220"/>
      <c r="G61" s="222"/>
      <c r="H61" s="222"/>
      <c r="I61" s="221"/>
      <c r="J61" s="219"/>
      <c r="K61" s="240"/>
      <c r="L61" s="241"/>
      <c r="M61" s="222"/>
      <c r="N61" s="223"/>
      <c r="O61" s="224"/>
      <c r="P61" s="225"/>
      <c r="Q61" s="224"/>
      <c r="R61" s="242"/>
      <c r="S61" s="243"/>
      <c r="T61" s="242"/>
      <c r="U61" s="221"/>
      <c r="V61" s="221"/>
      <c r="W61" s="219"/>
      <c r="X61" s="226"/>
      <c r="Y61" s="227"/>
      <c r="Z61" s="228"/>
      <c r="AA61" s="200"/>
      <c r="AB61" s="193"/>
      <c r="AC61" s="193"/>
      <c r="AD61" s="221"/>
      <c r="AE61" s="229"/>
      <c r="AF61" s="229"/>
      <c r="AG61" s="221"/>
      <c r="AH61" s="230"/>
      <c r="AI61" s="231"/>
      <c r="AJ61" s="189"/>
      <c r="AK61" s="203"/>
      <c r="AL61" s="204"/>
      <c r="AM61" s="203"/>
    </row>
    <row r="62" spans="1:55" s="236" customFormat="1" ht="10.5" x14ac:dyDescent="0.25">
      <c r="A62" s="219"/>
      <c r="B62" s="240"/>
      <c r="C62" s="227"/>
      <c r="D62" s="221"/>
      <c r="E62" s="219"/>
      <c r="F62" s="220"/>
      <c r="G62" s="222"/>
      <c r="H62" s="222"/>
      <c r="I62" s="221"/>
      <c r="J62" s="219"/>
      <c r="K62" s="240"/>
      <c r="L62" s="241"/>
      <c r="M62" s="222"/>
      <c r="N62" s="223"/>
      <c r="O62" s="224"/>
      <c r="P62" s="225"/>
      <c r="Q62" s="224"/>
      <c r="R62" s="242"/>
      <c r="S62" s="243"/>
      <c r="T62" s="242"/>
      <c r="U62" s="221"/>
      <c r="V62" s="221"/>
      <c r="W62" s="219"/>
      <c r="X62" s="226"/>
      <c r="Y62" s="227"/>
      <c r="Z62" s="228"/>
      <c r="AA62" s="200"/>
      <c r="AB62" s="193"/>
      <c r="AC62" s="193"/>
      <c r="AD62" s="221"/>
      <c r="AE62" s="229"/>
      <c r="AF62" s="229"/>
      <c r="AG62" s="221"/>
      <c r="AH62" s="230"/>
      <c r="AI62" s="231"/>
      <c r="AJ62" s="189"/>
      <c r="AK62" s="203"/>
      <c r="AL62" s="204"/>
      <c r="AM62" s="203"/>
    </row>
    <row r="63" spans="1:55" s="236" customFormat="1" ht="10.5" x14ac:dyDescent="0.25">
      <c r="A63" s="219"/>
      <c r="B63" s="240"/>
      <c r="C63" s="227"/>
      <c r="D63" s="221"/>
      <c r="E63" s="219"/>
      <c r="F63" s="220"/>
      <c r="G63" s="222"/>
      <c r="H63" s="222"/>
      <c r="I63" s="221"/>
      <c r="J63" s="219"/>
      <c r="K63" s="240"/>
      <c r="L63" s="241"/>
      <c r="M63" s="222"/>
      <c r="N63" s="223"/>
      <c r="O63" s="224"/>
      <c r="P63" s="225"/>
      <c r="Q63" s="224"/>
      <c r="R63" s="242"/>
      <c r="S63" s="243"/>
      <c r="T63" s="242"/>
      <c r="U63" s="221"/>
      <c r="V63" s="221"/>
      <c r="W63" s="219"/>
      <c r="X63" s="226"/>
      <c r="Y63" s="227"/>
      <c r="Z63" s="228"/>
      <c r="AA63" s="200"/>
      <c r="AB63" s="193"/>
      <c r="AC63" s="193"/>
      <c r="AD63" s="221"/>
      <c r="AE63" s="229"/>
      <c r="AF63" s="229"/>
      <c r="AG63" s="221"/>
      <c r="AH63" s="230"/>
      <c r="AI63" s="231"/>
      <c r="AJ63" s="189"/>
      <c r="AK63" s="203"/>
      <c r="AL63" s="204"/>
      <c r="AM63" s="203"/>
    </row>
    <row r="64" spans="1:55" s="236" customFormat="1" ht="10.5" x14ac:dyDescent="0.25">
      <c r="A64" s="219"/>
      <c r="B64" s="240"/>
      <c r="C64" s="227"/>
      <c r="D64" s="221"/>
      <c r="E64" s="219"/>
      <c r="F64" s="220"/>
      <c r="G64" s="222"/>
      <c r="H64" s="222"/>
      <c r="I64" s="221"/>
      <c r="J64" s="219"/>
      <c r="K64" s="240"/>
      <c r="L64" s="241"/>
      <c r="M64" s="222"/>
      <c r="N64" s="223"/>
      <c r="O64" s="224"/>
      <c r="P64" s="225"/>
      <c r="Q64" s="224"/>
      <c r="R64" s="242"/>
      <c r="S64" s="243"/>
      <c r="T64" s="242"/>
      <c r="U64" s="221"/>
      <c r="V64" s="221"/>
      <c r="W64" s="219"/>
      <c r="X64" s="226"/>
      <c r="Y64" s="227"/>
      <c r="Z64" s="228"/>
      <c r="AA64" s="200"/>
      <c r="AB64" s="193"/>
      <c r="AC64" s="193"/>
      <c r="AD64" s="221"/>
      <c r="AE64" s="229"/>
      <c r="AF64" s="229"/>
      <c r="AG64" s="221"/>
      <c r="AH64" s="230"/>
      <c r="AI64" s="231"/>
      <c r="AJ64" s="189"/>
      <c r="AK64" s="203"/>
      <c r="AL64" s="204"/>
      <c r="AM64" s="203"/>
    </row>
    <row r="65" spans="1:39" s="236" customFormat="1" ht="10.5" x14ac:dyDescent="0.25">
      <c r="A65" s="219"/>
      <c r="B65" s="240"/>
      <c r="C65" s="227"/>
      <c r="D65" s="221"/>
      <c r="E65" s="219"/>
      <c r="F65" s="220"/>
      <c r="G65" s="222"/>
      <c r="H65" s="222"/>
      <c r="I65" s="221"/>
      <c r="J65" s="219"/>
      <c r="K65" s="240"/>
      <c r="L65" s="241"/>
      <c r="M65" s="222"/>
      <c r="N65" s="223"/>
      <c r="O65" s="224"/>
      <c r="P65" s="225"/>
      <c r="Q65" s="224"/>
      <c r="R65" s="242"/>
      <c r="S65" s="243"/>
      <c r="T65" s="242"/>
      <c r="U65" s="221"/>
      <c r="V65" s="221"/>
      <c r="W65" s="219"/>
      <c r="X65" s="226"/>
      <c r="Y65" s="227"/>
      <c r="Z65" s="228"/>
      <c r="AA65" s="200"/>
      <c r="AB65" s="193"/>
      <c r="AC65" s="193"/>
      <c r="AD65" s="221"/>
      <c r="AE65" s="229"/>
      <c r="AF65" s="229"/>
      <c r="AG65" s="221"/>
      <c r="AH65" s="230"/>
      <c r="AI65" s="231"/>
      <c r="AJ65" s="189"/>
      <c r="AK65" s="203"/>
      <c r="AL65" s="204"/>
      <c r="AM65" s="203"/>
    </row>
    <row r="66" spans="1:39" s="236" customFormat="1" ht="10.5" x14ac:dyDescent="0.25">
      <c r="A66" s="219"/>
      <c r="B66" s="240"/>
      <c r="C66" s="227"/>
      <c r="D66" s="221"/>
      <c r="E66" s="219"/>
      <c r="F66" s="220"/>
      <c r="G66" s="222"/>
      <c r="H66" s="222"/>
      <c r="I66" s="221"/>
      <c r="J66" s="219"/>
      <c r="K66" s="240"/>
      <c r="L66" s="241"/>
      <c r="M66" s="222"/>
      <c r="N66" s="223"/>
      <c r="O66" s="224"/>
      <c r="P66" s="225"/>
      <c r="Q66" s="224"/>
      <c r="R66" s="242"/>
      <c r="S66" s="243"/>
      <c r="T66" s="242"/>
      <c r="U66" s="221"/>
      <c r="V66" s="221"/>
      <c r="W66" s="219"/>
      <c r="X66" s="226"/>
      <c r="Y66" s="227"/>
      <c r="Z66" s="228"/>
      <c r="AA66" s="200"/>
      <c r="AB66" s="193"/>
      <c r="AC66" s="193"/>
      <c r="AD66" s="221"/>
      <c r="AE66" s="229"/>
      <c r="AF66" s="229"/>
      <c r="AG66" s="221"/>
      <c r="AH66" s="230"/>
      <c r="AI66" s="231"/>
      <c r="AJ66" s="189"/>
      <c r="AK66" s="203"/>
      <c r="AL66" s="204"/>
      <c r="AM66" s="203"/>
    </row>
    <row r="67" spans="1:39" s="236" customFormat="1" ht="10.5" x14ac:dyDescent="0.25">
      <c r="A67" s="219"/>
      <c r="B67" s="240"/>
      <c r="C67" s="227"/>
      <c r="D67" s="221"/>
      <c r="E67" s="219"/>
      <c r="F67" s="220"/>
      <c r="G67" s="222"/>
      <c r="H67" s="222"/>
      <c r="I67" s="221"/>
      <c r="J67" s="219"/>
      <c r="K67" s="240"/>
      <c r="L67" s="241"/>
      <c r="M67" s="222"/>
      <c r="N67" s="223"/>
      <c r="O67" s="224"/>
      <c r="P67" s="225"/>
      <c r="Q67" s="224"/>
      <c r="R67" s="242"/>
      <c r="S67" s="243"/>
      <c r="T67" s="242"/>
      <c r="U67" s="221"/>
      <c r="V67" s="221"/>
      <c r="W67" s="219"/>
      <c r="X67" s="226"/>
      <c r="Y67" s="227"/>
      <c r="Z67" s="228"/>
      <c r="AA67" s="200"/>
      <c r="AB67" s="193"/>
      <c r="AC67" s="193"/>
      <c r="AD67" s="221"/>
      <c r="AE67" s="229"/>
      <c r="AF67" s="229"/>
      <c r="AG67" s="221"/>
      <c r="AH67" s="230"/>
      <c r="AI67" s="231"/>
      <c r="AJ67" s="189"/>
      <c r="AK67" s="203"/>
      <c r="AL67" s="204"/>
      <c r="AM67" s="203"/>
    </row>
    <row r="68" spans="1:39" s="236" customFormat="1" ht="10.5" x14ac:dyDescent="0.25">
      <c r="A68" s="219"/>
      <c r="B68" s="240"/>
      <c r="C68" s="227"/>
      <c r="D68" s="221"/>
      <c r="E68" s="219"/>
      <c r="F68" s="220"/>
      <c r="G68" s="222"/>
      <c r="H68" s="222"/>
      <c r="I68" s="221"/>
      <c r="J68" s="219"/>
      <c r="K68" s="240"/>
      <c r="L68" s="241"/>
      <c r="M68" s="222"/>
      <c r="N68" s="223"/>
      <c r="O68" s="224"/>
      <c r="P68" s="225"/>
      <c r="Q68" s="224"/>
      <c r="R68" s="242"/>
      <c r="S68" s="243"/>
      <c r="T68" s="242"/>
      <c r="U68" s="221"/>
      <c r="V68" s="221"/>
      <c r="W68" s="219"/>
      <c r="X68" s="226"/>
      <c r="Y68" s="227"/>
      <c r="Z68" s="228"/>
      <c r="AA68" s="200"/>
      <c r="AB68" s="193"/>
      <c r="AC68" s="193"/>
      <c r="AD68" s="221"/>
      <c r="AE68" s="229"/>
      <c r="AF68" s="229"/>
      <c r="AG68" s="221"/>
      <c r="AH68" s="230"/>
      <c r="AI68" s="231"/>
      <c r="AJ68" s="189"/>
      <c r="AK68" s="203"/>
      <c r="AL68" s="204"/>
      <c r="AM68" s="203"/>
    </row>
    <row r="69" spans="1:39" s="236" customFormat="1" ht="10.5" x14ac:dyDescent="0.25">
      <c r="A69" s="219"/>
      <c r="B69" s="240"/>
      <c r="C69" s="227"/>
      <c r="D69" s="221"/>
      <c r="E69" s="219"/>
      <c r="F69" s="220"/>
      <c r="G69" s="222"/>
      <c r="H69" s="222"/>
      <c r="I69" s="221"/>
      <c r="J69" s="219"/>
      <c r="K69" s="240"/>
      <c r="L69" s="241"/>
      <c r="M69" s="222"/>
      <c r="N69" s="223"/>
      <c r="O69" s="224"/>
      <c r="P69" s="225"/>
      <c r="Q69" s="224"/>
      <c r="R69" s="242"/>
      <c r="S69" s="243"/>
      <c r="T69" s="242"/>
      <c r="U69" s="221"/>
      <c r="V69" s="221"/>
      <c r="W69" s="219"/>
      <c r="X69" s="226"/>
      <c r="Y69" s="227"/>
      <c r="Z69" s="228"/>
      <c r="AA69" s="200"/>
      <c r="AB69" s="193"/>
      <c r="AC69" s="193"/>
      <c r="AD69" s="221"/>
      <c r="AE69" s="229"/>
      <c r="AF69" s="229"/>
      <c r="AG69" s="221"/>
      <c r="AH69" s="230"/>
      <c r="AI69" s="231"/>
      <c r="AJ69" s="189"/>
      <c r="AK69" s="203"/>
      <c r="AL69" s="204"/>
      <c r="AM69" s="203"/>
    </row>
    <row r="70" spans="1:39" s="236" customFormat="1" ht="10.5" x14ac:dyDescent="0.25">
      <c r="A70" s="219"/>
      <c r="B70" s="240"/>
      <c r="C70" s="227"/>
      <c r="D70" s="221"/>
      <c r="E70" s="219"/>
      <c r="F70" s="220"/>
      <c r="G70" s="222"/>
      <c r="H70" s="222"/>
      <c r="I70" s="221"/>
      <c r="J70" s="219"/>
      <c r="K70" s="240"/>
      <c r="L70" s="241"/>
      <c r="M70" s="222"/>
      <c r="N70" s="223"/>
      <c r="O70" s="224"/>
      <c r="P70" s="225"/>
      <c r="Q70" s="224"/>
      <c r="R70" s="242"/>
      <c r="S70" s="243"/>
      <c r="T70" s="242"/>
      <c r="U70" s="221"/>
      <c r="V70" s="221"/>
      <c r="W70" s="219"/>
      <c r="X70" s="226"/>
      <c r="Y70" s="227"/>
      <c r="Z70" s="228"/>
      <c r="AA70" s="200"/>
      <c r="AB70" s="193"/>
      <c r="AC70" s="193"/>
      <c r="AD70" s="221"/>
      <c r="AE70" s="229"/>
      <c r="AF70" s="229"/>
      <c r="AG70" s="221"/>
      <c r="AH70" s="230"/>
      <c r="AI70" s="231"/>
      <c r="AJ70" s="189"/>
      <c r="AK70" s="203"/>
      <c r="AL70" s="204"/>
      <c r="AM70" s="203"/>
    </row>
    <row r="71" spans="1:39" s="236" customFormat="1" ht="10.5" x14ac:dyDescent="0.25">
      <c r="A71" s="219"/>
      <c r="B71" s="240"/>
      <c r="C71" s="227"/>
      <c r="D71" s="221"/>
      <c r="E71" s="219"/>
      <c r="F71" s="220"/>
      <c r="G71" s="222"/>
      <c r="H71" s="222"/>
      <c r="I71" s="221"/>
      <c r="J71" s="219"/>
      <c r="K71" s="240"/>
      <c r="L71" s="241"/>
      <c r="M71" s="222"/>
      <c r="N71" s="223"/>
      <c r="O71" s="224"/>
      <c r="P71" s="225"/>
      <c r="Q71" s="224"/>
      <c r="R71" s="242"/>
      <c r="S71" s="243"/>
      <c r="T71" s="242"/>
      <c r="U71" s="221"/>
      <c r="V71" s="221"/>
      <c r="W71" s="219"/>
      <c r="X71" s="226"/>
      <c r="Y71" s="227"/>
      <c r="Z71" s="228"/>
      <c r="AA71" s="200"/>
      <c r="AB71" s="193"/>
      <c r="AC71" s="193"/>
      <c r="AD71" s="221"/>
      <c r="AE71" s="229"/>
      <c r="AF71" s="229"/>
      <c r="AG71" s="221"/>
      <c r="AH71" s="230"/>
      <c r="AI71" s="231"/>
      <c r="AJ71" s="189"/>
      <c r="AK71" s="203"/>
      <c r="AL71" s="204"/>
      <c r="AM71" s="203"/>
    </row>
    <row r="72" spans="1:39" s="236" customFormat="1" ht="10.5" x14ac:dyDescent="0.25">
      <c r="A72" s="219"/>
      <c r="B72" s="240"/>
      <c r="C72" s="227"/>
      <c r="D72" s="221"/>
      <c r="E72" s="219"/>
      <c r="F72" s="220"/>
      <c r="G72" s="222"/>
      <c r="H72" s="222"/>
      <c r="I72" s="221"/>
      <c r="J72" s="219"/>
      <c r="K72" s="240"/>
      <c r="L72" s="241"/>
      <c r="M72" s="222"/>
      <c r="N72" s="223"/>
      <c r="O72" s="224"/>
      <c r="P72" s="225"/>
      <c r="Q72" s="224"/>
      <c r="R72" s="242"/>
      <c r="S72" s="243"/>
      <c r="T72" s="242"/>
      <c r="U72" s="221"/>
      <c r="V72" s="221"/>
      <c r="W72" s="219"/>
      <c r="X72" s="226"/>
      <c r="Y72" s="227"/>
      <c r="Z72" s="228"/>
      <c r="AA72" s="200"/>
      <c r="AB72" s="193"/>
      <c r="AC72" s="193"/>
      <c r="AD72" s="221"/>
      <c r="AE72" s="229"/>
      <c r="AF72" s="229"/>
      <c r="AG72" s="221"/>
      <c r="AH72" s="230"/>
      <c r="AI72" s="231"/>
      <c r="AJ72" s="189"/>
      <c r="AK72" s="203"/>
      <c r="AL72" s="204"/>
      <c r="AM72" s="203"/>
    </row>
    <row r="73" spans="1:39" s="236" customFormat="1" ht="10.5" x14ac:dyDescent="0.25">
      <c r="A73" s="219"/>
      <c r="B73" s="240"/>
      <c r="C73" s="227"/>
      <c r="D73" s="221"/>
      <c r="E73" s="219"/>
      <c r="F73" s="220"/>
      <c r="G73" s="222"/>
      <c r="H73" s="222"/>
      <c r="I73" s="221"/>
      <c r="J73" s="219"/>
      <c r="K73" s="240"/>
      <c r="L73" s="241"/>
      <c r="M73" s="222"/>
      <c r="N73" s="223"/>
      <c r="O73" s="224"/>
      <c r="P73" s="225"/>
      <c r="Q73" s="224"/>
      <c r="R73" s="242"/>
      <c r="S73" s="243"/>
      <c r="T73" s="242"/>
      <c r="U73" s="221"/>
      <c r="V73" s="221"/>
      <c r="W73" s="219"/>
      <c r="X73" s="226"/>
      <c r="Y73" s="227"/>
      <c r="Z73" s="228"/>
      <c r="AA73" s="200"/>
      <c r="AB73" s="193"/>
      <c r="AC73" s="193"/>
      <c r="AD73" s="221"/>
      <c r="AE73" s="229"/>
      <c r="AF73" s="229"/>
      <c r="AG73" s="221"/>
      <c r="AH73" s="230"/>
      <c r="AI73" s="231"/>
      <c r="AJ73" s="189"/>
      <c r="AK73" s="203"/>
      <c r="AL73" s="204"/>
      <c r="AM73" s="203"/>
    </row>
    <row r="74" spans="1:39" s="236" customFormat="1" ht="10.5" x14ac:dyDescent="0.25">
      <c r="A74" s="219"/>
      <c r="B74" s="240"/>
      <c r="C74" s="227"/>
      <c r="D74" s="221"/>
      <c r="E74" s="219"/>
      <c r="F74" s="220"/>
      <c r="G74" s="222"/>
      <c r="H74" s="222"/>
      <c r="I74" s="221"/>
      <c r="J74" s="219"/>
      <c r="K74" s="240"/>
      <c r="L74" s="241"/>
      <c r="M74" s="222"/>
      <c r="N74" s="223"/>
      <c r="O74" s="224"/>
      <c r="P74" s="225"/>
      <c r="Q74" s="224"/>
      <c r="R74" s="242"/>
      <c r="S74" s="243"/>
      <c r="T74" s="242"/>
      <c r="U74" s="221"/>
      <c r="V74" s="221"/>
      <c r="W74" s="219"/>
      <c r="X74" s="226"/>
      <c r="Y74" s="227"/>
      <c r="Z74" s="228"/>
      <c r="AA74" s="200"/>
      <c r="AB74" s="193"/>
      <c r="AC74" s="193"/>
      <c r="AD74" s="221"/>
      <c r="AE74" s="229"/>
      <c r="AF74" s="229"/>
      <c r="AG74" s="221"/>
      <c r="AH74" s="230"/>
      <c r="AI74" s="231"/>
      <c r="AJ74" s="189"/>
      <c r="AK74" s="203"/>
      <c r="AL74" s="204"/>
      <c r="AM74" s="203"/>
    </row>
    <row r="75" spans="1:39" s="236" customFormat="1" ht="10.5" x14ac:dyDescent="0.25">
      <c r="A75" s="219"/>
      <c r="B75" s="240"/>
      <c r="C75" s="227"/>
      <c r="D75" s="221"/>
      <c r="E75" s="219"/>
      <c r="F75" s="220"/>
      <c r="G75" s="222"/>
      <c r="H75" s="222"/>
      <c r="I75" s="221"/>
      <c r="J75" s="219"/>
      <c r="K75" s="240"/>
      <c r="L75" s="241"/>
      <c r="M75" s="222"/>
      <c r="N75" s="223"/>
      <c r="O75" s="224"/>
      <c r="P75" s="225"/>
      <c r="Q75" s="224"/>
      <c r="R75" s="242"/>
      <c r="S75" s="243"/>
      <c r="T75" s="242"/>
      <c r="U75" s="221"/>
      <c r="V75" s="221"/>
      <c r="W75" s="219"/>
      <c r="X75" s="226"/>
      <c r="Y75" s="227"/>
      <c r="Z75" s="228"/>
      <c r="AA75" s="200"/>
      <c r="AB75" s="193"/>
      <c r="AC75" s="193"/>
      <c r="AD75" s="221"/>
      <c r="AE75" s="229"/>
      <c r="AF75" s="229"/>
      <c r="AG75" s="221"/>
      <c r="AH75" s="230"/>
      <c r="AI75" s="231"/>
      <c r="AJ75" s="189"/>
      <c r="AK75" s="203"/>
      <c r="AL75" s="204"/>
      <c r="AM75" s="203"/>
    </row>
    <row r="76" spans="1:39" s="236" customFormat="1" ht="10.5" x14ac:dyDescent="0.25">
      <c r="A76" s="219"/>
      <c r="B76" s="240"/>
      <c r="C76" s="227"/>
      <c r="D76" s="221"/>
      <c r="E76" s="219"/>
      <c r="F76" s="220"/>
      <c r="G76" s="222"/>
      <c r="H76" s="222"/>
      <c r="I76" s="221"/>
      <c r="J76" s="219"/>
      <c r="K76" s="240"/>
      <c r="L76" s="241"/>
      <c r="M76" s="222"/>
      <c r="N76" s="223"/>
      <c r="O76" s="224"/>
      <c r="P76" s="225"/>
      <c r="Q76" s="224"/>
      <c r="R76" s="242"/>
      <c r="S76" s="243"/>
      <c r="T76" s="242"/>
      <c r="U76" s="221"/>
      <c r="V76" s="221"/>
      <c r="W76" s="219"/>
      <c r="X76" s="226"/>
      <c r="Y76" s="227"/>
      <c r="Z76" s="228"/>
      <c r="AA76" s="200"/>
      <c r="AB76" s="193"/>
      <c r="AC76" s="193"/>
      <c r="AD76" s="221"/>
      <c r="AE76" s="229"/>
      <c r="AF76" s="229"/>
      <c r="AG76" s="221"/>
      <c r="AH76" s="230"/>
      <c r="AI76" s="231"/>
      <c r="AJ76" s="189"/>
      <c r="AK76" s="203"/>
      <c r="AL76" s="204"/>
      <c r="AM76" s="203"/>
    </row>
    <row r="77" spans="1:39" s="236" customFormat="1" ht="10.5" x14ac:dyDescent="0.25">
      <c r="A77" s="219"/>
      <c r="B77" s="240"/>
      <c r="C77" s="227"/>
      <c r="D77" s="221"/>
      <c r="E77" s="219"/>
      <c r="F77" s="220"/>
      <c r="G77" s="222"/>
      <c r="H77" s="222"/>
      <c r="I77" s="221"/>
      <c r="J77" s="219"/>
      <c r="K77" s="240"/>
      <c r="L77" s="241"/>
      <c r="M77" s="222"/>
      <c r="N77" s="223"/>
      <c r="O77" s="224"/>
      <c r="P77" s="225"/>
      <c r="Q77" s="224"/>
      <c r="R77" s="242"/>
      <c r="S77" s="243"/>
      <c r="T77" s="242"/>
      <c r="U77" s="221"/>
      <c r="V77" s="221"/>
      <c r="W77" s="219"/>
      <c r="X77" s="226"/>
      <c r="Y77" s="227"/>
      <c r="Z77" s="228"/>
      <c r="AA77" s="200"/>
      <c r="AB77" s="193"/>
      <c r="AC77" s="193"/>
      <c r="AD77" s="221"/>
      <c r="AE77" s="229"/>
      <c r="AF77" s="229"/>
      <c r="AG77" s="221"/>
      <c r="AH77" s="230"/>
      <c r="AI77" s="231"/>
      <c r="AJ77" s="189"/>
      <c r="AK77" s="203"/>
      <c r="AL77" s="204"/>
      <c r="AM77" s="203"/>
    </row>
    <row r="78" spans="1:39" s="236" customFormat="1" ht="10.5" x14ac:dyDescent="0.25">
      <c r="A78" s="219"/>
      <c r="B78" s="240"/>
      <c r="C78" s="227"/>
      <c r="D78" s="221"/>
      <c r="E78" s="219"/>
      <c r="F78" s="220"/>
      <c r="G78" s="222"/>
      <c r="H78" s="222"/>
      <c r="I78" s="221"/>
      <c r="J78" s="219"/>
      <c r="K78" s="240"/>
      <c r="L78" s="241"/>
      <c r="M78" s="222"/>
      <c r="N78" s="223"/>
      <c r="O78" s="224"/>
      <c r="P78" s="225"/>
      <c r="Q78" s="224"/>
      <c r="R78" s="242"/>
      <c r="S78" s="243"/>
      <c r="T78" s="242"/>
      <c r="U78" s="221"/>
      <c r="V78" s="221"/>
      <c r="W78" s="219"/>
      <c r="X78" s="226"/>
      <c r="Y78" s="227"/>
      <c r="Z78" s="228"/>
      <c r="AA78" s="200"/>
      <c r="AB78" s="193"/>
      <c r="AC78" s="193"/>
      <c r="AD78" s="221"/>
      <c r="AE78" s="229"/>
      <c r="AF78" s="229"/>
      <c r="AG78" s="221"/>
      <c r="AH78" s="230"/>
      <c r="AI78" s="231"/>
      <c r="AJ78" s="189"/>
      <c r="AK78" s="203"/>
      <c r="AL78" s="204"/>
      <c r="AM78" s="203"/>
    </row>
    <row r="79" spans="1:39" s="236" customFormat="1" ht="10.5" x14ac:dyDescent="0.25">
      <c r="A79" s="219"/>
      <c r="B79" s="240"/>
      <c r="C79" s="227"/>
      <c r="D79" s="221"/>
      <c r="E79" s="219"/>
      <c r="F79" s="220"/>
      <c r="G79" s="222"/>
      <c r="H79" s="222"/>
      <c r="I79" s="221"/>
      <c r="J79" s="219"/>
      <c r="K79" s="240"/>
      <c r="L79" s="241"/>
      <c r="M79" s="222"/>
      <c r="N79" s="223"/>
      <c r="O79" s="224"/>
      <c r="P79" s="225"/>
      <c r="Q79" s="224"/>
      <c r="R79" s="242"/>
      <c r="S79" s="243"/>
      <c r="T79" s="242"/>
      <c r="U79" s="221"/>
      <c r="V79" s="221"/>
      <c r="W79" s="219"/>
      <c r="X79" s="226"/>
      <c r="Y79" s="227"/>
      <c r="Z79" s="228"/>
      <c r="AA79" s="200"/>
      <c r="AB79" s="193"/>
      <c r="AC79" s="193"/>
      <c r="AD79" s="221"/>
      <c r="AE79" s="229"/>
      <c r="AF79" s="229"/>
      <c r="AG79" s="221"/>
      <c r="AH79" s="230"/>
      <c r="AI79" s="231"/>
      <c r="AJ79" s="189"/>
      <c r="AK79" s="203"/>
      <c r="AL79" s="204"/>
      <c r="AM79" s="203"/>
    </row>
    <row r="80" spans="1:39" s="236" customFormat="1" ht="10.5" x14ac:dyDescent="0.25">
      <c r="A80" s="219"/>
      <c r="B80" s="240"/>
      <c r="C80" s="227"/>
      <c r="D80" s="221"/>
      <c r="E80" s="219"/>
      <c r="F80" s="220"/>
      <c r="G80" s="222"/>
      <c r="H80" s="222"/>
      <c r="I80" s="221"/>
      <c r="J80" s="219"/>
      <c r="K80" s="240"/>
      <c r="L80" s="241"/>
      <c r="M80" s="222"/>
      <c r="N80" s="223"/>
      <c r="O80" s="224"/>
      <c r="P80" s="225"/>
      <c r="Q80" s="224"/>
      <c r="R80" s="242"/>
      <c r="S80" s="243"/>
      <c r="T80" s="242"/>
      <c r="U80" s="221"/>
      <c r="V80" s="221"/>
      <c r="W80" s="219"/>
      <c r="X80" s="226"/>
      <c r="Y80" s="227"/>
      <c r="Z80" s="228"/>
      <c r="AA80" s="200"/>
      <c r="AB80" s="193"/>
      <c r="AC80" s="193"/>
      <c r="AD80" s="221"/>
      <c r="AE80" s="229"/>
      <c r="AF80" s="229"/>
      <c r="AG80" s="221"/>
      <c r="AH80" s="230"/>
      <c r="AI80" s="231"/>
      <c r="AJ80" s="189"/>
      <c r="AK80" s="203"/>
      <c r="AL80" s="204"/>
      <c r="AM80" s="203"/>
    </row>
    <row r="81" spans="1:55" s="236" customFormat="1" ht="10.5" x14ac:dyDescent="0.25">
      <c r="A81" s="219"/>
      <c r="B81" s="240"/>
      <c r="C81" s="227"/>
      <c r="D81" s="221"/>
      <c r="E81" s="219"/>
      <c r="F81" s="220"/>
      <c r="G81" s="222"/>
      <c r="H81" s="222"/>
      <c r="I81" s="221"/>
      <c r="J81" s="219"/>
      <c r="K81" s="240"/>
      <c r="L81" s="241"/>
      <c r="M81" s="222"/>
      <c r="N81" s="223"/>
      <c r="O81" s="224"/>
      <c r="P81" s="225"/>
      <c r="Q81" s="224"/>
      <c r="R81" s="242"/>
      <c r="S81" s="243"/>
      <c r="T81" s="242"/>
      <c r="U81" s="221"/>
      <c r="V81" s="221"/>
      <c r="W81" s="219"/>
      <c r="X81" s="226"/>
      <c r="Y81" s="227"/>
      <c r="Z81" s="228"/>
      <c r="AA81" s="200"/>
      <c r="AB81" s="193"/>
      <c r="AC81" s="193"/>
      <c r="AD81" s="221"/>
      <c r="AE81" s="229"/>
      <c r="AF81" s="229"/>
      <c r="AG81" s="221"/>
      <c r="AH81" s="230"/>
      <c r="AI81" s="231"/>
      <c r="AJ81" s="189"/>
      <c r="AK81" s="203"/>
      <c r="AL81" s="204"/>
      <c r="AM81" s="203"/>
    </row>
    <row r="82" spans="1:55" s="236" customFormat="1" ht="10.5" x14ac:dyDescent="0.25">
      <c r="A82" s="219"/>
      <c r="B82" s="240"/>
      <c r="C82" s="227"/>
      <c r="D82" s="221"/>
      <c r="E82" s="219"/>
      <c r="F82" s="220"/>
      <c r="G82" s="222"/>
      <c r="H82" s="222"/>
      <c r="I82" s="221"/>
      <c r="J82" s="219"/>
      <c r="K82" s="240"/>
      <c r="L82" s="241"/>
      <c r="M82" s="222"/>
      <c r="N82" s="223"/>
      <c r="O82" s="224"/>
      <c r="P82" s="225"/>
      <c r="Q82" s="224"/>
      <c r="R82" s="242"/>
      <c r="S82" s="243"/>
      <c r="T82" s="242"/>
      <c r="U82" s="221"/>
      <c r="V82" s="221"/>
      <c r="W82" s="219"/>
      <c r="X82" s="226"/>
      <c r="Y82" s="227"/>
      <c r="Z82" s="228"/>
      <c r="AA82" s="200"/>
      <c r="AB82" s="193"/>
      <c r="AC82" s="193"/>
      <c r="AD82" s="221"/>
      <c r="AE82" s="229"/>
      <c r="AF82" s="229"/>
      <c r="AG82" s="221"/>
      <c r="AH82" s="230"/>
      <c r="AI82" s="231"/>
      <c r="AJ82" s="189"/>
      <c r="AK82" s="203"/>
      <c r="AL82" s="204"/>
      <c r="AM82" s="203"/>
    </row>
    <row r="83" spans="1:55" s="236" customFormat="1" ht="10.5" x14ac:dyDescent="0.25">
      <c r="A83" s="219"/>
      <c r="B83" s="240"/>
      <c r="C83" s="227"/>
      <c r="D83" s="221"/>
      <c r="E83" s="219"/>
      <c r="F83" s="220"/>
      <c r="G83" s="222"/>
      <c r="H83" s="222"/>
      <c r="I83" s="221"/>
      <c r="J83" s="219"/>
      <c r="K83" s="240"/>
      <c r="L83" s="241"/>
      <c r="M83" s="222"/>
      <c r="N83" s="223"/>
      <c r="O83" s="224"/>
      <c r="P83" s="225"/>
      <c r="Q83" s="224"/>
      <c r="R83" s="242"/>
      <c r="S83" s="243"/>
      <c r="T83" s="242"/>
      <c r="U83" s="221"/>
      <c r="V83" s="221"/>
      <c r="W83" s="219"/>
      <c r="X83" s="226"/>
      <c r="Y83" s="227"/>
      <c r="Z83" s="228"/>
      <c r="AA83" s="200"/>
      <c r="AB83" s="193"/>
      <c r="AC83" s="193"/>
      <c r="AD83" s="221"/>
      <c r="AE83" s="229"/>
      <c r="AF83" s="229"/>
      <c r="AG83" s="221"/>
      <c r="AH83" s="230"/>
      <c r="AI83" s="231"/>
      <c r="AJ83" s="189"/>
      <c r="AK83" s="203"/>
      <c r="AL83" s="204"/>
      <c r="AM83" s="203"/>
    </row>
    <row r="84" spans="1:55" s="236" customFormat="1" ht="10.5" x14ac:dyDescent="0.25">
      <c r="A84" s="219"/>
      <c r="B84" s="240"/>
      <c r="C84" s="227"/>
      <c r="D84" s="221"/>
      <c r="E84" s="219"/>
      <c r="F84" s="220"/>
      <c r="G84" s="222"/>
      <c r="H84" s="222"/>
      <c r="I84" s="221"/>
      <c r="J84" s="219"/>
      <c r="K84" s="240"/>
      <c r="L84" s="241"/>
      <c r="M84" s="222"/>
      <c r="N84" s="223"/>
      <c r="O84" s="224"/>
      <c r="P84" s="225"/>
      <c r="Q84" s="224"/>
      <c r="R84" s="242"/>
      <c r="S84" s="243"/>
      <c r="T84" s="242"/>
      <c r="U84" s="221"/>
      <c r="V84" s="221"/>
      <c r="W84" s="219"/>
      <c r="X84" s="226"/>
      <c r="Y84" s="227"/>
      <c r="Z84" s="228"/>
      <c r="AA84" s="200"/>
      <c r="AB84" s="193"/>
      <c r="AC84" s="193"/>
      <c r="AD84" s="221"/>
      <c r="AE84" s="229"/>
      <c r="AF84" s="229"/>
      <c r="AG84" s="221"/>
      <c r="AH84" s="230"/>
      <c r="AI84" s="231"/>
      <c r="AJ84" s="189"/>
      <c r="AK84" s="203"/>
      <c r="AL84" s="204"/>
      <c r="AM84" s="203"/>
    </row>
    <row r="85" spans="1:55" s="236" customFormat="1" ht="10.5" x14ac:dyDescent="0.25">
      <c r="A85" s="219"/>
      <c r="B85" s="240"/>
      <c r="C85" s="227"/>
      <c r="D85" s="221"/>
      <c r="E85" s="219"/>
      <c r="F85" s="220"/>
      <c r="G85" s="222"/>
      <c r="H85" s="222"/>
      <c r="I85" s="221"/>
      <c r="J85" s="219"/>
      <c r="K85" s="240"/>
      <c r="L85" s="241"/>
      <c r="M85" s="222"/>
      <c r="N85" s="223"/>
      <c r="O85" s="224"/>
      <c r="P85" s="225"/>
      <c r="Q85" s="224"/>
      <c r="R85" s="242"/>
      <c r="S85" s="243"/>
      <c r="T85" s="242"/>
      <c r="U85" s="221"/>
      <c r="V85" s="221"/>
      <c r="W85" s="219"/>
      <c r="X85" s="226"/>
      <c r="Y85" s="227"/>
      <c r="Z85" s="228"/>
      <c r="AA85" s="200"/>
      <c r="AB85" s="193"/>
      <c r="AC85" s="193"/>
      <c r="AD85" s="221"/>
      <c r="AE85" s="229"/>
      <c r="AF85" s="229"/>
      <c r="AG85" s="221"/>
      <c r="AH85" s="230"/>
      <c r="AI85" s="231"/>
      <c r="AJ85" s="189"/>
      <c r="AK85" s="203"/>
      <c r="AL85" s="204"/>
      <c r="AM85" s="203"/>
    </row>
    <row r="86" spans="1:55" s="236" customFormat="1" ht="10.5" x14ac:dyDescent="0.25">
      <c r="A86" s="219"/>
      <c r="B86" s="240"/>
      <c r="C86" s="227"/>
      <c r="D86" s="221"/>
      <c r="E86" s="219"/>
      <c r="F86" s="220"/>
      <c r="G86" s="222"/>
      <c r="H86" s="222"/>
      <c r="I86" s="221"/>
      <c r="J86" s="219"/>
      <c r="K86" s="240"/>
      <c r="L86" s="241"/>
      <c r="M86" s="222"/>
      <c r="N86" s="223"/>
      <c r="O86" s="224"/>
      <c r="P86" s="225"/>
      <c r="Q86" s="224"/>
      <c r="R86" s="242"/>
      <c r="S86" s="243"/>
      <c r="T86" s="242"/>
      <c r="U86" s="221"/>
      <c r="V86" s="221"/>
      <c r="W86" s="219"/>
      <c r="X86" s="226"/>
      <c r="Y86" s="227"/>
      <c r="Z86" s="228"/>
      <c r="AA86" s="200"/>
      <c r="AB86" s="193"/>
      <c r="AC86" s="193"/>
      <c r="AD86" s="221"/>
      <c r="AE86" s="229"/>
      <c r="AF86" s="229"/>
      <c r="AG86" s="221"/>
      <c r="AH86" s="230"/>
      <c r="AI86" s="231"/>
      <c r="AJ86" s="189"/>
      <c r="AK86" s="203"/>
      <c r="AL86" s="204"/>
      <c r="AM86" s="203"/>
    </row>
    <row r="87" spans="1:55" s="236" customFormat="1" ht="10.5" x14ac:dyDescent="0.25">
      <c r="A87" s="219"/>
      <c r="B87" s="240"/>
      <c r="C87" s="227"/>
      <c r="D87" s="221"/>
      <c r="E87" s="219"/>
      <c r="F87" s="220"/>
      <c r="G87" s="222"/>
      <c r="H87" s="222"/>
      <c r="I87" s="221"/>
      <c r="J87" s="219"/>
      <c r="K87" s="240"/>
      <c r="L87" s="241"/>
      <c r="M87" s="222"/>
      <c r="N87" s="223"/>
      <c r="O87" s="224"/>
      <c r="P87" s="225"/>
      <c r="Q87" s="224"/>
      <c r="R87" s="242"/>
      <c r="S87" s="243"/>
      <c r="T87" s="242"/>
      <c r="U87" s="221"/>
      <c r="V87" s="221"/>
      <c r="W87" s="219"/>
      <c r="X87" s="226"/>
      <c r="Y87" s="227"/>
      <c r="Z87" s="228"/>
      <c r="AA87" s="200"/>
      <c r="AB87" s="193"/>
      <c r="AC87" s="193"/>
      <c r="AD87" s="221"/>
      <c r="AE87" s="229"/>
      <c r="AF87" s="229"/>
      <c r="AG87" s="221"/>
      <c r="AH87" s="230"/>
      <c r="AI87" s="231"/>
      <c r="AJ87" s="189"/>
      <c r="AK87" s="203"/>
      <c r="AL87" s="204"/>
      <c r="AM87" s="203"/>
    </row>
    <row r="88" spans="1:55" s="236" customFormat="1" ht="10.5" x14ac:dyDescent="0.25">
      <c r="A88" s="219"/>
      <c r="B88" s="240"/>
      <c r="C88" s="227"/>
      <c r="D88" s="221"/>
      <c r="E88" s="219"/>
      <c r="F88" s="220"/>
      <c r="G88" s="222"/>
      <c r="H88" s="222"/>
      <c r="I88" s="221"/>
      <c r="J88" s="219"/>
      <c r="K88" s="240"/>
      <c r="L88" s="241"/>
      <c r="M88" s="222"/>
      <c r="N88" s="223"/>
      <c r="O88" s="224"/>
      <c r="P88" s="225"/>
      <c r="Q88" s="224"/>
      <c r="R88" s="242"/>
      <c r="S88" s="243"/>
      <c r="T88" s="242"/>
      <c r="U88" s="221"/>
      <c r="V88" s="221"/>
      <c r="W88" s="219"/>
      <c r="X88" s="226"/>
      <c r="Y88" s="227"/>
      <c r="Z88" s="228"/>
      <c r="AA88" s="200"/>
      <c r="AB88" s="193"/>
      <c r="AC88" s="193"/>
      <c r="AD88" s="221"/>
      <c r="AE88" s="229"/>
      <c r="AF88" s="229"/>
      <c r="AG88" s="221"/>
      <c r="AH88" s="230"/>
      <c r="AI88" s="231"/>
      <c r="AJ88" s="189"/>
      <c r="AK88" s="203"/>
      <c r="AL88" s="204"/>
      <c r="AM88" s="203"/>
    </row>
    <row r="89" spans="1:55" s="236" customFormat="1" ht="10.5" x14ac:dyDescent="0.25">
      <c r="A89" s="219"/>
      <c r="B89" s="240"/>
      <c r="C89" s="227"/>
      <c r="D89" s="221"/>
      <c r="E89" s="219"/>
      <c r="F89" s="220"/>
      <c r="G89" s="222"/>
      <c r="H89" s="222"/>
      <c r="I89" s="221"/>
      <c r="J89" s="219"/>
      <c r="K89" s="240"/>
      <c r="L89" s="241"/>
      <c r="M89" s="222"/>
      <c r="N89" s="223"/>
      <c r="O89" s="224"/>
      <c r="P89" s="225"/>
      <c r="Q89" s="224"/>
      <c r="R89" s="242"/>
      <c r="S89" s="243"/>
      <c r="T89" s="242"/>
      <c r="U89" s="221"/>
      <c r="V89" s="221"/>
      <c r="W89" s="219"/>
      <c r="X89" s="226"/>
      <c r="Y89" s="227"/>
      <c r="Z89" s="228"/>
      <c r="AA89" s="200"/>
      <c r="AB89" s="193"/>
      <c r="AC89" s="193"/>
      <c r="AD89" s="221"/>
      <c r="AE89" s="229"/>
      <c r="AF89" s="229"/>
      <c r="AG89" s="221"/>
      <c r="AH89" s="230"/>
      <c r="AI89" s="231"/>
      <c r="AJ89" s="189"/>
      <c r="AK89" s="203"/>
      <c r="AL89" s="204"/>
      <c r="AM89" s="203"/>
    </row>
    <row r="90" spans="1:55" ht="10.5" x14ac:dyDescent="0.25">
      <c r="A90" s="233"/>
      <c r="B90" s="240"/>
      <c r="C90" s="227"/>
      <c r="D90" s="221"/>
      <c r="E90" s="219"/>
      <c r="F90" s="220"/>
      <c r="G90" s="222"/>
      <c r="H90" s="222"/>
      <c r="I90" s="221"/>
      <c r="J90" s="219"/>
      <c r="K90" s="240"/>
      <c r="L90" s="241"/>
      <c r="M90" s="222"/>
      <c r="N90" s="223"/>
      <c r="O90" s="224"/>
      <c r="P90" s="225"/>
      <c r="Q90" s="224"/>
      <c r="R90" s="242"/>
      <c r="S90" s="243"/>
      <c r="T90" s="242"/>
      <c r="U90" s="221"/>
      <c r="V90" s="221"/>
      <c r="W90" s="219"/>
      <c r="X90" s="226"/>
      <c r="Y90" s="227"/>
      <c r="Z90" s="228"/>
      <c r="AA90" s="200"/>
      <c r="AB90" s="193"/>
      <c r="AC90" s="193"/>
      <c r="AD90" s="221"/>
      <c r="AE90" s="229"/>
      <c r="AF90" s="229"/>
      <c r="AG90" s="221"/>
      <c r="AH90" s="230"/>
      <c r="AI90" s="231"/>
      <c r="AJ90" s="189"/>
      <c r="AK90" s="203"/>
      <c r="AL90" s="204"/>
      <c r="AM90" s="203"/>
      <c r="AN90" s="169"/>
      <c r="AP90" s="169"/>
      <c r="AR90" s="169"/>
      <c r="AT90" s="169"/>
      <c r="AY90" s="169"/>
      <c r="BB90" s="169"/>
      <c r="BC90" s="169"/>
    </row>
    <row r="91" spans="1:55" ht="10.5" x14ac:dyDescent="0.25">
      <c r="A91" s="233"/>
      <c r="B91" s="240"/>
      <c r="C91" s="227"/>
      <c r="D91" s="221"/>
      <c r="E91" s="219"/>
      <c r="F91" s="220"/>
      <c r="G91" s="222"/>
      <c r="H91" s="222"/>
      <c r="I91" s="221"/>
      <c r="J91" s="219"/>
      <c r="K91" s="240"/>
      <c r="L91" s="241"/>
      <c r="M91" s="222"/>
      <c r="N91" s="223"/>
      <c r="O91" s="224"/>
      <c r="P91" s="225"/>
      <c r="Q91" s="224"/>
      <c r="R91" s="242"/>
      <c r="S91" s="243"/>
      <c r="T91" s="242"/>
      <c r="U91" s="221"/>
      <c r="V91" s="221"/>
      <c r="W91" s="219"/>
      <c r="X91" s="226"/>
      <c r="Y91" s="227"/>
      <c r="Z91" s="228"/>
      <c r="AA91" s="200"/>
      <c r="AB91" s="193"/>
      <c r="AC91" s="193"/>
      <c r="AD91" s="221"/>
      <c r="AE91" s="229"/>
      <c r="AF91" s="229"/>
      <c r="AG91" s="221"/>
      <c r="AH91" s="230"/>
      <c r="AI91" s="231"/>
      <c r="AJ91" s="189"/>
      <c r="AK91" s="203"/>
      <c r="AL91" s="204"/>
      <c r="AM91" s="203"/>
      <c r="AN91" s="169"/>
      <c r="AP91" s="169"/>
      <c r="AR91" s="169"/>
      <c r="AT91" s="169"/>
      <c r="AY91" s="169"/>
      <c r="BB91" s="169"/>
      <c r="BC91" s="169"/>
    </row>
    <row r="92" spans="1:55" ht="10.5" x14ac:dyDescent="0.25">
      <c r="A92" s="233"/>
      <c r="B92" s="240"/>
      <c r="C92" s="227"/>
      <c r="D92" s="221"/>
      <c r="E92" s="219"/>
      <c r="F92" s="220"/>
      <c r="G92" s="222"/>
      <c r="H92" s="222"/>
      <c r="I92" s="221"/>
      <c r="J92" s="219"/>
      <c r="K92" s="240"/>
      <c r="L92" s="241"/>
      <c r="M92" s="222"/>
      <c r="N92" s="223"/>
      <c r="O92" s="224"/>
      <c r="P92" s="225"/>
      <c r="Q92" s="224"/>
      <c r="R92" s="242"/>
      <c r="S92" s="243"/>
      <c r="T92" s="242"/>
      <c r="U92" s="221"/>
      <c r="V92" s="221"/>
      <c r="W92" s="219"/>
      <c r="X92" s="226"/>
      <c r="Y92" s="227"/>
      <c r="Z92" s="228"/>
      <c r="AA92" s="200"/>
      <c r="AB92" s="193"/>
      <c r="AC92" s="193"/>
      <c r="AD92" s="221"/>
      <c r="AE92" s="229"/>
      <c r="AF92" s="229"/>
      <c r="AG92" s="221"/>
      <c r="AH92" s="230"/>
      <c r="AI92" s="231"/>
      <c r="AJ92" s="189"/>
      <c r="AK92" s="203"/>
      <c r="AL92" s="204"/>
      <c r="AM92" s="203"/>
      <c r="AN92" s="169"/>
      <c r="AP92" s="169"/>
      <c r="AR92" s="169"/>
      <c r="AT92" s="169"/>
      <c r="AY92" s="169"/>
      <c r="BB92" s="169"/>
      <c r="BC92" s="169"/>
    </row>
    <row r="93" spans="1:55" ht="10.5" x14ac:dyDescent="0.25">
      <c r="A93" s="233"/>
      <c r="B93" s="240"/>
      <c r="C93" s="227"/>
      <c r="D93" s="221"/>
      <c r="E93" s="219"/>
      <c r="F93" s="220"/>
      <c r="G93" s="222"/>
      <c r="H93" s="222"/>
      <c r="I93" s="221"/>
      <c r="J93" s="219"/>
      <c r="K93" s="240"/>
      <c r="L93" s="241"/>
      <c r="M93" s="222"/>
      <c r="N93" s="223"/>
      <c r="O93" s="224"/>
      <c r="P93" s="225"/>
      <c r="Q93" s="224"/>
      <c r="R93" s="242"/>
      <c r="S93" s="243"/>
      <c r="T93" s="242"/>
      <c r="U93" s="221"/>
      <c r="V93" s="221"/>
      <c r="W93" s="219"/>
      <c r="X93" s="226"/>
      <c r="Y93" s="227"/>
      <c r="Z93" s="228"/>
      <c r="AA93" s="200"/>
      <c r="AB93" s="193"/>
      <c r="AC93" s="193"/>
      <c r="AD93" s="221"/>
      <c r="AE93" s="229"/>
      <c r="AF93" s="229"/>
      <c r="AG93" s="221"/>
      <c r="AH93" s="230"/>
      <c r="AI93" s="231"/>
      <c r="AJ93" s="189"/>
      <c r="AK93" s="203"/>
      <c r="AL93" s="204"/>
      <c r="AM93" s="203"/>
      <c r="AN93" s="169"/>
      <c r="AP93" s="169"/>
      <c r="AR93" s="169"/>
      <c r="AT93" s="169"/>
      <c r="AY93" s="169"/>
      <c r="BB93" s="169"/>
      <c r="BC93" s="169"/>
    </row>
    <row r="94" spans="1:55" ht="10.5" x14ac:dyDescent="0.25">
      <c r="A94" s="196"/>
      <c r="B94" s="190"/>
      <c r="C94" s="234"/>
      <c r="D94" s="190"/>
      <c r="E94" s="190"/>
      <c r="F94" s="191"/>
      <c r="G94" s="206"/>
      <c r="H94" s="206"/>
      <c r="I94" s="190"/>
      <c r="J94" s="190"/>
      <c r="K94" s="190"/>
      <c r="L94" s="206"/>
      <c r="M94" s="206"/>
      <c r="N94" s="237"/>
      <c r="O94" s="237"/>
      <c r="P94" s="205"/>
      <c r="Q94" s="194"/>
      <c r="R94" s="239"/>
      <c r="S94" s="235"/>
      <c r="T94" s="235"/>
      <c r="U94" s="206"/>
      <c r="V94" s="190"/>
      <c r="W94" s="197"/>
      <c r="X94" s="198"/>
      <c r="Y94" s="199"/>
      <c r="Z94" s="195"/>
      <c r="AA94" s="200"/>
      <c r="AB94" s="193"/>
      <c r="AC94" s="193"/>
      <c r="AD94" s="189"/>
      <c r="AE94" s="189"/>
      <c r="AF94" s="189"/>
      <c r="AG94" s="196"/>
      <c r="AH94" s="201"/>
      <c r="AI94" s="202"/>
      <c r="AJ94" s="189"/>
      <c r="AK94" s="203"/>
      <c r="AL94" s="204"/>
      <c r="AM94" s="203"/>
      <c r="AN94" s="169"/>
      <c r="AP94" s="169"/>
      <c r="AR94" s="169"/>
      <c r="AT94" s="169"/>
      <c r="AY94" s="169"/>
      <c r="BB94" s="169"/>
      <c r="BC94" s="169"/>
    </row>
    <row r="95" spans="1:55" ht="10.5" x14ac:dyDescent="0.25">
      <c r="A95" s="196"/>
      <c r="B95" s="190"/>
      <c r="C95" s="234"/>
      <c r="D95" s="190"/>
      <c r="E95" s="190"/>
      <c r="F95" s="191"/>
      <c r="G95" s="192"/>
      <c r="H95" s="192"/>
      <c r="I95" s="190"/>
      <c r="J95" s="190"/>
      <c r="K95" s="190"/>
      <c r="L95" s="192"/>
      <c r="M95" s="192"/>
      <c r="N95" s="237"/>
      <c r="O95" s="237"/>
      <c r="P95" s="205"/>
      <c r="Q95" s="194"/>
      <c r="R95" s="239"/>
      <c r="S95" s="235"/>
      <c r="T95" s="235"/>
      <c r="U95" s="206"/>
      <c r="V95" s="190"/>
      <c r="W95" s="197"/>
      <c r="X95" s="198"/>
      <c r="Y95" s="199"/>
      <c r="Z95" s="195"/>
      <c r="AA95" s="200"/>
      <c r="AB95" s="193"/>
      <c r="AC95" s="193"/>
      <c r="AD95" s="189"/>
      <c r="AE95" s="189"/>
      <c r="AF95" s="189"/>
      <c r="AG95" s="196"/>
      <c r="AH95" s="201"/>
      <c r="AI95" s="202"/>
      <c r="AJ95" s="189"/>
      <c r="AK95" s="203"/>
      <c r="AL95" s="204"/>
      <c r="AM95" s="203"/>
      <c r="AN95" s="169"/>
      <c r="AP95" s="169"/>
      <c r="AR95" s="169"/>
      <c r="AT95" s="169"/>
      <c r="AY95" s="169"/>
      <c r="BB95" s="169"/>
      <c r="BC95" s="169"/>
    </row>
    <row r="96" spans="1:55" ht="10.5" x14ac:dyDescent="0.25">
      <c r="A96" s="196"/>
      <c r="B96" s="190"/>
      <c r="C96" s="234"/>
      <c r="D96" s="190"/>
      <c r="E96" s="190"/>
      <c r="F96" s="191"/>
      <c r="G96" s="206"/>
      <c r="H96" s="206"/>
      <c r="I96" s="190"/>
      <c r="J96" s="190"/>
      <c r="K96" s="190"/>
      <c r="L96" s="206"/>
      <c r="M96" s="206"/>
      <c r="N96" s="237"/>
      <c r="O96" s="237"/>
      <c r="P96" s="205"/>
      <c r="Q96" s="194"/>
      <c r="R96" s="239"/>
      <c r="S96" s="235"/>
      <c r="T96" s="235"/>
      <c r="U96" s="206"/>
      <c r="V96" s="190"/>
      <c r="W96" s="197"/>
      <c r="X96" s="198"/>
      <c r="Y96" s="199"/>
      <c r="Z96" s="195"/>
      <c r="AA96" s="200"/>
      <c r="AB96" s="193"/>
      <c r="AC96" s="193"/>
      <c r="AD96" s="189"/>
      <c r="AE96" s="189"/>
      <c r="AF96" s="189"/>
      <c r="AG96" s="196"/>
      <c r="AH96" s="201"/>
      <c r="AI96" s="202"/>
      <c r="AJ96" s="189"/>
      <c r="AK96" s="203"/>
      <c r="AL96" s="204"/>
      <c r="AM96" s="203"/>
      <c r="AN96" s="169"/>
      <c r="AP96" s="169"/>
      <c r="AR96" s="169"/>
      <c r="AT96" s="169"/>
      <c r="AY96" s="169"/>
      <c r="BB96" s="169"/>
      <c r="BC96" s="169"/>
    </row>
    <row r="97" spans="1:55" ht="10.5" x14ac:dyDescent="0.25">
      <c r="A97" s="196"/>
      <c r="B97" s="190"/>
      <c r="C97" s="234"/>
      <c r="D97" s="190"/>
      <c r="E97" s="190"/>
      <c r="F97" s="191"/>
      <c r="G97" s="192"/>
      <c r="H97" s="192"/>
      <c r="I97" s="190"/>
      <c r="J97" s="190"/>
      <c r="K97" s="190"/>
      <c r="L97" s="192"/>
      <c r="M97" s="192"/>
      <c r="N97" s="237"/>
      <c r="O97" s="237"/>
      <c r="P97" s="205"/>
      <c r="Q97" s="194"/>
      <c r="R97" s="239"/>
      <c r="S97" s="235"/>
      <c r="T97" s="235"/>
      <c r="U97" s="196"/>
      <c r="V97" s="190"/>
      <c r="W97" s="197"/>
      <c r="X97" s="198"/>
      <c r="Y97" s="199"/>
      <c r="Z97" s="195"/>
      <c r="AA97" s="200"/>
      <c r="AB97" s="193"/>
      <c r="AC97" s="193"/>
      <c r="AD97" s="189"/>
      <c r="AE97" s="189"/>
      <c r="AF97" s="189"/>
      <c r="AG97" s="196"/>
      <c r="AH97" s="201"/>
      <c r="AI97" s="202"/>
      <c r="AJ97" s="189"/>
      <c r="AK97" s="203"/>
      <c r="AL97" s="204"/>
      <c r="AM97" s="203"/>
      <c r="AN97" s="169"/>
      <c r="AP97" s="169"/>
      <c r="AR97" s="169"/>
      <c r="AT97" s="169"/>
      <c r="AY97" s="169"/>
      <c r="BB97" s="169"/>
      <c r="BC97" s="169"/>
    </row>
    <row r="98" spans="1:55" ht="10.5" x14ac:dyDescent="0.25">
      <c r="A98" s="196"/>
      <c r="B98" s="190"/>
      <c r="C98" s="234"/>
      <c r="D98" s="190"/>
      <c r="E98" s="190"/>
      <c r="F98" s="191"/>
      <c r="G98" s="192"/>
      <c r="H98" s="192"/>
      <c r="I98" s="190"/>
      <c r="J98" s="190"/>
      <c r="K98" s="190"/>
      <c r="L98" s="192"/>
      <c r="M98" s="192"/>
      <c r="N98" s="237"/>
      <c r="O98" s="237"/>
      <c r="P98" s="207"/>
      <c r="Q98" s="194"/>
      <c r="R98" s="239"/>
      <c r="S98" s="235"/>
      <c r="T98" s="235"/>
      <c r="U98" s="196"/>
      <c r="V98" s="190"/>
      <c r="W98" s="197"/>
      <c r="X98" s="198"/>
      <c r="Y98" s="199"/>
      <c r="Z98" s="195"/>
      <c r="AA98" s="200"/>
      <c r="AB98" s="193"/>
      <c r="AC98" s="193"/>
      <c r="AD98" s="189"/>
      <c r="AE98" s="189"/>
      <c r="AF98" s="189"/>
      <c r="AG98" s="196"/>
      <c r="AH98" s="201"/>
      <c r="AI98" s="202"/>
      <c r="AJ98" s="189"/>
      <c r="AK98" s="203"/>
      <c r="AL98" s="204"/>
      <c r="AM98" s="203"/>
      <c r="AN98" s="169"/>
      <c r="AP98" s="169"/>
      <c r="AR98" s="169"/>
      <c r="AT98" s="169"/>
      <c r="AY98" s="169"/>
      <c r="BB98" s="169"/>
      <c r="BC98" s="169"/>
    </row>
    <row r="99" spans="1:55" ht="10.5" x14ac:dyDescent="0.25">
      <c r="A99" s="196"/>
      <c r="B99" s="190"/>
      <c r="C99" s="234"/>
      <c r="D99" s="190"/>
      <c r="E99" s="190"/>
      <c r="F99" s="191"/>
      <c r="G99" s="192"/>
      <c r="H99" s="192"/>
      <c r="I99" s="190"/>
      <c r="J99" s="190"/>
      <c r="K99" s="190"/>
      <c r="L99" s="192"/>
      <c r="M99" s="192"/>
      <c r="N99" s="237"/>
      <c r="O99" s="237"/>
      <c r="P99" s="205"/>
      <c r="Q99" s="194"/>
      <c r="R99" s="239"/>
      <c r="S99" s="235"/>
      <c r="T99" s="235"/>
      <c r="U99" s="196"/>
      <c r="V99" s="190"/>
      <c r="W99" s="197"/>
      <c r="X99" s="198"/>
      <c r="Y99" s="199"/>
      <c r="Z99" s="195"/>
      <c r="AA99" s="200"/>
      <c r="AB99" s="193"/>
      <c r="AC99" s="193"/>
      <c r="AD99" s="189"/>
      <c r="AE99" s="189"/>
      <c r="AF99" s="189"/>
      <c r="AG99" s="196"/>
      <c r="AH99" s="201"/>
      <c r="AI99" s="202"/>
      <c r="AJ99" s="189"/>
      <c r="AK99" s="203"/>
      <c r="AL99" s="204"/>
      <c r="AM99" s="203"/>
      <c r="AN99" s="169"/>
      <c r="AP99" s="169"/>
      <c r="AR99" s="169"/>
      <c r="AT99" s="169"/>
      <c r="AY99" s="169"/>
      <c r="BB99" s="169"/>
      <c r="BC99" s="169"/>
    </row>
    <row r="100" spans="1:55" ht="10.5" x14ac:dyDescent="0.25">
      <c r="A100" s="196"/>
      <c r="B100" s="190"/>
      <c r="C100" s="234"/>
      <c r="D100" s="190"/>
      <c r="E100" s="190"/>
      <c r="F100" s="191"/>
      <c r="G100" s="206"/>
      <c r="H100" s="206"/>
      <c r="I100" s="190"/>
      <c r="J100" s="190"/>
      <c r="K100" s="190"/>
      <c r="L100" s="206"/>
      <c r="M100" s="206"/>
      <c r="N100" s="237"/>
      <c r="O100" s="237"/>
      <c r="P100" s="205"/>
      <c r="Q100" s="194"/>
      <c r="R100" s="239"/>
      <c r="S100" s="235"/>
      <c r="T100" s="235"/>
      <c r="U100" s="196"/>
      <c r="V100" s="190"/>
      <c r="W100" s="197"/>
      <c r="X100" s="198"/>
      <c r="Y100" s="199"/>
      <c r="Z100" s="195"/>
      <c r="AA100" s="200"/>
      <c r="AB100" s="193"/>
      <c r="AC100" s="193"/>
      <c r="AD100" s="189"/>
      <c r="AE100" s="189"/>
      <c r="AF100" s="189"/>
      <c r="AG100" s="196"/>
      <c r="AH100" s="201"/>
      <c r="AI100" s="202"/>
      <c r="AJ100" s="189"/>
      <c r="AK100" s="203"/>
      <c r="AL100" s="204"/>
      <c r="AM100" s="203"/>
      <c r="AN100" s="169"/>
      <c r="AP100" s="169"/>
      <c r="AR100" s="169"/>
      <c r="AT100" s="169"/>
      <c r="AY100" s="169"/>
      <c r="BB100" s="169"/>
      <c r="BC100" s="169"/>
    </row>
    <row r="101" spans="1:55" ht="10.5" x14ac:dyDescent="0.25">
      <c r="A101" s="196"/>
      <c r="B101" s="190"/>
      <c r="C101" s="234"/>
      <c r="D101" s="190"/>
      <c r="E101" s="190"/>
      <c r="F101" s="191"/>
      <c r="G101" s="206"/>
      <c r="H101" s="206"/>
      <c r="I101" s="190"/>
      <c r="J101" s="190"/>
      <c r="K101" s="190"/>
      <c r="L101" s="206"/>
      <c r="M101" s="206"/>
      <c r="N101" s="237"/>
      <c r="O101" s="237"/>
      <c r="P101" s="205"/>
      <c r="Q101" s="194"/>
      <c r="R101" s="239"/>
      <c r="S101" s="235"/>
      <c r="T101" s="235"/>
      <c r="U101" s="196"/>
      <c r="V101" s="190"/>
      <c r="W101" s="197"/>
      <c r="X101" s="198"/>
      <c r="Y101" s="199"/>
      <c r="Z101" s="195"/>
      <c r="AA101" s="200"/>
      <c r="AB101" s="193"/>
      <c r="AC101" s="193"/>
      <c r="AD101" s="189"/>
      <c r="AE101" s="189"/>
      <c r="AF101" s="189"/>
      <c r="AG101" s="196"/>
      <c r="AH101" s="201"/>
      <c r="AI101" s="202"/>
      <c r="AJ101" s="189"/>
      <c r="AK101" s="203"/>
      <c r="AL101" s="204"/>
      <c r="AM101" s="203"/>
      <c r="AN101" s="169"/>
      <c r="AP101" s="169"/>
      <c r="AR101" s="169"/>
      <c r="AT101" s="169"/>
      <c r="AY101" s="169"/>
      <c r="BB101" s="169"/>
      <c r="BC101" s="169"/>
    </row>
    <row r="102" spans="1:55" ht="10.5" x14ac:dyDescent="0.25">
      <c r="A102" s="196"/>
      <c r="B102" s="190"/>
      <c r="C102" s="234"/>
      <c r="D102" s="190"/>
      <c r="E102" s="190"/>
      <c r="F102" s="191"/>
      <c r="G102" s="206"/>
      <c r="H102" s="206"/>
      <c r="I102" s="190"/>
      <c r="J102" s="190"/>
      <c r="K102" s="190"/>
      <c r="L102" s="206"/>
      <c r="M102" s="206"/>
      <c r="N102" s="237"/>
      <c r="O102" s="237"/>
      <c r="P102" s="205"/>
      <c r="Q102" s="194"/>
      <c r="R102" s="239"/>
      <c r="S102" s="235"/>
      <c r="T102" s="235"/>
      <c r="U102" s="196"/>
      <c r="V102" s="190"/>
      <c r="W102" s="197"/>
      <c r="X102" s="198"/>
      <c r="Y102" s="199"/>
      <c r="Z102" s="195"/>
      <c r="AA102" s="200"/>
      <c r="AB102" s="193"/>
      <c r="AC102" s="193"/>
      <c r="AD102" s="189"/>
      <c r="AE102" s="189"/>
      <c r="AF102" s="189"/>
      <c r="AG102" s="196"/>
      <c r="AH102" s="201"/>
      <c r="AI102" s="202"/>
      <c r="AJ102" s="189"/>
      <c r="AK102" s="203"/>
      <c r="AL102" s="204"/>
      <c r="AM102" s="203"/>
      <c r="AN102" s="169"/>
      <c r="AP102" s="169"/>
      <c r="AR102" s="169"/>
      <c r="AT102" s="169"/>
      <c r="AY102" s="169"/>
      <c r="BB102" s="169"/>
      <c r="BC102" s="169"/>
    </row>
    <row r="103" spans="1:55" ht="10.5" x14ac:dyDescent="0.25">
      <c r="A103" s="196"/>
      <c r="B103" s="190"/>
      <c r="C103" s="234"/>
      <c r="D103" s="190"/>
      <c r="E103" s="190"/>
      <c r="F103" s="191"/>
      <c r="G103" s="206"/>
      <c r="H103" s="206"/>
      <c r="I103" s="190"/>
      <c r="J103" s="190"/>
      <c r="K103" s="190"/>
      <c r="L103" s="206"/>
      <c r="M103" s="206"/>
      <c r="N103" s="237"/>
      <c r="O103" s="237"/>
      <c r="P103" s="205"/>
      <c r="Q103" s="194"/>
      <c r="R103" s="239"/>
      <c r="S103" s="235"/>
      <c r="T103" s="235"/>
      <c r="U103" s="196"/>
      <c r="V103" s="190"/>
      <c r="W103" s="197"/>
      <c r="X103" s="198"/>
      <c r="Y103" s="199"/>
      <c r="Z103" s="195"/>
      <c r="AA103" s="200"/>
      <c r="AB103" s="193"/>
      <c r="AC103" s="193"/>
      <c r="AD103" s="189"/>
      <c r="AE103" s="189"/>
      <c r="AF103" s="189"/>
      <c r="AG103" s="196"/>
      <c r="AH103" s="201"/>
      <c r="AI103" s="202"/>
      <c r="AJ103" s="189"/>
      <c r="AK103" s="203"/>
      <c r="AL103" s="204"/>
      <c r="AM103" s="203"/>
      <c r="AN103" s="169"/>
      <c r="AP103" s="169"/>
      <c r="AR103" s="169"/>
      <c r="AT103" s="169"/>
      <c r="AY103" s="169"/>
      <c r="BB103" s="169"/>
      <c r="BC103" s="169"/>
    </row>
    <row r="104" spans="1:55" ht="10.5" x14ac:dyDescent="0.25">
      <c r="A104" s="196"/>
      <c r="B104" s="190"/>
      <c r="C104" s="234"/>
      <c r="D104" s="190"/>
      <c r="E104" s="190"/>
      <c r="F104" s="191"/>
      <c r="G104" s="206"/>
      <c r="H104" s="206"/>
      <c r="I104" s="190"/>
      <c r="J104" s="190"/>
      <c r="K104" s="190"/>
      <c r="L104" s="206"/>
      <c r="M104" s="206"/>
      <c r="N104" s="237"/>
      <c r="O104" s="237"/>
      <c r="P104" s="205"/>
      <c r="Q104" s="194"/>
      <c r="R104" s="239"/>
      <c r="S104" s="235"/>
      <c r="T104" s="235"/>
      <c r="U104" s="196"/>
      <c r="V104" s="190"/>
      <c r="W104" s="197"/>
      <c r="X104" s="198"/>
      <c r="Y104" s="199"/>
      <c r="Z104" s="195"/>
      <c r="AA104" s="200"/>
      <c r="AB104" s="193"/>
      <c r="AC104" s="193"/>
      <c r="AD104" s="189"/>
      <c r="AE104" s="189"/>
      <c r="AF104" s="189"/>
      <c r="AG104" s="196"/>
      <c r="AH104" s="201"/>
      <c r="AI104" s="202"/>
      <c r="AJ104" s="189"/>
      <c r="AK104" s="203"/>
      <c r="AL104" s="204"/>
      <c r="AM104" s="203"/>
      <c r="AN104" s="169"/>
      <c r="AP104" s="169"/>
      <c r="AR104" s="169"/>
      <c r="AT104" s="169"/>
      <c r="AY104" s="169"/>
      <c r="BB104" s="169"/>
      <c r="BC104" s="169"/>
    </row>
    <row r="105" spans="1:55" ht="10.5" x14ac:dyDescent="0.25">
      <c r="A105" s="196"/>
      <c r="B105" s="190"/>
      <c r="C105" s="234"/>
      <c r="D105" s="190"/>
      <c r="E105" s="190"/>
      <c r="F105" s="191"/>
      <c r="G105" s="206"/>
      <c r="H105" s="206"/>
      <c r="I105" s="190"/>
      <c r="J105" s="190"/>
      <c r="K105" s="190"/>
      <c r="L105" s="206"/>
      <c r="M105" s="206"/>
      <c r="N105" s="237"/>
      <c r="O105" s="237"/>
      <c r="P105" s="205"/>
      <c r="Q105" s="194"/>
      <c r="R105" s="239"/>
      <c r="S105" s="235"/>
      <c r="T105" s="235"/>
      <c r="U105" s="196"/>
      <c r="V105" s="190"/>
      <c r="W105" s="197"/>
      <c r="X105" s="198"/>
      <c r="Y105" s="199"/>
      <c r="Z105" s="195"/>
      <c r="AA105" s="200"/>
      <c r="AB105" s="193"/>
      <c r="AC105" s="193"/>
      <c r="AD105" s="189"/>
      <c r="AE105" s="189"/>
      <c r="AF105" s="189"/>
      <c r="AG105" s="196"/>
      <c r="AH105" s="201"/>
      <c r="AI105" s="202"/>
      <c r="AJ105" s="189"/>
      <c r="AK105" s="203"/>
      <c r="AL105" s="204"/>
      <c r="AM105" s="203"/>
      <c r="AN105" s="169"/>
      <c r="AP105" s="169"/>
      <c r="AR105" s="169"/>
      <c r="AT105" s="169"/>
      <c r="AY105" s="169"/>
      <c r="BB105" s="169"/>
      <c r="BC105" s="169"/>
    </row>
    <row r="106" spans="1:55" ht="10.5" x14ac:dyDescent="0.25">
      <c r="A106" s="196"/>
      <c r="B106" s="190"/>
      <c r="C106" s="234"/>
      <c r="D106" s="190"/>
      <c r="E106" s="190"/>
      <c r="F106" s="191"/>
      <c r="G106" s="206"/>
      <c r="H106" s="206"/>
      <c r="I106" s="190"/>
      <c r="J106" s="190"/>
      <c r="K106" s="190"/>
      <c r="L106" s="206"/>
      <c r="M106" s="206"/>
      <c r="N106" s="237"/>
      <c r="O106" s="237"/>
      <c r="P106" s="205"/>
      <c r="Q106" s="194"/>
      <c r="R106" s="239"/>
      <c r="S106" s="235"/>
      <c r="T106" s="235"/>
      <c r="U106" s="196"/>
      <c r="V106" s="190"/>
      <c r="W106" s="197"/>
      <c r="X106" s="198"/>
      <c r="Y106" s="199"/>
      <c r="Z106" s="195"/>
      <c r="AA106" s="200"/>
      <c r="AB106" s="193"/>
      <c r="AC106" s="193"/>
      <c r="AD106" s="189"/>
      <c r="AE106" s="189"/>
      <c r="AF106" s="189"/>
      <c r="AG106" s="196"/>
      <c r="AH106" s="201"/>
      <c r="AI106" s="202"/>
      <c r="AJ106" s="189"/>
      <c r="AK106" s="203"/>
      <c r="AL106" s="204"/>
      <c r="AM106" s="203"/>
      <c r="AN106" s="169"/>
      <c r="AP106" s="169"/>
      <c r="AR106" s="169"/>
      <c r="AT106" s="169"/>
      <c r="AY106" s="169"/>
      <c r="BB106" s="169"/>
      <c r="BC106" s="169"/>
    </row>
    <row r="107" spans="1:55" ht="10.5" x14ac:dyDescent="0.25">
      <c r="A107" s="196"/>
      <c r="B107" s="190"/>
      <c r="C107" s="234"/>
      <c r="D107" s="190"/>
      <c r="E107" s="190"/>
      <c r="F107" s="191"/>
      <c r="G107" s="206"/>
      <c r="H107" s="206"/>
      <c r="I107" s="190"/>
      <c r="J107" s="190"/>
      <c r="K107" s="190"/>
      <c r="L107" s="206"/>
      <c r="M107" s="206"/>
      <c r="N107" s="237"/>
      <c r="O107" s="237"/>
      <c r="P107" s="205"/>
      <c r="Q107" s="194"/>
      <c r="R107" s="239"/>
      <c r="S107" s="235"/>
      <c r="T107" s="235"/>
      <c r="U107" s="196"/>
      <c r="V107" s="190"/>
      <c r="W107" s="197"/>
      <c r="X107" s="198"/>
      <c r="Y107" s="199"/>
      <c r="Z107" s="195"/>
      <c r="AA107" s="200"/>
      <c r="AB107" s="193"/>
      <c r="AC107" s="193"/>
      <c r="AD107" s="189"/>
      <c r="AE107" s="189"/>
      <c r="AF107" s="189"/>
      <c r="AG107" s="196"/>
      <c r="AH107" s="201"/>
      <c r="AI107" s="202"/>
      <c r="AJ107" s="189"/>
      <c r="AK107" s="203"/>
      <c r="AL107" s="204"/>
      <c r="AM107" s="203"/>
      <c r="AN107" s="169"/>
      <c r="AP107" s="169"/>
      <c r="AR107" s="169"/>
      <c r="AT107" s="169"/>
      <c r="AY107" s="169"/>
      <c r="BB107" s="169"/>
      <c r="BC107" s="169"/>
    </row>
    <row r="108" spans="1:55" ht="10.5" x14ac:dyDescent="0.25">
      <c r="A108" s="196"/>
      <c r="B108" s="190"/>
      <c r="C108" s="234"/>
      <c r="D108" s="190"/>
      <c r="E108" s="190"/>
      <c r="F108" s="191"/>
      <c r="G108" s="206"/>
      <c r="H108" s="206"/>
      <c r="I108" s="190"/>
      <c r="J108" s="190"/>
      <c r="K108" s="190"/>
      <c r="L108" s="206"/>
      <c r="M108" s="206"/>
      <c r="N108" s="237"/>
      <c r="O108" s="237"/>
      <c r="P108" s="205"/>
      <c r="Q108" s="194"/>
      <c r="R108" s="239"/>
      <c r="S108" s="235"/>
      <c r="T108" s="235"/>
      <c r="U108" s="196"/>
      <c r="V108" s="190"/>
      <c r="W108" s="197"/>
      <c r="X108" s="198"/>
      <c r="Y108" s="199"/>
      <c r="Z108" s="195"/>
      <c r="AA108" s="200"/>
      <c r="AB108" s="193"/>
      <c r="AC108" s="193"/>
      <c r="AD108" s="189"/>
      <c r="AE108" s="189"/>
      <c r="AF108" s="189"/>
      <c r="AG108" s="196"/>
      <c r="AH108" s="201"/>
      <c r="AI108" s="202"/>
      <c r="AJ108" s="189"/>
      <c r="AK108" s="203"/>
      <c r="AL108" s="204"/>
      <c r="AM108" s="203"/>
      <c r="AN108" s="169"/>
      <c r="AP108" s="169"/>
      <c r="AR108" s="169"/>
      <c r="AT108" s="169"/>
      <c r="AY108" s="169"/>
      <c r="BB108" s="169"/>
      <c r="BC108" s="169"/>
    </row>
    <row r="109" spans="1:55" ht="10.5" x14ac:dyDescent="0.25">
      <c r="A109" s="196"/>
      <c r="B109" s="190"/>
      <c r="C109" s="234"/>
      <c r="D109" s="190"/>
      <c r="E109" s="190"/>
      <c r="F109" s="191"/>
      <c r="G109" s="206"/>
      <c r="H109" s="206"/>
      <c r="I109" s="190"/>
      <c r="J109" s="190"/>
      <c r="K109" s="190"/>
      <c r="L109" s="206"/>
      <c r="M109" s="206"/>
      <c r="N109" s="237"/>
      <c r="O109" s="237"/>
      <c r="P109" s="205"/>
      <c r="Q109" s="194"/>
      <c r="R109" s="239"/>
      <c r="S109" s="235"/>
      <c r="T109" s="235"/>
      <c r="U109" s="196"/>
      <c r="V109" s="190"/>
      <c r="W109" s="197"/>
      <c r="X109" s="198"/>
      <c r="Y109" s="199"/>
      <c r="Z109" s="195"/>
      <c r="AA109" s="200"/>
      <c r="AB109" s="193"/>
      <c r="AC109" s="193"/>
      <c r="AD109" s="189"/>
      <c r="AE109" s="189"/>
      <c r="AF109" s="189"/>
      <c r="AG109" s="196"/>
      <c r="AH109" s="201"/>
      <c r="AI109" s="202"/>
      <c r="AJ109" s="189"/>
      <c r="AK109" s="203"/>
      <c r="AL109" s="204"/>
      <c r="AM109" s="203"/>
      <c r="AN109" s="169"/>
      <c r="AP109" s="169"/>
      <c r="AR109" s="169"/>
      <c r="AT109" s="169"/>
      <c r="AY109" s="169"/>
      <c r="BB109" s="169"/>
      <c r="BC109" s="169"/>
    </row>
    <row r="110" spans="1:55" ht="10.5" x14ac:dyDescent="0.25">
      <c r="A110" s="196"/>
      <c r="B110" s="190"/>
      <c r="C110" s="234"/>
      <c r="D110" s="190"/>
      <c r="E110" s="190"/>
      <c r="F110" s="191"/>
      <c r="G110" s="206"/>
      <c r="H110" s="206"/>
      <c r="I110" s="190"/>
      <c r="J110" s="190"/>
      <c r="K110" s="190"/>
      <c r="L110" s="206"/>
      <c r="M110" s="206"/>
      <c r="N110" s="237"/>
      <c r="O110" s="237"/>
      <c r="P110" s="205"/>
      <c r="Q110" s="194"/>
      <c r="R110" s="239"/>
      <c r="S110" s="235"/>
      <c r="T110" s="235"/>
      <c r="U110" s="196"/>
      <c r="V110" s="190"/>
      <c r="W110" s="197"/>
      <c r="X110" s="198"/>
      <c r="Y110" s="199"/>
      <c r="Z110" s="195"/>
      <c r="AA110" s="200"/>
      <c r="AB110" s="193"/>
      <c r="AC110" s="193"/>
      <c r="AD110" s="189"/>
      <c r="AE110" s="189"/>
      <c r="AF110" s="189"/>
      <c r="AG110" s="196"/>
      <c r="AH110" s="201"/>
      <c r="AI110" s="202"/>
      <c r="AJ110" s="189"/>
      <c r="AK110" s="203"/>
      <c r="AL110" s="204"/>
      <c r="AM110" s="203"/>
      <c r="AN110" s="169"/>
      <c r="AP110" s="169"/>
      <c r="AR110" s="169"/>
      <c r="AT110" s="169"/>
      <c r="AY110" s="169"/>
      <c r="BB110" s="169"/>
      <c r="BC110" s="169"/>
    </row>
    <row r="111" spans="1:55" ht="10.5" x14ac:dyDescent="0.25">
      <c r="A111" s="196"/>
      <c r="B111" s="190"/>
      <c r="C111" s="234"/>
      <c r="D111" s="190"/>
      <c r="E111" s="190"/>
      <c r="F111" s="191"/>
      <c r="G111" s="206"/>
      <c r="H111" s="206"/>
      <c r="I111" s="190"/>
      <c r="J111" s="190"/>
      <c r="K111" s="190"/>
      <c r="L111" s="206"/>
      <c r="M111" s="206"/>
      <c r="N111" s="237"/>
      <c r="O111" s="237"/>
      <c r="P111" s="205"/>
      <c r="Q111" s="194"/>
      <c r="R111" s="239"/>
      <c r="S111" s="235"/>
      <c r="T111" s="235"/>
      <c r="U111" s="196"/>
      <c r="V111" s="190"/>
      <c r="W111" s="197"/>
      <c r="X111" s="198"/>
      <c r="Y111" s="199"/>
      <c r="Z111" s="195"/>
      <c r="AA111" s="200"/>
      <c r="AB111" s="193"/>
      <c r="AC111" s="193"/>
      <c r="AD111" s="189"/>
      <c r="AE111" s="189"/>
      <c r="AF111" s="189"/>
      <c r="AG111" s="196"/>
      <c r="AH111" s="201"/>
      <c r="AI111" s="202"/>
      <c r="AJ111" s="189"/>
      <c r="AK111" s="203"/>
      <c r="AL111" s="204"/>
      <c r="AM111" s="203"/>
      <c r="AN111" s="169"/>
      <c r="AP111" s="169"/>
      <c r="AR111" s="169"/>
      <c r="AT111" s="169"/>
      <c r="AY111" s="169"/>
      <c r="BB111" s="169"/>
      <c r="BC111" s="169"/>
    </row>
    <row r="112" spans="1:55" ht="10.5" x14ac:dyDescent="0.25">
      <c r="A112" s="196"/>
      <c r="B112" s="190"/>
      <c r="C112" s="234"/>
      <c r="D112" s="190"/>
      <c r="E112" s="190"/>
      <c r="F112" s="191"/>
      <c r="G112" s="192"/>
      <c r="H112" s="192"/>
      <c r="I112" s="190"/>
      <c r="J112" s="190"/>
      <c r="K112" s="190"/>
      <c r="L112" s="192"/>
      <c r="M112" s="192"/>
      <c r="N112" s="237"/>
      <c r="O112" s="237"/>
      <c r="P112" s="205"/>
      <c r="Q112" s="194"/>
      <c r="R112" s="239"/>
      <c r="S112" s="235"/>
      <c r="T112" s="235"/>
      <c r="U112" s="196"/>
      <c r="V112" s="190"/>
      <c r="W112" s="197"/>
      <c r="X112" s="198"/>
      <c r="Y112" s="199"/>
      <c r="Z112" s="195"/>
      <c r="AA112" s="200"/>
      <c r="AB112" s="193"/>
      <c r="AC112" s="193"/>
      <c r="AD112" s="189"/>
      <c r="AE112" s="189"/>
      <c r="AF112" s="189"/>
      <c r="AG112" s="196"/>
      <c r="AH112" s="201"/>
      <c r="AI112" s="202"/>
      <c r="AJ112" s="189"/>
      <c r="AK112" s="203"/>
      <c r="AL112" s="204"/>
      <c r="AM112" s="203"/>
      <c r="AN112" s="169"/>
      <c r="AP112" s="169"/>
      <c r="AR112" s="169"/>
      <c r="AT112" s="169"/>
      <c r="AY112" s="169"/>
      <c r="BB112" s="169"/>
      <c r="BC112" s="169"/>
    </row>
    <row r="113" spans="1:55" ht="10.5" x14ac:dyDescent="0.25">
      <c r="A113" s="196"/>
      <c r="B113" s="190"/>
      <c r="C113" s="234"/>
      <c r="D113" s="190"/>
      <c r="E113" s="190"/>
      <c r="F113" s="191"/>
      <c r="G113" s="206"/>
      <c r="H113" s="206"/>
      <c r="I113" s="190"/>
      <c r="J113" s="190"/>
      <c r="K113" s="190"/>
      <c r="L113" s="206"/>
      <c r="M113" s="206"/>
      <c r="N113" s="237"/>
      <c r="O113" s="237"/>
      <c r="P113" s="205"/>
      <c r="Q113" s="194"/>
      <c r="R113" s="239"/>
      <c r="S113" s="235"/>
      <c r="T113" s="235"/>
      <c r="U113" s="196"/>
      <c r="V113" s="190"/>
      <c r="W113" s="197"/>
      <c r="X113" s="198"/>
      <c r="Y113" s="199"/>
      <c r="Z113" s="195"/>
      <c r="AA113" s="200"/>
      <c r="AB113" s="193"/>
      <c r="AC113" s="193"/>
      <c r="AD113" s="189"/>
      <c r="AE113" s="189"/>
      <c r="AF113" s="189"/>
      <c r="AG113" s="196"/>
      <c r="AH113" s="201"/>
      <c r="AI113" s="202"/>
      <c r="AJ113" s="189"/>
      <c r="AK113" s="203"/>
      <c r="AL113" s="204"/>
      <c r="AM113" s="203"/>
      <c r="AN113" s="169"/>
      <c r="AP113" s="169"/>
      <c r="AR113" s="169"/>
      <c r="AT113" s="169"/>
      <c r="AY113" s="169"/>
      <c r="BB113" s="169"/>
      <c r="BC113" s="169"/>
    </row>
    <row r="114" spans="1:55" ht="10.5" x14ac:dyDescent="0.25">
      <c r="A114" s="196"/>
      <c r="B114" s="190"/>
      <c r="C114" s="234"/>
      <c r="D114" s="190"/>
      <c r="E114" s="190"/>
      <c r="F114" s="191"/>
      <c r="G114" s="192"/>
      <c r="H114" s="192"/>
      <c r="I114" s="190"/>
      <c r="J114" s="190"/>
      <c r="K114" s="190"/>
      <c r="L114" s="192"/>
      <c r="M114" s="192"/>
      <c r="N114" s="237"/>
      <c r="O114" s="237"/>
      <c r="P114" s="205"/>
      <c r="Q114" s="194"/>
      <c r="R114" s="239"/>
      <c r="S114" s="235"/>
      <c r="T114" s="235"/>
      <c r="U114" s="196"/>
      <c r="V114" s="190"/>
      <c r="W114" s="197"/>
      <c r="X114" s="198"/>
      <c r="Y114" s="199"/>
      <c r="Z114" s="195"/>
      <c r="AA114" s="200"/>
      <c r="AB114" s="193"/>
      <c r="AC114" s="193"/>
      <c r="AD114" s="189"/>
      <c r="AE114" s="189"/>
      <c r="AF114" s="189"/>
      <c r="AG114" s="196"/>
      <c r="AH114" s="201"/>
      <c r="AI114" s="202"/>
      <c r="AJ114" s="189"/>
      <c r="AK114" s="203"/>
      <c r="AL114" s="204"/>
      <c r="AM114" s="203"/>
      <c r="AN114" s="169"/>
      <c r="AP114" s="169"/>
      <c r="AR114" s="169"/>
      <c r="AT114" s="169"/>
      <c r="AY114" s="169"/>
      <c r="BB114" s="169"/>
      <c r="BC114" s="169"/>
    </row>
    <row r="115" spans="1:55" ht="10.5" x14ac:dyDescent="0.25">
      <c r="A115" s="196"/>
      <c r="B115" s="190"/>
      <c r="C115" s="234"/>
      <c r="D115" s="190"/>
      <c r="E115" s="190"/>
      <c r="F115" s="191"/>
      <c r="G115" s="206"/>
      <c r="H115" s="206"/>
      <c r="I115" s="190"/>
      <c r="J115" s="190"/>
      <c r="K115" s="190"/>
      <c r="L115" s="206"/>
      <c r="M115" s="206"/>
      <c r="N115" s="237"/>
      <c r="O115" s="237"/>
      <c r="P115" s="205"/>
      <c r="Q115" s="194"/>
      <c r="R115" s="239"/>
      <c r="S115" s="235"/>
      <c r="T115" s="235"/>
      <c r="U115" s="196"/>
      <c r="V115" s="190"/>
      <c r="W115" s="197"/>
      <c r="X115" s="198"/>
      <c r="Y115" s="199"/>
      <c r="Z115" s="195"/>
      <c r="AA115" s="200"/>
      <c r="AB115" s="193"/>
      <c r="AC115" s="193"/>
      <c r="AD115" s="189"/>
      <c r="AE115" s="189"/>
      <c r="AF115" s="189"/>
      <c r="AG115" s="196"/>
      <c r="AH115" s="201"/>
      <c r="AI115" s="202"/>
      <c r="AJ115" s="189"/>
      <c r="AK115" s="203"/>
      <c r="AL115" s="204"/>
      <c r="AM115" s="203"/>
      <c r="AN115" s="169"/>
      <c r="AP115" s="169"/>
      <c r="AR115" s="169"/>
      <c r="AT115" s="169"/>
      <c r="AY115" s="169"/>
      <c r="BB115" s="169"/>
      <c r="BC115" s="169"/>
    </row>
    <row r="116" spans="1:55" ht="10.5" x14ac:dyDescent="0.25">
      <c r="A116" s="196"/>
      <c r="B116" s="190"/>
      <c r="C116" s="234"/>
      <c r="D116" s="190"/>
      <c r="E116" s="190"/>
      <c r="F116" s="191"/>
      <c r="G116" s="192"/>
      <c r="H116" s="192"/>
      <c r="I116" s="190"/>
      <c r="J116" s="190"/>
      <c r="K116" s="190"/>
      <c r="L116" s="192"/>
      <c r="M116" s="192"/>
      <c r="N116" s="237"/>
      <c r="O116" s="237"/>
      <c r="P116" s="205"/>
      <c r="Q116" s="194"/>
      <c r="R116" s="239"/>
      <c r="S116" s="235"/>
      <c r="T116" s="235"/>
      <c r="U116" s="196"/>
      <c r="V116" s="190"/>
      <c r="W116" s="197"/>
      <c r="X116" s="198"/>
      <c r="Y116" s="199"/>
      <c r="Z116" s="195"/>
      <c r="AA116" s="200"/>
      <c r="AB116" s="193"/>
      <c r="AC116" s="193"/>
      <c r="AD116" s="189"/>
      <c r="AE116" s="189"/>
      <c r="AF116" s="189"/>
      <c r="AG116" s="196"/>
      <c r="AH116" s="201"/>
      <c r="AI116" s="202"/>
      <c r="AJ116" s="189"/>
      <c r="AK116" s="203"/>
      <c r="AL116" s="204"/>
      <c r="AM116" s="203"/>
      <c r="AN116" s="169"/>
      <c r="AP116" s="169"/>
      <c r="AR116" s="169"/>
      <c r="AT116" s="169"/>
      <c r="AY116" s="169"/>
      <c r="BB116" s="169"/>
      <c r="BC116" s="169"/>
    </row>
    <row r="117" spans="1:55" ht="10.5" x14ac:dyDescent="0.25">
      <c r="A117" s="196"/>
      <c r="B117" s="190"/>
      <c r="C117" s="234"/>
      <c r="D117" s="190"/>
      <c r="E117" s="190"/>
      <c r="F117" s="191"/>
      <c r="G117" s="206"/>
      <c r="H117" s="206"/>
      <c r="I117" s="190"/>
      <c r="J117" s="190"/>
      <c r="K117" s="190"/>
      <c r="L117" s="206"/>
      <c r="M117" s="206"/>
      <c r="N117" s="237"/>
      <c r="O117" s="237"/>
      <c r="P117" s="205"/>
      <c r="Q117" s="194"/>
      <c r="R117" s="239"/>
      <c r="S117" s="235"/>
      <c r="T117" s="235"/>
      <c r="U117" s="196"/>
      <c r="V117" s="190"/>
      <c r="W117" s="197"/>
      <c r="X117" s="198"/>
      <c r="Y117" s="199"/>
      <c r="Z117" s="195"/>
      <c r="AA117" s="200"/>
      <c r="AB117" s="193"/>
      <c r="AC117" s="193"/>
      <c r="AD117" s="189"/>
      <c r="AE117" s="189"/>
      <c r="AF117" s="189"/>
      <c r="AG117" s="196"/>
      <c r="AH117" s="201"/>
      <c r="AI117" s="202"/>
      <c r="AJ117" s="189"/>
      <c r="AK117" s="203"/>
      <c r="AL117" s="204"/>
      <c r="AM117" s="203"/>
      <c r="AN117" s="169"/>
      <c r="AP117" s="169"/>
      <c r="AR117" s="169"/>
      <c r="AT117" s="169"/>
      <c r="AY117" s="169"/>
      <c r="BB117" s="169"/>
      <c r="BC117" s="169"/>
    </row>
    <row r="118" spans="1:55" ht="10.5" x14ac:dyDescent="0.25">
      <c r="A118" s="196"/>
      <c r="B118" s="190"/>
      <c r="C118" s="234"/>
      <c r="D118" s="190"/>
      <c r="E118" s="190"/>
      <c r="F118" s="191"/>
      <c r="G118" s="206"/>
      <c r="H118" s="206"/>
      <c r="I118" s="190"/>
      <c r="J118" s="190"/>
      <c r="K118" s="190"/>
      <c r="L118" s="206"/>
      <c r="M118" s="206"/>
      <c r="N118" s="237"/>
      <c r="O118" s="237"/>
      <c r="P118" s="205"/>
      <c r="Q118" s="194"/>
      <c r="R118" s="239"/>
      <c r="S118" s="235"/>
      <c r="T118" s="235"/>
      <c r="U118" s="196"/>
      <c r="V118" s="190"/>
      <c r="W118" s="197"/>
      <c r="X118" s="198"/>
      <c r="Y118" s="199"/>
      <c r="Z118" s="195"/>
      <c r="AA118" s="200"/>
      <c r="AB118" s="193"/>
      <c r="AC118" s="193"/>
      <c r="AD118" s="189"/>
      <c r="AE118" s="189"/>
      <c r="AF118" s="189"/>
      <c r="AG118" s="196"/>
      <c r="AH118" s="201"/>
      <c r="AI118" s="202"/>
      <c r="AJ118" s="189"/>
      <c r="AK118" s="203"/>
      <c r="AL118" s="204"/>
      <c r="AM118" s="203"/>
      <c r="AN118" s="169"/>
      <c r="AP118" s="169"/>
      <c r="AR118" s="169"/>
      <c r="AT118" s="169"/>
      <c r="AY118" s="169"/>
      <c r="BB118" s="169"/>
      <c r="BC118" s="169"/>
    </row>
  </sheetData>
  <mergeCells count="4">
    <mergeCell ref="C2:F2"/>
    <mergeCell ref="S2:W2"/>
    <mergeCell ref="X3:AA3"/>
    <mergeCell ref="AI3:AL3"/>
  </mergeCells>
  <pageMargins left="0.7" right="0.7" top="0.75" bottom="0.75" header="0.3" footer="0.3"/>
  <pageSetup paperSize="9" orientation="portrait" r:id="rId1"/>
  <ignoredErrors>
    <ignoredError sqref="B2:C2 N2 P2" unlockedFormula="1"/>
  </ignoredErrors>
  <legacy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FA2BD-9E18-46A5-AEAA-B65820293DCA}">
  <dimension ref="B1:AH39"/>
  <sheetViews>
    <sheetView zoomScale="115" zoomScaleNormal="115" workbookViewId="0">
      <selection activeCell="Q21" sqref="Q21"/>
    </sheetView>
  </sheetViews>
  <sheetFormatPr defaultColWidth="8.85546875" defaultRowHeight="11.25" x14ac:dyDescent="0.15"/>
  <cols>
    <col min="1" max="2" width="8.85546875" style="550"/>
    <col min="3" max="4" width="25.5703125" style="550" customWidth="1"/>
    <col min="5" max="12" width="10.5703125" style="550" customWidth="1"/>
    <col min="13" max="13" width="12.42578125" style="550" customWidth="1"/>
    <col min="14" max="15" width="8.85546875" style="550"/>
    <col min="16" max="16" width="27.5703125" style="550" customWidth="1"/>
    <col min="17" max="17" width="8.85546875" style="550"/>
    <col min="18" max="25" width="8.85546875" style="550" hidden="1" customWidth="1"/>
    <col min="26" max="16384" width="8.85546875" style="550"/>
  </cols>
  <sheetData>
    <row r="1" spans="3:15" x14ac:dyDescent="0.15">
      <c r="C1" s="548" t="s">
        <v>1283</v>
      </c>
      <c r="D1" s="549" t="str">
        <f>Advies!B37</f>
        <v>Naam bedrijf</v>
      </c>
    </row>
    <row r="2" spans="3:15" x14ac:dyDescent="0.15">
      <c r="C2" s="548" t="s">
        <v>1337</v>
      </c>
      <c r="D2" s="587" t="str">
        <f>Advies!B38</f>
        <v>Jan</v>
      </c>
    </row>
    <row r="3" spans="3:15" x14ac:dyDescent="0.15">
      <c r="C3" s="548" t="s">
        <v>1338</v>
      </c>
      <c r="D3" s="587" t="str">
        <f>Advies!B39</f>
        <v>Willem</v>
      </c>
    </row>
    <row r="4" spans="3:15" x14ac:dyDescent="0.15">
      <c r="C4" s="548" t="s">
        <v>1339</v>
      </c>
      <c r="D4" s="587" t="str">
        <f>Advies!B40</f>
        <v>Hugo</v>
      </c>
    </row>
    <row r="5" spans="3:15" x14ac:dyDescent="0.15">
      <c r="C5" s="548" t="s">
        <v>1284</v>
      </c>
      <c r="D5" s="551" t="str">
        <f>Advies!B11</f>
        <v>Voorbeeld</v>
      </c>
      <c r="L5" s="548" t="s">
        <v>1285</v>
      </c>
      <c r="M5" s="552" t="s">
        <v>1286</v>
      </c>
    </row>
    <row r="6" spans="3:15" x14ac:dyDescent="0.15">
      <c r="C6" s="548" t="s">
        <v>1287</v>
      </c>
      <c r="D6" s="553" t="str">
        <f>Advies!B10</f>
        <v>Voorbeeld</v>
      </c>
      <c r="L6" s="554" t="s">
        <v>1288</v>
      </c>
      <c r="M6" s="555" t="s">
        <v>1289</v>
      </c>
    </row>
    <row r="7" spans="3:15" x14ac:dyDescent="0.15">
      <c r="C7" s="548" t="s">
        <v>550</v>
      </c>
      <c r="D7" s="553">
        <f>Advies!B17</f>
        <v>1943</v>
      </c>
      <c r="L7" s="548" t="s">
        <v>1290</v>
      </c>
      <c r="M7" s="555" t="s">
        <v>1291</v>
      </c>
    </row>
    <row r="8" spans="3:15" ht="12.75" x14ac:dyDescent="0.15">
      <c r="C8" s="548" t="s">
        <v>1292</v>
      </c>
      <c r="D8" s="556">
        <f>Advies!B18</f>
        <v>636</v>
      </c>
      <c r="E8" s="553" t="s">
        <v>1293</v>
      </c>
      <c r="L8" s="554"/>
      <c r="M8" s="555"/>
    </row>
    <row r="9" spans="3:15" x14ac:dyDescent="0.15">
      <c r="C9" s="548" t="s">
        <v>1294</v>
      </c>
      <c r="D9" s="553">
        <f>Advies!B34</f>
        <v>3</v>
      </c>
      <c r="E9" s="553" t="s">
        <v>1295</v>
      </c>
      <c r="L9" s="554"/>
      <c r="M9" s="555"/>
    </row>
    <row r="10" spans="3:15" x14ac:dyDescent="0.15">
      <c r="C10" s="557" t="s">
        <v>1296</v>
      </c>
      <c r="D10" s="549"/>
    </row>
    <row r="11" spans="3:15" ht="22.5" x14ac:dyDescent="0.15">
      <c r="C11" s="557" t="s">
        <v>1297</v>
      </c>
      <c r="D11" s="555"/>
      <c r="G11" s="558"/>
      <c r="H11" s="558"/>
      <c r="I11" s="558"/>
      <c r="J11" s="558"/>
      <c r="K11" s="558"/>
      <c r="L11" s="559"/>
      <c r="M11" s="555"/>
      <c r="N11" s="558"/>
      <c r="O11" s="558"/>
    </row>
    <row r="12" spans="3:15" x14ac:dyDescent="0.15">
      <c r="C12" s="557" t="s">
        <v>1298</v>
      </c>
      <c r="D12" s="551" t="s">
        <v>1299</v>
      </c>
      <c r="L12" s="560" t="s">
        <v>1300</v>
      </c>
    </row>
    <row r="13" spans="3:15" x14ac:dyDescent="0.15">
      <c r="C13" s="557" t="s">
        <v>1301</v>
      </c>
      <c r="D13" s="555"/>
    </row>
    <row r="14" spans="3:15" x14ac:dyDescent="0.15">
      <c r="C14" s="548" t="s">
        <v>1302</v>
      </c>
      <c r="D14" s="555" t="s">
        <v>1336</v>
      </c>
    </row>
    <row r="16" spans="3:15" x14ac:dyDescent="0.15">
      <c r="C16" s="561"/>
      <c r="D16" s="170"/>
    </row>
    <row r="17" spans="2:34" x14ac:dyDescent="0.15">
      <c r="C17" s="562" t="s">
        <v>557</v>
      </c>
      <c r="D17" s="563" t="s">
        <v>359</v>
      </c>
      <c r="E17" s="564" t="s">
        <v>1303</v>
      </c>
      <c r="F17" s="562" t="s">
        <v>1304</v>
      </c>
      <c r="G17" s="563" t="s">
        <v>1305</v>
      </c>
      <c r="H17" s="583"/>
      <c r="I17" s="583"/>
      <c r="J17" s="583"/>
      <c r="K17" s="583"/>
      <c r="L17" s="751" t="s">
        <v>1306</v>
      </c>
      <c r="M17" s="752"/>
      <c r="N17" s="752"/>
      <c r="O17" s="753"/>
    </row>
    <row r="18" spans="2:34" ht="22.5" x14ac:dyDescent="0.15">
      <c r="C18" s="754" t="s">
        <v>1307</v>
      </c>
      <c r="D18" s="755"/>
      <c r="E18" s="755"/>
      <c r="F18" s="755"/>
      <c r="G18" s="755"/>
      <c r="H18" s="755"/>
      <c r="I18" s="755"/>
      <c r="J18" s="755"/>
      <c r="K18" s="755"/>
      <c r="L18" s="755"/>
      <c r="M18" s="755"/>
      <c r="N18" s="755"/>
      <c r="O18" s="756"/>
    </row>
    <row r="19" spans="2:34" x14ac:dyDescent="0.15">
      <c r="C19" s="757" t="s">
        <v>1308</v>
      </c>
      <c r="D19" s="758"/>
      <c r="E19" s="758"/>
      <c r="F19" s="758"/>
      <c r="G19" s="758"/>
      <c r="H19" s="758"/>
      <c r="I19" s="758"/>
      <c r="J19" s="758"/>
      <c r="K19" s="758"/>
      <c r="L19" s="758"/>
      <c r="M19" s="758"/>
      <c r="N19" s="758"/>
      <c r="O19" s="759"/>
    </row>
    <row r="20" spans="2:34" x14ac:dyDescent="0.15">
      <c r="C20" s="765" t="s">
        <v>1302</v>
      </c>
      <c r="D20" s="766"/>
      <c r="E20" s="584"/>
      <c r="F20" s="585" t="s">
        <v>380</v>
      </c>
      <c r="G20" s="585" t="s">
        <v>380</v>
      </c>
      <c r="H20" s="585" t="s">
        <v>381</v>
      </c>
      <c r="I20" s="585" t="s">
        <v>381</v>
      </c>
      <c r="J20" s="585" t="s">
        <v>382</v>
      </c>
      <c r="K20" s="585" t="s">
        <v>382</v>
      </c>
      <c r="L20" s="584"/>
      <c r="M20" s="584"/>
      <c r="N20" s="584"/>
      <c r="O20" s="586"/>
    </row>
    <row r="21" spans="2:34" ht="42" x14ac:dyDescent="0.15">
      <c r="B21" s="558" t="s">
        <v>1031</v>
      </c>
      <c r="C21" s="760" t="s">
        <v>1309</v>
      </c>
      <c r="D21" s="565" t="s">
        <v>1310</v>
      </c>
      <c r="E21" s="566">
        <v>0.22459999999999999</v>
      </c>
      <c r="F21" s="567">
        <v>0</v>
      </c>
      <c r="G21" s="567">
        <f>(F21*E21)</f>
        <v>0</v>
      </c>
      <c r="H21" s="567">
        <v>0</v>
      </c>
      <c r="I21" s="567">
        <f>E21*H21</f>
        <v>0</v>
      </c>
      <c r="J21" s="567">
        <v>0</v>
      </c>
      <c r="K21" s="567">
        <f>E21*J21</f>
        <v>0</v>
      </c>
      <c r="L21" s="762"/>
      <c r="M21" s="763"/>
      <c r="N21" s="763"/>
      <c r="O21" s="764"/>
      <c r="Q21" s="546"/>
      <c r="R21" s="546"/>
      <c r="S21" s="546"/>
      <c r="T21" s="546"/>
      <c r="U21" s="546"/>
      <c r="V21" s="546"/>
      <c r="W21" s="546"/>
      <c r="X21" s="546"/>
      <c r="Y21" s="546"/>
      <c r="Z21" s="546"/>
      <c r="AA21" s="546"/>
      <c r="AB21" s="546"/>
      <c r="AC21" s="546"/>
      <c r="AD21" s="546"/>
      <c r="AE21" s="546"/>
      <c r="AF21" s="546"/>
      <c r="AG21" s="546"/>
      <c r="AH21" s="546"/>
    </row>
    <row r="22" spans="2:34" ht="73.5" x14ac:dyDescent="0.15">
      <c r="B22" s="558" t="s">
        <v>1032</v>
      </c>
      <c r="C22" s="761"/>
      <c r="D22" s="565" t="s">
        <v>1311</v>
      </c>
      <c r="E22" s="566">
        <v>0.16089999999999999</v>
      </c>
      <c r="F22" s="567">
        <v>0</v>
      </c>
      <c r="G22" s="567">
        <f t="shared" ref="G22:G25" si="0">F22*E22</f>
        <v>0</v>
      </c>
      <c r="H22" s="567">
        <v>0</v>
      </c>
      <c r="I22" s="567">
        <f t="shared" ref="I22:I25" si="1">E22*H22</f>
        <v>0</v>
      </c>
      <c r="J22" s="567">
        <v>0</v>
      </c>
      <c r="K22" s="567">
        <f t="shared" ref="K22:K25" si="2">E22*J22</f>
        <v>0</v>
      </c>
      <c r="L22" s="762"/>
      <c r="M22" s="763"/>
      <c r="N22" s="763"/>
      <c r="O22" s="764"/>
      <c r="Q22" s="650"/>
      <c r="R22" s="650"/>
      <c r="S22" s="650"/>
      <c r="T22" s="650"/>
      <c r="U22" s="650"/>
      <c r="V22" s="650"/>
      <c r="W22" s="650"/>
      <c r="X22" s="650"/>
      <c r="Y22" s="650"/>
      <c r="Z22" s="650"/>
      <c r="AA22" s="650"/>
      <c r="AB22" s="650"/>
      <c r="AC22" s="650"/>
      <c r="AD22" s="650"/>
      <c r="AE22" s="650"/>
      <c r="AF22" s="650"/>
      <c r="AG22" s="650"/>
      <c r="AH22" s="546"/>
    </row>
    <row r="23" spans="2:34" ht="22.5" x14ac:dyDescent="0.15">
      <c r="B23" s="558" t="s">
        <v>1033</v>
      </c>
      <c r="C23" s="568" t="s">
        <v>1312</v>
      </c>
      <c r="D23" s="565"/>
      <c r="E23" s="566">
        <v>0.23169999999999999</v>
      </c>
      <c r="F23" s="567">
        <v>0</v>
      </c>
      <c r="G23" s="567">
        <f t="shared" si="0"/>
        <v>0</v>
      </c>
      <c r="H23" s="567">
        <v>0</v>
      </c>
      <c r="I23" s="567">
        <f t="shared" si="1"/>
        <v>0</v>
      </c>
      <c r="J23" s="567">
        <v>0</v>
      </c>
      <c r="K23" s="567">
        <f t="shared" si="2"/>
        <v>0</v>
      </c>
      <c r="L23" s="762"/>
      <c r="M23" s="763"/>
      <c r="N23" s="763"/>
      <c r="O23" s="764"/>
    </row>
    <row r="24" spans="2:34" ht="31.5" x14ac:dyDescent="0.15">
      <c r="B24" s="558" t="s">
        <v>1034</v>
      </c>
      <c r="C24" s="568" t="s">
        <v>1313</v>
      </c>
      <c r="D24" s="565" t="s">
        <v>1314</v>
      </c>
      <c r="E24" s="566">
        <v>0.25719999999999998</v>
      </c>
      <c r="F24" s="567">
        <v>0</v>
      </c>
      <c r="G24" s="567">
        <f t="shared" si="0"/>
        <v>0</v>
      </c>
      <c r="H24" s="567">
        <v>0</v>
      </c>
      <c r="I24" s="567">
        <f t="shared" si="1"/>
        <v>0</v>
      </c>
      <c r="J24" s="567">
        <v>0</v>
      </c>
      <c r="K24" s="567">
        <f t="shared" si="2"/>
        <v>0</v>
      </c>
      <c r="L24" s="762"/>
      <c r="M24" s="763"/>
      <c r="N24" s="763"/>
      <c r="O24" s="764"/>
    </row>
    <row r="25" spans="2:34" ht="23.25" thickBot="1" x14ac:dyDescent="0.2">
      <c r="B25" s="558" t="s">
        <v>1035</v>
      </c>
      <c r="C25" s="569" t="s">
        <v>1315</v>
      </c>
      <c r="D25" s="570" t="s">
        <v>1316</v>
      </c>
      <c r="E25" s="566">
        <v>0.12559999999999999</v>
      </c>
      <c r="F25" s="567">
        <v>0</v>
      </c>
      <c r="G25" s="567">
        <f t="shared" si="0"/>
        <v>0</v>
      </c>
      <c r="H25" s="567">
        <v>0</v>
      </c>
      <c r="I25" s="567">
        <f t="shared" si="1"/>
        <v>0</v>
      </c>
      <c r="J25" s="567">
        <v>0</v>
      </c>
      <c r="K25" s="567">
        <f t="shared" si="2"/>
        <v>0</v>
      </c>
      <c r="L25" s="762"/>
      <c r="M25" s="763"/>
      <c r="N25" s="763"/>
      <c r="O25" s="764"/>
      <c r="P25" s="648"/>
      <c r="Q25" s="649"/>
    </row>
    <row r="26" spans="2:34" ht="16.5" thickTop="1" thickBot="1" x14ac:dyDescent="0.2">
      <c r="B26" s="558"/>
      <c r="C26" s="767" t="s">
        <v>1317</v>
      </c>
      <c r="D26" s="768"/>
      <c r="E26" s="571">
        <f>SUM(E21:E25)</f>
        <v>1</v>
      </c>
      <c r="F26" s="572"/>
      <c r="G26" s="573">
        <f>SUM(G21:G25)</f>
        <v>0</v>
      </c>
      <c r="H26" s="572"/>
      <c r="I26" s="573">
        <f>SUM(I21:I25)</f>
        <v>0</v>
      </c>
      <c r="J26" s="572"/>
      <c r="K26" s="573">
        <f>SUM(K21:K25)</f>
        <v>0</v>
      </c>
      <c r="L26" s="769" t="str">
        <f>IF((G26+I26+K26)&lt;5.5,"Niet accepteren",(IF((G26+I26+K26)&gt;7.5,"Volstaat","Optimalisatie vereist")))</f>
        <v>Niet accepteren</v>
      </c>
      <c r="M26" s="770"/>
      <c r="N26" s="770"/>
      <c r="O26" s="771"/>
      <c r="P26" s="744"/>
      <c r="Q26" s="745"/>
      <c r="R26" s="746"/>
      <c r="S26" s="747"/>
    </row>
    <row r="27" spans="2:34" ht="22.5" x14ac:dyDescent="0.15">
      <c r="B27" s="558"/>
      <c r="C27" s="748" t="s">
        <v>1318</v>
      </c>
      <c r="D27" s="749"/>
      <c r="E27" s="749"/>
      <c r="F27" s="749"/>
      <c r="G27" s="749"/>
      <c r="H27" s="749"/>
      <c r="I27" s="749"/>
      <c r="J27" s="749"/>
      <c r="K27" s="749"/>
      <c r="L27" s="749"/>
      <c r="M27" s="749"/>
      <c r="N27" s="749"/>
      <c r="O27" s="750"/>
      <c r="Q27" s="649"/>
    </row>
    <row r="28" spans="2:34" x14ac:dyDescent="0.15">
      <c r="C28" s="757" t="s">
        <v>1308</v>
      </c>
      <c r="D28" s="758"/>
      <c r="E28" s="758"/>
      <c r="F28" s="758"/>
      <c r="G28" s="758"/>
      <c r="H28" s="758"/>
      <c r="I28" s="758"/>
      <c r="J28" s="758"/>
      <c r="K28" s="758"/>
      <c r="L28" s="758"/>
      <c r="M28" s="758"/>
      <c r="N28" s="758"/>
      <c r="O28" s="759"/>
    </row>
    <row r="29" spans="2:34" x14ac:dyDescent="0.15">
      <c r="C29" s="765" t="s">
        <v>1302</v>
      </c>
      <c r="D29" s="766"/>
      <c r="E29" s="584"/>
      <c r="F29" s="585" t="s">
        <v>380</v>
      </c>
      <c r="G29" s="585" t="s">
        <v>380</v>
      </c>
      <c r="H29" s="585" t="s">
        <v>381</v>
      </c>
      <c r="I29" s="585" t="s">
        <v>381</v>
      </c>
      <c r="J29" s="585" t="s">
        <v>382</v>
      </c>
      <c r="K29" s="585" t="s">
        <v>382</v>
      </c>
      <c r="L29" s="584"/>
      <c r="M29" s="584"/>
      <c r="N29" s="584"/>
      <c r="O29" s="586"/>
    </row>
    <row r="30" spans="2:34" ht="52.5" x14ac:dyDescent="0.15">
      <c r="B30" s="558" t="s">
        <v>1011</v>
      </c>
      <c r="C30" s="772" t="s">
        <v>1319</v>
      </c>
      <c r="D30" s="565" t="s">
        <v>1320</v>
      </c>
      <c r="E30" s="566">
        <v>6.83E-2</v>
      </c>
      <c r="F30" s="567">
        <v>0</v>
      </c>
      <c r="G30" s="567">
        <f t="shared" ref="G30:G38" si="3">F30*E30</f>
        <v>0</v>
      </c>
      <c r="H30" s="567">
        <v>0</v>
      </c>
      <c r="I30" s="567">
        <f>E30*H30</f>
        <v>0</v>
      </c>
      <c r="J30" s="567">
        <v>0</v>
      </c>
      <c r="K30" s="567">
        <f>E30*J30</f>
        <v>0</v>
      </c>
      <c r="L30" s="762"/>
      <c r="M30" s="763"/>
      <c r="N30" s="763"/>
      <c r="O30" s="764"/>
    </row>
    <row r="31" spans="2:34" ht="52.5" x14ac:dyDescent="0.15">
      <c r="B31" s="558" t="s">
        <v>1012</v>
      </c>
      <c r="C31" s="773"/>
      <c r="D31" s="565" t="s">
        <v>1321</v>
      </c>
      <c r="E31" s="566">
        <v>0.1258</v>
      </c>
      <c r="F31" s="567">
        <v>0</v>
      </c>
      <c r="G31" s="567">
        <f t="shared" si="3"/>
        <v>0</v>
      </c>
      <c r="H31" s="567">
        <v>0</v>
      </c>
      <c r="I31" s="567">
        <f t="shared" ref="I31:I38" si="4">E31*H31</f>
        <v>0</v>
      </c>
      <c r="J31" s="567">
        <v>0</v>
      </c>
      <c r="K31" s="567">
        <f t="shared" ref="K31:K38" si="5">E31*J31</f>
        <v>0</v>
      </c>
      <c r="L31" s="762"/>
      <c r="M31" s="763"/>
      <c r="N31" s="763"/>
      <c r="O31" s="764"/>
    </row>
    <row r="32" spans="2:34" ht="33.75" x14ac:dyDescent="0.15">
      <c r="B32" s="558" t="s">
        <v>1013</v>
      </c>
      <c r="C32" s="574" t="s">
        <v>1322</v>
      </c>
      <c r="D32" s="570" t="s">
        <v>1323</v>
      </c>
      <c r="E32" s="566">
        <v>0.16239999999999999</v>
      </c>
      <c r="F32" s="567">
        <v>0</v>
      </c>
      <c r="G32" s="567">
        <f t="shared" si="3"/>
        <v>0</v>
      </c>
      <c r="H32" s="567">
        <v>0</v>
      </c>
      <c r="I32" s="567">
        <f t="shared" si="4"/>
        <v>0</v>
      </c>
      <c r="J32" s="567">
        <v>0</v>
      </c>
      <c r="K32" s="567">
        <f t="shared" si="5"/>
        <v>0</v>
      </c>
      <c r="L32" s="762"/>
      <c r="M32" s="763"/>
      <c r="N32" s="763"/>
      <c r="O32" s="764"/>
    </row>
    <row r="33" spans="2:15" ht="78.75" x14ac:dyDescent="0.15">
      <c r="B33" s="558" t="s">
        <v>1014</v>
      </c>
      <c r="C33" s="575" t="s">
        <v>1324</v>
      </c>
      <c r="D33" s="565" t="s">
        <v>1325</v>
      </c>
      <c r="E33" s="566">
        <v>8.2500000000000004E-2</v>
      </c>
      <c r="F33" s="567">
        <v>0</v>
      </c>
      <c r="G33" s="567">
        <f t="shared" si="3"/>
        <v>0</v>
      </c>
      <c r="H33" s="567">
        <v>0</v>
      </c>
      <c r="I33" s="567">
        <f t="shared" si="4"/>
        <v>0</v>
      </c>
      <c r="J33" s="567">
        <v>0</v>
      </c>
      <c r="K33" s="567">
        <f t="shared" si="5"/>
        <v>0</v>
      </c>
      <c r="L33" s="762"/>
      <c r="M33" s="763"/>
      <c r="N33" s="763"/>
      <c r="O33" s="764"/>
    </row>
    <row r="34" spans="2:15" ht="126" x14ac:dyDescent="0.15">
      <c r="B34" s="558" t="s">
        <v>1015</v>
      </c>
      <c r="C34" s="574" t="s">
        <v>1326</v>
      </c>
      <c r="D34" s="565" t="s">
        <v>1327</v>
      </c>
      <c r="E34" s="566">
        <v>0.129</v>
      </c>
      <c r="F34" s="567">
        <v>0</v>
      </c>
      <c r="G34" s="567">
        <f t="shared" si="3"/>
        <v>0</v>
      </c>
      <c r="H34" s="567">
        <v>0</v>
      </c>
      <c r="I34" s="567">
        <f t="shared" si="4"/>
        <v>0</v>
      </c>
      <c r="J34" s="567">
        <v>0</v>
      </c>
      <c r="K34" s="567">
        <f t="shared" si="5"/>
        <v>0</v>
      </c>
      <c r="L34" s="762"/>
      <c r="M34" s="763"/>
      <c r="N34" s="763"/>
      <c r="O34" s="764"/>
    </row>
    <row r="35" spans="2:15" ht="63" x14ac:dyDescent="0.15">
      <c r="B35" s="558" t="s">
        <v>1016</v>
      </c>
      <c r="C35" s="574" t="s">
        <v>1328</v>
      </c>
      <c r="D35" s="565" t="s">
        <v>1329</v>
      </c>
      <c r="E35" s="566">
        <v>8.0399999999999999E-2</v>
      </c>
      <c r="F35" s="567">
        <v>0</v>
      </c>
      <c r="G35" s="567">
        <f>F35*E35</f>
        <v>0</v>
      </c>
      <c r="H35" s="567">
        <v>0</v>
      </c>
      <c r="I35" s="567">
        <f t="shared" si="4"/>
        <v>0</v>
      </c>
      <c r="J35" s="567">
        <v>0</v>
      </c>
      <c r="K35" s="567">
        <f t="shared" si="5"/>
        <v>0</v>
      </c>
      <c r="L35" s="762"/>
      <c r="M35" s="763"/>
      <c r="N35" s="763"/>
      <c r="O35" s="764"/>
    </row>
    <row r="36" spans="2:15" ht="42" x14ac:dyDescent="0.15">
      <c r="B36" s="558" t="s">
        <v>1017</v>
      </c>
      <c r="C36" s="576" t="s">
        <v>1330</v>
      </c>
      <c r="D36" s="570" t="s">
        <v>1331</v>
      </c>
      <c r="E36" s="566">
        <v>4.4299999999999999E-2</v>
      </c>
      <c r="F36" s="567">
        <v>0</v>
      </c>
      <c r="G36" s="567">
        <f t="shared" si="3"/>
        <v>0</v>
      </c>
      <c r="H36" s="567">
        <v>0</v>
      </c>
      <c r="I36" s="567">
        <f t="shared" si="4"/>
        <v>0</v>
      </c>
      <c r="J36" s="567">
        <v>0</v>
      </c>
      <c r="K36" s="567">
        <f t="shared" si="5"/>
        <v>0</v>
      </c>
      <c r="L36" s="762"/>
      <c r="M36" s="763"/>
      <c r="N36" s="763"/>
      <c r="O36" s="764"/>
    </row>
    <row r="37" spans="2:15" ht="73.5" x14ac:dyDescent="0.15">
      <c r="B37" s="558" t="s">
        <v>1018</v>
      </c>
      <c r="C37" s="574" t="s">
        <v>1332</v>
      </c>
      <c r="D37" s="565" t="s">
        <v>1333</v>
      </c>
      <c r="E37" s="566">
        <v>9.74E-2</v>
      </c>
      <c r="F37" s="567">
        <v>0</v>
      </c>
      <c r="G37" s="567">
        <f t="shared" si="3"/>
        <v>0</v>
      </c>
      <c r="H37" s="567">
        <v>0</v>
      </c>
      <c r="I37" s="567">
        <f t="shared" si="4"/>
        <v>0</v>
      </c>
      <c r="J37" s="567">
        <v>0</v>
      </c>
      <c r="K37" s="567">
        <f t="shared" si="5"/>
        <v>0</v>
      </c>
      <c r="L37" s="762"/>
      <c r="M37" s="763"/>
      <c r="N37" s="763"/>
      <c r="O37" s="764"/>
    </row>
    <row r="38" spans="2:15" ht="53.25" thickBot="1" x14ac:dyDescent="0.2">
      <c r="B38" s="558" t="s">
        <v>1019</v>
      </c>
      <c r="C38" s="577" t="s">
        <v>1334</v>
      </c>
      <c r="D38" s="578" t="s">
        <v>1335</v>
      </c>
      <c r="E38" s="579">
        <v>0.2099</v>
      </c>
      <c r="F38" s="567">
        <v>0</v>
      </c>
      <c r="G38" s="580">
        <f t="shared" si="3"/>
        <v>0</v>
      </c>
      <c r="H38" s="567">
        <v>0</v>
      </c>
      <c r="I38" s="567">
        <f t="shared" si="4"/>
        <v>0</v>
      </c>
      <c r="J38" s="567">
        <v>0</v>
      </c>
      <c r="K38" s="567">
        <f t="shared" si="5"/>
        <v>0</v>
      </c>
      <c r="L38" s="774"/>
      <c r="M38" s="775"/>
      <c r="N38" s="775"/>
      <c r="O38" s="776"/>
    </row>
    <row r="39" spans="2:15" ht="16.5" thickTop="1" thickBot="1" x14ac:dyDescent="0.2">
      <c r="C39" s="767" t="s">
        <v>1317</v>
      </c>
      <c r="D39" s="768"/>
      <c r="E39" s="581">
        <f>SUM(E30:E38)</f>
        <v>1.0000000000000002</v>
      </c>
      <c r="F39" s="582"/>
      <c r="G39" s="573">
        <f>SUM(G30:G38)</f>
        <v>0</v>
      </c>
      <c r="H39" s="582"/>
      <c r="I39" s="573">
        <f>SUM(I30:I38)</f>
        <v>0</v>
      </c>
      <c r="J39" s="582"/>
      <c r="K39" s="573">
        <f>SUM(K30:K38)</f>
        <v>0</v>
      </c>
      <c r="L39" s="769" t="str">
        <f>IF((G39+I39+K39)&lt;5.5,"Niet accepteren",(IF((G39+I39+K39)&gt;7.5,"Volstaat","Optimalisatie vereist")))</f>
        <v>Niet accepteren</v>
      </c>
      <c r="M39" s="770"/>
      <c r="N39" s="770"/>
      <c r="O39" s="771"/>
    </row>
  </sheetData>
  <mergeCells count="28">
    <mergeCell ref="C39:D39"/>
    <mergeCell ref="L39:O39"/>
    <mergeCell ref="C28:O28"/>
    <mergeCell ref="C30:C31"/>
    <mergeCell ref="L30:O30"/>
    <mergeCell ref="L31:O31"/>
    <mergeCell ref="L32:O32"/>
    <mergeCell ref="L33:O33"/>
    <mergeCell ref="C29:D29"/>
    <mergeCell ref="L34:O34"/>
    <mergeCell ref="L35:O35"/>
    <mergeCell ref="L36:O36"/>
    <mergeCell ref="L37:O37"/>
    <mergeCell ref="L38:O38"/>
    <mergeCell ref="P26:S26"/>
    <mergeCell ref="C27:O27"/>
    <mergeCell ref="L17:O17"/>
    <mergeCell ref="C18:O18"/>
    <mergeCell ref="C19:O19"/>
    <mergeCell ref="C21:C22"/>
    <mergeCell ref="L21:O21"/>
    <mergeCell ref="L22:O22"/>
    <mergeCell ref="C20:D20"/>
    <mergeCell ref="L23:O23"/>
    <mergeCell ref="L24:O24"/>
    <mergeCell ref="L25:O25"/>
    <mergeCell ref="C26:D26"/>
    <mergeCell ref="L26:O26"/>
  </mergeCells>
  <conditionalFormatting sqref="F21:F25 F30:F38">
    <cfRule type="cellIs" dxfId="71" priority="49" operator="equal">
      <formula>3</formula>
    </cfRule>
    <cfRule type="cellIs" dxfId="70" priority="50" operator="equal">
      <formula>2</formula>
    </cfRule>
    <cfRule type="cellIs" dxfId="69" priority="51" operator="equal">
      <formula>1</formula>
    </cfRule>
  </conditionalFormatting>
  <conditionalFormatting sqref="H21:H25">
    <cfRule type="cellIs" dxfId="68" priority="4" operator="equal">
      <formula>3</formula>
    </cfRule>
    <cfRule type="cellIs" dxfId="67" priority="5" operator="equal">
      <formula>2</formula>
    </cfRule>
    <cfRule type="cellIs" dxfId="66" priority="6" operator="equal">
      <formula>1</formula>
    </cfRule>
  </conditionalFormatting>
  <conditionalFormatting sqref="H30:H38">
    <cfRule type="cellIs" dxfId="65" priority="16" operator="equal">
      <formula>3</formula>
    </cfRule>
    <cfRule type="cellIs" dxfId="64" priority="17" operator="equal">
      <formula>2</formula>
    </cfRule>
    <cfRule type="cellIs" dxfId="63" priority="18" operator="equal">
      <formula>1</formula>
    </cfRule>
  </conditionalFormatting>
  <conditionalFormatting sqref="J21:J25">
    <cfRule type="cellIs" dxfId="62" priority="1" operator="equal">
      <formula>3</formula>
    </cfRule>
    <cfRule type="cellIs" dxfId="61" priority="2" operator="equal">
      <formula>2</formula>
    </cfRule>
    <cfRule type="cellIs" dxfId="60" priority="3" operator="equal">
      <formula>1</formula>
    </cfRule>
  </conditionalFormatting>
  <conditionalFormatting sqref="J30:J38">
    <cfRule type="cellIs" dxfId="59" priority="13" operator="equal">
      <formula>3</formula>
    </cfRule>
    <cfRule type="cellIs" dxfId="58" priority="14" operator="equal">
      <formula>2</formula>
    </cfRule>
    <cfRule type="cellIs" dxfId="57" priority="15" operator="equal">
      <formula>1</formula>
    </cfRule>
  </conditionalFormatting>
  <conditionalFormatting sqref="L39:O39">
    <cfRule type="containsText" dxfId="56" priority="7" operator="containsText" text="Volstaat">
      <formula>NOT(ISERROR(SEARCH("Volstaat",L39)))</formula>
    </cfRule>
    <cfRule type="containsText" dxfId="55" priority="8" operator="containsText" text="Optimalisatie">
      <formula>NOT(ISERROR(SEARCH("Optimalisatie",L39)))</formula>
    </cfRule>
    <cfRule type="containsText" dxfId="54" priority="9" operator="containsText" text="Niet">
      <formula>NOT(ISERROR(SEARCH("Niet",L39)))</formula>
    </cfRule>
  </conditionalFormatting>
  <conditionalFormatting sqref="L26:S26">
    <cfRule type="containsText" dxfId="53" priority="55" operator="containsText" text="Volstaat">
      <formula>NOT(ISERROR(SEARCH("Volstaat",L26)))</formula>
    </cfRule>
    <cfRule type="containsText" dxfId="52" priority="56" operator="containsText" text="Optimalisatie">
      <formula>NOT(ISERROR(SEARCH("Optimalisatie",L26)))</formula>
    </cfRule>
    <cfRule type="containsText" dxfId="51" priority="57" operator="containsText" text="Niet">
      <formula>NOT(ISERROR(SEARCH("Niet",L26)))</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77061-7DBC-491E-A9B9-D3D791392B1B}">
  <dimension ref="B1:AM23"/>
  <sheetViews>
    <sheetView zoomScale="115" zoomScaleNormal="115" workbookViewId="0">
      <pane xSplit="5" topLeftCell="F1" activePane="topRight" state="frozen"/>
      <selection pane="topRight" activeCell="B5" sqref="B5"/>
    </sheetView>
  </sheetViews>
  <sheetFormatPr defaultColWidth="8.7109375" defaultRowHeight="15" x14ac:dyDescent="0.25"/>
  <cols>
    <col min="1" max="1" width="8.7109375" style="632"/>
    <col min="2" max="2" width="8.7109375" style="632" bestFit="1" customWidth="1"/>
    <col min="3" max="3" width="19.85546875" style="632" bestFit="1" customWidth="1"/>
    <col min="4" max="4" width="36.7109375" style="632" bestFit="1" customWidth="1"/>
    <col min="5" max="5" width="8.85546875" style="632" bestFit="1" customWidth="1"/>
    <col min="6" max="6" width="9" style="632" customWidth="1"/>
    <col min="7" max="7" width="30" style="632" bestFit="1" customWidth="1"/>
    <col min="8" max="8" width="19.140625" style="632" bestFit="1" customWidth="1"/>
    <col min="9" max="9" width="21.140625" style="632" bestFit="1" customWidth="1"/>
    <col min="10" max="10" width="8.42578125" style="632" bestFit="1" customWidth="1"/>
    <col min="11" max="11" width="11.140625" style="632" bestFit="1" customWidth="1"/>
    <col min="12" max="12" width="10.85546875" style="632" bestFit="1" customWidth="1"/>
    <col min="13" max="13" width="17.7109375" style="632" bestFit="1" customWidth="1"/>
    <col min="14" max="14" width="55.42578125" style="632" bestFit="1" customWidth="1"/>
    <col min="15" max="15" width="24.28515625" style="632" bestFit="1" customWidth="1"/>
    <col min="16" max="16" width="15" style="632" bestFit="1" customWidth="1"/>
    <col min="17" max="17" width="22.5703125" style="632" bestFit="1" customWidth="1"/>
    <col min="18" max="18" width="31.5703125" style="632" bestFit="1" customWidth="1"/>
    <col min="19" max="19" width="19.5703125" style="632" bestFit="1" customWidth="1"/>
    <col min="20" max="20" width="19.42578125" style="632" bestFit="1" customWidth="1"/>
    <col min="21" max="21" width="14.42578125" style="632" bestFit="1" customWidth="1"/>
    <col min="22" max="22" width="31.140625" style="632" bestFit="1" customWidth="1"/>
    <col min="23" max="23" width="9.85546875" style="632" bestFit="1" customWidth="1"/>
    <col min="24" max="24" width="17.140625" style="632" bestFit="1" customWidth="1"/>
    <col min="25" max="25" width="26.7109375" style="632" bestFit="1" customWidth="1"/>
    <col min="26" max="26" width="20.5703125" style="632" bestFit="1" customWidth="1"/>
    <col min="27" max="27" width="21.28515625" style="632" bestFit="1" customWidth="1"/>
    <col min="28" max="28" width="25.42578125" style="632" bestFit="1" customWidth="1"/>
    <col min="29" max="29" width="26.5703125" style="632" bestFit="1" customWidth="1"/>
    <col min="30" max="30" width="22.140625" style="632" bestFit="1" customWidth="1"/>
    <col min="31" max="31" width="14.85546875" style="632" bestFit="1" customWidth="1"/>
    <col min="32" max="32" width="12.85546875" style="632" bestFit="1" customWidth="1"/>
    <col min="33" max="33" width="10.28515625" style="632" bestFit="1" customWidth="1"/>
    <col min="34" max="34" width="17.42578125" style="632" bestFit="1" customWidth="1"/>
    <col min="35" max="35" width="30.140625" style="632" bestFit="1" customWidth="1"/>
    <col min="36" max="36" width="35.85546875" style="632" bestFit="1" customWidth="1"/>
    <col min="37" max="37" width="13.85546875" style="632" bestFit="1" customWidth="1"/>
    <col min="38" max="38" width="22" style="632" bestFit="1" customWidth="1"/>
    <col min="39" max="39" width="55.42578125" style="632" bestFit="1" customWidth="1"/>
    <col min="40" max="40" width="9.42578125" style="632" bestFit="1" customWidth="1"/>
    <col min="41" max="16384" width="8.7109375" style="632"/>
  </cols>
  <sheetData>
    <row r="1" spans="2:39" s="170" customFormat="1" ht="30" customHeight="1" thickBot="1" x14ac:dyDescent="0.3">
      <c r="B1" s="710" t="s">
        <v>567</v>
      </c>
      <c r="E1" s="710"/>
      <c r="J1" s="217"/>
      <c r="U1" s="716"/>
      <c r="V1" s="716"/>
    </row>
    <row r="2" spans="2:39" s="170" customFormat="1" ht="23.1" customHeight="1" thickBot="1" x14ac:dyDescent="0.3">
      <c r="B2" s="712" t="s">
        <v>1</v>
      </c>
      <c r="C2" s="713" t="str">
        <f>CONCATENATE(Advies!B10,".",Advies!B12)</f>
        <v>Voorbeeld.Voorbeeld</v>
      </c>
      <c r="D2" s="735" t="str">
        <f>Advies!B11</f>
        <v>Voorbeeld</v>
      </c>
      <c r="E2" s="777"/>
      <c r="F2" s="777"/>
      <c r="G2" s="778"/>
      <c r="I2" s="217"/>
      <c r="N2" s="714" t="s">
        <v>568</v>
      </c>
      <c r="O2" s="715">
        <f>Advies!B18</f>
        <v>636</v>
      </c>
      <c r="P2" s="714" t="s">
        <v>158</v>
      </c>
      <c r="Q2" s="631">
        <f>Advies!B17</f>
        <v>1943</v>
      </c>
      <c r="R2" s="716"/>
      <c r="S2" s="717" t="s">
        <v>569</v>
      </c>
      <c r="T2" s="738"/>
      <c r="U2" s="779"/>
      <c r="V2" s="779"/>
      <c r="W2" s="779"/>
      <c r="X2" s="780"/>
      <c r="AC2" s="720"/>
      <c r="AD2" s="720"/>
      <c r="AE2" s="720"/>
      <c r="AF2" s="720"/>
    </row>
    <row r="3" spans="2:39" s="170" customFormat="1" ht="15.6" customHeight="1" thickTop="1" thickBot="1" x14ac:dyDescent="0.3">
      <c r="I3" s="217"/>
      <c r="R3" s="716"/>
      <c r="Y3" s="781" t="s">
        <v>570</v>
      </c>
      <c r="Z3" s="782"/>
      <c r="AA3" s="782"/>
      <c r="AB3" s="783"/>
      <c r="AI3" s="632"/>
      <c r="AJ3" s="781" t="s">
        <v>571</v>
      </c>
      <c r="AK3" s="782"/>
      <c r="AL3" s="782"/>
      <c r="AM3" s="783"/>
    </row>
    <row r="4" spans="2:39" s="591" customFormat="1" ht="45.75" thickTop="1" x14ac:dyDescent="0.25">
      <c r="B4" s="591" t="s">
        <v>572</v>
      </c>
      <c r="C4" s="591" t="s">
        <v>573</v>
      </c>
      <c r="D4" s="591" t="s">
        <v>574</v>
      </c>
      <c r="E4" s="591" t="s">
        <v>575</v>
      </c>
      <c r="F4" s="591" t="s">
        <v>1</v>
      </c>
      <c r="G4" s="591" t="s">
        <v>576</v>
      </c>
      <c r="H4" s="591" t="s">
        <v>577</v>
      </c>
      <c r="I4" s="591" t="s">
        <v>578</v>
      </c>
      <c r="J4" s="591" t="s">
        <v>355</v>
      </c>
      <c r="K4" s="591" t="s">
        <v>579</v>
      </c>
      <c r="L4" s="591" t="s">
        <v>580</v>
      </c>
      <c r="M4" s="591" t="s">
        <v>581</v>
      </c>
      <c r="N4" s="591" t="s">
        <v>582</v>
      </c>
      <c r="O4" s="591" t="s">
        <v>583</v>
      </c>
      <c r="P4" s="591" t="s">
        <v>584</v>
      </c>
      <c r="Q4" s="591" t="s">
        <v>585</v>
      </c>
      <c r="R4" s="591" t="s">
        <v>586</v>
      </c>
      <c r="S4" s="591" t="s">
        <v>587</v>
      </c>
      <c r="T4" s="591" t="s">
        <v>588</v>
      </c>
      <c r="U4" s="591" t="s">
        <v>589</v>
      </c>
      <c r="V4" s="591" t="s">
        <v>590</v>
      </c>
      <c r="W4" s="591" t="s">
        <v>591</v>
      </c>
      <c r="X4" s="591" t="s">
        <v>592</v>
      </c>
      <c r="Y4" s="591" t="s">
        <v>593</v>
      </c>
      <c r="Z4" s="591" t="s">
        <v>594</v>
      </c>
      <c r="AA4" s="591" t="s">
        <v>595</v>
      </c>
      <c r="AB4" s="591" t="s">
        <v>596</v>
      </c>
      <c r="AC4" s="591" t="s">
        <v>597</v>
      </c>
      <c r="AD4" s="591" t="s">
        <v>598</v>
      </c>
      <c r="AE4" s="591" t="s">
        <v>599</v>
      </c>
      <c r="AF4" s="591" t="s">
        <v>600</v>
      </c>
      <c r="AG4" s="591" t="s">
        <v>601</v>
      </c>
      <c r="AH4" s="591" t="s">
        <v>602</v>
      </c>
      <c r="AI4" s="591" t="s">
        <v>603</v>
      </c>
      <c r="AJ4" s="591" t="s">
        <v>604</v>
      </c>
      <c r="AK4" s="591" t="s">
        <v>605</v>
      </c>
      <c r="AL4" s="591" t="s">
        <v>606</v>
      </c>
      <c r="AM4" s="591" t="s">
        <v>607</v>
      </c>
    </row>
    <row r="5" spans="2:39" ht="135" x14ac:dyDescent="0.25">
      <c r="B5" s="6" t="s">
        <v>1551</v>
      </c>
      <c r="C5" s="6">
        <v>210010</v>
      </c>
      <c r="D5" s="6" t="s">
        <v>805</v>
      </c>
      <c r="E5" s="6">
        <v>1</v>
      </c>
      <c r="F5" s="6" t="s">
        <v>1375</v>
      </c>
      <c r="G5" s="6" t="s">
        <v>1377</v>
      </c>
      <c r="H5" s="6"/>
      <c r="I5" s="6"/>
      <c r="J5" s="6">
        <v>310</v>
      </c>
      <c r="K5" s="6" t="s">
        <v>799</v>
      </c>
      <c r="L5" s="6" t="s">
        <v>380</v>
      </c>
      <c r="M5" s="6">
        <v>3</v>
      </c>
      <c r="N5" s="6" t="s">
        <v>1660</v>
      </c>
      <c r="O5" s="6">
        <v>15707</v>
      </c>
      <c r="P5" s="6"/>
      <c r="Q5" s="6">
        <v>100</v>
      </c>
      <c r="R5" s="6">
        <v>52207</v>
      </c>
      <c r="S5" s="6">
        <v>0</v>
      </c>
      <c r="T5" s="6" t="s">
        <v>1380</v>
      </c>
      <c r="U5" s="6" t="s">
        <v>1380</v>
      </c>
      <c r="V5" s="6" t="s">
        <v>1381</v>
      </c>
      <c r="W5" s="6"/>
      <c r="X5" s="6" t="s">
        <v>1165</v>
      </c>
      <c r="Y5" s="6"/>
      <c r="Z5" s="6"/>
      <c r="AA5" s="6"/>
      <c r="AB5" s="6"/>
      <c r="AC5" s="6" t="s">
        <v>839</v>
      </c>
      <c r="AD5" s="6" t="s">
        <v>1380</v>
      </c>
      <c r="AE5" s="6"/>
      <c r="AF5" s="6" t="s">
        <v>1380</v>
      </c>
      <c r="AG5" s="721" t="s">
        <v>739</v>
      </c>
      <c r="AH5" s="721" t="s">
        <v>739</v>
      </c>
      <c r="AI5" s="6"/>
      <c r="AJ5" s="6"/>
      <c r="AK5" s="6"/>
      <c r="AL5" s="6"/>
      <c r="AM5" s="6" t="s">
        <v>1388</v>
      </c>
    </row>
    <row r="6" spans="2:39" ht="90" x14ac:dyDescent="0.25">
      <c r="B6" s="6" t="s">
        <v>1569</v>
      </c>
      <c r="C6" s="6">
        <v>312010</v>
      </c>
      <c r="D6" s="6" t="s">
        <v>806</v>
      </c>
      <c r="E6" s="6">
        <v>1</v>
      </c>
      <c r="F6" s="6" t="s">
        <v>1375</v>
      </c>
      <c r="G6" s="6" t="s">
        <v>1378</v>
      </c>
      <c r="H6" s="6"/>
      <c r="I6" s="6"/>
      <c r="J6" s="6">
        <v>95</v>
      </c>
      <c r="K6" s="6" t="s">
        <v>799</v>
      </c>
      <c r="L6" s="6" t="s">
        <v>380</v>
      </c>
      <c r="M6" s="6">
        <v>3</v>
      </c>
      <c r="N6" s="6" t="s">
        <v>1661</v>
      </c>
      <c r="O6" s="6">
        <v>33604</v>
      </c>
      <c r="P6" s="6"/>
      <c r="Q6" s="6">
        <v>50</v>
      </c>
      <c r="R6" s="6">
        <v>51854</v>
      </c>
      <c r="S6" s="6">
        <v>85500</v>
      </c>
      <c r="T6" s="6" t="s">
        <v>1380</v>
      </c>
      <c r="U6" s="6" t="s">
        <v>1380</v>
      </c>
      <c r="V6" s="6" t="s">
        <v>1382</v>
      </c>
      <c r="W6" s="6"/>
      <c r="X6" s="6" t="s">
        <v>1165</v>
      </c>
      <c r="Y6" s="6"/>
      <c r="Z6" s="6"/>
      <c r="AA6" s="6"/>
      <c r="AB6" s="6"/>
      <c r="AC6" s="6" t="s">
        <v>836</v>
      </c>
      <c r="AD6" s="6" t="s">
        <v>1380</v>
      </c>
      <c r="AE6" s="6"/>
      <c r="AF6" s="6" t="s">
        <v>1380</v>
      </c>
      <c r="AG6" s="721" t="s">
        <v>739</v>
      </c>
      <c r="AH6" s="721" t="s">
        <v>739</v>
      </c>
      <c r="AI6" s="6"/>
      <c r="AJ6" s="6"/>
      <c r="AK6" s="6"/>
      <c r="AL6" s="6"/>
      <c r="AM6" s="6" t="s">
        <v>1389</v>
      </c>
    </row>
    <row r="7" spans="2:39" ht="105" x14ac:dyDescent="0.25">
      <c r="B7" s="6" t="s">
        <v>1554</v>
      </c>
      <c r="C7" s="6">
        <v>312010</v>
      </c>
      <c r="D7" s="6" t="s">
        <v>806</v>
      </c>
      <c r="E7" s="6">
        <v>2</v>
      </c>
      <c r="F7" s="6" t="s">
        <v>1375</v>
      </c>
      <c r="G7" s="6">
        <v>106</v>
      </c>
      <c r="H7" s="6"/>
      <c r="I7" s="6"/>
      <c r="J7" s="6">
        <v>4</v>
      </c>
      <c r="K7" s="6" t="s">
        <v>799</v>
      </c>
      <c r="L7" s="6" t="s">
        <v>380</v>
      </c>
      <c r="M7" s="6">
        <v>3</v>
      </c>
      <c r="N7" s="6" t="s">
        <v>1662</v>
      </c>
      <c r="O7" s="6">
        <v>15707</v>
      </c>
      <c r="P7" s="6"/>
      <c r="Q7" s="6">
        <v>75</v>
      </c>
      <c r="R7" s="6">
        <v>43082</v>
      </c>
      <c r="S7" s="6">
        <v>4000</v>
      </c>
      <c r="T7" s="6" t="s">
        <v>1380</v>
      </c>
      <c r="U7" s="6" t="s">
        <v>1380</v>
      </c>
      <c r="V7" s="6" t="s">
        <v>1383</v>
      </c>
      <c r="W7" s="6"/>
      <c r="X7" s="6" t="s">
        <v>1165</v>
      </c>
      <c r="Y7" s="6"/>
      <c r="Z7" s="6"/>
      <c r="AA7" s="6"/>
      <c r="AB7" s="6"/>
      <c r="AC7" s="6" t="s">
        <v>838</v>
      </c>
      <c r="AD7" s="6" t="s">
        <v>1380</v>
      </c>
      <c r="AE7" s="6"/>
      <c r="AF7" s="6" t="s">
        <v>1380</v>
      </c>
      <c r="AG7" s="721" t="s">
        <v>739</v>
      </c>
      <c r="AH7" s="721" t="s">
        <v>739</v>
      </c>
      <c r="AI7" s="6"/>
      <c r="AJ7" s="6"/>
      <c r="AK7" s="6"/>
      <c r="AL7" s="6"/>
      <c r="AM7" s="6" t="s">
        <v>1390</v>
      </c>
    </row>
    <row r="8" spans="2:39" ht="30" x14ac:dyDescent="0.25">
      <c r="B8" s="6" t="s">
        <v>1556</v>
      </c>
      <c r="C8" s="6">
        <v>312030</v>
      </c>
      <c r="D8" s="6" t="s">
        <v>782</v>
      </c>
      <c r="E8" s="6">
        <v>1</v>
      </c>
      <c r="F8" s="6" t="s">
        <v>1375</v>
      </c>
      <c r="G8" s="6">
        <v>106</v>
      </c>
      <c r="H8" s="6"/>
      <c r="I8" s="6"/>
      <c r="J8" s="6">
        <v>4</v>
      </c>
      <c r="K8" s="6" t="s">
        <v>799</v>
      </c>
      <c r="L8" s="6" t="s">
        <v>380</v>
      </c>
      <c r="M8" s="6">
        <v>3</v>
      </c>
      <c r="N8" s="6" t="s">
        <v>1663</v>
      </c>
      <c r="O8" s="6">
        <v>15707</v>
      </c>
      <c r="P8" s="6"/>
      <c r="Q8" s="6">
        <v>75</v>
      </c>
      <c r="R8" s="6">
        <v>43082</v>
      </c>
      <c r="S8" s="6">
        <v>560</v>
      </c>
      <c r="T8" s="6" t="s">
        <v>1380</v>
      </c>
      <c r="U8" s="6" t="s">
        <v>1380</v>
      </c>
      <c r="V8" s="6" t="s">
        <v>1384</v>
      </c>
      <c r="W8" s="6"/>
      <c r="X8" s="6" t="s">
        <v>1165</v>
      </c>
      <c r="Y8" s="6"/>
      <c r="Z8" s="6"/>
      <c r="AA8" s="6"/>
      <c r="AB8" s="6"/>
      <c r="AC8" s="6" t="s">
        <v>839</v>
      </c>
      <c r="AD8" s="6" t="s">
        <v>1380</v>
      </c>
      <c r="AE8" s="6"/>
      <c r="AF8" s="6" t="s">
        <v>1380</v>
      </c>
      <c r="AG8" s="721" t="s">
        <v>739</v>
      </c>
      <c r="AH8" s="721" t="s">
        <v>739</v>
      </c>
      <c r="AI8" s="6"/>
      <c r="AJ8" s="6"/>
      <c r="AK8" s="6"/>
      <c r="AL8" s="6"/>
      <c r="AM8" s="6" t="s">
        <v>1391</v>
      </c>
    </row>
    <row r="9" spans="2:39" ht="60" x14ac:dyDescent="0.25">
      <c r="B9" s="6" t="s">
        <v>1559</v>
      </c>
      <c r="C9" s="6">
        <v>312050</v>
      </c>
      <c r="D9" s="6" t="s">
        <v>784</v>
      </c>
      <c r="E9" s="6">
        <v>1</v>
      </c>
      <c r="F9" s="6" t="s">
        <v>1375</v>
      </c>
      <c r="G9" s="6" t="s">
        <v>1379</v>
      </c>
      <c r="H9" s="6"/>
      <c r="I9" s="6"/>
      <c r="J9" s="6">
        <v>48</v>
      </c>
      <c r="K9" s="6" t="s">
        <v>799</v>
      </c>
      <c r="L9" s="6" t="s">
        <v>380</v>
      </c>
      <c r="M9" s="6">
        <v>3</v>
      </c>
      <c r="N9" s="6" t="s">
        <v>1664</v>
      </c>
      <c r="O9" s="6">
        <v>33604</v>
      </c>
      <c r="P9" s="6"/>
      <c r="Q9" s="6">
        <v>30</v>
      </c>
      <c r="R9" s="6">
        <v>44554</v>
      </c>
      <c r="S9" s="6">
        <v>6720</v>
      </c>
      <c r="T9" s="6" t="s">
        <v>1380</v>
      </c>
      <c r="U9" s="6" t="s">
        <v>1380</v>
      </c>
      <c r="V9" s="6" t="s">
        <v>1385</v>
      </c>
      <c r="W9" s="6"/>
      <c r="X9" s="6" t="s">
        <v>1165</v>
      </c>
      <c r="Y9" s="6"/>
      <c r="Z9" s="6"/>
      <c r="AA9" s="6"/>
      <c r="AB9" s="6"/>
      <c r="AC9" s="6" t="s">
        <v>839</v>
      </c>
      <c r="AD9" s="6" t="s">
        <v>1387</v>
      </c>
      <c r="AE9" s="6"/>
      <c r="AF9" s="6" t="s">
        <v>1380</v>
      </c>
      <c r="AG9" s="721" t="s">
        <v>739</v>
      </c>
      <c r="AH9" s="721" t="s">
        <v>739</v>
      </c>
      <c r="AI9" s="6"/>
      <c r="AJ9" s="6"/>
      <c r="AK9" s="6"/>
      <c r="AL9" s="6"/>
      <c r="AM9" s="6" t="s">
        <v>1392</v>
      </c>
    </row>
    <row r="10" spans="2:39" ht="105" x14ac:dyDescent="0.25">
      <c r="B10" s="6" t="s">
        <v>1394</v>
      </c>
      <c r="C10" s="6">
        <v>471210</v>
      </c>
      <c r="D10" s="6" t="s">
        <v>798</v>
      </c>
      <c r="E10" s="6">
        <v>1</v>
      </c>
      <c r="F10" s="6" t="s">
        <v>1375</v>
      </c>
      <c r="G10" s="6">
        <v>106</v>
      </c>
      <c r="H10" s="6"/>
      <c r="I10" s="6"/>
      <c r="J10" s="6">
        <v>420</v>
      </c>
      <c r="K10" s="6" t="s">
        <v>1170</v>
      </c>
      <c r="L10" s="6" t="s">
        <v>380</v>
      </c>
      <c r="M10" s="6">
        <v>3</v>
      </c>
      <c r="N10" s="6" t="s">
        <v>1665</v>
      </c>
      <c r="O10" s="6">
        <v>33756</v>
      </c>
      <c r="P10" s="6"/>
      <c r="Q10" s="6">
        <v>75</v>
      </c>
      <c r="R10" s="6">
        <v>61131</v>
      </c>
      <c r="S10" s="6">
        <v>41580</v>
      </c>
      <c r="T10" s="6">
        <v>900016560</v>
      </c>
      <c r="U10" s="6" t="s">
        <v>1380</v>
      </c>
      <c r="V10" s="6" t="s">
        <v>1386</v>
      </c>
      <c r="W10" s="6"/>
      <c r="X10" s="6" t="s">
        <v>1165</v>
      </c>
      <c r="Y10" s="6"/>
      <c r="Z10" s="6"/>
      <c r="AA10" s="6"/>
      <c r="AB10" s="6"/>
      <c r="AC10" s="6" t="s">
        <v>838</v>
      </c>
      <c r="AD10" s="6" t="s">
        <v>1380</v>
      </c>
      <c r="AE10" s="6"/>
      <c r="AF10" s="6" t="s">
        <v>1380</v>
      </c>
      <c r="AG10" s="721" t="s">
        <v>739</v>
      </c>
      <c r="AH10" s="721" t="s">
        <v>739</v>
      </c>
      <c r="AI10" s="6"/>
      <c r="AJ10" s="6"/>
      <c r="AK10" s="6"/>
      <c r="AL10" s="6"/>
      <c r="AM10" s="6" t="s">
        <v>1393</v>
      </c>
    </row>
    <row r="11" spans="2:39" ht="30" x14ac:dyDescent="0.25">
      <c r="B11" s="6" t="s">
        <v>1570</v>
      </c>
      <c r="C11" s="6">
        <v>634010</v>
      </c>
      <c r="D11" s="6" t="s">
        <v>910</v>
      </c>
      <c r="E11" s="6">
        <v>1</v>
      </c>
      <c r="F11" s="6" t="s">
        <v>1375</v>
      </c>
      <c r="G11" s="6" t="s">
        <v>1427</v>
      </c>
      <c r="H11" s="6"/>
      <c r="I11" s="6"/>
      <c r="J11" s="6">
        <v>1</v>
      </c>
      <c r="K11" s="6" t="s">
        <v>905</v>
      </c>
      <c r="L11" s="6" t="s">
        <v>381</v>
      </c>
      <c r="M11" s="6">
        <v>3</v>
      </c>
      <c r="N11" s="6" t="s">
        <v>1452</v>
      </c>
      <c r="O11" s="6">
        <v>43647</v>
      </c>
      <c r="P11" s="6"/>
      <c r="Q11" s="6">
        <v>20</v>
      </c>
      <c r="R11" s="6">
        <v>50947</v>
      </c>
      <c r="S11" s="6">
        <v>2696</v>
      </c>
      <c r="T11" s="6">
        <v>900007031</v>
      </c>
      <c r="U11" s="6" t="s">
        <v>1380</v>
      </c>
      <c r="V11" s="6" t="s">
        <v>1429</v>
      </c>
      <c r="W11" s="6" t="s">
        <v>628</v>
      </c>
      <c r="X11" s="6" t="s">
        <v>628</v>
      </c>
      <c r="Y11" s="6"/>
      <c r="Z11" s="6"/>
      <c r="AA11" s="6"/>
      <c r="AB11" s="6"/>
      <c r="AC11" s="6" t="s">
        <v>836</v>
      </c>
      <c r="AD11" s="6" t="s">
        <v>1431</v>
      </c>
      <c r="AE11" s="6"/>
      <c r="AF11" s="6" t="s">
        <v>1380</v>
      </c>
      <c r="AG11" s="721" t="s">
        <v>739</v>
      </c>
      <c r="AH11" s="721" t="s">
        <v>739</v>
      </c>
      <c r="AI11" s="6"/>
      <c r="AJ11" s="6"/>
      <c r="AK11" s="6"/>
      <c r="AL11" s="6"/>
      <c r="AM11" s="6" t="s">
        <v>1433</v>
      </c>
    </row>
    <row r="12" spans="2:39" ht="90" x14ac:dyDescent="0.25">
      <c r="B12" s="6" t="s">
        <v>1440</v>
      </c>
      <c r="C12" s="6">
        <v>632010</v>
      </c>
      <c r="D12" s="6" t="s">
        <v>914</v>
      </c>
      <c r="E12" s="6">
        <v>1</v>
      </c>
      <c r="F12" s="6" t="s">
        <v>1375</v>
      </c>
      <c r="G12" s="6" t="s">
        <v>1428</v>
      </c>
      <c r="H12" s="6"/>
      <c r="I12" s="6"/>
      <c r="J12" s="6">
        <v>63</v>
      </c>
      <c r="K12" s="6" t="s">
        <v>905</v>
      </c>
      <c r="L12" s="6" t="s">
        <v>381</v>
      </c>
      <c r="M12" s="6">
        <v>3</v>
      </c>
      <c r="N12" s="6" t="s">
        <v>1454</v>
      </c>
      <c r="O12" s="6">
        <v>36526</v>
      </c>
      <c r="P12" s="6"/>
      <c r="Q12" s="6">
        <v>20</v>
      </c>
      <c r="R12" s="6">
        <v>43826</v>
      </c>
      <c r="S12" s="6">
        <v>21839</v>
      </c>
      <c r="T12" s="6" t="s">
        <v>1380</v>
      </c>
      <c r="U12" s="6" t="s">
        <v>1380</v>
      </c>
      <c r="V12" s="6" t="s">
        <v>1430</v>
      </c>
      <c r="W12" s="6">
        <v>636</v>
      </c>
      <c r="X12" s="6" t="s">
        <v>568</v>
      </c>
      <c r="Y12" s="6"/>
      <c r="Z12" s="6"/>
      <c r="AA12" s="6"/>
      <c r="AB12" s="6"/>
      <c r="AC12" s="6" t="s">
        <v>839</v>
      </c>
      <c r="AD12" s="6" t="s">
        <v>1432</v>
      </c>
      <c r="AE12" s="6"/>
      <c r="AF12" s="6" t="s">
        <v>1380</v>
      </c>
      <c r="AG12" s="721" t="s">
        <v>739</v>
      </c>
      <c r="AH12" s="721" t="s">
        <v>739</v>
      </c>
      <c r="AI12" s="6"/>
      <c r="AJ12" s="6"/>
      <c r="AK12" s="6"/>
      <c r="AL12" s="6"/>
      <c r="AM12" s="6" t="s">
        <v>1434</v>
      </c>
    </row>
    <row r="13" spans="2:39" ht="45" x14ac:dyDescent="0.25">
      <c r="B13" s="6" t="s">
        <v>1494</v>
      </c>
      <c r="C13" s="6">
        <v>531010</v>
      </c>
      <c r="D13" s="6" t="s">
        <v>1074</v>
      </c>
      <c r="E13" s="6">
        <v>1</v>
      </c>
      <c r="F13" s="6" t="s">
        <v>1375</v>
      </c>
      <c r="G13" s="6" t="s">
        <v>1456</v>
      </c>
      <c r="H13" s="6"/>
      <c r="I13" s="6"/>
      <c r="J13" s="6">
        <v>1</v>
      </c>
      <c r="K13" s="6" t="s">
        <v>905</v>
      </c>
      <c r="L13" s="6" t="s">
        <v>382</v>
      </c>
      <c r="M13" s="6">
        <v>3</v>
      </c>
      <c r="N13" s="6" t="s">
        <v>1640</v>
      </c>
      <c r="O13" s="6">
        <v>15707</v>
      </c>
      <c r="P13" s="6"/>
      <c r="Q13" s="6">
        <v>40</v>
      </c>
      <c r="R13" s="6">
        <v>30307</v>
      </c>
      <c r="S13" s="6">
        <v>1898.85</v>
      </c>
      <c r="T13" s="6" t="s">
        <v>1380</v>
      </c>
      <c r="U13" s="6" t="s">
        <v>1380</v>
      </c>
      <c r="V13" s="6" t="s">
        <v>1460</v>
      </c>
      <c r="W13" s="6">
        <v>635</v>
      </c>
      <c r="X13" s="6" t="s">
        <v>568</v>
      </c>
      <c r="Y13" s="6"/>
      <c r="Z13" s="6"/>
      <c r="AA13" s="6"/>
      <c r="AB13" s="6"/>
      <c r="AC13" s="6" t="s">
        <v>838</v>
      </c>
      <c r="AD13" s="6" t="s">
        <v>1380</v>
      </c>
      <c r="AE13" s="6"/>
      <c r="AF13" s="6" t="s">
        <v>1380</v>
      </c>
      <c r="AG13" s="721" t="s">
        <v>739</v>
      </c>
      <c r="AH13" s="721" t="s">
        <v>739</v>
      </c>
      <c r="AI13" s="6"/>
      <c r="AJ13" s="6"/>
      <c r="AK13" s="6"/>
      <c r="AL13" s="6"/>
      <c r="AM13" s="6" t="s">
        <v>1482</v>
      </c>
    </row>
    <row r="14" spans="2:39" ht="30" x14ac:dyDescent="0.25">
      <c r="B14" s="6" t="s">
        <v>1495</v>
      </c>
      <c r="C14" s="6">
        <v>532110</v>
      </c>
      <c r="D14" s="6" t="s">
        <v>1099</v>
      </c>
      <c r="E14" s="6">
        <v>1</v>
      </c>
      <c r="F14" s="6" t="s">
        <v>1375</v>
      </c>
      <c r="G14" s="6" t="s">
        <v>1456</v>
      </c>
      <c r="H14" s="6"/>
      <c r="I14" s="6"/>
      <c r="J14" s="6">
        <v>1</v>
      </c>
      <c r="K14" s="6" t="s">
        <v>905</v>
      </c>
      <c r="L14" s="6" t="s">
        <v>382</v>
      </c>
      <c r="M14" s="6">
        <v>3</v>
      </c>
      <c r="N14" s="6" t="s">
        <v>1641</v>
      </c>
      <c r="O14" s="6">
        <v>38353</v>
      </c>
      <c r="P14" s="6"/>
      <c r="Q14" s="6">
        <v>15</v>
      </c>
      <c r="R14" s="6">
        <v>43828</v>
      </c>
      <c r="S14" s="6">
        <v>1163</v>
      </c>
      <c r="T14" s="6" t="s">
        <v>1461</v>
      </c>
      <c r="U14" s="6" t="s">
        <v>1462</v>
      </c>
      <c r="V14" s="6" t="s">
        <v>1463</v>
      </c>
      <c r="W14" s="6">
        <v>30</v>
      </c>
      <c r="X14" s="6" t="s">
        <v>1062</v>
      </c>
      <c r="Y14" s="6"/>
      <c r="Z14" s="6"/>
      <c r="AA14" s="6"/>
      <c r="AB14" s="6"/>
      <c r="AC14" s="6" t="s">
        <v>838</v>
      </c>
      <c r="AD14" s="6" t="s">
        <v>1474</v>
      </c>
      <c r="AE14" s="6"/>
      <c r="AF14" s="6" t="s">
        <v>1380</v>
      </c>
      <c r="AG14" s="721" t="s">
        <v>739</v>
      </c>
      <c r="AH14" s="721" t="s">
        <v>739</v>
      </c>
      <c r="AI14" s="6"/>
      <c r="AJ14" s="6"/>
      <c r="AK14" s="6"/>
      <c r="AL14" s="6"/>
      <c r="AM14" s="6" t="s">
        <v>1483</v>
      </c>
    </row>
    <row r="15" spans="2:39" ht="60" x14ac:dyDescent="0.25">
      <c r="B15" s="6" t="s">
        <v>1496</v>
      </c>
      <c r="C15" s="6">
        <v>552110</v>
      </c>
      <c r="D15" s="6" t="s">
        <v>1110</v>
      </c>
      <c r="E15" s="6">
        <v>1</v>
      </c>
      <c r="F15" s="6" t="s">
        <v>1375</v>
      </c>
      <c r="G15" s="6">
        <v>2</v>
      </c>
      <c r="H15" s="6"/>
      <c r="I15" s="6"/>
      <c r="J15" s="6">
        <v>1</v>
      </c>
      <c r="K15" s="6" t="s">
        <v>905</v>
      </c>
      <c r="L15" s="6" t="s">
        <v>382</v>
      </c>
      <c r="M15" s="6">
        <v>3</v>
      </c>
      <c r="N15" s="6" t="s">
        <v>1642</v>
      </c>
      <c r="O15" s="6">
        <v>36526</v>
      </c>
      <c r="P15" s="6"/>
      <c r="Q15" s="6">
        <v>15</v>
      </c>
      <c r="R15" s="6">
        <v>42001</v>
      </c>
      <c r="S15" s="6">
        <v>5744.05</v>
      </c>
      <c r="T15" s="6">
        <v>9000161754</v>
      </c>
      <c r="U15" s="6">
        <v>4800969</v>
      </c>
      <c r="V15" s="6" t="s">
        <v>1467</v>
      </c>
      <c r="W15" s="6"/>
      <c r="X15" s="6" t="s">
        <v>628</v>
      </c>
      <c r="Y15" s="6"/>
      <c r="Z15" s="6"/>
      <c r="AA15" s="6"/>
      <c r="AB15" s="6"/>
      <c r="AC15" s="6" t="s">
        <v>838</v>
      </c>
      <c r="AD15" s="6" t="s">
        <v>1475</v>
      </c>
      <c r="AE15" s="6"/>
      <c r="AF15" s="6" t="s">
        <v>1380</v>
      </c>
      <c r="AG15" s="721" t="s">
        <v>739</v>
      </c>
      <c r="AH15" s="721" t="s">
        <v>739</v>
      </c>
      <c r="AI15" s="6"/>
      <c r="AJ15" s="6"/>
      <c r="AK15" s="6"/>
      <c r="AL15" s="6"/>
      <c r="AM15" s="6" t="s">
        <v>1485</v>
      </c>
    </row>
    <row r="16" spans="2:39" ht="60" x14ac:dyDescent="0.25">
      <c r="B16" s="6" t="s">
        <v>1497</v>
      </c>
      <c r="C16" s="6">
        <v>552110</v>
      </c>
      <c r="D16" s="6" t="s">
        <v>1110</v>
      </c>
      <c r="E16" s="6">
        <v>2</v>
      </c>
      <c r="F16" s="6" t="s">
        <v>1375</v>
      </c>
      <c r="G16" s="6">
        <v>12</v>
      </c>
      <c r="H16" s="6"/>
      <c r="I16" s="6"/>
      <c r="J16" s="6">
        <v>1</v>
      </c>
      <c r="K16" s="6" t="s">
        <v>905</v>
      </c>
      <c r="L16" s="6" t="s">
        <v>382</v>
      </c>
      <c r="M16" s="6">
        <v>3</v>
      </c>
      <c r="N16" s="6" t="s">
        <v>1643</v>
      </c>
      <c r="O16" s="6">
        <v>32874</v>
      </c>
      <c r="P16" s="6"/>
      <c r="Q16" s="6">
        <v>15</v>
      </c>
      <c r="R16" s="6">
        <v>38349</v>
      </c>
      <c r="S16" s="6">
        <v>5744.05</v>
      </c>
      <c r="T16" s="6">
        <v>900051738</v>
      </c>
      <c r="U16" s="6" t="s">
        <v>1380</v>
      </c>
      <c r="V16" s="6">
        <v>900051738</v>
      </c>
      <c r="W16" s="6"/>
      <c r="X16" s="6" t="s">
        <v>628</v>
      </c>
      <c r="Y16" s="6"/>
      <c r="Z16" s="6"/>
      <c r="AA16" s="6"/>
      <c r="AB16" s="6"/>
      <c r="AC16" s="6" t="s">
        <v>838</v>
      </c>
      <c r="AD16" s="6" t="s">
        <v>1476</v>
      </c>
      <c r="AE16" s="6"/>
      <c r="AF16" s="6" t="s">
        <v>1380</v>
      </c>
      <c r="AG16" s="721" t="s">
        <v>739</v>
      </c>
      <c r="AH16" s="721" t="s">
        <v>739</v>
      </c>
      <c r="AI16" s="6"/>
      <c r="AJ16" s="6"/>
      <c r="AK16" s="6"/>
      <c r="AL16" s="6"/>
      <c r="AM16" s="6" t="s">
        <v>1486</v>
      </c>
    </row>
    <row r="17" spans="2:39" ht="45" x14ac:dyDescent="0.25">
      <c r="B17" s="6" t="s">
        <v>1498</v>
      </c>
      <c r="C17" s="6">
        <v>562110</v>
      </c>
      <c r="D17" s="6" t="s">
        <v>1101</v>
      </c>
      <c r="E17" s="6">
        <v>1</v>
      </c>
      <c r="F17" s="6" t="s">
        <v>1375</v>
      </c>
      <c r="G17" s="6" t="s">
        <v>1457</v>
      </c>
      <c r="H17" s="6"/>
      <c r="I17" s="6"/>
      <c r="J17" s="6">
        <v>1</v>
      </c>
      <c r="K17" s="6" t="s">
        <v>905</v>
      </c>
      <c r="L17" s="6" t="s">
        <v>382</v>
      </c>
      <c r="M17" s="6">
        <v>3</v>
      </c>
      <c r="N17" s="6" t="s">
        <v>1644</v>
      </c>
      <c r="O17" s="6">
        <v>45658</v>
      </c>
      <c r="P17" s="6"/>
      <c r="Q17" s="6">
        <v>15</v>
      </c>
      <c r="R17" s="6">
        <v>51133</v>
      </c>
      <c r="S17" s="6">
        <v>10140</v>
      </c>
      <c r="T17" s="6" t="s">
        <v>1380</v>
      </c>
      <c r="U17" s="6">
        <v>2434832338520</v>
      </c>
      <c r="V17" s="6" t="s">
        <v>1468</v>
      </c>
      <c r="W17" s="6">
        <v>107</v>
      </c>
      <c r="X17" s="6" t="s">
        <v>1053</v>
      </c>
      <c r="Y17" s="6"/>
      <c r="Z17" s="6"/>
      <c r="AA17" s="6"/>
      <c r="AB17" s="6"/>
      <c r="AC17" s="6" t="s">
        <v>838</v>
      </c>
      <c r="AD17" s="6" t="s">
        <v>1477</v>
      </c>
      <c r="AE17" s="6"/>
      <c r="AF17" s="6" t="s">
        <v>1478</v>
      </c>
      <c r="AG17" s="721" t="s">
        <v>739</v>
      </c>
      <c r="AH17" s="721" t="s">
        <v>739</v>
      </c>
      <c r="AI17" s="6"/>
      <c r="AJ17" s="6"/>
      <c r="AK17" s="6"/>
      <c r="AL17" s="6"/>
      <c r="AM17" s="6" t="s">
        <v>1487</v>
      </c>
    </row>
    <row r="18" spans="2:39" ht="45" x14ac:dyDescent="0.25">
      <c r="B18" s="6" t="s">
        <v>1499</v>
      </c>
      <c r="C18" s="6">
        <v>562110</v>
      </c>
      <c r="D18" s="6" t="s">
        <v>1101</v>
      </c>
      <c r="E18" s="6">
        <v>2</v>
      </c>
      <c r="F18" s="6" t="s">
        <v>1375</v>
      </c>
      <c r="G18" s="6">
        <v>6</v>
      </c>
      <c r="H18" s="6"/>
      <c r="I18" s="6"/>
      <c r="J18" s="6">
        <v>1</v>
      </c>
      <c r="K18" s="6" t="s">
        <v>905</v>
      </c>
      <c r="L18" s="6" t="s">
        <v>382</v>
      </c>
      <c r="M18" s="6">
        <v>3</v>
      </c>
      <c r="N18" s="6" t="s">
        <v>1645</v>
      </c>
      <c r="O18" s="6">
        <v>45658</v>
      </c>
      <c r="P18" s="6"/>
      <c r="Q18" s="6">
        <v>15</v>
      </c>
      <c r="R18" s="6">
        <v>51133</v>
      </c>
      <c r="S18" s="6">
        <v>10140</v>
      </c>
      <c r="T18" s="6" t="s">
        <v>1380</v>
      </c>
      <c r="U18" s="6">
        <v>2434832338510</v>
      </c>
      <c r="V18" s="6" t="s">
        <v>1468</v>
      </c>
      <c r="W18" s="6">
        <v>107</v>
      </c>
      <c r="X18" s="6" t="s">
        <v>1053</v>
      </c>
      <c r="Y18" s="6"/>
      <c r="Z18" s="6"/>
      <c r="AA18" s="6"/>
      <c r="AB18" s="6"/>
      <c r="AC18" s="6" t="s">
        <v>838</v>
      </c>
      <c r="AD18" s="6" t="s">
        <v>1477</v>
      </c>
      <c r="AE18" s="6"/>
      <c r="AF18" s="6" t="s">
        <v>1478</v>
      </c>
      <c r="AG18" s="721" t="s">
        <v>739</v>
      </c>
      <c r="AH18" s="721" t="s">
        <v>739</v>
      </c>
      <c r="AI18" s="6"/>
      <c r="AJ18" s="6"/>
      <c r="AK18" s="6"/>
      <c r="AL18" s="6"/>
      <c r="AM18" s="6" t="s">
        <v>1487</v>
      </c>
    </row>
    <row r="19" spans="2:39" ht="120" x14ac:dyDescent="0.25">
      <c r="B19" s="6" t="s">
        <v>1500</v>
      </c>
      <c r="C19" s="6">
        <v>563010</v>
      </c>
      <c r="D19" s="6" t="s">
        <v>1096</v>
      </c>
      <c r="E19" s="6">
        <v>1</v>
      </c>
      <c r="F19" s="6" t="s">
        <v>1375</v>
      </c>
      <c r="G19" s="6">
        <v>6</v>
      </c>
      <c r="H19" s="6"/>
      <c r="I19" s="6"/>
      <c r="J19" s="6">
        <v>1</v>
      </c>
      <c r="K19" s="6" t="s">
        <v>905</v>
      </c>
      <c r="L19" s="6" t="s">
        <v>382</v>
      </c>
      <c r="M19" s="6">
        <v>3</v>
      </c>
      <c r="N19" s="6" t="s">
        <v>1646</v>
      </c>
      <c r="O19" s="6">
        <v>15707</v>
      </c>
      <c r="P19" s="6"/>
      <c r="Q19" s="6">
        <v>40</v>
      </c>
      <c r="R19" s="6">
        <v>30307</v>
      </c>
      <c r="S19" s="6">
        <v>10823</v>
      </c>
      <c r="T19" s="6" t="s">
        <v>1380</v>
      </c>
      <c r="U19" s="6" t="s">
        <v>1380</v>
      </c>
      <c r="V19" s="6" t="s">
        <v>1460</v>
      </c>
      <c r="W19" s="6">
        <v>5</v>
      </c>
      <c r="X19" s="6" t="s">
        <v>1097</v>
      </c>
      <c r="Y19" s="6"/>
      <c r="Z19" s="6"/>
      <c r="AA19" s="6"/>
      <c r="AB19" s="6"/>
      <c r="AC19" s="6" t="s">
        <v>839</v>
      </c>
      <c r="AD19" s="6" t="s">
        <v>1479</v>
      </c>
      <c r="AE19" s="6"/>
      <c r="AF19" s="6" t="s">
        <v>1480</v>
      </c>
      <c r="AG19" s="721" t="s">
        <v>739</v>
      </c>
      <c r="AH19" s="721" t="s">
        <v>739</v>
      </c>
      <c r="AI19" s="6"/>
      <c r="AJ19" s="6"/>
      <c r="AK19" s="6"/>
      <c r="AL19" s="6"/>
      <c r="AM19" s="6" t="s">
        <v>1489</v>
      </c>
    </row>
    <row r="20" spans="2:39" ht="45" x14ac:dyDescent="0.25">
      <c r="B20" s="6" t="s">
        <v>1501</v>
      </c>
      <c r="C20" s="6">
        <v>568010</v>
      </c>
      <c r="D20" s="6" t="s">
        <v>1052</v>
      </c>
      <c r="E20" s="6">
        <v>1</v>
      </c>
      <c r="F20" s="6" t="s">
        <v>1375</v>
      </c>
      <c r="G20" s="6" t="s">
        <v>1458</v>
      </c>
      <c r="H20" s="6"/>
      <c r="I20" s="6"/>
      <c r="J20" s="6">
        <v>15</v>
      </c>
      <c r="K20" s="6" t="s">
        <v>905</v>
      </c>
      <c r="L20" s="6" t="s">
        <v>382</v>
      </c>
      <c r="M20" s="6">
        <v>3</v>
      </c>
      <c r="N20" s="6" t="s">
        <v>1647</v>
      </c>
      <c r="O20" s="6">
        <v>15707</v>
      </c>
      <c r="P20" s="6"/>
      <c r="Q20" s="6">
        <v>40</v>
      </c>
      <c r="R20" s="6">
        <v>30307</v>
      </c>
      <c r="S20" s="6">
        <v>10500</v>
      </c>
      <c r="T20" s="6" t="s">
        <v>1380</v>
      </c>
      <c r="U20" s="6" t="s">
        <v>1380</v>
      </c>
      <c r="V20" s="6" t="s">
        <v>1471</v>
      </c>
      <c r="W20" s="6">
        <v>30</v>
      </c>
      <c r="X20" s="6" t="s">
        <v>1053</v>
      </c>
      <c r="Y20" s="6"/>
      <c r="Z20" s="6"/>
      <c r="AA20" s="6"/>
      <c r="AB20" s="6"/>
      <c r="AC20" s="6" t="s">
        <v>838</v>
      </c>
      <c r="AD20" s="6" t="s">
        <v>1380</v>
      </c>
      <c r="AE20" s="6"/>
      <c r="AF20" s="6" t="s">
        <v>1380</v>
      </c>
      <c r="AG20" s="721" t="s">
        <v>739</v>
      </c>
      <c r="AH20" s="721" t="s">
        <v>739</v>
      </c>
      <c r="AI20" s="6"/>
      <c r="AJ20" s="6"/>
      <c r="AK20" s="6"/>
      <c r="AL20" s="6"/>
      <c r="AM20" s="6" t="s">
        <v>1490</v>
      </c>
    </row>
    <row r="21" spans="2:39" ht="45" x14ac:dyDescent="0.25">
      <c r="B21" s="6" t="s">
        <v>1502</v>
      </c>
      <c r="C21" s="6">
        <v>569030</v>
      </c>
      <c r="D21" s="6" t="s">
        <v>1076</v>
      </c>
      <c r="E21" s="6">
        <v>1</v>
      </c>
      <c r="F21" s="6" t="s">
        <v>1375</v>
      </c>
      <c r="G21" s="6" t="s">
        <v>1459</v>
      </c>
      <c r="H21" s="6"/>
      <c r="I21" s="6"/>
      <c r="J21" s="6">
        <v>1</v>
      </c>
      <c r="K21" s="6" t="s">
        <v>568</v>
      </c>
      <c r="L21" s="6" t="s">
        <v>382</v>
      </c>
      <c r="M21" s="6">
        <v>3</v>
      </c>
      <c r="N21" s="6" t="s">
        <v>1648</v>
      </c>
      <c r="O21" s="6">
        <v>15707</v>
      </c>
      <c r="P21" s="6"/>
      <c r="Q21" s="6">
        <v>40</v>
      </c>
      <c r="R21" s="6">
        <v>30307</v>
      </c>
      <c r="S21" s="6">
        <v>25255</v>
      </c>
      <c r="T21" s="6" t="s">
        <v>1472</v>
      </c>
      <c r="U21" s="6" t="s">
        <v>1380</v>
      </c>
      <c r="V21" s="6" t="s">
        <v>1460</v>
      </c>
      <c r="W21" s="6">
        <v>635</v>
      </c>
      <c r="X21" s="6" t="s">
        <v>628</v>
      </c>
      <c r="Y21" s="6"/>
      <c r="Z21" s="6"/>
      <c r="AA21" s="6"/>
      <c r="AB21" s="6"/>
      <c r="AC21" s="6" t="s">
        <v>839</v>
      </c>
      <c r="AD21" s="6" t="s">
        <v>1380</v>
      </c>
      <c r="AE21" s="6"/>
      <c r="AF21" s="6" t="s">
        <v>1380</v>
      </c>
      <c r="AG21" s="721" t="s">
        <v>739</v>
      </c>
      <c r="AH21" s="721" t="s">
        <v>739</v>
      </c>
      <c r="AI21" s="6"/>
      <c r="AJ21" s="6"/>
      <c r="AK21" s="6"/>
      <c r="AL21" s="6"/>
      <c r="AM21" s="6" t="s">
        <v>1491</v>
      </c>
    </row>
    <row r="22" spans="2:39" ht="45" x14ac:dyDescent="0.25">
      <c r="B22" s="6" t="s">
        <v>1503</v>
      </c>
      <c r="C22" s="6">
        <v>573020</v>
      </c>
      <c r="D22" s="6" t="s">
        <v>1082</v>
      </c>
      <c r="E22" s="6">
        <v>1</v>
      </c>
      <c r="F22" s="6" t="s">
        <v>1375</v>
      </c>
      <c r="G22" s="6">
        <v>106</v>
      </c>
      <c r="H22" s="6"/>
      <c r="I22" s="6"/>
      <c r="J22" s="6">
        <v>1</v>
      </c>
      <c r="K22" s="6" t="s">
        <v>905</v>
      </c>
      <c r="L22" s="6" t="s">
        <v>382</v>
      </c>
      <c r="M22" s="6">
        <v>3</v>
      </c>
      <c r="N22" s="6" t="s">
        <v>1649</v>
      </c>
      <c r="O22" s="6">
        <v>39814</v>
      </c>
      <c r="P22" s="6"/>
      <c r="Q22" s="6">
        <v>20</v>
      </c>
      <c r="R22" s="6">
        <v>47114</v>
      </c>
      <c r="S22" s="6">
        <v>4176</v>
      </c>
      <c r="T22" s="6" t="s">
        <v>1380</v>
      </c>
      <c r="U22" s="6">
        <v>471300530</v>
      </c>
      <c r="V22" s="6" t="s">
        <v>1473</v>
      </c>
      <c r="W22" s="6">
        <v>7.0000000000000007E-2</v>
      </c>
      <c r="X22" s="6" t="s">
        <v>1571</v>
      </c>
      <c r="Y22" s="6"/>
      <c r="Z22" s="6"/>
      <c r="AA22" s="6"/>
      <c r="AB22" s="6"/>
      <c r="AC22" s="6" t="s">
        <v>838</v>
      </c>
      <c r="AD22" s="6" t="s">
        <v>1481</v>
      </c>
      <c r="AE22" s="6"/>
      <c r="AF22" s="6" t="s">
        <v>1380</v>
      </c>
      <c r="AG22" s="721" t="s">
        <v>739</v>
      </c>
      <c r="AH22" s="721" t="s">
        <v>739</v>
      </c>
      <c r="AI22" s="6"/>
      <c r="AJ22" s="6"/>
      <c r="AK22" s="6"/>
      <c r="AL22" s="6"/>
      <c r="AM22" s="6" t="s">
        <v>1492</v>
      </c>
    </row>
    <row r="23" spans="2:39" ht="45" x14ac:dyDescent="0.25">
      <c r="B23" s="6" t="s">
        <v>1504</v>
      </c>
      <c r="C23" s="6">
        <v>579040</v>
      </c>
      <c r="D23" s="6" t="s">
        <v>1080</v>
      </c>
      <c r="E23" s="6">
        <v>1</v>
      </c>
      <c r="F23" s="6" t="s">
        <v>1375</v>
      </c>
      <c r="G23" s="6" t="s">
        <v>1459</v>
      </c>
      <c r="H23" s="6"/>
      <c r="I23" s="6"/>
      <c r="J23" s="6">
        <v>635</v>
      </c>
      <c r="K23" s="6" t="s">
        <v>568</v>
      </c>
      <c r="L23" s="6" t="s">
        <v>382</v>
      </c>
      <c r="M23" s="6">
        <v>3</v>
      </c>
      <c r="N23" s="6" t="s">
        <v>1650</v>
      </c>
      <c r="O23" s="6">
        <v>15707</v>
      </c>
      <c r="P23" s="6"/>
      <c r="Q23" s="6">
        <v>99</v>
      </c>
      <c r="R23" s="6">
        <v>51842</v>
      </c>
      <c r="S23" s="6">
        <v>10000</v>
      </c>
      <c r="T23" s="6" t="s">
        <v>1380</v>
      </c>
      <c r="U23" s="6" t="s">
        <v>1380</v>
      </c>
      <c r="V23" s="6" t="s">
        <v>1460</v>
      </c>
      <c r="W23" s="6"/>
      <c r="X23" s="6" t="s">
        <v>628</v>
      </c>
      <c r="Y23" s="6"/>
      <c r="Z23" s="6"/>
      <c r="AA23" s="6"/>
      <c r="AB23" s="6"/>
      <c r="AC23" s="6" t="s">
        <v>836</v>
      </c>
      <c r="AD23" s="6" t="s">
        <v>1380</v>
      </c>
      <c r="AE23" s="6"/>
      <c r="AF23" s="6" t="s">
        <v>1380</v>
      </c>
      <c r="AG23" s="721" t="s">
        <v>739</v>
      </c>
      <c r="AH23" s="721" t="s">
        <v>739</v>
      </c>
      <c r="AI23" s="6"/>
      <c r="AJ23" s="6"/>
      <c r="AK23" s="6"/>
      <c r="AL23" s="6"/>
      <c r="AM23" s="6" t="s">
        <v>1493</v>
      </c>
    </row>
  </sheetData>
  <mergeCells count="4">
    <mergeCell ref="D2:G2"/>
    <mergeCell ref="T2:X2"/>
    <mergeCell ref="Y3:AB3"/>
    <mergeCell ref="AJ3:AM3"/>
  </mergeCell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3235E-DE57-4E5D-979B-6F0575ED596F}">
  <dimension ref="B1:AG65"/>
  <sheetViews>
    <sheetView workbookViewId="0">
      <pane xSplit="6" topLeftCell="R1" activePane="topRight" state="frozen"/>
      <selection pane="topRight" activeCell="S6" sqref="S6"/>
    </sheetView>
  </sheetViews>
  <sheetFormatPr defaultColWidth="8.7109375" defaultRowHeight="15" x14ac:dyDescent="0.25"/>
  <cols>
    <col min="1" max="1" width="8.7109375" style="632"/>
    <col min="2" max="2" width="8.42578125" style="632" bestFit="1" customWidth="1"/>
    <col min="3" max="3" width="19.85546875" style="632" bestFit="1" customWidth="1"/>
    <col min="4" max="4" width="11.5703125" style="632" bestFit="1" customWidth="1"/>
    <col min="5" max="5" width="31.5703125" style="632" bestFit="1" customWidth="1"/>
    <col min="6" max="6" width="8.7109375" style="632" bestFit="1" customWidth="1"/>
    <col min="7" max="7" width="13.5703125" style="632" bestFit="1" customWidth="1"/>
    <col min="8" max="8" width="15.5703125" style="632" bestFit="1" customWidth="1"/>
    <col min="9" max="9" width="19.28515625" style="632" bestFit="1" customWidth="1"/>
    <col min="10" max="10" width="11.7109375" style="632" bestFit="1" customWidth="1"/>
    <col min="11" max="11" width="9.85546875" style="632" bestFit="1" customWidth="1"/>
    <col min="12" max="12" width="10.5703125" style="632" bestFit="1" customWidth="1"/>
    <col min="13" max="13" width="11.7109375" style="632" bestFit="1" customWidth="1"/>
    <col min="14" max="14" width="13.28515625" style="632" bestFit="1" customWidth="1"/>
    <col min="15" max="15" width="13" style="632" bestFit="1" customWidth="1"/>
    <col min="16" max="16" width="80.7109375" style="632" bestFit="1" customWidth="1"/>
    <col min="17" max="17" width="32.85546875" style="632" bestFit="1" customWidth="1"/>
    <col min="18" max="18" width="26.5703125" style="632" bestFit="1" customWidth="1"/>
    <col min="19" max="19" width="80.7109375" style="632" bestFit="1" customWidth="1"/>
    <col min="20" max="20" width="10.85546875" style="632" bestFit="1" customWidth="1"/>
    <col min="21" max="22" width="80.7109375" style="632" bestFit="1" customWidth="1"/>
    <col min="23" max="23" width="57.42578125" style="632" bestFit="1" customWidth="1"/>
    <col min="24" max="24" width="29.5703125" style="632" bestFit="1" customWidth="1"/>
    <col min="25" max="25" width="10.42578125" style="632" bestFit="1" customWidth="1"/>
    <col min="26" max="26" width="8.42578125" style="719" bestFit="1" customWidth="1"/>
    <col min="27" max="27" width="11.140625" style="632" bestFit="1" customWidth="1"/>
    <col min="28" max="28" width="7.85546875" style="632" bestFit="1" customWidth="1"/>
    <col min="29" max="29" width="8.7109375" style="632" bestFit="1" customWidth="1"/>
    <col min="30" max="30" width="5.5703125" style="632" bestFit="1" customWidth="1"/>
    <col min="31" max="31" width="5.7109375" style="632" bestFit="1" customWidth="1"/>
    <col min="32" max="32" width="13.140625" style="632" bestFit="1" customWidth="1"/>
    <col min="33" max="33" width="19.42578125" style="632" bestFit="1" customWidth="1"/>
    <col min="34" max="34" width="13.140625" style="632" bestFit="1" customWidth="1"/>
    <col min="35" max="35" width="13.42578125" style="632" bestFit="1" customWidth="1"/>
    <col min="36" max="16384" width="8.7109375" style="632"/>
  </cols>
  <sheetData>
    <row r="1" spans="2:33" s="170" customFormat="1" ht="29.45" customHeight="1" thickBot="1" x14ac:dyDescent="0.3">
      <c r="B1" s="710" t="s">
        <v>608</v>
      </c>
      <c r="Z1" s="711"/>
    </row>
    <row r="2" spans="2:33" s="170" customFormat="1" ht="23.1" customHeight="1" thickBot="1" x14ac:dyDescent="0.3">
      <c r="B2" s="712" t="s">
        <v>1</v>
      </c>
      <c r="C2" s="713" t="str">
        <f>CONCATENATE(Advies!B10,".",Advies!B12)</f>
        <v>Voorbeeld.Voorbeeld</v>
      </c>
      <c r="D2" s="735" t="str">
        <f>Advies!B11</f>
        <v>Voorbeeld</v>
      </c>
      <c r="E2" s="777"/>
      <c r="F2" s="777"/>
      <c r="G2" s="778"/>
      <c r="I2" s="217"/>
      <c r="N2" s="714" t="s">
        <v>568</v>
      </c>
      <c r="O2" s="715">
        <f>Advies!B18</f>
        <v>636</v>
      </c>
      <c r="P2" s="714" t="s">
        <v>158</v>
      </c>
      <c r="Q2" s="631">
        <f>Advies!B17</f>
        <v>1943</v>
      </c>
      <c r="R2" s="716"/>
      <c r="S2" s="717" t="s">
        <v>569</v>
      </c>
      <c r="T2" s="784"/>
      <c r="U2" s="784"/>
      <c r="V2" s="784"/>
      <c r="W2" s="784"/>
      <c r="X2" s="784"/>
      <c r="Y2" s="784"/>
      <c r="Z2" s="785"/>
    </row>
    <row r="3" spans="2:33" s="170" customFormat="1" ht="16.350000000000001" customHeight="1" x14ac:dyDescent="0.25">
      <c r="Z3" s="711"/>
    </row>
    <row r="4" spans="2:33" s="591" customFormat="1" ht="45" x14ac:dyDescent="0.25">
      <c r="B4" s="591" t="s">
        <v>572</v>
      </c>
      <c r="C4" s="591" t="s">
        <v>573</v>
      </c>
      <c r="D4" s="591" t="s">
        <v>609</v>
      </c>
      <c r="E4" s="591" t="s">
        <v>610</v>
      </c>
      <c r="F4" s="591" t="s">
        <v>611</v>
      </c>
      <c r="G4" s="591" t="s">
        <v>612</v>
      </c>
      <c r="H4" s="591" t="s">
        <v>613</v>
      </c>
      <c r="I4" s="591" t="s">
        <v>614</v>
      </c>
      <c r="J4" s="591" t="s">
        <v>615</v>
      </c>
      <c r="K4" s="591" t="s">
        <v>591</v>
      </c>
      <c r="L4" s="591" t="s">
        <v>616</v>
      </c>
      <c r="M4" s="591" t="s">
        <v>617</v>
      </c>
      <c r="N4" s="591" t="s">
        <v>618</v>
      </c>
      <c r="O4" s="591" t="s">
        <v>619</v>
      </c>
      <c r="P4" s="591" t="s">
        <v>620</v>
      </c>
      <c r="Q4" s="591" t="s">
        <v>621</v>
      </c>
      <c r="R4" s="57" t="s">
        <v>1370</v>
      </c>
      <c r="S4" s="591" t="s">
        <v>622</v>
      </c>
      <c r="T4" s="591" t="s">
        <v>398</v>
      </c>
      <c r="U4" s="591" t="s">
        <v>623</v>
      </c>
      <c r="V4" s="591" t="s">
        <v>624</v>
      </c>
      <c r="W4" s="591" t="s">
        <v>1152</v>
      </c>
      <c r="X4" s="591" t="s">
        <v>748</v>
      </c>
      <c r="Y4" s="591" t="s">
        <v>626</v>
      </c>
      <c r="Z4" s="591" t="s">
        <v>355</v>
      </c>
      <c r="AA4" s="592" t="s">
        <v>627</v>
      </c>
      <c r="AB4" s="591" t="s">
        <v>749</v>
      </c>
      <c r="AC4" s="591" t="s">
        <v>750</v>
      </c>
      <c r="AD4" s="591" t="s">
        <v>751</v>
      </c>
      <c r="AE4" s="591" t="s">
        <v>752</v>
      </c>
      <c r="AF4" s="591" t="s">
        <v>753</v>
      </c>
      <c r="AG4" s="591" t="s">
        <v>1149</v>
      </c>
    </row>
    <row r="5" spans="2:33" ht="30" x14ac:dyDescent="0.25">
      <c r="B5" s="6" t="s">
        <v>1551</v>
      </c>
      <c r="C5" s="6">
        <v>210010</v>
      </c>
      <c r="D5" s="6" t="s">
        <v>380</v>
      </c>
      <c r="E5" s="6" t="s">
        <v>805</v>
      </c>
      <c r="F5" s="6" t="s">
        <v>160</v>
      </c>
      <c r="G5" s="6" t="s">
        <v>814</v>
      </c>
      <c r="H5" s="6" t="s">
        <v>816</v>
      </c>
      <c r="I5" s="6" t="s">
        <v>815</v>
      </c>
      <c r="J5" s="6" t="s">
        <v>817</v>
      </c>
      <c r="K5" s="6">
        <v>1</v>
      </c>
      <c r="L5" s="6">
        <v>4</v>
      </c>
      <c r="M5" s="6">
        <v>3</v>
      </c>
      <c r="N5" s="6" t="s">
        <v>1552</v>
      </c>
      <c r="O5" s="6"/>
      <c r="P5" s="6" t="s">
        <v>1660</v>
      </c>
      <c r="Q5" s="6">
        <v>8</v>
      </c>
      <c r="R5" s="632" t="s">
        <v>839</v>
      </c>
      <c r="S5" s="6" t="s">
        <v>1396</v>
      </c>
      <c r="T5" s="6" t="s">
        <v>776</v>
      </c>
      <c r="U5" s="6" t="s">
        <v>1404</v>
      </c>
      <c r="V5" s="6" t="s">
        <v>1412</v>
      </c>
      <c r="W5" s="6" t="s">
        <v>1425</v>
      </c>
      <c r="X5" s="6" t="s">
        <v>884</v>
      </c>
      <c r="Y5" s="6">
        <v>1200</v>
      </c>
      <c r="Z5" s="6">
        <v>1</v>
      </c>
      <c r="AA5" s="718">
        <v>1200</v>
      </c>
      <c r="AB5" s="718">
        <v>3</v>
      </c>
      <c r="AC5" s="6"/>
      <c r="AD5" s="6"/>
      <c r="AE5" s="6"/>
      <c r="AF5" s="6">
        <v>0</v>
      </c>
      <c r="AG5" s="6"/>
    </row>
    <row r="6" spans="2:33" ht="45" x14ac:dyDescent="0.25">
      <c r="B6" s="6" t="s">
        <v>1551</v>
      </c>
      <c r="C6" s="6">
        <v>210010</v>
      </c>
      <c r="D6" s="6" t="s">
        <v>380</v>
      </c>
      <c r="E6" s="6" t="s">
        <v>805</v>
      </c>
      <c r="F6" s="6" t="s">
        <v>381</v>
      </c>
      <c r="G6" s="6" t="s">
        <v>818</v>
      </c>
      <c r="H6" s="6" t="s">
        <v>820</v>
      </c>
      <c r="I6" s="6" t="s">
        <v>819</v>
      </c>
      <c r="J6" s="6" t="s">
        <v>821</v>
      </c>
      <c r="K6" s="6">
        <v>0.5</v>
      </c>
      <c r="L6" s="6">
        <v>4</v>
      </c>
      <c r="M6" s="6">
        <v>1</v>
      </c>
      <c r="N6" s="6" t="s">
        <v>1553</v>
      </c>
      <c r="O6" s="6"/>
      <c r="P6" s="6" t="s">
        <v>1660</v>
      </c>
      <c r="Q6" s="6" t="s">
        <v>1378</v>
      </c>
      <c r="R6" s="632" t="s">
        <v>839</v>
      </c>
      <c r="S6" s="6" t="s">
        <v>1397</v>
      </c>
      <c r="T6" s="6" t="s">
        <v>73</v>
      </c>
      <c r="U6" s="6" t="s">
        <v>1424</v>
      </c>
      <c r="V6" s="6" t="s">
        <v>1416</v>
      </c>
      <c r="W6" s="6" t="s">
        <v>1272</v>
      </c>
      <c r="X6" s="6" t="s">
        <v>890</v>
      </c>
      <c r="Y6" s="6">
        <v>35</v>
      </c>
      <c r="Z6" s="6">
        <v>310</v>
      </c>
      <c r="AA6" s="718">
        <v>10850</v>
      </c>
      <c r="AB6" s="718">
        <v>3</v>
      </c>
      <c r="AC6" s="6"/>
      <c r="AD6" s="6"/>
      <c r="AE6" s="6"/>
      <c r="AF6" s="6">
        <v>0</v>
      </c>
      <c r="AG6" s="6"/>
    </row>
    <row r="7" spans="2:33" ht="30" x14ac:dyDescent="0.25">
      <c r="B7" s="6" t="s">
        <v>1569</v>
      </c>
      <c r="C7" s="6">
        <v>312010</v>
      </c>
      <c r="D7" s="6" t="s">
        <v>380</v>
      </c>
      <c r="E7" s="6" t="s">
        <v>806</v>
      </c>
      <c r="F7" s="6" t="s">
        <v>160</v>
      </c>
      <c r="G7" s="6" t="s">
        <v>818</v>
      </c>
      <c r="H7" s="6" t="s">
        <v>820</v>
      </c>
      <c r="I7" s="6" t="s">
        <v>819</v>
      </c>
      <c r="J7" s="6" t="s">
        <v>821</v>
      </c>
      <c r="K7" s="6">
        <v>0.02</v>
      </c>
      <c r="L7" s="6">
        <v>4</v>
      </c>
      <c r="M7" s="6">
        <v>1</v>
      </c>
      <c r="N7" s="6" t="s">
        <v>1572</v>
      </c>
      <c r="O7" s="6"/>
      <c r="P7" s="6" t="s">
        <v>1661</v>
      </c>
      <c r="Q7" s="6" t="s">
        <v>1395</v>
      </c>
      <c r="R7" s="632" t="s">
        <v>836</v>
      </c>
      <c r="S7" s="6" t="s">
        <v>1398</v>
      </c>
      <c r="T7" s="6" t="s">
        <v>776</v>
      </c>
      <c r="U7" s="6" t="s">
        <v>1405</v>
      </c>
      <c r="V7" s="6" t="s">
        <v>1413</v>
      </c>
      <c r="W7" s="6" t="s">
        <v>1425</v>
      </c>
      <c r="X7" s="6" t="s">
        <v>884</v>
      </c>
      <c r="Y7" s="6">
        <v>1000</v>
      </c>
      <c r="Z7" s="6">
        <v>1</v>
      </c>
      <c r="AA7" s="718">
        <v>1000</v>
      </c>
      <c r="AB7" s="718">
        <v>3</v>
      </c>
      <c r="AC7" s="6"/>
      <c r="AD7" s="6"/>
      <c r="AE7" s="6"/>
      <c r="AF7" s="6">
        <v>0</v>
      </c>
      <c r="AG7" s="6"/>
    </row>
    <row r="8" spans="2:33" ht="30" x14ac:dyDescent="0.25">
      <c r="B8" s="6" t="s">
        <v>1569</v>
      </c>
      <c r="C8" s="6">
        <v>312010</v>
      </c>
      <c r="D8" s="6" t="s">
        <v>380</v>
      </c>
      <c r="E8" s="6" t="s">
        <v>806</v>
      </c>
      <c r="F8" s="6" t="s">
        <v>160</v>
      </c>
      <c r="G8" s="6" t="s">
        <v>825</v>
      </c>
      <c r="H8" s="6" t="s">
        <v>824</v>
      </c>
      <c r="I8" s="6" t="s">
        <v>826</v>
      </c>
      <c r="J8" s="6" t="s">
        <v>821</v>
      </c>
      <c r="K8" s="6">
        <v>0.98</v>
      </c>
      <c r="L8" s="6">
        <v>9</v>
      </c>
      <c r="M8" s="6">
        <v>3</v>
      </c>
      <c r="N8" s="6" t="s">
        <v>1573</v>
      </c>
      <c r="O8" s="6"/>
      <c r="P8" s="6" t="s">
        <v>1661</v>
      </c>
      <c r="Q8" s="6" t="s">
        <v>1378</v>
      </c>
      <c r="R8" s="632" t="s">
        <v>836</v>
      </c>
      <c r="S8" s="6" t="s">
        <v>1399</v>
      </c>
      <c r="T8" s="6" t="s">
        <v>776</v>
      </c>
      <c r="U8" s="6" t="s">
        <v>1406</v>
      </c>
      <c r="V8" s="6" t="s">
        <v>1417</v>
      </c>
      <c r="W8" s="6" t="s">
        <v>1273</v>
      </c>
      <c r="X8" s="6" t="s">
        <v>890</v>
      </c>
      <c r="Y8" s="6">
        <v>750</v>
      </c>
      <c r="Z8" s="6">
        <v>95</v>
      </c>
      <c r="AA8" s="718">
        <v>71250</v>
      </c>
      <c r="AB8" s="718">
        <v>3</v>
      </c>
      <c r="AC8" s="6"/>
      <c r="AD8" s="6"/>
      <c r="AE8" s="6"/>
      <c r="AF8" s="6">
        <v>0</v>
      </c>
      <c r="AG8" s="6"/>
    </row>
    <row r="9" spans="2:33" ht="30" x14ac:dyDescent="0.25">
      <c r="B9" s="6" t="s">
        <v>1554</v>
      </c>
      <c r="C9" s="6">
        <v>312010</v>
      </c>
      <c r="D9" s="6" t="s">
        <v>380</v>
      </c>
      <c r="E9" s="6" t="s">
        <v>806</v>
      </c>
      <c r="F9" s="6" t="s">
        <v>160</v>
      </c>
      <c r="G9" s="6" t="s">
        <v>822</v>
      </c>
      <c r="H9" s="6" t="s">
        <v>824</v>
      </c>
      <c r="I9" s="6" t="s">
        <v>823</v>
      </c>
      <c r="J9" s="6" t="s">
        <v>817</v>
      </c>
      <c r="K9" s="6">
        <v>1</v>
      </c>
      <c r="L9" s="6">
        <v>8</v>
      </c>
      <c r="M9" s="6">
        <v>1</v>
      </c>
      <c r="N9" s="6" t="s">
        <v>1555</v>
      </c>
      <c r="O9" s="6"/>
      <c r="P9" s="6" t="s">
        <v>1662</v>
      </c>
      <c r="Q9" s="6">
        <v>106</v>
      </c>
      <c r="R9" s="632" t="s">
        <v>838</v>
      </c>
      <c r="S9" s="6" t="s">
        <v>1399</v>
      </c>
      <c r="T9" s="6" t="s">
        <v>776</v>
      </c>
      <c r="U9" s="6" t="s">
        <v>1407</v>
      </c>
      <c r="V9" s="6" t="s">
        <v>1417</v>
      </c>
      <c r="W9" s="6" t="s">
        <v>1273</v>
      </c>
      <c r="X9" s="6" t="s">
        <v>890</v>
      </c>
      <c r="Y9" s="6">
        <v>1100</v>
      </c>
      <c r="Z9" s="6">
        <v>4</v>
      </c>
      <c r="AA9" s="718">
        <v>4400</v>
      </c>
      <c r="AB9" s="718">
        <v>3</v>
      </c>
      <c r="AC9" s="6"/>
      <c r="AD9" s="6"/>
      <c r="AE9" s="6"/>
      <c r="AF9" s="6">
        <v>0</v>
      </c>
      <c r="AG9" s="6"/>
    </row>
    <row r="10" spans="2:33" ht="30" x14ac:dyDescent="0.25">
      <c r="B10" s="6" t="s">
        <v>1556</v>
      </c>
      <c r="C10" s="6">
        <v>312030</v>
      </c>
      <c r="D10" s="6" t="s">
        <v>380</v>
      </c>
      <c r="E10" s="6" t="s">
        <v>782</v>
      </c>
      <c r="F10" s="6" t="s">
        <v>381</v>
      </c>
      <c r="G10" s="6" t="s">
        <v>832</v>
      </c>
      <c r="H10" s="6" t="s">
        <v>834</v>
      </c>
      <c r="I10" s="6" t="s">
        <v>833</v>
      </c>
      <c r="J10" s="6" t="s">
        <v>817</v>
      </c>
      <c r="K10" s="6">
        <v>1</v>
      </c>
      <c r="L10" s="6">
        <v>0</v>
      </c>
      <c r="M10" s="6">
        <v>1</v>
      </c>
      <c r="N10" s="6" t="s">
        <v>1557</v>
      </c>
      <c r="O10" s="6"/>
      <c r="P10" s="6" t="s">
        <v>1663</v>
      </c>
      <c r="Q10" s="6">
        <v>106</v>
      </c>
      <c r="R10" s="632" t="s">
        <v>839</v>
      </c>
      <c r="S10" s="6" t="s">
        <v>1400</v>
      </c>
      <c r="T10" s="6" t="s">
        <v>776</v>
      </c>
      <c r="U10" s="6" t="s">
        <v>1408</v>
      </c>
      <c r="V10" s="6" t="s">
        <v>1418</v>
      </c>
      <c r="W10" s="6" t="s">
        <v>1273</v>
      </c>
      <c r="X10" s="6" t="s">
        <v>890</v>
      </c>
      <c r="Y10" s="6">
        <v>250</v>
      </c>
      <c r="Z10" s="6">
        <v>95</v>
      </c>
      <c r="AA10" s="718">
        <v>23750</v>
      </c>
      <c r="AB10" s="718">
        <v>3</v>
      </c>
      <c r="AC10" s="6"/>
      <c r="AD10" s="6"/>
      <c r="AE10" s="6"/>
      <c r="AF10" s="6">
        <v>0</v>
      </c>
      <c r="AG10" s="6"/>
    </row>
    <row r="11" spans="2:33" ht="45" x14ac:dyDescent="0.25">
      <c r="B11" s="6" t="s">
        <v>1556</v>
      </c>
      <c r="C11" s="6">
        <v>312030</v>
      </c>
      <c r="D11" s="6" t="s">
        <v>380</v>
      </c>
      <c r="E11" s="6" t="s">
        <v>782</v>
      </c>
      <c r="F11" s="6" t="s">
        <v>160</v>
      </c>
      <c r="G11" s="6" t="s">
        <v>822</v>
      </c>
      <c r="H11" s="6" t="s">
        <v>824</v>
      </c>
      <c r="I11" s="6" t="s">
        <v>823</v>
      </c>
      <c r="J11" s="6" t="s">
        <v>817</v>
      </c>
      <c r="K11" s="6">
        <v>1</v>
      </c>
      <c r="L11" s="6">
        <v>8</v>
      </c>
      <c r="M11" s="6">
        <v>2</v>
      </c>
      <c r="N11" s="6" t="s">
        <v>1558</v>
      </c>
      <c r="O11" s="6"/>
      <c r="P11" s="6" t="s">
        <v>1663</v>
      </c>
      <c r="Q11" s="6">
        <v>106</v>
      </c>
      <c r="R11" s="632" t="s">
        <v>839</v>
      </c>
      <c r="S11" s="6" t="s">
        <v>1401</v>
      </c>
      <c r="T11" s="6" t="s">
        <v>77</v>
      </c>
      <c r="U11" s="6" t="s">
        <v>1421</v>
      </c>
      <c r="V11" s="6" t="s">
        <v>1401</v>
      </c>
      <c r="W11" s="6" t="s">
        <v>1425</v>
      </c>
      <c r="X11" s="6" t="s">
        <v>358</v>
      </c>
      <c r="Y11" s="6"/>
      <c r="Z11" s="6"/>
      <c r="AA11" s="718" t="s">
        <v>1165</v>
      </c>
      <c r="AB11" s="718">
        <v>3</v>
      </c>
      <c r="AC11" s="6"/>
      <c r="AD11" s="6"/>
      <c r="AE11" s="6"/>
      <c r="AF11" s="6">
        <v>0</v>
      </c>
      <c r="AG11" s="6"/>
    </row>
    <row r="12" spans="2:33" ht="30" x14ac:dyDescent="0.25">
      <c r="B12" s="6" t="s">
        <v>1559</v>
      </c>
      <c r="C12" s="6">
        <v>312050</v>
      </c>
      <c r="D12" s="6" t="s">
        <v>380</v>
      </c>
      <c r="E12" s="6" t="s">
        <v>784</v>
      </c>
      <c r="F12" s="6" t="s">
        <v>160</v>
      </c>
      <c r="G12" s="6" t="s">
        <v>825</v>
      </c>
      <c r="H12" s="6" t="s">
        <v>824</v>
      </c>
      <c r="I12" s="6" t="s">
        <v>826</v>
      </c>
      <c r="J12" s="6" t="s">
        <v>821</v>
      </c>
      <c r="K12" s="6">
        <v>1</v>
      </c>
      <c r="L12" s="6">
        <v>9</v>
      </c>
      <c r="M12" s="6">
        <v>1</v>
      </c>
      <c r="N12" s="6" t="s">
        <v>1560</v>
      </c>
      <c r="O12" s="6"/>
      <c r="P12" s="6" t="s">
        <v>1664</v>
      </c>
      <c r="Q12" s="6" t="s">
        <v>1378</v>
      </c>
      <c r="R12" s="632" t="s">
        <v>839</v>
      </c>
      <c r="S12" s="6" t="s">
        <v>1399</v>
      </c>
      <c r="T12" s="6" t="s">
        <v>776</v>
      </c>
      <c r="U12" s="6" t="s">
        <v>1409</v>
      </c>
      <c r="V12" s="6" t="s">
        <v>1419</v>
      </c>
      <c r="W12" s="6" t="s">
        <v>1273</v>
      </c>
      <c r="X12" s="6" t="s">
        <v>901</v>
      </c>
      <c r="Y12" s="6"/>
      <c r="Z12" s="6"/>
      <c r="AA12" s="718" t="s">
        <v>1165</v>
      </c>
      <c r="AB12" s="718">
        <v>3</v>
      </c>
      <c r="AC12" s="6"/>
      <c r="AD12" s="6"/>
      <c r="AE12" s="6"/>
      <c r="AF12" s="6">
        <v>0</v>
      </c>
      <c r="AG12" s="6"/>
    </row>
    <row r="13" spans="2:33" ht="30" x14ac:dyDescent="0.25">
      <c r="B13" s="6" t="s">
        <v>1559</v>
      </c>
      <c r="C13" s="6">
        <v>312050</v>
      </c>
      <c r="D13" s="6" t="s">
        <v>380</v>
      </c>
      <c r="E13" s="6" t="s">
        <v>784</v>
      </c>
      <c r="F13" s="6" t="s">
        <v>381</v>
      </c>
      <c r="G13" s="6" t="s">
        <v>832</v>
      </c>
      <c r="H13" s="6" t="s">
        <v>834</v>
      </c>
      <c r="I13" s="6" t="s">
        <v>833</v>
      </c>
      <c r="J13" s="6" t="s">
        <v>817</v>
      </c>
      <c r="K13" s="6">
        <v>1</v>
      </c>
      <c r="L13" s="6">
        <v>0</v>
      </c>
      <c r="M13" s="6">
        <v>2</v>
      </c>
      <c r="N13" s="6" t="s">
        <v>1561</v>
      </c>
      <c r="O13" s="6"/>
      <c r="P13" s="6" t="s">
        <v>1664</v>
      </c>
      <c r="Q13" s="6" t="s">
        <v>1378</v>
      </c>
      <c r="R13" s="632" t="s">
        <v>839</v>
      </c>
      <c r="S13" s="6" t="s">
        <v>1397</v>
      </c>
      <c r="T13" s="6" t="s">
        <v>78</v>
      </c>
      <c r="U13" s="6" t="s">
        <v>1423</v>
      </c>
      <c r="V13" s="6" t="s">
        <v>1420</v>
      </c>
      <c r="W13" s="6" t="s">
        <v>1273</v>
      </c>
      <c r="X13" s="6" t="s">
        <v>890</v>
      </c>
      <c r="Y13" s="6">
        <v>250</v>
      </c>
      <c r="Z13" s="6">
        <v>48</v>
      </c>
      <c r="AA13" s="718">
        <v>12000</v>
      </c>
      <c r="AB13" s="718">
        <v>3</v>
      </c>
      <c r="AC13" s="6"/>
      <c r="AD13" s="6"/>
      <c r="AE13" s="6"/>
      <c r="AF13" s="6">
        <v>0</v>
      </c>
      <c r="AG13" s="6"/>
    </row>
    <row r="14" spans="2:33" ht="30" x14ac:dyDescent="0.25">
      <c r="B14" s="6" t="s">
        <v>1394</v>
      </c>
      <c r="C14" s="6">
        <v>471210</v>
      </c>
      <c r="D14" s="6" t="s">
        <v>380</v>
      </c>
      <c r="E14" s="6" t="s">
        <v>798</v>
      </c>
      <c r="F14" s="6" t="s">
        <v>160</v>
      </c>
      <c r="G14" s="6" t="s">
        <v>822</v>
      </c>
      <c r="H14" s="6" t="s">
        <v>824</v>
      </c>
      <c r="I14" s="6" t="s">
        <v>823</v>
      </c>
      <c r="J14" s="6" t="s">
        <v>817</v>
      </c>
      <c r="K14" s="6">
        <v>0.8</v>
      </c>
      <c r="L14" s="6">
        <v>8</v>
      </c>
      <c r="M14" s="6">
        <v>1</v>
      </c>
      <c r="N14" s="6" t="s">
        <v>1562</v>
      </c>
      <c r="O14" s="6"/>
      <c r="P14" s="6" t="s">
        <v>1665</v>
      </c>
      <c r="Q14" s="6">
        <v>106</v>
      </c>
      <c r="R14" s="632" t="s">
        <v>838</v>
      </c>
      <c r="S14" s="6" t="s">
        <v>1402</v>
      </c>
      <c r="T14" s="6" t="s">
        <v>776</v>
      </c>
      <c r="U14" s="6" t="s">
        <v>1410</v>
      </c>
      <c r="V14" s="6" t="s">
        <v>1414</v>
      </c>
      <c r="W14" s="6" t="s">
        <v>1425</v>
      </c>
      <c r="X14" s="6" t="s">
        <v>890</v>
      </c>
      <c r="Y14" s="6">
        <v>99</v>
      </c>
      <c r="Z14" s="6">
        <v>420</v>
      </c>
      <c r="AA14" s="718">
        <v>41580</v>
      </c>
      <c r="AB14" s="718">
        <v>3</v>
      </c>
      <c r="AC14" s="6"/>
      <c r="AD14" s="6"/>
      <c r="AE14" s="6"/>
      <c r="AF14" s="6">
        <v>0</v>
      </c>
      <c r="AG14" s="6"/>
    </row>
    <row r="15" spans="2:33" ht="30" x14ac:dyDescent="0.25">
      <c r="B15" s="6" t="s">
        <v>1394</v>
      </c>
      <c r="C15" s="6">
        <v>471210</v>
      </c>
      <c r="D15" s="6" t="s">
        <v>380</v>
      </c>
      <c r="E15" s="6" t="s">
        <v>798</v>
      </c>
      <c r="F15" s="6" t="s">
        <v>160</v>
      </c>
      <c r="G15" s="6" t="s">
        <v>818</v>
      </c>
      <c r="H15" s="6" t="s">
        <v>820</v>
      </c>
      <c r="I15" s="6" t="s">
        <v>819</v>
      </c>
      <c r="J15" s="6" t="s">
        <v>821</v>
      </c>
      <c r="K15" s="6">
        <v>0.2</v>
      </c>
      <c r="L15" s="6">
        <v>4</v>
      </c>
      <c r="M15" s="6">
        <v>2</v>
      </c>
      <c r="N15" s="6" t="s">
        <v>1563</v>
      </c>
      <c r="O15" s="6"/>
      <c r="P15" s="6" t="s">
        <v>1665</v>
      </c>
      <c r="Q15" s="6">
        <v>106</v>
      </c>
      <c r="R15" s="632" t="s">
        <v>838</v>
      </c>
      <c r="S15" s="6" t="s">
        <v>1403</v>
      </c>
      <c r="T15" s="6" t="s">
        <v>776</v>
      </c>
      <c r="U15" s="6" t="s">
        <v>1411</v>
      </c>
      <c r="V15" s="6" t="s">
        <v>1415</v>
      </c>
      <c r="W15" s="6" t="s">
        <v>1425</v>
      </c>
      <c r="X15" s="6" t="s">
        <v>874</v>
      </c>
      <c r="Y15" s="6">
        <v>15</v>
      </c>
      <c r="Z15" s="6">
        <v>200</v>
      </c>
      <c r="AA15" s="718">
        <v>3000</v>
      </c>
      <c r="AB15" s="718">
        <v>3</v>
      </c>
      <c r="AC15" s="6"/>
      <c r="AD15" s="6"/>
      <c r="AE15" s="6"/>
      <c r="AF15" s="6">
        <v>0</v>
      </c>
      <c r="AG15" s="6"/>
    </row>
    <row r="16" spans="2:33" ht="30" x14ac:dyDescent="0.25">
      <c r="B16" s="6" t="s">
        <v>1394</v>
      </c>
      <c r="C16" s="6">
        <v>471210</v>
      </c>
      <c r="D16" s="6" t="s">
        <v>380</v>
      </c>
      <c r="E16" s="6" t="s">
        <v>798</v>
      </c>
      <c r="F16" s="6" t="s">
        <v>381</v>
      </c>
      <c r="G16" s="6" t="s">
        <v>832</v>
      </c>
      <c r="H16" s="6" t="s">
        <v>834</v>
      </c>
      <c r="I16" s="6" t="s">
        <v>833</v>
      </c>
      <c r="J16" s="6" t="s">
        <v>817</v>
      </c>
      <c r="K16" s="6">
        <v>0.5</v>
      </c>
      <c r="L16" s="6">
        <v>0</v>
      </c>
      <c r="M16" s="6">
        <v>3</v>
      </c>
      <c r="N16" s="6" t="s">
        <v>1564</v>
      </c>
      <c r="O16" s="6"/>
      <c r="P16" s="6" t="s">
        <v>1665</v>
      </c>
      <c r="Q16" s="6">
        <v>106</v>
      </c>
      <c r="R16" s="632" t="s">
        <v>838</v>
      </c>
      <c r="S16" s="6" t="s">
        <v>358</v>
      </c>
      <c r="T16" s="6" t="s">
        <v>118</v>
      </c>
      <c r="U16" s="6" t="s">
        <v>1422</v>
      </c>
      <c r="V16" s="6" t="s">
        <v>358</v>
      </c>
      <c r="W16" s="6" t="s">
        <v>1425</v>
      </c>
      <c r="X16" s="6" t="s">
        <v>358</v>
      </c>
      <c r="Y16" s="6"/>
      <c r="Z16" s="6"/>
      <c r="AA16" s="718" t="s">
        <v>1165</v>
      </c>
      <c r="AB16" s="718">
        <v>3</v>
      </c>
      <c r="AC16" s="6"/>
      <c r="AD16" s="6"/>
      <c r="AE16" s="6"/>
      <c r="AF16" s="6">
        <v>0</v>
      </c>
      <c r="AG16" s="6"/>
    </row>
    <row r="17" spans="2:33" ht="45" x14ac:dyDescent="0.25">
      <c r="B17" s="6" t="s">
        <v>1570</v>
      </c>
      <c r="C17" s="6">
        <v>634010</v>
      </c>
      <c r="D17" s="6" t="s">
        <v>381</v>
      </c>
      <c r="E17" s="6" t="s">
        <v>910</v>
      </c>
      <c r="F17" s="6" t="s">
        <v>160</v>
      </c>
      <c r="G17" s="6" t="s">
        <v>830</v>
      </c>
      <c r="H17" s="6" t="s">
        <v>824</v>
      </c>
      <c r="I17" s="6" t="s">
        <v>831</v>
      </c>
      <c r="J17" s="6" t="s">
        <v>829</v>
      </c>
      <c r="K17" s="6">
        <v>1</v>
      </c>
      <c r="L17" s="6">
        <v>9</v>
      </c>
      <c r="M17" s="6">
        <v>1</v>
      </c>
      <c r="N17" s="6" t="s">
        <v>1574</v>
      </c>
      <c r="O17" s="6"/>
      <c r="P17" s="6" t="s">
        <v>1452</v>
      </c>
      <c r="Q17" s="6" t="s">
        <v>1427</v>
      </c>
      <c r="R17" s="632" t="s">
        <v>836</v>
      </c>
      <c r="S17" s="6" t="s">
        <v>1435</v>
      </c>
      <c r="T17" s="6" t="s">
        <v>776</v>
      </c>
      <c r="U17" s="6" t="s">
        <v>1437</v>
      </c>
      <c r="V17" s="6" t="s">
        <v>1439</v>
      </c>
      <c r="W17" s="6" t="s">
        <v>1147</v>
      </c>
      <c r="X17" s="6" t="s">
        <v>890</v>
      </c>
      <c r="Y17" s="6">
        <v>337</v>
      </c>
      <c r="Z17" s="6">
        <v>8</v>
      </c>
      <c r="AA17" s="718">
        <v>2700</v>
      </c>
      <c r="AB17" s="718">
        <v>3</v>
      </c>
      <c r="AC17" s="6"/>
      <c r="AD17" s="6"/>
      <c r="AE17" s="6"/>
      <c r="AF17" s="6">
        <v>0</v>
      </c>
      <c r="AG17" s="6" t="s">
        <v>1166</v>
      </c>
    </row>
    <row r="18" spans="2:33" ht="30" x14ac:dyDescent="0.25">
      <c r="B18" s="6" t="s">
        <v>1570</v>
      </c>
      <c r="C18" s="6">
        <v>634010</v>
      </c>
      <c r="D18" s="6" t="s">
        <v>381</v>
      </c>
      <c r="E18" s="6" t="s">
        <v>910</v>
      </c>
      <c r="F18" s="6" t="s">
        <v>381</v>
      </c>
      <c r="G18" s="6" t="s">
        <v>832</v>
      </c>
      <c r="H18" s="6" t="s">
        <v>834</v>
      </c>
      <c r="I18" s="6" t="s">
        <v>833</v>
      </c>
      <c r="J18" s="6" t="s">
        <v>817</v>
      </c>
      <c r="K18" s="6">
        <v>1</v>
      </c>
      <c r="L18" s="6">
        <v>0</v>
      </c>
      <c r="M18" s="6">
        <v>2</v>
      </c>
      <c r="N18" s="6" t="s">
        <v>1575</v>
      </c>
      <c r="O18" s="6"/>
      <c r="P18" s="6" t="s">
        <v>1452</v>
      </c>
      <c r="Q18" s="6" t="s">
        <v>1427</v>
      </c>
      <c r="R18" s="632" t="s">
        <v>836</v>
      </c>
      <c r="S18" s="6" t="s">
        <v>1436</v>
      </c>
      <c r="T18" s="6" t="s">
        <v>113</v>
      </c>
      <c r="U18" s="6" t="s">
        <v>1438</v>
      </c>
      <c r="V18" s="6" t="s">
        <v>628</v>
      </c>
      <c r="W18" s="6"/>
      <c r="X18" s="6" t="s">
        <v>358</v>
      </c>
      <c r="Y18" s="6"/>
      <c r="Z18" s="6"/>
      <c r="AA18" s="718" t="s">
        <v>1165</v>
      </c>
      <c r="AB18" s="718">
        <v>3</v>
      </c>
      <c r="AC18" s="6"/>
      <c r="AD18" s="6"/>
      <c r="AE18" s="6"/>
      <c r="AF18" s="6">
        <v>0</v>
      </c>
      <c r="AG18" s="6" t="s">
        <v>1166</v>
      </c>
    </row>
    <row r="19" spans="2:33" ht="60" x14ac:dyDescent="0.25">
      <c r="B19" s="6" t="s">
        <v>1440</v>
      </c>
      <c r="C19" s="6">
        <v>632010</v>
      </c>
      <c r="D19" s="6" t="s">
        <v>381</v>
      </c>
      <c r="E19" s="6" t="s">
        <v>914</v>
      </c>
      <c r="F19" s="6" t="s">
        <v>160</v>
      </c>
      <c r="G19" s="6" t="s">
        <v>822</v>
      </c>
      <c r="H19" s="6" t="s">
        <v>824</v>
      </c>
      <c r="I19" s="6" t="s">
        <v>823</v>
      </c>
      <c r="J19" s="6" t="s">
        <v>817</v>
      </c>
      <c r="K19" s="6">
        <v>1</v>
      </c>
      <c r="L19" s="6">
        <v>8</v>
      </c>
      <c r="M19" s="6">
        <v>1</v>
      </c>
      <c r="N19" s="6" t="s">
        <v>1565</v>
      </c>
      <c r="O19" s="6"/>
      <c r="P19" s="6" t="s">
        <v>1453</v>
      </c>
      <c r="Q19" s="6" t="s">
        <v>1428</v>
      </c>
      <c r="R19" s="632" t="s">
        <v>839</v>
      </c>
      <c r="S19" s="6" t="s">
        <v>1443</v>
      </c>
      <c r="T19" s="6" t="s">
        <v>776</v>
      </c>
      <c r="U19" s="6" t="s">
        <v>1437</v>
      </c>
      <c r="V19" s="6" t="s">
        <v>1448</v>
      </c>
      <c r="W19" s="6" t="s">
        <v>1147</v>
      </c>
      <c r="X19" s="6" t="s">
        <v>901</v>
      </c>
      <c r="Y19" s="6"/>
      <c r="Z19" s="6"/>
      <c r="AA19" s="718" t="s">
        <v>1165</v>
      </c>
      <c r="AB19" s="718">
        <v>3</v>
      </c>
      <c r="AC19" s="6"/>
      <c r="AD19" s="6"/>
      <c r="AE19" s="6"/>
      <c r="AF19" s="6">
        <v>0</v>
      </c>
      <c r="AG19" s="6" t="s">
        <v>1151</v>
      </c>
    </row>
    <row r="20" spans="2:33" ht="45" x14ac:dyDescent="0.25">
      <c r="B20" s="6" t="s">
        <v>1440</v>
      </c>
      <c r="C20" s="6">
        <v>632010</v>
      </c>
      <c r="D20" s="6" t="s">
        <v>381</v>
      </c>
      <c r="E20" s="6" t="s">
        <v>914</v>
      </c>
      <c r="F20" s="6" t="s">
        <v>381</v>
      </c>
      <c r="G20" s="6" t="s">
        <v>814</v>
      </c>
      <c r="H20" s="6" t="s">
        <v>816</v>
      </c>
      <c r="I20" s="6" t="s">
        <v>815</v>
      </c>
      <c r="J20" s="6" t="s">
        <v>817</v>
      </c>
      <c r="K20" s="6">
        <v>0.75</v>
      </c>
      <c r="L20" s="6">
        <v>4</v>
      </c>
      <c r="M20" s="6">
        <v>2</v>
      </c>
      <c r="N20" s="6" t="s">
        <v>1566</v>
      </c>
      <c r="O20" s="6"/>
      <c r="P20" s="6" t="s">
        <v>1454</v>
      </c>
      <c r="Q20" s="6" t="s">
        <v>1428</v>
      </c>
      <c r="R20" s="632" t="s">
        <v>839</v>
      </c>
      <c r="S20" s="6" t="s">
        <v>1444</v>
      </c>
      <c r="T20" s="6" t="s">
        <v>99</v>
      </c>
      <c r="U20" s="6" t="s">
        <v>1445</v>
      </c>
      <c r="V20" s="6" t="s">
        <v>1449</v>
      </c>
      <c r="W20" s="6" t="s">
        <v>1147</v>
      </c>
      <c r="X20" s="6" t="s">
        <v>893</v>
      </c>
      <c r="Y20" s="6">
        <v>169</v>
      </c>
      <c r="Z20" s="6">
        <v>20</v>
      </c>
      <c r="AA20" s="718">
        <v>3380</v>
      </c>
      <c r="AB20" s="718">
        <v>3</v>
      </c>
      <c r="AC20" s="6"/>
      <c r="AD20" s="6"/>
      <c r="AE20" s="6"/>
      <c r="AF20" s="6">
        <v>0</v>
      </c>
      <c r="AG20" s="6" t="s">
        <v>1151</v>
      </c>
    </row>
    <row r="21" spans="2:33" ht="30" x14ac:dyDescent="0.25">
      <c r="B21" s="6" t="s">
        <v>1440</v>
      </c>
      <c r="C21" s="6">
        <v>632010</v>
      </c>
      <c r="D21" s="6" t="s">
        <v>381</v>
      </c>
      <c r="E21" s="6" t="s">
        <v>914</v>
      </c>
      <c r="F21" s="6" t="s">
        <v>381</v>
      </c>
      <c r="G21" s="6" t="s">
        <v>814</v>
      </c>
      <c r="H21" s="6" t="s">
        <v>816</v>
      </c>
      <c r="I21" s="6" t="s">
        <v>815</v>
      </c>
      <c r="J21" s="6" t="s">
        <v>817</v>
      </c>
      <c r="K21" s="6">
        <v>0.03</v>
      </c>
      <c r="L21" s="6">
        <v>4</v>
      </c>
      <c r="M21" s="6">
        <v>3</v>
      </c>
      <c r="N21" s="6" t="s">
        <v>1567</v>
      </c>
      <c r="O21" s="6"/>
      <c r="P21" s="6" t="s">
        <v>1455</v>
      </c>
      <c r="Q21" s="6" t="s">
        <v>1441</v>
      </c>
      <c r="R21" s="632" t="s">
        <v>839</v>
      </c>
      <c r="S21" s="6" t="s">
        <v>1444</v>
      </c>
      <c r="T21" s="6" t="s">
        <v>104</v>
      </c>
      <c r="U21" s="6" t="s">
        <v>1446</v>
      </c>
      <c r="V21" s="6" t="s">
        <v>1450</v>
      </c>
      <c r="W21" s="6" t="s">
        <v>1147</v>
      </c>
      <c r="X21" s="6" t="s">
        <v>893</v>
      </c>
      <c r="Y21" s="6">
        <v>293</v>
      </c>
      <c r="Z21" s="6">
        <v>6</v>
      </c>
      <c r="AA21" s="718">
        <v>1760</v>
      </c>
      <c r="AB21" s="718">
        <v>3</v>
      </c>
      <c r="AC21" s="6"/>
      <c r="AD21" s="6"/>
      <c r="AE21" s="6"/>
      <c r="AF21" s="6">
        <v>0</v>
      </c>
      <c r="AG21" s="6" t="s">
        <v>1151</v>
      </c>
    </row>
    <row r="22" spans="2:33" ht="45" x14ac:dyDescent="0.25">
      <c r="B22" s="6" t="s">
        <v>1440</v>
      </c>
      <c r="C22" s="6">
        <v>632010</v>
      </c>
      <c r="D22" s="6" t="s">
        <v>381</v>
      </c>
      <c r="E22" s="6" t="s">
        <v>914</v>
      </c>
      <c r="F22" s="6" t="s">
        <v>381</v>
      </c>
      <c r="G22" s="6" t="s">
        <v>814</v>
      </c>
      <c r="H22" s="6" t="s">
        <v>816</v>
      </c>
      <c r="I22" s="6" t="s">
        <v>815</v>
      </c>
      <c r="J22" s="6" t="s">
        <v>817</v>
      </c>
      <c r="K22" s="6">
        <v>0.22</v>
      </c>
      <c r="L22" s="6">
        <v>4</v>
      </c>
      <c r="M22" s="6">
        <v>4</v>
      </c>
      <c r="N22" s="6" t="s">
        <v>1568</v>
      </c>
      <c r="O22" s="6"/>
      <c r="P22" s="6" t="s">
        <v>1454</v>
      </c>
      <c r="Q22" s="6" t="s">
        <v>1442</v>
      </c>
      <c r="R22" s="632" t="s">
        <v>839</v>
      </c>
      <c r="S22" s="6" t="s">
        <v>1444</v>
      </c>
      <c r="T22" s="6" t="s">
        <v>112</v>
      </c>
      <c r="U22" s="6" t="s">
        <v>1447</v>
      </c>
      <c r="V22" s="6" t="s">
        <v>1451</v>
      </c>
      <c r="W22" s="6" t="s">
        <v>1147</v>
      </c>
      <c r="X22" s="6" t="s">
        <v>893</v>
      </c>
      <c r="Y22" s="6">
        <v>293</v>
      </c>
      <c r="Z22" s="6">
        <v>57</v>
      </c>
      <c r="AA22" s="718">
        <v>16700</v>
      </c>
      <c r="AB22" s="718">
        <v>3</v>
      </c>
      <c r="AC22" s="6"/>
      <c r="AD22" s="6"/>
      <c r="AE22" s="6"/>
      <c r="AF22" s="6">
        <v>0</v>
      </c>
      <c r="AG22" s="6" t="s">
        <v>1151</v>
      </c>
    </row>
    <row r="23" spans="2:33" ht="45" x14ac:dyDescent="0.25">
      <c r="B23" s="6" t="s">
        <v>1495</v>
      </c>
      <c r="C23" s="6">
        <v>532110</v>
      </c>
      <c r="D23" s="6" t="s">
        <v>382</v>
      </c>
      <c r="E23" s="6" t="s">
        <v>1099</v>
      </c>
      <c r="F23" s="6" t="s">
        <v>160</v>
      </c>
      <c r="G23" s="6" t="s">
        <v>822</v>
      </c>
      <c r="H23" s="6" t="s">
        <v>824</v>
      </c>
      <c r="I23" s="6" t="s">
        <v>823</v>
      </c>
      <c r="J23" s="6" t="s">
        <v>817</v>
      </c>
      <c r="K23" s="6">
        <v>1</v>
      </c>
      <c r="L23" s="6">
        <v>8</v>
      </c>
      <c r="M23" s="6">
        <v>1</v>
      </c>
      <c r="N23" s="6" t="s">
        <v>1597</v>
      </c>
      <c r="O23" s="6"/>
      <c r="P23" s="6" t="s">
        <v>1652</v>
      </c>
      <c r="Q23" s="6" t="s">
        <v>1456</v>
      </c>
      <c r="R23" s="632" t="s">
        <v>838</v>
      </c>
      <c r="S23" s="6" t="s">
        <v>1506</v>
      </c>
      <c r="T23" s="6" t="s">
        <v>776</v>
      </c>
      <c r="U23" s="6" t="s">
        <v>1510</v>
      </c>
      <c r="V23" s="6" t="s">
        <v>1541</v>
      </c>
      <c r="W23" s="6" t="s">
        <v>1124</v>
      </c>
      <c r="X23" s="6" t="s">
        <v>890</v>
      </c>
      <c r="Y23" s="6">
        <v>1163</v>
      </c>
      <c r="Z23" s="6">
        <v>1</v>
      </c>
      <c r="AA23" s="718">
        <v>1160</v>
      </c>
      <c r="AB23" s="718">
        <v>3</v>
      </c>
      <c r="AC23" s="6"/>
      <c r="AD23" s="6"/>
      <c r="AE23" s="6"/>
      <c r="AF23" s="6">
        <v>0</v>
      </c>
      <c r="AG23" s="6"/>
    </row>
    <row r="24" spans="2:33" ht="30" x14ac:dyDescent="0.25">
      <c r="B24" s="6" t="s">
        <v>1495</v>
      </c>
      <c r="C24" s="6">
        <v>532110</v>
      </c>
      <c r="D24" s="6" t="s">
        <v>382</v>
      </c>
      <c r="E24" s="6" t="s">
        <v>1099</v>
      </c>
      <c r="F24" s="6" t="s">
        <v>381</v>
      </c>
      <c r="G24" s="6" t="s">
        <v>832</v>
      </c>
      <c r="H24" s="6" t="s">
        <v>834</v>
      </c>
      <c r="I24" s="6" t="s">
        <v>833</v>
      </c>
      <c r="J24" s="6" t="s">
        <v>817</v>
      </c>
      <c r="K24" s="6">
        <v>1</v>
      </c>
      <c r="L24" s="6">
        <v>0</v>
      </c>
      <c r="M24" s="6">
        <v>2</v>
      </c>
      <c r="N24" s="6" t="s">
        <v>1598</v>
      </c>
      <c r="O24" s="6"/>
      <c r="P24" s="6" t="s">
        <v>1652</v>
      </c>
      <c r="Q24" s="6" t="s">
        <v>1456</v>
      </c>
      <c r="R24" s="632" t="s">
        <v>838</v>
      </c>
      <c r="S24" s="6" t="s">
        <v>628</v>
      </c>
      <c r="T24" s="6" t="s">
        <v>98</v>
      </c>
      <c r="U24" s="6" t="s">
        <v>1512</v>
      </c>
      <c r="V24" s="6" t="s">
        <v>628</v>
      </c>
      <c r="W24" s="6" t="s">
        <v>1425</v>
      </c>
      <c r="X24" s="6" t="s">
        <v>358</v>
      </c>
      <c r="Y24" s="6"/>
      <c r="Z24" s="6"/>
      <c r="AA24" s="718" t="s">
        <v>1165</v>
      </c>
      <c r="AB24" s="718">
        <v>3</v>
      </c>
      <c r="AC24" s="6"/>
      <c r="AD24" s="6"/>
      <c r="AE24" s="6"/>
      <c r="AF24" s="6">
        <v>0</v>
      </c>
      <c r="AG24" s="6"/>
    </row>
    <row r="25" spans="2:33" ht="75" x14ac:dyDescent="0.25">
      <c r="B25" s="6" t="s">
        <v>1496</v>
      </c>
      <c r="C25" s="6">
        <v>552110</v>
      </c>
      <c r="D25" s="6" t="s">
        <v>382</v>
      </c>
      <c r="E25" s="6" t="s">
        <v>1110</v>
      </c>
      <c r="F25" s="6" t="s">
        <v>160</v>
      </c>
      <c r="G25" s="6" t="s">
        <v>822</v>
      </c>
      <c r="H25" s="6" t="s">
        <v>824</v>
      </c>
      <c r="I25" s="6" t="s">
        <v>823</v>
      </c>
      <c r="J25" s="6" t="s">
        <v>817</v>
      </c>
      <c r="K25" s="6">
        <v>1</v>
      </c>
      <c r="L25" s="6">
        <v>8</v>
      </c>
      <c r="M25" s="6">
        <v>1</v>
      </c>
      <c r="N25" s="6" t="s">
        <v>1599</v>
      </c>
      <c r="O25" s="6"/>
      <c r="P25" s="6" t="s">
        <v>1642</v>
      </c>
      <c r="Q25" s="6">
        <v>2</v>
      </c>
      <c r="R25" s="632" t="s">
        <v>838</v>
      </c>
      <c r="S25" s="6" t="s">
        <v>1506</v>
      </c>
      <c r="T25" s="6" t="s">
        <v>776</v>
      </c>
      <c r="U25" s="6" t="s">
        <v>1510</v>
      </c>
      <c r="V25" s="6" t="s">
        <v>1542</v>
      </c>
      <c r="W25" s="6" t="s">
        <v>1425</v>
      </c>
      <c r="X25" s="6" t="s">
        <v>890</v>
      </c>
      <c r="Y25" s="6">
        <v>5744</v>
      </c>
      <c r="Z25" s="6">
        <v>1</v>
      </c>
      <c r="AA25" s="718">
        <v>5740</v>
      </c>
      <c r="AB25" s="718">
        <v>3</v>
      </c>
      <c r="AC25" s="6"/>
      <c r="AD25" s="6"/>
      <c r="AE25" s="6"/>
      <c r="AF25" s="6">
        <v>0</v>
      </c>
      <c r="AG25" s="6"/>
    </row>
    <row r="26" spans="2:33" ht="30" x14ac:dyDescent="0.25">
      <c r="B26" s="6" t="s">
        <v>1496</v>
      </c>
      <c r="C26" s="6">
        <v>552110</v>
      </c>
      <c r="D26" s="6" t="s">
        <v>382</v>
      </c>
      <c r="E26" s="6" t="s">
        <v>1110</v>
      </c>
      <c r="F26" s="6" t="s">
        <v>381</v>
      </c>
      <c r="G26" s="6" t="s">
        <v>832</v>
      </c>
      <c r="H26" s="6" t="s">
        <v>834</v>
      </c>
      <c r="I26" s="6" t="s">
        <v>833</v>
      </c>
      <c r="J26" s="6" t="s">
        <v>817</v>
      </c>
      <c r="K26" s="6">
        <v>0.5</v>
      </c>
      <c r="L26" s="6">
        <v>0</v>
      </c>
      <c r="M26" s="6">
        <v>2</v>
      </c>
      <c r="N26" s="6" t="s">
        <v>1600</v>
      </c>
      <c r="O26" s="6"/>
      <c r="P26" s="6" t="s">
        <v>1642</v>
      </c>
      <c r="Q26" s="6">
        <v>2</v>
      </c>
      <c r="R26" s="632" t="s">
        <v>838</v>
      </c>
      <c r="S26" s="6" t="s">
        <v>628</v>
      </c>
      <c r="T26" s="6" t="s">
        <v>82</v>
      </c>
      <c r="U26" s="6" t="s">
        <v>1513</v>
      </c>
      <c r="V26" s="6" t="s">
        <v>628</v>
      </c>
      <c r="W26" s="6" t="s">
        <v>1425</v>
      </c>
      <c r="X26" s="6" t="s">
        <v>358</v>
      </c>
      <c r="Y26" s="6">
        <v>0</v>
      </c>
      <c r="Z26" s="6"/>
      <c r="AA26" s="718" t="s">
        <v>1165</v>
      </c>
      <c r="AB26" s="718">
        <v>3</v>
      </c>
      <c r="AC26" s="6"/>
      <c r="AD26" s="6"/>
      <c r="AE26" s="6"/>
      <c r="AF26" s="6">
        <v>0</v>
      </c>
      <c r="AG26" s="6"/>
    </row>
    <row r="27" spans="2:33" ht="30" x14ac:dyDescent="0.25">
      <c r="B27" s="6" t="s">
        <v>1496</v>
      </c>
      <c r="C27" s="6">
        <v>552110</v>
      </c>
      <c r="D27" s="6" t="s">
        <v>382</v>
      </c>
      <c r="E27" s="6" t="s">
        <v>1110</v>
      </c>
      <c r="F27" s="6" t="s">
        <v>381</v>
      </c>
      <c r="G27" s="6" t="s">
        <v>832</v>
      </c>
      <c r="H27" s="6" t="s">
        <v>834</v>
      </c>
      <c r="I27" s="6" t="s">
        <v>833</v>
      </c>
      <c r="J27" s="6" t="s">
        <v>817</v>
      </c>
      <c r="K27" s="6">
        <v>0.5</v>
      </c>
      <c r="L27" s="6">
        <v>0</v>
      </c>
      <c r="M27" s="6">
        <v>3</v>
      </c>
      <c r="N27" s="6" t="s">
        <v>1601</v>
      </c>
      <c r="O27" s="6"/>
      <c r="P27" s="6" t="s">
        <v>1642</v>
      </c>
      <c r="Q27" s="6">
        <v>2</v>
      </c>
      <c r="R27" s="632" t="s">
        <v>838</v>
      </c>
      <c r="S27" s="6" t="s">
        <v>628</v>
      </c>
      <c r="T27" s="6" t="s">
        <v>83</v>
      </c>
      <c r="U27" s="6" t="s">
        <v>1514</v>
      </c>
      <c r="V27" s="6" t="s">
        <v>628</v>
      </c>
      <c r="W27" s="6" t="s">
        <v>1425</v>
      </c>
      <c r="X27" s="6" t="s">
        <v>358</v>
      </c>
      <c r="Y27" s="6">
        <v>0</v>
      </c>
      <c r="Z27" s="6"/>
      <c r="AA27" s="718" t="s">
        <v>1165</v>
      </c>
      <c r="AB27" s="718">
        <v>3</v>
      </c>
      <c r="AC27" s="6"/>
      <c r="AD27" s="6"/>
      <c r="AE27" s="6"/>
      <c r="AF27" s="6">
        <v>0</v>
      </c>
      <c r="AG27" s="6"/>
    </row>
    <row r="28" spans="2:33" ht="75" x14ac:dyDescent="0.25">
      <c r="B28" s="6" t="s">
        <v>1497</v>
      </c>
      <c r="C28" s="6">
        <v>552110</v>
      </c>
      <c r="D28" s="6" t="s">
        <v>382</v>
      </c>
      <c r="E28" s="6" t="s">
        <v>1110</v>
      </c>
      <c r="F28" s="6" t="s">
        <v>160</v>
      </c>
      <c r="G28" s="6" t="s">
        <v>822</v>
      </c>
      <c r="H28" s="6" t="s">
        <v>824</v>
      </c>
      <c r="I28" s="6" t="s">
        <v>823</v>
      </c>
      <c r="J28" s="6" t="s">
        <v>817</v>
      </c>
      <c r="K28" s="6">
        <v>1</v>
      </c>
      <c r="L28" s="6">
        <v>8</v>
      </c>
      <c r="M28" s="6">
        <v>1</v>
      </c>
      <c r="N28" s="6" t="s">
        <v>1602</v>
      </c>
      <c r="O28" s="6"/>
      <c r="P28" s="6" t="s">
        <v>1643</v>
      </c>
      <c r="Q28" s="6">
        <v>12</v>
      </c>
      <c r="R28" s="632" t="s">
        <v>838</v>
      </c>
      <c r="S28" s="6" t="s">
        <v>1506</v>
      </c>
      <c r="T28" s="6" t="s">
        <v>776</v>
      </c>
      <c r="U28" s="6" t="s">
        <v>1510</v>
      </c>
      <c r="V28" s="6" t="s">
        <v>1542</v>
      </c>
      <c r="W28" s="6" t="s">
        <v>1425</v>
      </c>
      <c r="X28" s="6" t="s">
        <v>890</v>
      </c>
      <c r="Y28" s="6">
        <v>5744</v>
      </c>
      <c r="Z28" s="6">
        <v>1</v>
      </c>
      <c r="AA28" s="718">
        <v>5740</v>
      </c>
      <c r="AB28" s="718">
        <v>3</v>
      </c>
      <c r="AC28" s="6"/>
      <c r="AD28" s="6"/>
      <c r="AE28" s="6"/>
      <c r="AF28" s="6">
        <v>0</v>
      </c>
      <c r="AG28" s="6"/>
    </row>
    <row r="29" spans="2:33" ht="30" x14ac:dyDescent="0.25">
      <c r="B29" s="6" t="s">
        <v>1497</v>
      </c>
      <c r="C29" s="6">
        <v>552110</v>
      </c>
      <c r="D29" s="6" t="s">
        <v>382</v>
      </c>
      <c r="E29" s="6" t="s">
        <v>1110</v>
      </c>
      <c r="F29" s="6" t="s">
        <v>381</v>
      </c>
      <c r="G29" s="6" t="s">
        <v>832</v>
      </c>
      <c r="H29" s="6" t="s">
        <v>834</v>
      </c>
      <c r="I29" s="6" t="s">
        <v>833</v>
      </c>
      <c r="J29" s="6" t="s">
        <v>817</v>
      </c>
      <c r="K29" s="6">
        <v>0.5</v>
      </c>
      <c r="L29" s="6">
        <v>0</v>
      </c>
      <c r="M29" s="6">
        <v>2</v>
      </c>
      <c r="N29" s="6" t="s">
        <v>1603</v>
      </c>
      <c r="O29" s="6"/>
      <c r="P29" s="6" t="s">
        <v>1643</v>
      </c>
      <c r="Q29" s="6">
        <v>12</v>
      </c>
      <c r="R29" s="632" t="s">
        <v>838</v>
      </c>
      <c r="S29" s="6" t="s">
        <v>628</v>
      </c>
      <c r="T29" s="6" t="s">
        <v>82</v>
      </c>
      <c r="U29" s="6" t="s">
        <v>1513</v>
      </c>
      <c r="V29" s="6" t="s">
        <v>628</v>
      </c>
      <c r="W29" s="6" t="s">
        <v>1425</v>
      </c>
      <c r="X29" s="6" t="s">
        <v>358</v>
      </c>
      <c r="Y29" s="6">
        <v>0</v>
      </c>
      <c r="Z29" s="6"/>
      <c r="AA29" s="718" t="s">
        <v>1165</v>
      </c>
      <c r="AB29" s="718">
        <v>3</v>
      </c>
      <c r="AC29" s="6"/>
      <c r="AD29" s="6"/>
      <c r="AE29" s="6"/>
      <c r="AF29" s="6">
        <v>0</v>
      </c>
      <c r="AG29" s="6"/>
    </row>
    <row r="30" spans="2:33" ht="30" x14ac:dyDescent="0.25">
      <c r="B30" s="6" t="s">
        <v>1497</v>
      </c>
      <c r="C30" s="6">
        <v>552110</v>
      </c>
      <c r="D30" s="6" t="s">
        <v>382</v>
      </c>
      <c r="E30" s="6" t="s">
        <v>1110</v>
      </c>
      <c r="F30" s="6" t="s">
        <v>381</v>
      </c>
      <c r="G30" s="6" t="s">
        <v>832</v>
      </c>
      <c r="H30" s="6" t="s">
        <v>834</v>
      </c>
      <c r="I30" s="6" t="s">
        <v>833</v>
      </c>
      <c r="J30" s="6" t="s">
        <v>817</v>
      </c>
      <c r="K30" s="6">
        <v>0.5</v>
      </c>
      <c r="L30" s="6">
        <v>0</v>
      </c>
      <c r="M30" s="6">
        <v>3</v>
      </c>
      <c r="N30" s="6" t="s">
        <v>1604</v>
      </c>
      <c r="O30" s="6"/>
      <c r="P30" s="6" t="s">
        <v>1643</v>
      </c>
      <c r="Q30" s="6">
        <v>12</v>
      </c>
      <c r="R30" s="632" t="s">
        <v>838</v>
      </c>
      <c r="S30" s="6" t="s">
        <v>628</v>
      </c>
      <c r="T30" s="6" t="s">
        <v>83</v>
      </c>
      <c r="U30" s="6" t="s">
        <v>1515</v>
      </c>
      <c r="V30" s="6" t="s">
        <v>628</v>
      </c>
      <c r="W30" s="6" t="s">
        <v>1425</v>
      </c>
      <c r="X30" s="6" t="s">
        <v>358</v>
      </c>
      <c r="Y30" s="6">
        <v>0</v>
      </c>
      <c r="Z30" s="6"/>
      <c r="AA30" s="718" t="s">
        <v>1165</v>
      </c>
      <c r="AB30" s="718">
        <v>3</v>
      </c>
      <c r="AC30" s="6"/>
      <c r="AD30" s="6"/>
      <c r="AE30" s="6"/>
      <c r="AF30" s="6">
        <v>0</v>
      </c>
      <c r="AG30" s="6"/>
    </row>
    <row r="31" spans="2:33" ht="90" x14ac:dyDescent="0.25">
      <c r="B31" s="6" t="s">
        <v>1498</v>
      </c>
      <c r="C31" s="6">
        <v>562110</v>
      </c>
      <c r="D31" s="6" t="s">
        <v>382</v>
      </c>
      <c r="E31" s="6" t="s">
        <v>1101</v>
      </c>
      <c r="F31" s="6" t="s">
        <v>160</v>
      </c>
      <c r="G31" s="6" t="s">
        <v>830</v>
      </c>
      <c r="H31" s="6" t="s">
        <v>824</v>
      </c>
      <c r="I31" s="6" t="s">
        <v>831</v>
      </c>
      <c r="J31" s="6" t="s">
        <v>829</v>
      </c>
      <c r="K31" s="6">
        <v>1</v>
      </c>
      <c r="L31" s="6">
        <v>9</v>
      </c>
      <c r="M31" s="6">
        <v>1</v>
      </c>
      <c r="N31" s="6" t="s">
        <v>1605</v>
      </c>
      <c r="O31" s="6"/>
      <c r="P31" s="6" t="s">
        <v>1653</v>
      </c>
      <c r="Q31" s="6">
        <v>6</v>
      </c>
      <c r="R31" s="632" t="s">
        <v>836</v>
      </c>
      <c r="S31" s="6" t="s">
        <v>1507</v>
      </c>
      <c r="T31" s="6" t="s">
        <v>776</v>
      </c>
      <c r="U31" s="6" t="s">
        <v>1510</v>
      </c>
      <c r="V31" s="6" t="s">
        <v>1543</v>
      </c>
      <c r="W31" s="6" t="s">
        <v>1130</v>
      </c>
      <c r="X31" s="6" t="s">
        <v>890</v>
      </c>
      <c r="Y31" s="6">
        <v>59000</v>
      </c>
      <c r="Z31" s="6">
        <v>1</v>
      </c>
      <c r="AA31" s="718">
        <v>59000</v>
      </c>
      <c r="AB31" s="718">
        <v>3</v>
      </c>
      <c r="AC31" s="6"/>
      <c r="AD31" s="6"/>
      <c r="AE31" s="6"/>
      <c r="AF31" s="6">
        <v>0</v>
      </c>
      <c r="AG31" s="6"/>
    </row>
    <row r="32" spans="2:33" ht="30" x14ac:dyDescent="0.25">
      <c r="B32" s="6" t="s">
        <v>1498</v>
      </c>
      <c r="C32" s="6">
        <v>562110</v>
      </c>
      <c r="D32" s="6" t="s">
        <v>382</v>
      </c>
      <c r="E32" s="6" t="s">
        <v>1101</v>
      </c>
      <c r="F32" s="6" t="s">
        <v>381</v>
      </c>
      <c r="G32" s="6" t="s">
        <v>832</v>
      </c>
      <c r="H32" s="6" t="s">
        <v>834</v>
      </c>
      <c r="I32" s="6" t="s">
        <v>833</v>
      </c>
      <c r="J32" s="6" t="s">
        <v>817</v>
      </c>
      <c r="K32" s="6">
        <v>0.1</v>
      </c>
      <c r="L32" s="6">
        <v>0</v>
      </c>
      <c r="M32" s="6">
        <v>2</v>
      </c>
      <c r="N32" s="6" t="s">
        <v>1606</v>
      </c>
      <c r="O32" s="6"/>
      <c r="P32" s="6" t="s">
        <v>1653</v>
      </c>
      <c r="Q32" s="6">
        <v>6</v>
      </c>
      <c r="R32" s="632" t="s">
        <v>838</v>
      </c>
      <c r="S32" s="6" t="s">
        <v>628</v>
      </c>
      <c r="T32" s="6" t="s">
        <v>83</v>
      </c>
      <c r="U32" s="6" t="s">
        <v>1516</v>
      </c>
      <c r="V32" s="6" t="s">
        <v>628</v>
      </c>
      <c r="W32" s="6" t="s">
        <v>1425</v>
      </c>
      <c r="X32" s="6" t="s">
        <v>358</v>
      </c>
      <c r="Y32" s="6"/>
      <c r="Z32" s="6"/>
      <c r="AA32" s="718" t="s">
        <v>1165</v>
      </c>
      <c r="AB32" s="718">
        <v>3</v>
      </c>
      <c r="AC32" s="6"/>
      <c r="AD32" s="6"/>
      <c r="AE32" s="6"/>
      <c r="AF32" s="6">
        <v>0</v>
      </c>
      <c r="AG32" s="6"/>
    </row>
    <row r="33" spans="2:33" ht="30" x14ac:dyDescent="0.25">
      <c r="B33" s="6" t="s">
        <v>1498</v>
      </c>
      <c r="C33" s="6">
        <v>562110</v>
      </c>
      <c r="D33" s="6" t="s">
        <v>382</v>
      </c>
      <c r="E33" s="6" t="s">
        <v>1101</v>
      </c>
      <c r="F33" s="6" t="s">
        <v>381</v>
      </c>
      <c r="G33" s="6" t="s">
        <v>832</v>
      </c>
      <c r="H33" s="6" t="s">
        <v>834</v>
      </c>
      <c r="I33" s="6" t="s">
        <v>833</v>
      </c>
      <c r="J33" s="6" t="s">
        <v>817</v>
      </c>
      <c r="K33" s="6">
        <v>0.1</v>
      </c>
      <c r="L33" s="6">
        <v>0</v>
      </c>
      <c r="M33" s="6">
        <v>3</v>
      </c>
      <c r="N33" s="6" t="s">
        <v>1607</v>
      </c>
      <c r="O33" s="6"/>
      <c r="P33" s="6" t="s">
        <v>1653</v>
      </c>
      <c r="Q33" s="6">
        <v>6</v>
      </c>
      <c r="R33" s="632" t="s">
        <v>836</v>
      </c>
      <c r="S33" s="6" t="s">
        <v>628</v>
      </c>
      <c r="T33" s="6" t="s">
        <v>82</v>
      </c>
      <c r="U33" s="6" t="s">
        <v>1517</v>
      </c>
      <c r="V33" s="6" t="s">
        <v>628</v>
      </c>
      <c r="W33" s="6" t="s">
        <v>1425</v>
      </c>
      <c r="X33" s="6" t="s">
        <v>358</v>
      </c>
      <c r="Y33" s="6"/>
      <c r="Z33" s="6"/>
      <c r="AA33" s="718" t="s">
        <v>1165</v>
      </c>
      <c r="AB33" s="718">
        <v>3</v>
      </c>
      <c r="AC33" s="6"/>
      <c r="AD33" s="6"/>
      <c r="AE33" s="6"/>
      <c r="AF33" s="6">
        <v>0</v>
      </c>
      <c r="AG33" s="6"/>
    </row>
    <row r="34" spans="2:33" ht="30" x14ac:dyDescent="0.25">
      <c r="B34" s="6" t="s">
        <v>1498</v>
      </c>
      <c r="C34" s="6">
        <v>562110</v>
      </c>
      <c r="D34" s="6" t="s">
        <v>382</v>
      </c>
      <c r="E34" s="6" t="s">
        <v>1101</v>
      </c>
      <c r="F34" s="6" t="s">
        <v>381</v>
      </c>
      <c r="G34" s="6" t="s">
        <v>832</v>
      </c>
      <c r="H34" s="6" t="s">
        <v>834</v>
      </c>
      <c r="I34" s="6" t="s">
        <v>833</v>
      </c>
      <c r="J34" s="6" t="s">
        <v>817</v>
      </c>
      <c r="K34" s="6">
        <v>0.2</v>
      </c>
      <c r="L34" s="6">
        <v>0</v>
      </c>
      <c r="M34" s="6">
        <v>4</v>
      </c>
      <c r="N34" s="6" t="s">
        <v>1608</v>
      </c>
      <c r="O34" s="6"/>
      <c r="P34" s="6" t="s">
        <v>1653</v>
      </c>
      <c r="Q34" s="6">
        <v>6</v>
      </c>
      <c r="R34" s="632" t="s">
        <v>838</v>
      </c>
      <c r="S34" s="6" t="s">
        <v>628</v>
      </c>
      <c r="T34" s="6"/>
      <c r="U34" s="6" t="s">
        <v>1518</v>
      </c>
      <c r="V34" s="6" t="s">
        <v>628</v>
      </c>
      <c r="W34" s="6" t="s">
        <v>1425</v>
      </c>
      <c r="X34" s="6" t="s">
        <v>358</v>
      </c>
      <c r="Y34" s="6"/>
      <c r="Z34" s="6"/>
      <c r="AA34" s="718" t="s">
        <v>1165</v>
      </c>
      <c r="AB34" s="718">
        <v>3</v>
      </c>
      <c r="AC34" s="6"/>
      <c r="AD34" s="6"/>
      <c r="AE34" s="6"/>
      <c r="AF34" s="6">
        <v>0</v>
      </c>
      <c r="AG34" s="6"/>
    </row>
    <row r="35" spans="2:33" ht="30" x14ac:dyDescent="0.25">
      <c r="B35" s="6" t="s">
        <v>1498</v>
      </c>
      <c r="C35" s="6">
        <v>562110</v>
      </c>
      <c r="D35" s="6" t="s">
        <v>382</v>
      </c>
      <c r="E35" s="6" t="s">
        <v>1101</v>
      </c>
      <c r="F35" s="6" t="s">
        <v>381</v>
      </c>
      <c r="G35" s="6" t="s">
        <v>832</v>
      </c>
      <c r="H35" s="6" t="s">
        <v>834</v>
      </c>
      <c r="I35" s="6" t="s">
        <v>833</v>
      </c>
      <c r="J35" s="6" t="s">
        <v>817</v>
      </c>
      <c r="K35" s="6">
        <v>0.2</v>
      </c>
      <c r="L35" s="6">
        <v>0</v>
      </c>
      <c r="M35" s="6">
        <v>6</v>
      </c>
      <c r="N35" s="6" t="s">
        <v>1609</v>
      </c>
      <c r="O35" s="6"/>
      <c r="P35" s="6" t="s">
        <v>1653</v>
      </c>
      <c r="Q35" s="6">
        <v>6</v>
      </c>
      <c r="R35" s="632" t="s">
        <v>836</v>
      </c>
      <c r="S35" s="6" t="s">
        <v>628</v>
      </c>
      <c r="T35" s="6" t="s">
        <v>23</v>
      </c>
      <c r="U35" s="6" t="s">
        <v>1519</v>
      </c>
      <c r="V35" s="6" t="s">
        <v>628</v>
      </c>
      <c r="W35" s="6" t="s">
        <v>1425</v>
      </c>
      <c r="X35" s="6" t="s">
        <v>358</v>
      </c>
      <c r="Y35" s="6"/>
      <c r="Z35" s="6"/>
      <c r="AA35" s="718" t="s">
        <v>1165</v>
      </c>
      <c r="AB35" s="718">
        <v>3</v>
      </c>
      <c r="AC35" s="6"/>
      <c r="AD35" s="6"/>
      <c r="AE35" s="6"/>
      <c r="AF35" s="6">
        <v>0</v>
      </c>
      <c r="AG35" s="6"/>
    </row>
    <row r="36" spans="2:33" ht="30" x14ac:dyDescent="0.25">
      <c r="B36" s="6" t="s">
        <v>1498</v>
      </c>
      <c r="C36" s="6">
        <v>562110</v>
      </c>
      <c r="D36" s="6" t="s">
        <v>382</v>
      </c>
      <c r="E36" s="6" t="s">
        <v>1101</v>
      </c>
      <c r="F36" s="6" t="s">
        <v>381</v>
      </c>
      <c r="G36" s="6" t="s">
        <v>832</v>
      </c>
      <c r="H36" s="6" t="s">
        <v>834</v>
      </c>
      <c r="I36" s="6" t="s">
        <v>833</v>
      </c>
      <c r="J36" s="6" t="s">
        <v>817</v>
      </c>
      <c r="K36" s="6">
        <v>0.2</v>
      </c>
      <c r="L36" s="6">
        <v>0</v>
      </c>
      <c r="M36" s="6">
        <v>7</v>
      </c>
      <c r="N36" s="6" t="s">
        <v>1610</v>
      </c>
      <c r="O36" s="6"/>
      <c r="P36" s="6" t="s">
        <v>1653</v>
      </c>
      <c r="Q36" s="6">
        <v>6</v>
      </c>
      <c r="R36" s="632" t="s">
        <v>838</v>
      </c>
      <c r="S36" s="6" t="s">
        <v>628</v>
      </c>
      <c r="T36" s="6" t="s">
        <v>25</v>
      </c>
      <c r="U36" s="6" t="s">
        <v>1520</v>
      </c>
      <c r="V36" s="6" t="s">
        <v>628</v>
      </c>
      <c r="W36" s="6" t="s">
        <v>1425</v>
      </c>
      <c r="X36" s="6" t="s">
        <v>358</v>
      </c>
      <c r="Y36" s="6"/>
      <c r="Z36" s="6"/>
      <c r="AA36" s="718" t="s">
        <v>1165</v>
      </c>
      <c r="AB36" s="718">
        <v>3</v>
      </c>
      <c r="AC36" s="6"/>
      <c r="AD36" s="6"/>
      <c r="AE36" s="6"/>
      <c r="AF36" s="6">
        <v>0</v>
      </c>
      <c r="AG36" s="6"/>
    </row>
    <row r="37" spans="2:33" ht="45" x14ac:dyDescent="0.25">
      <c r="B37" s="6" t="s">
        <v>1498</v>
      </c>
      <c r="C37" s="6">
        <v>562110</v>
      </c>
      <c r="D37" s="6" t="s">
        <v>382</v>
      </c>
      <c r="E37" s="6" t="s">
        <v>1101</v>
      </c>
      <c r="F37" s="6" t="s">
        <v>381</v>
      </c>
      <c r="G37" s="6" t="s">
        <v>832</v>
      </c>
      <c r="H37" s="6" t="s">
        <v>834</v>
      </c>
      <c r="I37" s="6" t="s">
        <v>833</v>
      </c>
      <c r="J37" s="6" t="s">
        <v>817</v>
      </c>
      <c r="K37" s="6">
        <v>0.2</v>
      </c>
      <c r="L37" s="6">
        <v>0</v>
      </c>
      <c r="M37" s="6">
        <v>8</v>
      </c>
      <c r="N37" s="6" t="s">
        <v>1611</v>
      </c>
      <c r="O37" s="6"/>
      <c r="P37" s="6" t="s">
        <v>1653</v>
      </c>
      <c r="Q37" s="6">
        <v>6</v>
      </c>
      <c r="R37" s="632" t="s">
        <v>836</v>
      </c>
      <c r="S37" s="6" t="s">
        <v>628</v>
      </c>
      <c r="T37" s="6" t="s">
        <v>98</v>
      </c>
      <c r="U37" s="6" t="s">
        <v>1521</v>
      </c>
      <c r="V37" s="6" t="s">
        <v>628</v>
      </c>
      <c r="W37" s="6" t="s">
        <v>1425</v>
      </c>
      <c r="X37" s="6" t="s">
        <v>358</v>
      </c>
      <c r="Y37" s="6"/>
      <c r="Z37" s="6"/>
      <c r="AA37" s="718" t="s">
        <v>1165</v>
      </c>
      <c r="AB37" s="718">
        <v>3</v>
      </c>
      <c r="AC37" s="6"/>
      <c r="AD37" s="6"/>
      <c r="AE37" s="6"/>
      <c r="AF37" s="6">
        <v>0</v>
      </c>
      <c r="AG37" s="6"/>
    </row>
    <row r="38" spans="2:33" ht="90" x14ac:dyDescent="0.25">
      <c r="B38" s="6" t="s">
        <v>1499</v>
      </c>
      <c r="C38" s="6">
        <v>562110</v>
      </c>
      <c r="D38" s="6" t="s">
        <v>382</v>
      </c>
      <c r="E38" s="6" t="s">
        <v>1101</v>
      </c>
      <c r="F38" s="6" t="s">
        <v>160</v>
      </c>
      <c r="G38" s="6" t="s">
        <v>830</v>
      </c>
      <c r="H38" s="6" t="s">
        <v>824</v>
      </c>
      <c r="I38" s="6" t="s">
        <v>831</v>
      </c>
      <c r="J38" s="6" t="s">
        <v>829</v>
      </c>
      <c r="K38" s="6">
        <v>1</v>
      </c>
      <c r="L38" s="6">
        <v>9</v>
      </c>
      <c r="M38" s="6">
        <v>1</v>
      </c>
      <c r="N38" s="6" t="s">
        <v>1612</v>
      </c>
      <c r="O38" s="6"/>
      <c r="P38" s="6" t="s">
        <v>1653</v>
      </c>
      <c r="Q38" s="6">
        <v>6</v>
      </c>
      <c r="R38" s="632" t="s">
        <v>838</v>
      </c>
      <c r="S38" s="6" t="s">
        <v>1507</v>
      </c>
      <c r="T38" s="6" t="s">
        <v>776</v>
      </c>
      <c r="U38" s="6" t="s">
        <v>1510</v>
      </c>
      <c r="V38" s="6" t="s">
        <v>1543</v>
      </c>
      <c r="W38" s="6" t="s">
        <v>1130</v>
      </c>
      <c r="X38" s="6" t="s">
        <v>890</v>
      </c>
      <c r="Y38" s="6">
        <v>59000</v>
      </c>
      <c r="Z38" s="6">
        <v>1</v>
      </c>
      <c r="AA38" s="718">
        <v>59000</v>
      </c>
      <c r="AB38" s="718">
        <v>3</v>
      </c>
      <c r="AC38" s="6"/>
      <c r="AD38" s="6"/>
      <c r="AE38" s="6"/>
      <c r="AF38" s="6">
        <v>0</v>
      </c>
      <c r="AG38" s="6"/>
    </row>
    <row r="39" spans="2:33" ht="30" x14ac:dyDescent="0.25">
      <c r="B39" s="6" t="s">
        <v>1499</v>
      </c>
      <c r="C39" s="6">
        <v>562110</v>
      </c>
      <c r="D39" s="6" t="s">
        <v>382</v>
      </c>
      <c r="E39" s="6" t="s">
        <v>1101</v>
      </c>
      <c r="F39" s="6" t="s">
        <v>381</v>
      </c>
      <c r="G39" s="6" t="s">
        <v>832</v>
      </c>
      <c r="H39" s="6" t="s">
        <v>834</v>
      </c>
      <c r="I39" s="6" t="s">
        <v>833</v>
      </c>
      <c r="J39" s="6" t="s">
        <v>817</v>
      </c>
      <c r="K39" s="6">
        <v>0.1</v>
      </c>
      <c r="L39" s="6">
        <v>0</v>
      </c>
      <c r="M39" s="6">
        <v>2</v>
      </c>
      <c r="N39" s="6" t="s">
        <v>1613</v>
      </c>
      <c r="O39" s="6"/>
      <c r="P39" s="6" t="s">
        <v>1653</v>
      </c>
      <c r="Q39" s="6">
        <v>6</v>
      </c>
      <c r="R39" s="632" t="s">
        <v>836</v>
      </c>
      <c r="S39" s="6" t="s">
        <v>628</v>
      </c>
      <c r="T39" s="6" t="s">
        <v>83</v>
      </c>
      <c r="U39" s="6" t="s">
        <v>1516</v>
      </c>
      <c r="V39" s="6" t="s">
        <v>628</v>
      </c>
      <c r="W39" s="6" t="s">
        <v>1425</v>
      </c>
      <c r="X39" s="6" t="s">
        <v>358</v>
      </c>
      <c r="Y39" s="6"/>
      <c r="Z39" s="6"/>
      <c r="AA39" s="718" t="s">
        <v>1165</v>
      </c>
      <c r="AB39" s="718">
        <v>3</v>
      </c>
      <c r="AC39" s="6"/>
      <c r="AD39" s="6"/>
      <c r="AE39" s="6"/>
      <c r="AF39" s="6">
        <v>0</v>
      </c>
      <c r="AG39" s="6"/>
    </row>
    <row r="40" spans="2:33" ht="30" x14ac:dyDescent="0.25">
      <c r="B40" s="6" t="s">
        <v>1499</v>
      </c>
      <c r="C40" s="6">
        <v>562110</v>
      </c>
      <c r="D40" s="6" t="s">
        <v>382</v>
      </c>
      <c r="E40" s="6" t="s">
        <v>1101</v>
      </c>
      <c r="F40" s="6" t="s">
        <v>381</v>
      </c>
      <c r="G40" s="6" t="s">
        <v>832</v>
      </c>
      <c r="H40" s="6" t="s">
        <v>834</v>
      </c>
      <c r="I40" s="6" t="s">
        <v>833</v>
      </c>
      <c r="J40" s="6" t="s">
        <v>817</v>
      </c>
      <c r="K40" s="6">
        <v>0.2</v>
      </c>
      <c r="L40" s="6">
        <v>0</v>
      </c>
      <c r="M40" s="6">
        <v>3</v>
      </c>
      <c r="N40" s="6" t="s">
        <v>1614</v>
      </c>
      <c r="O40" s="6"/>
      <c r="P40" s="6" t="s">
        <v>1653</v>
      </c>
      <c r="Q40" s="6">
        <v>6</v>
      </c>
      <c r="R40" s="632" t="s">
        <v>838</v>
      </c>
      <c r="S40" s="6" t="s">
        <v>628</v>
      </c>
      <c r="T40" s="6" t="s">
        <v>82</v>
      </c>
      <c r="U40" s="6" t="s">
        <v>1517</v>
      </c>
      <c r="V40" s="6" t="s">
        <v>628</v>
      </c>
      <c r="W40" s="6" t="s">
        <v>1425</v>
      </c>
      <c r="X40" s="6" t="s">
        <v>358</v>
      </c>
      <c r="Y40" s="6"/>
      <c r="Z40" s="6"/>
      <c r="AA40" s="718" t="s">
        <v>1165</v>
      </c>
      <c r="AB40" s="718">
        <v>3</v>
      </c>
      <c r="AC40" s="6"/>
      <c r="AD40" s="6"/>
      <c r="AE40" s="6"/>
      <c r="AF40" s="6">
        <v>0</v>
      </c>
      <c r="AG40" s="6"/>
    </row>
    <row r="41" spans="2:33" ht="30" x14ac:dyDescent="0.25">
      <c r="B41" s="6" t="s">
        <v>1499</v>
      </c>
      <c r="C41" s="6">
        <v>562110</v>
      </c>
      <c r="D41" s="6" t="s">
        <v>382</v>
      </c>
      <c r="E41" s="6" t="s">
        <v>1101</v>
      </c>
      <c r="F41" s="6" t="s">
        <v>381</v>
      </c>
      <c r="G41" s="6" t="s">
        <v>832</v>
      </c>
      <c r="H41" s="6" t="s">
        <v>834</v>
      </c>
      <c r="I41" s="6" t="s">
        <v>833</v>
      </c>
      <c r="J41" s="6" t="s">
        <v>817</v>
      </c>
      <c r="K41" s="6">
        <v>0.1</v>
      </c>
      <c r="L41" s="6">
        <v>0</v>
      </c>
      <c r="M41" s="6">
        <v>4</v>
      </c>
      <c r="N41" s="6" t="s">
        <v>1615</v>
      </c>
      <c r="O41" s="6"/>
      <c r="P41" s="6" t="s">
        <v>1647</v>
      </c>
      <c r="Q41" s="6">
        <v>6</v>
      </c>
      <c r="R41" s="632" t="s">
        <v>836</v>
      </c>
      <c r="S41" s="6" t="s">
        <v>628</v>
      </c>
      <c r="T41" s="6"/>
      <c r="U41" s="6" t="s">
        <v>1518</v>
      </c>
      <c r="V41" s="6" t="s">
        <v>628</v>
      </c>
      <c r="W41" s="6" t="s">
        <v>1425</v>
      </c>
      <c r="X41" s="6" t="s">
        <v>358</v>
      </c>
      <c r="Y41" s="6"/>
      <c r="Z41" s="6"/>
      <c r="AA41" s="718" t="s">
        <v>1165</v>
      </c>
      <c r="AB41" s="718">
        <v>3</v>
      </c>
      <c r="AC41" s="6"/>
      <c r="AD41" s="6"/>
      <c r="AE41" s="6"/>
      <c r="AF41" s="6">
        <v>0</v>
      </c>
      <c r="AG41" s="6"/>
    </row>
    <row r="42" spans="2:33" ht="30" x14ac:dyDescent="0.25">
      <c r="B42" s="6" t="s">
        <v>1499</v>
      </c>
      <c r="C42" s="6">
        <v>562110</v>
      </c>
      <c r="D42" s="6" t="s">
        <v>382</v>
      </c>
      <c r="E42" s="6" t="s">
        <v>1101</v>
      </c>
      <c r="F42" s="6" t="s">
        <v>381</v>
      </c>
      <c r="G42" s="6" t="s">
        <v>832</v>
      </c>
      <c r="H42" s="6" t="s">
        <v>834</v>
      </c>
      <c r="I42" s="6" t="s">
        <v>833</v>
      </c>
      <c r="J42" s="6" t="s">
        <v>817</v>
      </c>
      <c r="K42" s="6">
        <v>0.2</v>
      </c>
      <c r="L42" s="6">
        <v>0</v>
      </c>
      <c r="M42" s="6">
        <v>6</v>
      </c>
      <c r="N42" s="6" t="s">
        <v>1616</v>
      </c>
      <c r="O42" s="6"/>
      <c r="P42" s="6" t="s">
        <v>1647</v>
      </c>
      <c r="Q42" s="6">
        <v>6</v>
      </c>
      <c r="R42" s="632" t="s">
        <v>838</v>
      </c>
      <c r="S42" s="6" t="s">
        <v>628</v>
      </c>
      <c r="T42" s="6" t="s">
        <v>23</v>
      </c>
      <c r="U42" s="6" t="s">
        <v>1522</v>
      </c>
      <c r="V42" s="6" t="s">
        <v>628</v>
      </c>
      <c r="W42" s="6" t="s">
        <v>1425</v>
      </c>
      <c r="X42" s="6" t="s">
        <v>358</v>
      </c>
      <c r="Y42" s="6"/>
      <c r="Z42" s="6"/>
      <c r="AA42" s="718" t="s">
        <v>1165</v>
      </c>
      <c r="AB42" s="718">
        <v>3</v>
      </c>
      <c r="AC42" s="6"/>
      <c r="AD42" s="6"/>
      <c r="AE42" s="6"/>
      <c r="AF42" s="6">
        <v>0</v>
      </c>
      <c r="AG42" s="6"/>
    </row>
    <row r="43" spans="2:33" ht="30" x14ac:dyDescent="0.25">
      <c r="B43" s="6" t="s">
        <v>1499</v>
      </c>
      <c r="C43" s="6">
        <v>562110</v>
      </c>
      <c r="D43" s="6" t="s">
        <v>382</v>
      </c>
      <c r="E43" s="6" t="s">
        <v>1101</v>
      </c>
      <c r="F43" s="6" t="s">
        <v>381</v>
      </c>
      <c r="G43" s="6" t="s">
        <v>832</v>
      </c>
      <c r="H43" s="6" t="s">
        <v>834</v>
      </c>
      <c r="I43" s="6" t="s">
        <v>833</v>
      </c>
      <c r="J43" s="6" t="s">
        <v>817</v>
      </c>
      <c r="K43" s="6">
        <v>0.2</v>
      </c>
      <c r="L43" s="6">
        <v>0</v>
      </c>
      <c r="M43" s="6">
        <v>7</v>
      </c>
      <c r="N43" s="6" t="s">
        <v>1617</v>
      </c>
      <c r="O43" s="6"/>
      <c r="P43" s="6" t="s">
        <v>1647</v>
      </c>
      <c r="Q43" s="6">
        <v>6</v>
      </c>
      <c r="R43" s="632" t="s">
        <v>836</v>
      </c>
      <c r="S43" s="6" t="s">
        <v>628</v>
      </c>
      <c r="T43" s="6" t="s">
        <v>25</v>
      </c>
      <c r="U43" s="6" t="s">
        <v>1523</v>
      </c>
      <c r="V43" s="6" t="s">
        <v>628</v>
      </c>
      <c r="W43" s="6" t="s">
        <v>1425</v>
      </c>
      <c r="X43" s="6" t="s">
        <v>358</v>
      </c>
      <c r="Y43" s="6"/>
      <c r="Z43" s="6"/>
      <c r="AA43" s="718" t="s">
        <v>1165</v>
      </c>
      <c r="AB43" s="718">
        <v>3</v>
      </c>
      <c r="AC43" s="6"/>
      <c r="AD43" s="6"/>
      <c r="AE43" s="6"/>
      <c r="AF43" s="6">
        <v>0</v>
      </c>
      <c r="AG43" s="6"/>
    </row>
    <row r="44" spans="2:33" ht="45" x14ac:dyDescent="0.25">
      <c r="B44" s="6" t="s">
        <v>1499</v>
      </c>
      <c r="C44" s="6">
        <v>562110</v>
      </c>
      <c r="D44" s="6" t="s">
        <v>382</v>
      </c>
      <c r="E44" s="6" t="s">
        <v>1101</v>
      </c>
      <c r="F44" s="6" t="s">
        <v>381</v>
      </c>
      <c r="G44" s="6" t="s">
        <v>832</v>
      </c>
      <c r="H44" s="6" t="s">
        <v>834</v>
      </c>
      <c r="I44" s="6" t="s">
        <v>833</v>
      </c>
      <c r="J44" s="6" t="s">
        <v>817</v>
      </c>
      <c r="K44" s="6">
        <v>0.2</v>
      </c>
      <c r="L44" s="6">
        <v>0</v>
      </c>
      <c r="M44" s="6">
        <v>8</v>
      </c>
      <c r="N44" s="6" t="s">
        <v>1618</v>
      </c>
      <c r="O44" s="6"/>
      <c r="P44" s="6" t="s">
        <v>1647</v>
      </c>
      <c r="Q44" s="6">
        <v>6</v>
      </c>
      <c r="R44" s="632" t="s">
        <v>838</v>
      </c>
      <c r="S44" s="6" t="s">
        <v>628</v>
      </c>
      <c r="T44" s="6" t="s">
        <v>98</v>
      </c>
      <c r="U44" s="6" t="s">
        <v>1524</v>
      </c>
      <c r="V44" s="6" t="s">
        <v>628</v>
      </c>
      <c r="W44" s="6" t="s">
        <v>1425</v>
      </c>
      <c r="X44" s="6" t="s">
        <v>358</v>
      </c>
      <c r="Y44" s="6"/>
      <c r="Z44" s="6"/>
      <c r="AA44" s="718" t="s">
        <v>1165</v>
      </c>
      <c r="AB44" s="718">
        <v>3</v>
      </c>
      <c r="AC44" s="6"/>
      <c r="AD44" s="6"/>
      <c r="AE44" s="6"/>
      <c r="AF44" s="6">
        <v>0</v>
      </c>
      <c r="AG44" s="6"/>
    </row>
    <row r="45" spans="2:33" ht="30" x14ac:dyDescent="0.25">
      <c r="B45" s="6" t="s">
        <v>1500</v>
      </c>
      <c r="C45" s="6">
        <v>563010</v>
      </c>
      <c r="D45" s="6" t="s">
        <v>382</v>
      </c>
      <c r="E45" s="6" t="s">
        <v>1096</v>
      </c>
      <c r="F45" s="6" t="s">
        <v>160</v>
      </c>
      <c r="G45" s="6" t="s">
        <v>822</v>
      </c>
      <c r="H45" s="6" t="s">
        <v>824</v>
      </c>
      <c r="I45" s="6" t="s">
        <v>823</v>
      </c>
      <c r="J45" s="6" t="s">
        <v>817</v>
      </c>
      <c r="K45" s="6">
        <v>1</v>
      </c>
      <c r="L45" s="6">
        <v>8</v>
      </c>
      <c r="M45" s="6">
        <v>1</v>
      </c>
      <c r="N45" s="6" t="s">
        <v>1619</v>
      </c>
      <c r="O45" s="6"/>
      <c r="P45" s="6" t="s">
        <v>1654</v>
      </c>
      <c r="Q45" s="6">
        <v>6</v>
      </c>
      <c r="R45" s="632" t="s">
        <v>839</v>
      </c>
      <c r="S45" s="6" t="s">
        <v>1506</v>
      </c>
      <c r="T45" s="6" t="s">
        <v>776</v>
      </c>
      <c r="U45" s="6" t="s">
        <v>1510</v>
      </c>
      <c r="V45" s="6" t="s">
        <v>1544</v>
      </c>
      <c r="W45" s="6" t="s">
        <v>1425</v>
      </c>
      <c r="X45" s="6" t="s">
        <v>890</v>
      </c>
      <c r="Y45" s="6">
        <v>10140</v>
      </c>
      <c r="Z45" s="6">
        <v>1</v>
      </c>
      <c r="AA45" s="718">
        <v>10140</v>
      </c>
      <c r="AB45" s="718">
        <v>3</v>
      </c>
      <c r="AC45" s="6"/>
      <c r="AD45" s="6"/>
      <c r="AE45" s="6"/>
      <c r="AF45" s="6">
        <v>0</v>
      </c>
      <c r="AG45" s="6"/>
    </row>
    <row r="46" spans="2:33" ht="30" x14ac:dyDescent="0.25">
      <c r="B46" s="6" t="s">
        <v>1500</v>
      </c>
      <c r="C46" s="6">
        <v>563010</v>
      </c>
      <c r="D46" s="6" t="s">
        <v>382</v>
      </c>
      <c r="E46" s="6" t="s">
        <v>1096</v>
      </c>
      <c r="F46" s="6" t="s">
        <v>381</v>
      </c>
      <c r="G46" s="6" t="s">
        <v>832</v>
      </c>
      <c r="H46" s="6" t="s">
        <v>834</v>
      </c>
      <c r="I46" s="6" t="s">
        <v>833</v>
      </c>
      <c r="J46" s="6" t="s">
        <v>817</v>
      </c>
      <c r="K46" s="6">
        <v>0.25</v>
      </c>
      <c r="L46" s="6">
        <v>0</v>
      </c>
      <c r="M46" s="6">
        <v>2</v>
      </c>
      <c r="N46" s="6" t="s">
        <v>1620</v>
      </c>
      <c r="O46" s="6"/>
      <c r="P46" s="6" t="s">
        <v>1654</v>
      </c>
      <c r="Q46" s="6">
        <v>6</v>
      </c>
      <c r="R46" s="632" t="s">
        <v>839</v>
      </c>
      <c r="S46" s="6" t="s">
        <v>628</v>
      </c>
      <c r="T46" s="6" t="s">
        <v>84</v>
      </c>
      <c r="U46" s="6" t="s">
        <v>1525</v>
      </c>
      <c r="V46" s="6" t="s">
        <v>628</v>
      </c>
      <c r="W46" s="6" t="s">
        <v>1425</v>
      </c>
      <c r="X46" s="6" t="s">
        <v>358</v>
      </c>
      <c r="Y46" s="6"/>
      <c r="Z46" s="6"/>
      <c r="AA46" s="718" t="s">
        <v>1165</v>
      </c>
      <c r="AB46" s="718">
        <v>3</v>
      </c>
      <c r="AC46" s="6"/>
      <c r="AD46" s="6"/>
      <c r="AE46" s="6"/>
      <c r="AF46" s="6">
        <v>0</v>
      </c>
      <c r="AG46" s="6"/>
    </row>
    <row r="47" spans="2:33" ht="45" x14ac:dyDescent="0.25">
      <c r="B47" s="6" t="s">
        <v>1500</v>
      </c>
      <c r="C47" s="6">
        <v>563010</v>
      </c>
      <c r="D47" s="6" t="s">
        <v>382</v>
      </c>
      <c r="E47" s="6" t="s">
        <v>1096</v>
      </c>
      <c r="F47" s="6" t="s">
        <v>381</v>
      </c>
      <c r="G47" s="6" t="s">
        <v>814</v>
      </c>
      <c r="H47" s="6" t="s">
        <v>816</v>
      </c>
      <c r="I47" s="6" t="s">
        <v>815</v>
      </c>
      <c r="J47" s="6" t="s">
        <v>817</v>
      </c>
      <c r="K47" s="6">
        <v>0.25</v>
      </c>
      <c r="L47" s="6">
        <v>4</v>
      </c>
      <c r="M47" s="6">
        <v>3</v>
      </c>
      <c r="N47" s="6" t="s">
        <v>1621</v>
      </c>
      <c r="O47" s="6"/>
      <c r="P47" s="6" t="s">
        <v>1655</v>
      </c>
      <c r="Q47" s="6">
        <v>6</v>
      </c>
      <c r="R47" s="632" t="s">
        <v>839</v>
      </c>
      <c r="S47" s="6" t="s">
        <v>1508</v>
      </c>
      <c r="T47" s="6" t="s">
        <v>87</v>
      </c>
      <c r="U47" s="6" t="s">
        <v>1526</v>
      </c>
      <c r="V47" s="6" t="s">
        <v>1545</v>
      </c>
      <c r="W47" s="6" t="s">
        <v>1128</v>
      </c>
      <c r="X47" s="6" t="s">
        <v>893</v>
      </c>
      <c r="Y47" s="6">
        <v>604.63</v>
      </c>
      <c r="Z47" s="6">
        <v>2</v>
      </c>
      <c r="AA47" s="718">
        <v>1210</v>
      </c>
      <c r="AB47" s="718">
        <v>3</v>
      </c>
      <c r="AC47" s="6"/>
      <c r="AD47" s="6"/>
      <c r="AE47" s="6"/>
      <c r="AF47" s="6">
        <v>0</v>
      </c>
      <c r="AG47" s="6"/>
    </row>
    <row r="48" spans="2:33" ht="30" x14ac:dyDescent="0.25">
      <c r="B48" s="6" t="s">
        <v>1500</v>
      </c>
      <c r="C48" s="6">
        <v>563010</v>
      </c>
      <c r="D48" s="6" t="s">
        <v>382</v>
      </c>
      <c r="E48" s="6" t="s">
        <v>1096</v>
      </c>
      <c r="F48" s="6" t="s">
        <v>381</v>
      </c>
      <c r="G48" s="6" t="s">
        <v>832</v>
      </c>
      <c r="H48" s="6" t="s">
        <v>834</v>
      </c>
      <c r="I48" s="6" t="s">
        <v>833</v>
      </c>
      <c r="J48" s="6" t="s">
        <v>817</v>
      </c>
      <c r="K48" s="6">
        <v>0.25</v>
      </c>
      <c r="L48" s="6">
        <v>0</v>
      </c>
      <c r="M48" s="6">
        <v>4</v>
      </c>
      <c r="N48" s="6" t="s">
        <v>1622</v>
      </c>
      <c r="O48" s="6"/>
      <c r="P48" s="6" t="s">
        <v>1654</v>
      </c>
      <c r="Q48" s="6">
        <v>6</v>
      </c>
      <c r="R48" s="632" t="s">
        <v>839</v>
      </c>
      <c r="S48" s="6" t="s">
        <v>1401</v>
      </c>
      <c r="T48" s="6" t="s">
        <v>23</v>
      </c>
      <c r="U48" s="6" t="s">
        <v>1527</v>
      </c>
      <c r="V48" s="6" t="s">
        <v>1401</v>
      </c>
      <c r="W48" s="6" t="s">
        <v>1425</v>
      </c>
      <c r="X48" s="6" t="s">
        <v>1401</v>
      </c>
      <c r="Y48" s="6">
        <v>0</v>
      </c>
      <c r="Z48" s="6"/>
      <c r="AA48" s="718" t="s">
        <v>1165</v>
      </c>
      <c r="AB48" s="718">
        <v>3</v>
      </c>
      <c r="AC48" s="6"/>
      <c r="AD48" s="6"/>
      <c r="AE48" s="6"/>
      <c r="AF48" s="6">
        <v>0</v>
      </c>
      <c r="AG48" s="6"/>
    </row>
    <row r="49" spans="2:33" ht="30" x14ac:dyDescent="0.25">
      <c r="B49" s="6" t="s">
        <v>1500</v>
      </c>
      <c r="C49" s="6">
        <v>563010</v>
      </c>
      <c r="D49" s="6" t="s">
        <v>382</v>
      </c>
      <c r="E49" s="6" t="s">
        <v>1096</v>
      </c>
      <c r="F49" s="6" t="s">
        <v>381</v>
      </c>
      <c r="G49" s="6" t="s">
        <v>832</v>
      </c>
      <c r="H49" s="6" t="s">
        <v>834</v>
      </c>
      <c r="I49" s="6" t="s">
        <v>833</v>
      </c>
      <c r="J49" s="6" t="s">
        <v>817</v>
      </c>
      <c r="K49" s="6">
        <v>0.25</v>
      </c>
      <c r="L49" s="6">
        <v>0</v>
      </c>
      <c r="M49" s="6">
        <v>5</v>
      </c>
      <c r="N49" s="6" t="s">
        <v>1623</v>
      </c>
      <c r="O49" s="6"/>
      <c r="P49" s="6" t="s">
        <v>1654</v>
      </c>
      <c r="Q49" s="6">
        <v>6</v>
      </c>
      <c r="R49" s="632" t="s">
        <v>839</v>
      </c>
      <c r="S49" s="6" t="s">
        <v>1401</v>
      </c>
      <c r="T49" s="6" t="s">
        <v>25</v>
      </c>
      <c r="U49" s="6" t="s">
        <v>1528</v>
      </c>
      <c r="V49" s="6" t="s">
        <v>1401</v>
      </c>
      <c r="W49" s="6" t="s">
        <v>1425</v>
      </c>
      <c r="X49" s="6" t="s">
        <v>1401</v>
      </c>
      <c r="Y49" s="6">
        <v>0</v>
      </c>
      <c r="Z49" s="6"/>
      <c r="AA49" s="718" t="s">
        <v>1165</v>
      </c>
      <c r="AB49" s="718">
        <v>3</v>
      </c>
      <c r="AC49" s="6"/>
      <c r="AD49" s="6"/>
      <c r="AE49" s="6"/>
      <c r="AF49" s="6">
        <v>0</v>
      </c>
      <c r="AG49" s="6"/>
    </row>
    <row r="50" spans="2:33" ht="30" x14ac:dyDescent="0.25">
      <c r="B50" s="6" t="s">
        <v>1501</v>
      </c>
      <c r="C50" s="6">
        <v>568010</v>
      </c>
      <c r="D50" s="6" t="s">
        <v>382</v>
      </c>
      <c r="E50" s="6" t="s">
        <v>1052</v>
      </c>
      <c r="F50" s="6" t="s">
        <v>160</v>
      </c>
      <c r="G50" s="6" t="s">
        <v>822</v>
      </c>
      <c r="H50" s="6" t="s">
        <v>824</v>
      </c>
      <c r="I50" s="6" t="s">
        <v>823</v>
      </c>
      <c r="J50" s="6" t="s">
        <v>817</v>
      </c>
      <c r="K50" s="6">
        <v>1</v>
      </c>
      <c r="L50" s="6">
        <v>8</v>
      </c>
      <c r="M50" s="6">
        <v>1</v>
      </c>
      <c r="N50" s="6" t="s">
        <v>1624</v>
      </c>
      <c r="O50" s="6"/>
      <c r="P50" s="6" t="s">
        <v>1647</v>
      </c>
      <c r="Q50" s="6" t="s">
        <v>1458</v>
      </c>
      <c r="R50" s="632" t="s">
        <v>838</v>
      </c>
      <c r="S50" s="6" t="s">
        <v>1506</v>
      </c>
      <c r="T50" s="6" t="s">
        <v>776</v>
      </c>
      <c r="U50" s="6" t="s">
        <v>1510</v>
      </c>
      <c r="V50" s="6" t="s">
        <v>1546</v>
      </c>
      <c r="W50" s="6" t="s">
        <v>1425</v>
      </c>
      <c r="X50" s="6" t="s">
        <v>890</v>
      </c>
      <c r="Y50" s="6">
        <v>700</v>
      </c>
      <c r="Z50" s="6">
        <v>15</v>
      </c>
      <c r="AA50" s="718">
        <v>10500</v>
      </c>
      <c r="AB50" s="718">
        <v>3</v>
      </c>
      <c r="AC50" s="6"/>
      <c r="AD50" s="6"/>
      <c r="AE50" s="6"/>
      <c r="AF50" s="6">
        <v>0</v>
      </c>
      <c r="AG50" s="6"/>
    </row>
    <row r="51" spans="2:33" ht="30" x14ac:dyDescent="0.25">
      <c r="B51" s="6" t="s">
        <v>1501</v>
      </c>
      <c r="C51" s="6">
        <v>568010</v>
      </c>
      <c r="D51" s="6" t="s">
        <v>382</v>
      </c>
      <c r="E51" s="6" t="s">
        <v>1052</v>
      </c>
      <c r="F51" s="6" t="s">
        <v>381</v>
      </c>
      <c r="G51" s="6" t="s">
        <v>832</v>
      </c>
      <c r="H51" s="6" t="s">
        <v>834</v>
      </c>
      <c r="I51" s="6" t="s">
        <v>833</v>
      </c>
      <c r="J51" s="6" t="s">
        <v>817</v>
      </c>
      <c r="K51" s="6">
        <v>1</v>
      </c>
      <c r="L51" s="6">
        <v>0</v>
      </c>
      <c r="M51" s="6">
        <v>2</v>
      </c>
      <c r="N51" s="6" t="s">
        <v>1625</v>
      </c>
      <c r="O51" s="6"/>
      <c r="P51" s="6" t="s">
        <v>1647</v>
      </c>
      <c r="Q51" s="6" t="s">
        <v>1458</v>
      </c>
      <c r="R51" s="632" t="s">
        <v>838</v>
      </c>
      <c r="S51" s="6" t="s">
        <v>358</v>
      </c>
      <c r="T51" s="6" t="s">
        <v>86</v>
      </c>
      <c r="U51" s="6" t="s">
        <v>1529</v>
      </c>
      <c r="V51" s="6" t="s">
        <v>1401</v>
      </c>
      <c r="W51" s="6" t="s">
        <v>1425</v>
      </c>
      <c r="X51" s="6" t="s">
        <v>358</v>
      </c>
      <c r="Y51" s="6"/>
      <c r="Z51" s="6"/>
      <c r="AA51" s="718" t="s">
        <v>1165</v>
      </c>
      <c r="AB51" s="718">
        <v>3</v>
      </c>
      <c r="AC51" s="6"/>
      <c r="AD51" s="6"/>
      <c r="AE51" s="6"/>
      <c r="AF51" s="6">
        <v>0</v>
      </c>
      <c r="AG51" s="6"/>
    </row>
    <row r="52" spans="2:33" ht="30" x14ac:dyDescent="0.25">
      <c r="B52" s="6" t="s">
        <v>1502</v>
      </c>
      <c r="C52" s="6">
        <v>569030</v>
      </c>
      <c r="D52" s="6" t="s">
        <v>382</v>
      </c>
      <c r="E52" s="6" t="s">
        <v>1076</v>
      </c>
      <c r="F52" s="6" t="s">
        <v>160</v>
      </c>
      <c r="G52" s="6" t="s">
        <v>822</v>
      </c>
      <c r="H52" s="6" t="s">
        <v>824</v>
      </c>
      <c r="I52" s="6" t="s">
        <v>823</v>
      </c>
      <c r="J52" s="6" t="s">
        <v>817</v>
      </c>
      <c r="K52" s="6">
        <v>1</v>
      </c>
      <c r="L52" s="6">
        <v>8</v>
      </c>
      <c r="M52" s="6">
        <v>1</v>
      </c>
      <c r="N52" s="6" t="s">
        <v>1626</v>
      </c>
      <c r="O52" s="6"/>
      <c r="P52" s="6" t="s">
        <v>1648</v>
      </c>
      <c r="Q52" s="6">
        <v>106</v>
      </c>
      <c r="R52" s="632" t="s">
        <v>839</v>
      </c>
      <c r="S52" s="6" t="s">
        <v>1506</v>
      </c>
      <c r="T52" s="6" t="s">
        <v>776</v>
      </c>
      <c r="U52" s="6" t="s">
        <v>1510</v>
      </c>
      <c r="V52" s="6" t="s">
        <v>1544</v>
      </c>
      <c r="W52" s="6" t="s">
        <v>1425</v>
      </c>
      <c r="X52" s="6" t="s">
        <v>890</v>
      </c>
      <c r="Y52" s="6">
        <v>25255</v>
      </c>
      <c r="Z52" s="6">
        <v>1</v>
      </c>
      <c r="AA52" s="718">
        <v>25260</v>
      </c>
      <c r="AB52" s="718">
        <v>3</v>
      </c>
      <c r="AC52" s="6"/>
      <c r="AD52" s="6"/>
      <c r="AE52" s="6"/>
      <c r="AF52" s="6">
        <v>0</v>
      </c>
      <c r="AG52" s="6"/>
    </row>
    <row r="53" spans="2:33" ht="30" x14ac:dyDescent="0.25">
      <c r="B53" s="6" t="s">
        <v>1502</v>
      </c>
      <c r="C53" s="6">
        <v>569030</v>
      </c>
      <c r="D53" s="6" t="s">
        <v>382</v>
      </c>
      <c r="E53" s="6" t="s">
        <v>1076</v>
      </c>
      <c r="F53" s="6" t="s">
        <v>381</v>
      </c>
      <c r="G53" s="6" t="s">
        <v>814</v>
      </c>
      <c r="H53" s="6" t="s">
        <v>816</v>
      </c>
      <c r="I53" s="6" t="s">
        <v>815</v>
      </c>
      <c r="J53" s="6" t="s">
        <v>817</v>
      </c>
      <c r="K53" s="6">
        <v>0.1</v>
      </c>
      <c r="L53" s="6">
        <v>4</v>
      </c>
      <c r="M53" s="6">
        <v>2</v>
      </c>
      <c r="N53" s="6" t="s">
        <v>1627</v>
      </c>
      <c r="O53" s="6"/>
      <c r="P53" s="6" t="s">
        <v>1648</v>
      </c>
      <c r="Q53" s="6">
        <v>106</v>
      </c>
      <c r="R53" s="632" t="s">
        <v>839</v>
      </c>
      <c r="S53" s="6" t="s">
        <v>1444</v>
      </c>
      <c r="T53" s="6" t="s">
        <v>84</v>
      </c>
      <c r="U53" s="6" t="s">
        <v>1530</v>
      </c>
      <c r="V53" s="6" t="s">
        <v>1547</v>
      </c>
      <c r="W53" s="6" t="s">
        <v>1132</v>
      </c>
      <c r="X53" s="6" t="s">
        <v>893</v>
      </c>
      <c r="Y53" s="6">
        <v>61</v>
      </c>
      <c r="Z53" s="6">
        <v>30</v>
      </c>
      <c r="AA53" s="718">
        <v>1830</v>
      </c>
      <c r="AB53" s="718">
        <v>3</v>
      </c>
      <c r="AC53" s="6"/>
      <c r="AD53" s="6"/>
      <c r="AE53" s="6"/>
      <c r="AF53" s="6">
        <v>0</v>
      </c>
      <c r="AG53" s="6"/>
    </row>
    <row r="54" spans="2:33" ht="30" x14ac:dyDescent="0.25">
      <c r="B54" s="6" t="s">
        <v>1502</v>
      </c>
      <c r="C54" s="6">
        <v>569030</v>
      </c>
      <c r="D54" s="6" t="s">
        <v>382</v>
      </c>
      <c r="E54" s="6" t="s">
        <v>1076</v>
      </c>
      <c r="F54" s="6" t="s">
        <v>381</v>
      </c>
      <c r="G54" s="6" t="s">
        <v>832</v>
      </c>
      <c r="H54" s="6" t="s">
        <v>834</v>
      </c>
      <c r="I54" s="6" t="s">
        <v>833</v>
      </c>
      <c r="J54" s="6" t="s">
        <v>817</v>
      </c>
      <c r="K54" s="6">
        <v>0.3</v>
      </c>
      <c r="L54" s="6">
        <v>0</v>
      </c>
      <c r="M54" s="6">
        <v>3</v>
      </c>
      <c r="N54" s="6" t="s">
        <v>1628</v>
      </c>
      <c r="O54" s="6"/>
      <c r="P54" s="6" t="s">
        <v>1656</v>
      </c>
      <c r="Q54" s="6">
        <v>106</v>
      </c>
      <c r="R54" s="632" t="s">
        <v>839</v>
      </c>
      <c r="S54" s="6" t="s">
        <v>358</v>
      </c>
      <c r="T54" s="6" t="s">
        <v>87</v>
      </c>
      <c r="U54" s="6" t="s">
        <v>1531</v>
      </c>
      <c r="V54" s="6" t="s">
        <v>1401</v>
      </c>
      <c r="W54" s="6" t="s">
        <v>1425</v>
      </c>
      <c r="X54" s="6" t="s">
        <v>358</v>
      </c>
      <c r="Y54" s="6"/>
      <c r="Z54" s="6"/>
      <c r="AA54" s="718" t="s">
        <v>1165</v>
      </c>
      <c r="AB54" s="718">
        <v>3</v>
      </c>
      <c r="AC54" s="6"/>
      <c r="AD54" s="6"/>
      <c r="AE54" s="6"/>
      <c r="AF54" s="6">
        <v>0</v>
      </c>
      <c r="AG54" s="6"/>
    </row>
    <row r="55" spans="2:33" ht="30" x14ac:dyDescent="0.25">
      <c r="B55" s="6" t="s">
        <v>1502</v>
      </c>
      <c r="C55" s="6">
        <v>569030</v>
      </c>
      <c r="D55" s="6" t="s">
        <v>382</v>
      </c>
      <c r="E55" s="6" t="s">
        <v>1076</v>
      </c>
      <c r="F55" s="6" t="s">
        <v>381</v>
      </c>
      <c r="G55" s="6" t="s">
        <v>832</v>
      </c>
      <c r="H55" s="6" t="s">
        <v>834</v>
      </c>
      <c r="I55" s="6" t="s">
        <v>833</v>
      </c>
      <c r="J55" s="6" t="s">
        <v>817</v>
      </c>
      <c r="K55" s="6">
        <v>0.6</v>
      </c>
      <c r="L55" s="6">
        <v>0</v>
      </c>
      <c r="M55" s="6">
        <v>6</v>
      </c>
      <c r="N55" s="6" t="s">
        <v>1629</v>
      </c>
      <c r="O55" s="6"/>
      <c r="P55" s="6" t="s">
        <v>1657</v>
      </c>
      <c r="Q55" s="6">
        <v>106</v>
      </c>
      <c r="R55" s="632" t="s">
        <v>839</v>
      </c>
      <c r="S55" s="6" t="s">
        <v>1401</v>
      </c>
      <c r="T55" s="6" t="s">
        <v>23</v>
      </c>
      <c r="U55" s="6" t="s">
        <v>1527</v>
      </c>
      <c r="V55" s="6" t="s">
        <v>1401</v>
      </c>
      <c r="W55" s="6" t="s">
        <v>1425</v>
      </c>
      <c r="X55" s="6" t="s">
        <v>1401</v>
      </c>
      <c r="Y55" s="6"/>
      <c r="Z55" s="6"/>
      <c r="AA55" s="718" t="s">
        <v>1165</v>
      </c>
      <c r="AB55" s="718">
        <v>3</v>
      </c>
      <c r="AC55" s="6"/>
      <c r="AD55" s="6"/>
      <c r="AE55" s="6"/>
      <c r="AF55" s="6">
        <v>0</v>
      </c>
      <c r="AG55" s="6"/>
    </row>
    <row r="56" spans="2:33" ht="60" x14ac:dyDescent="0.25">
      <c r="B56" s="6" t="s">
        <v>1503</v>
      </c>
      <c r="C56" s="6">
        <v>573020</v>
      </c>
      <c r="D56" s="6" t="s">
        <v>382</v>
      </c>
      <c r="E56" s="6" t="s">
        <v>1082</v>
      </c>
      <c r="F56" s="6" t="s">
        <v>160</v>
      </c>
      <c r="G56" s="6" t="s">
        <v>822</v>
      </c>
      <c r="H56" s="6" t="s">
        <v>824</v>
      </c>
      <c r="I56" s="6" t="s">
        <v>823</v>
      </c>
      <c r="J56" s="6" t="s">
        <v>817</v>
      </c>
      <c r="K56" s="6">
        <v>1</v>
      </c>
      <c r="L56" s="6">
        <v>8</v>
      </c>
      <c r="M56" s="6">
        <v>1</v>
      </c>
      <c r="N56" s="6" t="s">
        <v>1630</v>
      </c>
      <c r="O56" s="6"/>
      <c r="P56" s="6" t="s">
        <v>1649</v>
      </c>
      <c r="Q56" s="6">
        <v>106</v>
      </c>
      <c r="R56" s="632" t="s">
        <v>838</v>
      </c>
      <c r="S56" s="6" t="s">
        <v>1509</v>
      </c>
      <c r="T56" s="6" t="s">
        <v>776</v>
      </c>
      <c r="U56" s="6" t="s">
        <v>1510</v>
      </c>
      <c r="V56" s="6" t="s">
        <v>1548</v>
      </c>
      <c r="W56" s="6" t="s">
        <v>1425</v>
      </c>
      <c r="X56" s="6" t="s">
        <v>890</v>
      </c>
      <c r="Y56" s="6">
        <v>4176</v>
      </c>
      <c r="Z56" s="6">
        <v>1</v>
      </c>
      <c r="AA56" s="718">
        <v>4180</v>
      </c>
      <c r="AB56" s="718">
        <v>3</v>
      </c>
      <c r="AC56" s="6"/>
      <c r="AD56" s="6"/>
      <c r="AE56" s="6"/>
      <c r="AF56" s="6">
        <v>0</v>
      </c>
      <c r="AG56" s="6"/>
    </row>
    <row r="57" spans="2:33" ht="30" x14ac:dyDescent="0.25">
      <c r="B57" s="6" t="s">
        <v>1503</v>
      </c>
      <c r="C57" s="6">
        <v>573020</v>
      </c>
      <c r="D57" s="6" t="s">
        <v>382</v>
      </c>
      <c r="E57" s="6" t="s">
        <v>1082</v>
      </c>
      <c r="F57" s="6" t="s">
        <v>381</v>
      </c>
      <c r="G57" s="6" t="s">
        <v>832</v>
      </c>
      <c r="H57" s="6" t="s">
        <v>834</v>
      </c>
      <c r="I57" s="6" t="s">
        <v>833</v>
      </c>
      <c r="J57" s="6" t="s">
        <v>817</v>
      </c>
      <c r="K57" s="6">
        <v>0.2</v>
      </c>
      <c r="L57" s="6">
        <v>0</v>
      </c>
      <c r="M57" s="6">
        <v>2</v>
      </c>
      <c r="N57" s="6" t="s">
        <v>1631</v>
      </c>
      <c r="O57" s="6"/>
      <c r="P57" s="6" t="s">
        <v>1658</v>
      </c>
      <c r="Q57" s="6">
        <v>106</v>
      </c>
      <c r="R57" s="632" t="s">
        <v>838</v>
      </c>
      <c r="S57" s="6" t="s">
        <v>628</v>
      </c>
      <c r="T57" s="6" t="s">
        <v>1168</v>
      </c>
      <c r="U57" s="6" t="s">
        <v>1532</v>
      </c>
      <c r="V57" s="6" t="s">
        <v>628</v>
      </c>
      <c r="W57" s="6" t="s">
        <v>1425</v>
      </c>
      <c r="X57" s="6" t="s">
        <v>358</v>
      </c>
      <c r="Y57" s="6"/>
      <c r="Z57" s="6"/>
      <c r="AA57" s="718" t="s">
        <v>1165</v>
      </c>
      <c r="AB57" s="718">
        <v>3</v>
      </c>
      <c r="AC57" s="6"/>
      <c r="AD57" s="6"/>
      <c r="AE57" s="6"/>
      <c r="AF57" s="6">
        <v>0</v>
      </c>
      <c r="AG57" s="6"/>
    </row>
    <row r="58" spans="2:33" ht="30" x14ac:dyDescent="0.25">
      <c r="B58" s="6" t="s">
        <v>1503</v>
      </c>
      <c r="C58" s="6">
        <v>573020</v>
      </c>
      <c r="D58" s="6" t="s">
        <v>382</v>
      </c>
      <c r="E58" s="6" t="s">
        <v>1082</v>
      </c>
      <c r="F58" s="6" t="s">
        <v>381</v>
      </c>
      <c r="G58" s="6" t="s">
        <v>832</v>
      </c>
      <c r="H58" s="6" t="s">
        <v>834</v>
      </c>
      <c r="I58" s="6" t="s">
        <v>833</v>
      </c>
      <c r="J58" s="6" t="s">
        <v>817</v>
      </c>
      <c r="K58" s="6">
        <v>0.2</v>
      </c>
      <c r="L58" s="6">
        <v>0</v>
      </c>
      <c r="M58" s="6">
        <v>3</v>
      </c>
      <c r="N58" s="6" t="s">
        <v>1632</v>
      </c>
      <c r="O58" s="6"/>
      <c r="P58" s="6" t="s">
        <v>1649</v>
      </c>
      <c r="Q58" s="6">
        <v>106</v>
      </c>
      <c r="R58" s="632" t="s">
        <v>838</v>
      </c>
      <c r="S58" s="6" t="s">
        <v>1444</v>
      </c>
      <c r="T58" s="6" t="s">
        <v>1167</v>
      </c>
      <c r="U58" s="6" t="s">
        <v>1533</v>
      </c>
      <c r="V58" s="6" t="s">
        <v>628</v>
      </c>
      <c r="W58" s="6" t="s">
        <v>1425</v>
      </c>
      <c r="X58" s="6" t="s">
        <v>1550</v>
      </c>
      <c r="Y58" s="6"/>
      <c r="Z58" s="6"/>
      <c r="AA58" s="718" t="s">
        <v>1165</v>
      </c>
      <c r="AB58" s="718">
        <v>3</v>
      </c>
      <c r="AC58" s="6"/>
      <c r="AD58" s="6"/>
      <c r="AE58" s="6"/>
      <c r="AF58" s="6">
        <v>0</v>
      </c>
      <c r="AG58" s="6"/>
    </row>
    <row r="59" spans="2:33" ht="30" x14ac:dyDescent="0.25">
      <c r="B59" s="6" t="s">
        <v>1503</v>
      </c>
      <c r="C59" s="6">
        <v>573020</v>
      </c>
      <c r="D59" s="6" t="s">
        <v>382</v>
      </c>
      <c r="E59" s="6" t="s">
        <v>1082</v>
      </c>
      <c r="F59" s="6" t="s">
        <v>381</v>
      </c>
      <c r="G59" s="6" t="s">
        <v>832</v>
      </c>
      <c r="H59" s="6" t="s">
        <v>834</v>
      </c>
      <c r="I59" s="6" t="s">
        <v>833</v>
      </c>
      <c r="J59" s="6" t="s">
        <v>817</v>
      </c>
      <c r="K59" s="6">
        <v>0.2</v>
      </c>
      <c r="L59" s="6">
        <v>0</v>
      </c>
      <c r="M59" s="6">
        <v>4</v>
      </c>
      <c r="N59" s="6" t="s">
        <v>1633</v>
      </c>
      <c r="O59" s="6"/>
      <c r="P59" s="6" t="s">
        <v>1649</v>
      </c>
      <c r="Q59" s="6">
        <v>106</v>
      </c>
      <c r="R59" s="632" t="s">
        <v>838</v>
      </c>
      <c r="S59" s="6" t="s">
        <v>628</v>
      </c>
      <c r="T59" s="6" t="s">
        <v>91</v>
      </c>
      <c r="U59" s="6" t="s">
        <v>1534</v>
      </c>
      <c r="V59" s="6" t="s">
        <v>628</v>
      </c>
      <c r="W59" s="6" t="s">
        <v>1425</v>
      </c>
      <c r="X59" s="6" t="s">
        <v>358</v>
      </c>
      <c r="Y59" s="6"/>
      <c r="Z59" s="6"/>
      <c r="AA59" s="718" t="s">
        <v>1165</v>
      </c>
      <c r="AB59" s="718">
        <v>3</v>
      </c>
      <c r="AC59" s="6"/>
      <c r="AD59" s="6"/>
      <c r="AE59" s="6"/>
      <c r="AF59" s="6">
        <v>0</v>
      </c>
      <c r="AG59" s="6"/>
    </row>
    <row r="60" spans="2:33" ht="30" x14ac:dyDescent="0.25">
      <c r="B60" s="6" t="s">
        <v>1503</v>
      </c>
      <c r="C60" s="6">
        <v>573020</v>
      </c>
      <c r="D60" s="6" t="s">
        <v>382</v>
      </c>
      <c r="E60" s="6" t="s">
        <v>1082</v>
      </c>
      <c r="F60" s="6" t="s">
        <v>381</v>
      </c>
      <c r="G60" s="6" t="s">
        <v>832</v>
      </c>
      <c r="H60" s="6" t="s">
        <v>834</v>
      </c>
      <c r="I60" s="6" t="s">
        <v>833</v>
      </c>
      <c r="J60" s="6" t="s">
        <v>817</v>
      </c>
      <c r="K60" s="6">
        <v>0.2</v>
      </c>
      <c r="L60" s="6">
        <v>0</v>
      </c>
      <c r="M60" s="6">
        <v>5</v>
      </c>
      <c r="N60" s="6" t="s">
        <v>1634</v>
      </c>
      <c r="O60" s="6"/>
      <c r="P60" s="6" t="s">
        <v>1649</v>
      </c>
      <c r="Q60" s="6">
        <v>106</v>
      </c>
      <c r="R60" s="632" t="s">
        <v>838</v>
      </c>
      <c r="S60" s="6" t="s">
        <v>628</v>
      </c>
      <c r="T60" s="6" t="s">
        <v>92</v>
      </c>
      <c r="U60" s="6" t="s">
        <v>1535</v>
      </c>
      <c r="V60" s="6" t="s">
        <v>628</v>
      </c>
      <c r="W60" s="6" t="s">
        <v>1425</v>
      </c>
      <c r="X60" s="6" t="s">
        <v>358</v>
      </c>
      <c r="Y60" s="6"/>
      <c r="Z60" s="6"/>
      <c r="AA60" s="718" t="s">
        <v>1165</v>
      </c>
      <c r="AB60" s="718">
        <v>3</v>
      </c>
      <c r="AC60" s="6"/>
      <c r="AD60" s="6"/>
      <c r="AE60" s="6"/>
      <c r="AF60" s="6">
        <v>0</v>
      </c>
      <c r="AG60" s="6"/>
    </row>
    <row r="61" spans="2:33" ht="30" x14ac:dyDescent="0.25">
      <c r="B61" s="6" t="s">
        <v>1503</v>
      </c>
      <c r="C61" s="6">
        <v>573020</v>
      </c>
      <c r="D61" s="6" t="s">
        <v>382</v>
      </c>
      <c r="E61" s="6" t="s">
        <v>1082</v>
      </c>
      <c r="F61" s="6" t="s">
        <v>381</v>
      </c>
      <c r="G61" s="6" t="s">
        <v>832</v>
      </c>
      <c r="H61" s="6" t="s">
        <v>834</v>
      </c>
      <c r="I61" s="6" t="s">
        <v>833</v>
      </c>
      <c r="J61" s="6" t="s">
        <v>817</v>
      </c>
      <c r="K61" s="6">
        <v>0.2</v>
      </c>
      <c r="L61" s="6">
        <v>0</v>
      </c>
      <c r="M61" s="6">
        <v>6</v>
      </c>
      <c r="N61" s="6" t="s">
        <v>1635</v>
      </c>
      <c r="O61" s="6"/>
      <c r="P61" s="6" t="s">
        <v>1649</v>
      </c>
      <c r="Q61" s="6">
        <v>106</v>
      </c>
      <c r="R61" s="632" t="s">
        <v>838</v>
      </c>
      <c r="S61" s="6" t="s">
        <v>628</v>
      </c>
      <c r="T61" s="6" t="s">
        <v>93</v>
      </c>
      <c r="U61" s="6" t="s">
        <v>1536</v>
      </c>
      <c r="V61" s="6" t="s">
        <v>628</v>
      </c>
      <c r="W61" s="6" t="s">
        <v>1425</v>
      </c>
      <c r="X61" s="6" t="s">
        <v>358</v>
      </c>
      <c r="Y61" s="6"/>
      <c r="Z61" s="6"/>
      <c r="AA61" s="718" t="s">
        <v>1165</v>
      </c>
      <c r="AB61" s="718">
        <v>3</v>
      </c>
      <c r="AC61" s="6"/>
      <c r="AD61" s="6"/>
      <c r="AE61" s="6"/>
      <c r="AF61" s="6">
        <v>0</v>
      </c>
      <c r="AG61" s="6"/>
    </row>
    <row r="62" spans="2:33" ht="30" x14ac:dyDescent="0.25">
      <c r="B62" s="6" t="s">
        <v>1503</v>
      </c>
      <c r="C62" s="6">
        <v>573020</v>
      </c>
      <c r="D62" s="6" t="s">
        <v>382</v>
      </c>
      <c r="E62" s="6" t="s">
        <v>1082</v>
      </c>
      <c r="F62" s="6" t="s">
        <v>381</v>
      </c>
      <c r="G62" s="6" t="s">
        <v>832</v>
      </c>
      <c r="H62" s="6" t="s">
        <v>834</v>
      </c>
      <c r="I62" s="6" t="s">
        <v>833</v>
      </c>
      <c r="J62" s="6" t="s">
        <v>817</v>
      </c>
      <c r="K62" s="6">
        <v>0.1</v>
      </c>
      <c r="L62" s="6">
        <v>0</v>
      </c>
      <c r="M62" s="6">
        <v>7</v>
      </c>
      <c r="N62" s="6" t="s">
        <v>1636</v>
      </c>
      <c r="O62" s="6"/>
      <c r="P62" s="6" t="s">
        <v>1649</v>
      </c>
      <c r="Q62" s="6">
        <v>106</v>
      </c>
      <c r="R62" s="632" t="s">
        <v>838</v>
      </c>
      <c r="S62" s="6" t="s">
        <v>628</v>
      </c>
      <c r="T62" s="6" t="s">
        <v>94</v>
      </c>
      <c r="U62" s="6" t="s">
        <v>1537</v>
      </c>
      <c r="V62" s="6" t="s">
        <v>628</v>
      </c>
      <c r="W62" s="6" t="s">
        <v>1425</v>
      </c>
      <c r="X62" s="6" t="s">
        <v>358</v>
      </c>
      <c r="Y62" s="6"/>
      <c r="Z62" s="6"/>
      <c r="AA62" s="718" t="s">
        <v>1165</v>
      </c>
      <c r="AB62" s="718">
        <v>3</v>
      </c>
      <c r="AC62" s="6"/>
      <c r="AD62" s="6"/>
      <c r="AE62" s="6"/>
      <c r="AF62" s="6">
        <v>0</v>
      </c>
      <c r="AG62" s="6"/>
    </row>
    <row r="63" spans="2:33" ht="30" x14ac:dyDescent="0.25">
      <c r="B63" s="6" t="s">
        <v>1503</v>
      </c>
      <c r="C63" s="6">
        <v>573020</v>
      </c>
      <c r="D63" s="6" t="s">
        <v>382</v>
      </c>
      <c r="E63" s="6" t="s">
        <v>1082</v>
      </c>
      <c r="F63" s="6" t="s">
        <v>381</v>
      </c>
      <c r="G63" s="6" t="s">
        <v>832</v>
      </c>
      <c r="H63" s="6" t="s">
        <v>834</v>
      </c>
      <c r="I63" s="6" t="s">
        <v>833</v>
      </c>
      <c r="J63" s="6" t="s">
        <v>817</v>
      </c>
      <c r="K63" s="6">
        <v>0.1</v>
      </c>
      <c r="L63" s="6">
        <v>0</v>
      </c>
      <c r="M63" s="6">
        <v>8</v>
      </c>
      <c r="N63" s="6" t="s">
        <v>1637</v>
      </c>
      <c r="O63" s="6"/>
      <c r="P63" s="6" t="s">
        <v>1649</v>
      </c>
      <c r="Q63" s="6">
        <v>106</v>
      </c>
      <c r="R63" s="632" t="s">
        <v>838</v>
      </c>
      <c r="S63" s="6" t="s">
        <v>628</v>
      </c>
      <c r="T63" s="6" t="s">
        <v>95</v>
      </c>
      <c r="U63" s="6" t="s">
        <v>1538</v>
      </c>
      <c r="V63" s="6" t="s">
        <v>628</v>
      </c>
      <c r="W63" s="6" t="s">
        <v>1425</v>
      </c>
      <c r="X63" s="6" t="s">
        <v>358</v>
      </c>
      <c r="Y63" s="6"/>
      <c r="Z63" s="6"/>
      <c r="AA63" s="718" t="s">
        <v>1165</v>
      </c>
      <c r="AB63" s="718">
        <v>3</v>
      </c>
      <c r="AC63" s="6"/>
      <c r="AD63" s="6"/>
      <c r="AE63" s="6"/>
      <c r="AF63" s="6">
        <v>0</v>
      </c>
      <c r="AG63" s="6"/>
    </row>
    <row r="64" spans="2:33" ht="30" x14ac:dyDescent="0.25">
      <c r="B64" s="6" t="s">
        <v>1504</v>
      </c>
      <c r="C64" s="6">
        <v>579040</v>
      </c>
      <c r="D64" s="6" t="s">
        <v>382</v>
      </c>
      <c r="E64" s="6" t="s">
        <v>1080</v>
      </c>
      <c r="F64" s="6" t="s">
        <v>160</v>
      </c>
      <c r="G64" s="6" t="s">
        <v>822</v>
      </c>
      <c r="H64" s="6" t="s">
        <v>824</v>
      </c>
      <c r="I64" s="6" t="s">
        <v>823</v>
      </c>
      <c r="J64" s="6" t="s">
        <v>817</v>
      </c>
      <c r="K64" s="6">
        <v>1</v>
      </c>
      <c r="L64" s="6">
        <v>8</v>
      </c>
      <c r="M64" s="6">
        <v>1</v>
      </c>
      <c r="N64" s="6" t="s">
        <v>1638</v>
      </c>
      <c r="O64" s="6"/>
      <c r="P64" s="6" t="s">
        <v>1659</v>
      </c>
      <c r="Q64" s="6">
        <v>106</v>
      </c>
      <c r="R64" s="632" t="s">
        <v>836</v>
      </c>
      <c r="S64" s="6" t="s">
        <v>1506</v>
      </c>
      <c r="T64" s="6" t="s">
        <v>776</v>
      </c>
      <c r="U64" s="6" t="s">
        <v>1510</v>
      </c>
      <c r="V64" s="6" t="s">
        <v>1549</v>
      </c>
      <c r="W64" s="6" t="s">
        <v>1425</v>
      </c>
      <c r="X64" s="6" t="s">
        <v>890</v>
      </c>
      <c r="Y64" s="6">
        <v>10000</v>
      </c>
      <c r="Z64" s="6">
        <v>1</v>
      </c>
      <c r="AA64" s="718">
        <v>10000</v>
      </c>
      <c r="AB64" s="718">
        <v>3</v>
      </c>
      <c r="AC64" s="6"/>
      <c r="AD64" s="6"/>
      <c r="AE64" s="6"/>
      <c r="AF64" s="6">
        <v>0</v>
      </c>
      <c r="AG64" s="6"/>
    </row>
    <row r="65" spans="2:33" ht="30" x14ac:dyDescent="0.25">
      <c r="B65" s="6" t="s">
        <v>1504</v>
      </c>
      <c r="C65" s="6">
        <v>579040</v>
      </c>
      <c r="D65" s="6" t="s">
        <v>382</v>
      </c>
      <c r="E65" s="6" t="s">
        <v>1080</v>
      </c>
      <c r="F65" s="6" t="s">
        <v>381</v>
      </c>
      <c r="G65" s="6" t="s">
        <v>832</v>
      </c>
      <c r="H65" s="6" t="s">
        <v>834</v>
      </c>
      <c r="I65" s="6" t="s">
        <v>833</v>
      </c>
      <c r="J65" s="6" t="s">
        <v>817</v>
      </c>
      <c r="K65" s="6">
        <v>1</v>
      </c>
      <c r="L65" s="6">
        <v>0</v>
      </c>
      <c r="M65" s="6">
        <v>2</v>
      </c>
      <c r="N65" s="6" t="s">
        <v>1639</v>
      </c>
      <c r="O65" s="6"/>
      <c r="P65" s="6" t="s">
        <v>1659</v>
      </c>
      <c r="Q65" s="6">
        <v>106</v>
      </c>
      <c r="R65" s="632" t="s">
        <v>836</v>
      </c>
      <c r="S65" s="6" t="s">
        <v>628</v>
      </c>
      <c r="T65" s="6" t="s">
        <v>85</v>
      </c>
      <c r="U65" s="6" t="s">
        <v>1539</v>
      </c>
      <c r="V65" s="6" t="s">
        <v>628</v>
      </c>
      <c r="W65" s="6" t="s">
        <v>1425</v>
      </c>
      <c r="X65" s="6" t="s">
        <v>358</v>
      </c>
      <c r="Y65" s="6"/>
      <c r="Z65" s="6"/>
      <c r="AA65" s="718" t="s">
        <v>1165</v>
      </c>
      <c r="AB65" s="718">
        <v>3</v>
      </c>
      <c r="AC65" s="6"/>
      <c r="AD65" s="6"/>
      <c r="AE65" s="6"/>
      <c r="AF65" s="6">
        <v>0</v>
      </c>
      <c r="AG65" s="6"/>
    </row>
  </sheetData>
  <mergeCells count="2">
    <mergeCell ref="D2:G2"/>
    <mergeCell ref="T2:Z2"/>
  </mergeCells>
  <phoneticPr fontId="7" type="noConversion"/>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1D617-0D0C-40A8-A469-9FB044F09315}">
  <dimension ref="A1:AA116"/>
  <sheetViews>
    <sheetView showGridLines="0" zoomScale="90" zoomScaleNormal="90" workbookViewId="0">
      <pane xSplit="5" topLeftCell="F1" activePane="topRight" state="frozen"/>
      <selection pane="topRight" activeCell="H39" sqref="H39"/>
    </sheetView>
  </sheetViews>
  <sheetFormatPr defaultColWidth="8.85546875" defaultRowHeight="15" x14ac:dyDescent="0.25"/>
  <cols>
    <col min="1" max="1" width="13" style="169" customWidth="1"/>
    <col min="2" max="2" width="13.42578125" style="169" customWidth="1"/>
    <col min="3" max="3" width="8.5703125" style="169" bestFit="1" customWidth="1"/>
    <col min="4" max="4" width="27.42578125" style="169" customWidth="1"/>
    <col min="5" max="5" width="7.5703125" style="169" customWidth="1"/>
    <col min="6" max="6" width="8.5703125" style="169" customWidth="1"/>
    <col min="7" max="7" width="12.140625" style="169" customWidth="1"/>
    <col min="8" max="8" width="18.42578125" style="169" customWidth="1"/>
    <col min="9" max="9" width="10.5703125" style="169" customWidth="1"/>
    <col min="10" max="10" width="8.5703125" style="169" customWidth="1"/>
    <col min="11" max="11" width="9.140625" style="169" customWidth="1"/>
    <col min="12" max="12" width="11.140625" style="216" bestFit="1" customWidth="1"/>
    <col min="13" max="13" width="14.42578125" style="169" customWidth="1"/>
    <col min="14" max="14" width="7.5703125" style="216" customWidth="1"/>
    <col min="15" max="15" width="16.5703125" style="170" customWidth="1"/>
    <col min="16" max="16" width="25.5703125" style="217" customWidth="1"/>
    <col min="17" max="17" width="25.5703125" style="170" customWidth="1"/>
    <col min="18" max="18" width="18" style="170" customWidth="1"/>
    <col min="19" max="20" width="25.5703125" style="170" customWidth="1"/>
    <col min="21" max="22" width="18" style="170" customWidth="1"/>
    <col min="25" max="25" width="9.140625" style="169" customWidth="1"/>
    <col min="26" max="26" width="8.5703125" style="169" bestFit="1" customWidth="1"/>
    <col min="27" max="27" width="12.42578125" style="172" bestFit="1" customWidth="1"/>
    <col min="28" max="28" width="10.42578125" style="169" customWidth="1"/>
    <col min="29" max="29" width="8.85546875" style="169" customWidth="1"/>
    <col min="30" max="16384" width="8.85546875" style="169"/>
  </cols>
  <sheetData>
    <row r="1" spans="1:27" ht="29.45" customHeight="1" thickBot="1" x14ac:dyDescent="0.3">
      <c r="A1" s="168" t="s">
        <v>608</v>
      </c>
      <c r="L1" s="169"/>
      <c r="N1" s="169"/>
      <c r="O1" s="169"/>
      <c r="P1" s="169"/>
      <c r="W1" s="169"/>
      <c r="X1" s="169"/>
      <c r="Y1" s="172"/>
      <c r="AA1" s="169"/>
    </row>
    <row r="2" spans="1:27" ht="23.1" customHeight="1" thickBot="1" x14ac:dyDescent="0.3">
      <c r="A2" s="173" t="s">
        <v>1</v>
      </c>
      <c r="B2" s="174" t="str">
        <f>CONCATENATE(Advies!B10,".",Advies!B12)</f>
        <v>Voorbeeld.Voorbeeld</v>
      </c>
      <c r="C2" s="735" t="str">
        <f>Advies!B11</f>
        <v>Voorbeeld</v>
      </c>
      <c r="D2" s="736"/>
      <c r="E2" s="736"/>
      <c r="F2" s="737"/>
      <c r="G2" s="170"/>
      <c r="H2" s="171"/>
      <c r="L2" s="169"/>
      <c r="M2" s="175" t="s">
        <v>568</v>
      </c>
      <c r="N2" s="218">
        <f>Advies!B18</f>
        <v>636</v>
      </c>
      <c r="O2" s="175" t="s">
        <v>158</v>
      </c>
      <c r="P2" s="176">
        <f>Advies!B17</f>
        <v>1943</v>
      </c>
      <c r="Q2" s="172"/>
      <c r="R2" s="177" t="s">
        <v>569</v>
      </c>
      <c r="S2" s="336"/>
      <c r="T2" s="336"/>
      <c r="U2" s="336"/>
      <c r="V2" s="336"/>
      <c r="W2" s="336"/>
      <c r="X2" s="336"/>
      <c r="Y2" s="336"/>
      <c r="AA2" s="169"/>
    </row>
    <row r="3" spans="1:27" ht="16.350000000000001" customHeight="1" x14ac:dyDescent="0.25">
      <c r="L3" s="169"/>
      <c r="N3" s="169"/>
      <c r="O3" s="169"/>
      <c r="P3" s="169"/>
      <c r="W3" s="169"/>
      <c r="X3" s="169"/>
      <c r="Y3" s="172"/>
      <c r="AA3" s="169"/>
    </row>
    <row r="4" spans="1:27" ht="41.1" customHeight="1" x14ac:dyDescent="0.25">
      <c r="A4" s="208" t="s">
        <v>572</v>
      </c>
      <c r="B4" s="208" t="s">
        <v>573</v>
      </c>
      <c r="C4" s="209" t="s">
        <v>609</v>
      </c>
      <c r="D4" s="209" t="s">
        <v>610</v>
      </c>
      <c r="E4" s="210" t="s">
        <v>611</v>
      </c>
      <c r="F4" s="209" t="s">
        <v>612</v>
      </c>
      <c r="G4" s="209" t="s">
        <v>613</v>
      </c>
      <c r="H4" s="209" t="s">
        <v>614</v>
      </c>
      <c r="I4" s="209" t="s">
        <v>615</v>
      </c>
      <c r="J4" s="209" t="s">
        <v>591</v>
      </c>
      <c r="K4" s="211" t="s">
        <v>616</v>
      </c>
      <c r="L4" s="212" t="s">
        <v>617</v>
      </c>
      <c r="M4" s="213" t="s">
        <v>618</v>
      </c>
      <c r="N4" s="214" t="s">
        <v>619</v>
      </c>
      <c r="O4" s="209" t="s">
        <v>620</v>
      </c>
      <c r="P4" s="208" t="s">
        <v>621</v>
      </c>
      <c r="Q4" s="209" t="s">
        <v>622</v>
      </c>
      <c r="R4" s="209" t="s">
        <v>726</v>
      </c>
      <c r="S4" s="209" t="s">
        <v>623</v>
      </c>
      <c r="T4" s="209" t="s">
        <v>624</v>
      </c>
      <c r="U4" s="209" t="s">
        <v>727</v>
      </c>
      <c r="V4" s="209" t="s">
        <v>625</v>
      </c>
      <c r="W4" s="209" t="s">
        <v>626</v>
      </c>
      <c r="X4" s="209" t="s">
        <v>355</v>
      </c>
      <c r="Y4" s="215" t="s">
        <v>627</v>
      </c>
      <c r="AA4" s="169"/>
    </row>
    <row r="5" spans="1:27" ht="10.5" x14ac:dyDescent="0.25">
      <c r="A5" s="221"/>
      <c r="B5" s="244"/>
      <c r="C5" s="245"/>
      <c r="D5" s="246"/>
      <c r="E5" s="247"/>
      <c r="F5" s="245"/>
      <c r="G5" s="245"/>
      <c r="H5" s="246"/>
      <c r="I5" s="245"/>
      <c r="J5" s="248"/>
      <c r="K5" s="249"/>
      <c r="L5" s="250"/>
      <c r="M5" s="251"/>
      <c r="N5" s="252"/>
      <c r="O5" s="246"/>
      <c r="P5" s="232"/>
      <c r="Q5" s="246"/>
      <c r="R5" s="246"/>
      <c r="S5" s="246"/>
      <c r="T5" s="246"/>
      <c r="U5" s="246"/>
      <c r="V5" s="246"/>
      <c r="W5" s="253"/>
      <c r="X5" s="225"/>
      <c r="Y5" s="254"/>
      <c r="AA5" s="169"/>
    </row>
    <row r="6" spans="1:27" s="170" customFormat="1" ht="10.5" x14ac:dyDescent="0.25">
      <c r="A6" s="221"/>
      <c r="B6" s="244"/>
      <c r="C6" s="245"/>
      <c r="D6" s="246"/>
      <c r="E6" s="247"/>
      <c r="F6" s="245"/>
      <c r="G6" s="245"/>
      <c r="H6" s="246"/>
      <c r="I6" s="245"/>
      <c r="J6" s="248"/>
      <c r="K6" s="249"/>
      <c r="L6" s="250"/>
      <c r="M6" s="251"/>
      <c r="N6" s="252"/>
      <c r="O6" s="246"/>
      <c r="P6" s="232"/>
      <c r="Q6" s="246"/>
      <c r="R6" s="246"/>
      <c r="S6" s="246"/>
      <c r="T6" s="246"/>
      <c r="U6" s="246"/>
      <c r="V6" s="246"/>
      <c r="W6" s="253"/>
      <c r="X6" s="225"/>
      <c r="Y6" s="254"/>
    </row>
    <row r="7" spans="1:27" s="170" customFormat="1" ht="10.5" x14ac:dyDescent="0.25">
      <c r="A7" s="263"/>
      <c r="B7" s="273"/>
      <c r="C7" s="240"/>
      <c r="D7" s="274"/>
      <c r="E7" s="264"/>
      <c r="F7" s="275"/>
      <c r="G7" s="276"/>
      <c r="H7" s="277"/>
      <c r="I7" s="276"/>
      <c r="J7" s="278"/>
      <c r="K7" s="279"/>
      <c r="L7" s="268"/>
      <c r="M7" s="280"/>
      <c r="N7" s="270"/>
      <c r="O7" s="281"/>
      <c r="P7" s="232"/>
      <c r="Q7" s="232"/>
      <c r="R7" s="282"/>
      <c r="S7" s="232"/>
      <c r="T7" s="232"/>
      <c r="U7" s="282"/>
      <c r="V7" s="282"/>
      <c r="W7" s="253"/>
      <c r="X7" s="225"/>
      <c r="Y7" s="283"/>
    </row>
    <row r="8" spans="1:27" s="170" customFormat="1" ht="10.5" x14ac:dyDescent="0.25">
      <c r="A8" s="263"/>
      <c r="B8" s="273"/>
      <c r="C8" s="240"/>
      <c r="D8" s="274"/>
      <c r="E8" s="264"/>
      <c r="F8" s="275"/>
      <c r="G8" s="276"/>
      <c r="H8" s="277"/>
      <c r="I8" s="276"/>
      <c r="J8" s="278"/>
      <c r="K8" s="279"/>
      <c r="L8" s="268"/>
      <c r="M8" s="280"/>
      <c r="N8" s="270"/>
      <c r="O8" s="281"/>
      <c r="P8" s="232"/>
      <c r="Q8" s="232"/>
      <c r="R8" s="282"/>
      <c r="S8" s="232"/>
      <c r="T8" s="232"/>
      <c r="U8" s="282"/>
      <c r="V8" s="282"/>
      <c r="W8" s="253"/>
      <c r="X8" s="225"/>
      <c r="Y8" s="283"/>
    </row>
    <row r="9" spans="1:27" s="170" customFormat="1" ht="10.5" x14ac:dyDescent="0.25">
      <c r="A9" s="263"/>
      <c r="B9" s="273"/>
      <c r="C9" s="240"/>
      <c r="D9" s="274"/>
      <c r="E9" s="264"/>
      <c r="F9" s="275"/>
      <c r="G9" s="276"/>
      <c r="H9" s="277"/>
      <c r="I9" s="276"/>
      <c r="J9" s="278"/>
      <c r="K9" s="279"/>
      <c r="L9" s="268"/>
      <c r="M9" s="280"/>
      <c r="N9" s="270"/>
      <c r="O9" s="281"/>
      <c r="P9" s="232"/>
      <c r="Q9" s="232"/>
      <c r="R9" s="282"/>
      <c r="S9" s="232"/>
      <c r="T9" s="232"/>
      <c r="U9" s="282"/>
      <c r="V9" s="282"/>
      <c r="W9" s="253"/>
      <c r="X9" s="225"/>
      <c r="Y9" s="283"/>
    </row>
    <row r="10" spans="1:27" s="170" customFormat="1" ht="10.5" x14ac:dyDescent="0.25">
      <c r="A10" s="263"/>
      <c r="B10" s="273"/>
      <c r="C10" s="240"/>
      <c r="D10" s="274"/>
      <c r="E10" s="264"/>
      <c r="F10" s="275"/>
      <c r="G10" s="276"/>
      <c r="H10" s="277"/>
      <c r="I10" s="276"/>
      <c r="J10" s="278"/>
      <c r="K10" s="279"/>
      <c r="L10" s="268"/>
      <c r="M10" s="280"/>
      <c r="N10" s="270"/>
      <c r="O10" s="281"/>
      <c r="P10" s="232"/>
      <c r="Q10" s="232"/>
      <c r="R10" s="282"/>
      <c r="S10" s="232"/>
      <c r="T10" s="232"/>
      <c r="U10" s="282"/>
      <c r="V10" s="282"/>
      <c r="W10" s="253"/>
      <c r="X10" s="225"/>
      <c r="Y10" s="283"/>
    </row>
    <row r="11" spans="1:27" s="170" customFormat="1" ht="10.5" x14ac:dyDescent="0.25">
      <c r="A11" s="263"/>
      <c r="B11" s="273"/>
      <c r="C11" s="240"/>
      <c r="D11" s="274"/>
      <c r="E11" s="264"/>
      <c r="F11" s="275"/>
      <c r="G11" s="276"/>
      <c r="H11" s="277"/>
      <c r="I11" s="276"/>
      <c r="J11" s="278"/>
      <c r="K11" s="279"/>
      <c r="L11" s="268"/>
      <c r="M11" s="280"/>
      <c r="N11" s="270"/>
      <c r="O11" s="281"/>
      <c r="P11" s="232"/>
      <c r="Q11" s="232"/>
      <c r="R11" s="282"/>
      <c r="S11" s="232"/>
      <c r="T11" s="232"/>
      <c r="U11" s="282"/>
      <c r="V11" s="282"/>
      <c r="W11" s="253"/>
      <c r="X11" s="225"/>
      <c r="Y11" s="283"/>
    </row>
    <row r="12" spans="1:27" s="170" customFormat="1" ht="10.5" x14ac:dyDescent="0.25">
      <c r="A12" s="263"/>
      <c r="B12" s="273"/>
      <c r="C12" s="240"/>
      <c r="D12" s="274"/>
      <c r="E12" s="264"/>
      <c r="F12" s="275"/>
      <c r="G12" s="276"/>
      <c r="H12" s="277"/>
      <c r="I12" s="276"/>
      <c r="J12" s="278"/>
      <c r="K12" s="279"/>
      <c r="L12" s="268"/>
      <c r="M12" s="280"/>
      <c r="N12" s="270"/>
      <c r="O12" s="281"/>
      <c r="P12" s="232"/>
      <c r="Q12" s="232"/>
      <c r="R12" s="282"/>
      <c r="S12" s="232"/>
      <c r="T12" s="232"/>
      <c r="U12" s="282"/>
      <c r="V12" s="282"/>
      <c r="W12" s="253"/>
      <c r="X12" s="225"/>
      <c r="Y12" s="283"/>
    </row>
    <row r="13" spans="1:27" s="170" customFormat="1" ht="10.5" x14ac:dyDescent="0.25">
      <c r="A13" s="263"/>
      <c r="B13" s="273"/>
      <c r="C13" s="240"/>
      <c r="D13" s="274"/>
      <c r="E13" s="264"/>
      <c r="F13" s="275"/>
      <c r="G13" s="276"/>
      <c r="H13" s="277"/>
      <c r="I13" s="276"/>
      <c r="J13" s="278"/>
      <c r="K13" s="279"/>
      <c r="L13" s="268"/>
      <c r="M13" s="280"/>
      <c r="N13" s="270"/>
      <c r="O13" s="281"/>
      <c r="P13" s="232"/>
      <c r="Q13" s="232"/>
      <c r="R13" s="282"/>
      <c r="S13" s="232"/>
      <c r="T13" s="232"/>
      <c r="U13" s="282"/>
      <c r="V13" s="282"/>
      <c r="W13" s="253"/>
      <c r="X13" s="225"/>
      <c r="Y13" s="283"/>
    </row>
    <row r="14" spans="1:27" s="170" customFormat="1" ht="10.5" x14ac:dyDescent="0.25">
      <c r="A14" s="263"/>
      <c r="B14" s="273"/>
      <c r="C14" s="240"/>
      <c r="D14" s="274"/>
      <c r="E14" s="264"/>
      <c r="F14" s="275"/>
      <c r="G14" s="276"/>
      <c r="H14" s="277"/>
      <c r="I14" s="276"/>
      <c r="J14" s="278"/>
      <c r="K14" s="279"/>
      <c r="L14" s="268"/>
      <c r="M14" s="280"/>
      <c r="N14" s="270"/>
      <c r="O14" s="281"/>
      <c r="P14" s="232"/>
      <c r="Q14" s="232"/>
      <c r="R14" s="282"/>
      <c r="S14" s="232"/>
      <c r="T14" s="232"/>
      <c r="U14" s="282"/>
      <c r="V14" s="282"/>
      <c r="W14" s="253"/>
      <c r="X14" s="225"/>
      <c r="Y14" s="283"/>
    </row>
    <row r="15" spans="1:27" s="170" customFormat="1" ht="10.5" x14ac:dyDescent="0.25">
      <c r="A15" s="263"/>
      <c r="B15" s="273"/>
      <c r="C15" s="240"/>
      <c r="D15" s="274"/>
      <c r="E15" s="264"/>
      <c r="F15" s="275"/>
      <c r="G15" s="276"/>
      <c r="H15" s="277"/>
      <c r="I15" s="276"/>
      <c r="J15" s="278"/>
      <c r="K15" s="279"/>
      <c r="L15" s="268"/>
      <c r="M15" s="280"/>
      <c r="N15" s="270"/>
      <c r="O15" s="281"/>
      <c r="P15" s="232"/>
      <c r="Q15" s="232"/>
      <c r="R15" s="282"/>
      <c r="S15" s="232"/>
      <c r="T15" s="232"/>
      <c r="U15" s="282"/>
      <c r="V15" s="282"/>
      <c r="W15" s="253"/>
      <c r="X15" s="225"/>
      <c r="Y15" s="283"/>
    </row>
    <row r="16" spans="1:27" s="170" customFormat="1" ht="10.5" x14ac:dyDescent="0.25">
      <c r="A16" s="263"/>
      <c r="B16" s="273"/>
      <c r="C16" s="240"/>
      <c r="D16" s="274"/>
      <c r="E16" s="264"/>
      <c r="F16" s="275"/>
      <c r="G16" s="276"/>
      <c r="H16" s="277"/>
      <c r="I16" s="276"/>
      <c r="J16" s="278"/>
      <c r="K16" s="279"/>
      <c r="L16" s="268"/>
      <c r="M16" s="280"/>
      <c r="N16" s="270"/>
      <c r="O16" s="281"/>
      <c r="P16" s="232"/>
      <c r="Q16" s="232"/>
      <c r="R16" s="282"/>
      <c r="S16" s="232"/>
      <c r="T16" s="232"/>
      <c r="U16" s="282"/>
      <c r="V16" s="282"/>
      <c r="W16" s="253"/>
      <c r="X16" s="225"/>
      <c r="Y16" s="283"/>
    </row>
    <row r="17" spans="1:25" s="170" customFormat="1" ht="10.5" x14ac:dyDescent="0.25">
      <c r="A17" s="263"/>
      <c r="B17" s="273"/>
      <c r="C17" s="240"/>
      <c r="D17" s="274"/>
      <c r="E17" s="264"/>
      <c r="F17" s="275"/>
      <c r="G17" s="276"/>
      <c r="H17" s="277"/>
      <c r="I17" s="276"/>
      <c r="J17" s="278"/>
      <c r="K17" s="279"/>
      <c r="L17" s="268"/>
      <c r="M17" s="280"/>
      <c r="N17" s="270"/>
      <c r="O17" s="281"/>
      <c r="P17" s="232"/>
      <c r="Q17" s="232"/>
      <c r="R17" s="282"/>
      <c r="S17" s="232"/>
      <c r="T17" s="232"/>
      <c r="U17" s="282"/>
      <c r="V17" s="282"/>
      <c r="W17" s="253"/>
      <c r="X17" s="225"/>
      <c r="Y17" s="283"/>
    </row>
    <row r="18" spans="1:25" s="170" customFormat="1" ht="10.5" x14ac:dyDescent="0.25">
      <c r="A18" s="263"/>
      <c r="B18" s="273"/>
      <c r="C18" s="240"/>
      <c r="D18" s="274"/>
      <c r="E18" s="264"/>
      <c r="F18" s="275"/>
      <c r="G18" s="276"/>
      <c r="H18" s="277"/>
      <c r="I18" s="276"/>
      <c r="J18" s="278"/>
      <c r="K18" s="279"/>
      <c r="L18" s="268"/>
      <c r="M18" s="280"/>
      <c r="N18" s="270"/>
      <c r="O18" s="281"/>
      <c r="P18" s="232"/>
      <c r="Q18" s="232"/>
      <c r="R18" s="282"/>
      <c r="S18" s="232"/>
      <c r="T18" s="232"/>
      <c r="U18" s="282"/>
      <c r="V18" s="282"/>
      <c r="W18" s="253"/>
      <c r="X18" s="225"/>
      <c r="Y18" s="283"/>
    </row>
    <row r="19" spans="1:25" s="170" customFormat="1" ht="10.5" x14ac:dyDescent="0.25">
      <c r="A19" s="263"/>
      <c r="B19" s="273"/>
      <c r="C19" s="240"/>
      <c r="D19" s="274"/>
      <c r="E19" s="264"/>
      <c r="F19" s="275"/>
      <c r="G19" s="276"/>
      <c r="H19" s="277"/>
      <c r="I19" s="276"/>
      <c r="J19" s="278"/>
      <c r="K19" s="279"/>
      <c r="L19" s="268"/>
      <c r="M19" s="280"/>
      <c r="N19" s="270"/>
      <c r="O19" s="281"/>
      <c r="P19" s="232"/>
      <c r="Q19" s="232"/>
      <c r="R19" s="282"/>
      <c r="S19" s="232"/>
      <c r="T19" s="232"/>
      <c r="U19" s="282"/>
      <c r="V19" s="282"/>
      <c r="W19" s="253"/>
      <c r="X19" s="225"/>
      <c r="Y19" s="283"/>
    </row>
    <row r="20" spans="1:25" s="170" customFormat="1" ht="10.5" x14ac:dyDescent="0.25">
      <c r="A20" s="263"/>
      <c r="B20" s="273"/>
      <c r="C20" s="240"/>
      <c r="D20" s="274"/>
      <c r="E20" s="264"/>
      <c r="F20" s="275"/>
      <c r="G20" s="276"/>
      <c r="H20" s="277"/>
      <c r="I20" s="276"/>
      <c r="J20" s="278"/>
      <c r="K20" s="279"/>
      <c r="L20" s="268"/>
      <c r="M20" s="280"/>
      <c r="N20" s="270"/>
      <c r="O20" s="281"/>
      <c r="P20" s="232"/>
      <c r="Q20" s="232"/>
      <c r="R20" s="282"/>
      <c r="S20" s="232"/>
      <c r="T20" s="232"/>
      <c r="U20" s="282"/>
      <c r="V20" s="282"/>
      <c r="W20" s="253"/>
      <c r="X20" s="225"/>
      <c r="Y20" s="283"/>
    </row>
    <row r="21" spans="1:25" s="170" customFormat="1" ht="10.5" x14ac:dyDescent="0.25">
      <c r="A21" s="263"/>
      <c r="B21" s="273"/>
      <c r="C21" s="240"/>
      <c r="D21" s="274"/>
      <c r="E21" s="264"/>
      <c r="F21" s="275"/>
      <c r="G21" s="276"/>
      <c r="H21" s="277"/>
      <c r="I21" s="276"/>
      <c r="J21" s="278"/>
      <c r="K21" s="279"/>
      <c r="L21" s="268"/>
      <c r="M21" s="280"/>
      <c r="N21" s="270"/>
      <c r="O21" s="281"/>
      <c r="P21" s="232"/>
      <c r="Q21" s="232"/>
      <c r="R21" s="282"/>
      <c r="S21" s="232"/>
      <c r="T21" s="232"/>
      <c r="U21" s="282"/>
      <c r="V21" s="282"/>
      <c r="W21" s="253"/>
      <c r="X21" s="225"/>
      <c r="Y21" s="283"/>
    </row>
    <row r="22" spans="1:25" s="170" customFormat="1" ht="10.5" x14ac:dyDescent="0.25">
      <c r="A22" s="263"/>
      <c r="B22" s="273"/>
      <c r="C22" s="240"/>
      <c r="D22" s="274"/>
      <c r="E22" s="264"/>
      <c r="F22" s="275"/>
      <c r="G22" s="276"/>
      <c r="H22" s="277"/>
      <c r="I22" s="276"/>
      <c r="J22" s="278"/>
      <c r="K22" s="279"/>
      <c r="L22" s="268"/>
      <c r="M22" s="280"/>
      <c r="N22" s="270"/>
      <c r="O22" s="281"/>
      <c r="P22" s="232"/>
      <c r="Q22" s="232"/>
      <c r="R22" s="282"/>
      <c r="S22" s="232"/>
      <c r="T22" s="232"/>
      <c r="U22" s="282"/>
      <c r="V22" s="282"/>
      <c r="W22" s="253"/>
      <c r="X22" s="225"/>
      <c r="Y22" s="283"/>
    </row>
    <row r="23" spans="1:25" s="170" customFormat="1" ht="10.5" x14ac:dyDescent="0.25">
      <c r="A23" s="263"/>
      <c r="B23" s="273"/>
      <c r="C23" s="240"/>
      <c r="D23" s="274"/>
      <c r="E23" s="264"/>
      <c r="F23" s="275"/>
      <c r="G23" s="276"/>
      <c r="H23" s="277"/>
      <c r="I23" s="276"/>
      <c r="J23" s="278"/>
      <c r="K23" s="279"/>
      <c r="L23" s="268"/>
      <c r="M23" s="280"/>
      <c r="N23" s="270"/>
      <c r="O23" s="281"/>
      <c r="P23" s="232"/>
      <c r="Q23" s="232"/>
      <c r="R23" s="282"/>
      <c r="S23" s="232"/>
      <c r="T23" s="232"/>
      <c r="U23" s="282"/>
      <c r="V23" s="282"/>
      <c r="W23" s="253"/>
      <c r="X23" s="225"/>
      <c r="Y23" s="283"/>
    </row>
    <row r="24" spans="1:25" s="170" customFormat="1" ht="10.5" x14ac:dyDescent="0.25">
      <c r="A24" s="263"/>
      <c r="B24" s="273"/>
      <c r="C24" s="240"/>
      <c r="D24" s="274"/>
      <c r="E24" s="264"/>
      <c r="F24" s="275"/>
      <c r="G24" s="276"/>
      <c r="H24" s="277"/>
      <c r="I24" s="276"/>
      <c r="J24" s="278"/>
      <c r="K24" s="279"/>
      <c r="L24" s="268"/>
      <c r="M24" s="280"/>
      <c r="N24" s="270"/>
      <c r="O24" s="281"/>
      <c r="P24" s="232"/>
      <c r="Q24" s="232"/>
      <c r="R24" s="282"/>
      <c r="S24" s="232"/>
      <c r="T24" s="232"/>
      <c r="U24" s="282"/>
      <c r="V24" s="282"/>
      <c r="W24" s="253"/>
      <c r="X24" s="225"/>
      <c r="Y24" s="283"/>
    </row>
    <row r="25" spans="1:25" s="170" customFormat="1" ht="10.5" x14ac:dyDescent="0.25">
      <c r="A25" s="263"/>
      <c r="B25" s="273"/>
      <c r="C25" s="240"/>
      <c r="D25" s="274"/>
      <c r="E25" s="264"/>
      <c r="F25" s="275"/>
      <c r="G25" s="276"/>
      <c r="H25" s="277"/>
      <c r="I25" s="276"/>
      <c r="J25" s="278"/>
      <c r="K25" s="279"/>
      <c r="L25" s="268"/>
      <c r="M25" s="280"/>
      <c r="N25" s="270"/>
      <c r="O25" s="281"/>
      <c r="P25" s="232"/>
      <c r="Q25" s="232"/>
      <c r="R25" s="282"/>
      <c r="S25" s="232"/>
      <c r="T25" s="232"/>
      <c r="U25" s="282"/>
      <c r="V25" s="282"/>
      <c r="W25" s="253"/>
      <c r="X25" s="225"/>
      <c r="Y25" s="283"/>
    </row>
    <row r="26" spans="1:25" s="170" customFormat="1" ht="10.5" x14ac:dyDescent="0.25">
      <c r="A26" s="263"/>
      <c r="B26" s="273"/>
      <c r="C26" s="240"/>
      <c r="D26" s="274"/>
      <c r="E26" s="264"/>
      <c r="F26" s="275"/>
      <c r="G26" s="276"/>
      <c r="H26" s="277"/>
      <c r="I26" s="276"/>
      <c r="J26" s="278"/>
      <c r="K26" s="279"/>
      <c r="L26" s="268"/>
      <c r="M26" s="280"/>
      <c r="N26" s="270"/>
      <c r="O26" s="281"/>
      <c r="P26" s="232"/>
      <c r="Q26" s="232"/>
      <c r="R26" s="282"/>
      <c r="S26" s="232"/>
      <c r="T26" s="232"/>
      <c r="U26" s="282"/>
      <c r="V26" s="282"/>
      <c r="W26" s="253"/>
      <c r="X26" s="225"/>
      <c r="Y26" s="283"/>
    </row>
    <row r="27" spans="1:25" s="170" customFormat="1" ht="10.5" x14ac:dyDescent="0.25">
      <c r="A27" s="263"/>
      <c r="B27" s="273"/>
      <c r="C27" s="240"/>
      <c r="D27" s="274"/>
      <c r="E27" s="264"/>
      <c r="F27" s="275"/>
      <c r="G27" s="276"/>
      <c r="H27" s="277"/>
      <c r="I27" s="276"/>
      <c r="J27" s="278"/>
      <c r="K27" s="279"/>
      <c r="L27" s="268"/>
      <c r="M27" s="280"/>
      <c r="N27" s="270"/>
      <c r="O27" s="281"/>
      <c r="P27" s="232"/>
      <c r="Q27" s="232"/>
      <c r="R27" s="282"/>
      <c r="S27" s="232"/>
      <c r="T27" s="232"/>
      <c r="U27" s="282"/>
      <c r="V27" s="282"/>
      <c r="W27" s="253"/>
      <c r="X27" s="225"/>
      <c r="Y27" s="283"/>
    </row>
    <row r="28" spans="1:25" s="170" customFormat="1" ht="10.5" x14ac:dyDescent="0.25">
      <c r="A28" s="263"/>
      <c r="B28" s="273"/>
      <c r="C28" s="240"/>
      <c r="D28" s="274"/>
      <c r="E28" s="264"/>
      <c r="F28" s="275"/>
      <c r="G28" s="276"/>
      <c r="H28" s="277"/>
      <c r="I28" s="276"/>
      <c r="J28" s="278"/>
      <c r="K28" s="279"/>
      <c r="L28" s="268"/>
      <c r="M28" s="280"/>
      <c r="N28" s="270"/>
      <c r="O28" s="281"/>
      <c r="P28" s="232"/>
      <c r="Q28" s="232"/>
      <c r="R28" s="282"/>
      <c r="S28" s="232"/>
      <c r="T28" s="232"/>
      <c r="U28" s="282"/>
      <c r="V28" s="282"/>
      <c r="W28" s="253"/>
      <c r="X28" s="225"/>
      <c r="Y28" s="283"/>
    </row>
    <row r="29" spans="1:25" s="170" customFormat="1" ht="10.5" x14ac:dyDescent="0.25">
      <c r="A29" s="263"/>
      <c r="B29" s="273"/>
      <c r="C29" s="240"/>
      <c r="D29" s="274"/>
      <c r="E29" s="264"/>
      <c r="F29" s="275"/>
      <c r="G29" s="276"/>
      <c r="H29" s="277"/>
      <c r="I29" s="276"/>
      <c r="J29" s="278"/>
      <c r="K29" s="279"/>
      <c r="L29" s="268"/>
      <c r="M29" s="280"/>
      <c r="N29" s="270"/>
      <c r="O29" s="281"/>
      <c r="P29" s="232"/>
      <c r="Q29" s="232"/>
      <c r="R29" s="282"/>
      <c r="S29" s="232"/>
      <c r="T29" s="232"/>
      <c r="U29" s="282"/>
      <c r="V29" s="282"/>
      <c r="W29" s="253"/>
      <c r="X29" s="225"/>
      <c r="Y29" s="283"/>
    </row>
    <row r="30" spans="1:25" s="170" customFormat="1" ht="10.5" x14ac:dyDescent="0.25">
      <c r="A30" s="263"/>
      <c r="B30" s="273"/>
      <c r="C30" s="240"/>
      <c r="D30" s="274"/>
      <c r="E30" s="264"/>
      <c r="F30" s="275"/>
      <c r="G30" s="276"/>
      <c r="H30" s="277"/>
      <c r="I30" s="276"/>
      <c r="J30" s="278"/>
      <c r="K30" s="279"/>
      <c r="L30" s="268"/>
      <c r="M30" s="280"/>
      <c r="N30" s="270"/>
      <c r="O30" s="281"/>
      <c r="P30" s="232"/>
      <c r="Q30" s="232"/>
      <c r="R30" s="282"/>
      <c r="S30" s="232"/>
      <c r="T30" s="232"/>
      <c r="U30" s="282"/>
      <c r="V30" s="282"/>
      <c r="W30" s="253"/>
      <c r="X30" s="225"/>
      <c r="Y30" s="283"/>
    </row>
    <row r="31" spans="1:25" s="170" customFormat="1" ht="10.5" x14ac:dyDescent="0.25">
      <c r="A31" s="263"/>
      <c r="B31" s="273"/>
      <c r="C31" s="240"/>
      <c r="D31" s="274"/>
      <c r="E31" s="264"/>
      <c r="F31" s="275"/>
      <c r="G31" s="276"/>
      <c r="H31" s="277"/>
      <c r="I31" s="276"/>
      <c r="J31" s="278"/>
      <c r="K31" s="279"/>
      <c r="L31" s="268"/>
      <c r="M31" s="280"/>
      <c r="N31" s="270"/>
      <c r="O31" s="281"/>
      <c r="P31" s="232"/>
      <c r="Q31" s="232"/>
      <c r="R31" s="282"/>
      <c r="S31" s="232"/>
      <c r="T31" s="232"/>
      <c r="U31" s="282"/>
      <c r="V31" s="282"/>
      <c r="W31" s="253"/>
      <c r="X31" s="225"/>
      <c r="Y31" s="283"/>
    </row>
    <row r="32" spans="1:25" s="170" customFormat="1" ht="10.5" x14ac:dyDescent="0.25">
      <c r="A32" s="263"/>
      <c r="B32" s="273"/>
      <c r="C32" s="240"/>
      <c r="D32" s="274"/>
      <c r="E32" s="264"/>
      <c r="F32" s="275"/>
      <c r="G32" s="276"/>
      <c r="H32" s="277"/>
      <c r="I32" s="276"/>
      <c r="J32" s="278"/>
      <c r="K32" s="279"/>
      <c r="L32" s="268"/>
      <c r="M32" s="280"/>
      <c r="N32" s="270"/>
      <c r="O32" s="281"/>
      <c r="P32" s="232"/>
      <c r="Q32" s="232"/>
      <c r="R32" s="282"/>
      <c r="S32" s="232"/>
      <c r="T32" s="232"/>
      <c r="U32" s="282"/>
      <c r="V32" s="282"/>
      <c r="W32" s="253"/>
      <c r="X32" s="225"/>
      <c r="Y32" s="283"/>
    </row>
    <row r="33" spans="1:25" s="170" customFormat="1" ht="10.5" x14ac:dyDescent="0.25">
      <c r="A33" s="263"/>
      <c r="B33" s="273"/>
      <c r="C33" s="240"/>
      <c r="D33" s="274"/>
      <c r="E33" s="264"/>
      <c r="F33" s="275"/>
      <c r="G33" s="276"/>
      <c r="H33" s="277"/>
      <c r="I33" s="276"/>
      <c r="J33" s="278"/>
      <c r="K33" s="279"/>
      <c r="L33" s="268"/>
      <c r="M33" s="280"/>
      <c r="N33" s="270"/>
      <c r="O33" s="281"/>
      <c r="P33" s="232"/>
      <c r="Q33" s="232"/>
      <c r="R33" s="282"/>
      <c r="S33" s="232"/>
      <c r="T33" s="232"/>
      <c r="U33" s="282"/>
      <c r="V33" s="282"/>
      <c r="W33" s="253"/>
      <c r="X33" s="225"/>
      <c r="Y33" s="283"/>
    </row>
    <row r="34" spans="1:25" s="170" customFormat="1" ht="10.5" x14ac:dyDescent="0.25">
      <c r="A34" s="263"/>
      <c r="B34" s="273"/>
      <c r="C34" s="240"/>
      <c r="D34" s="274"/>
      <c r="E34" s="264"/>
      <c r="F34" s="275"/>
      <c r="G34" s="276"/>
      <c r="H34" s="277"/>
      <c r="I34" s="276"/>
      <c r="J34" s="278"/>
      <c r="K34" s="279"/>
      <c r="L34" s="268"/>
      <c r="M34" s="280"/>
      <c r="N34" s="270"/>
      <c r="O34" s="281"/>
      <c r="P34" s="232"/>
      <c r="Q34" s="232"/>
      <c r="R34" s="282"/>
      <c r="S34" s="232"/>
      <c r="T34" s="232"/>
      <c r="U34" s="282"/>
      <c r="V34" s="282"/>
      <c r="W34" s="253"/>
      <c r="X34" s="225"/>
      <c r="Y34" s="283"/>
    </row>
    <row r="35" spans="1:25" s="170" customFormat="1" ht="10.5" x14ac:dyDescent="0.25">
      <c r="A35" s="263"/>
      <c r="B35" s="273"/>
      <c r="C35" s="240"/>
      <c r="D35" s="274"/>
      <c r="E35" s="264"/>
      <c r="F35" s="275"/>
      <c r="G35" s="276"/>
      <c r="H35" s="277"/>
      <c r="I35" s="276"/>
      <c r="J35" s="278"/>
      <c r="K35" s="279"/>
      <c r="L35" s="268"/>
      <c r="M35" s="280"/>
      <c r="N35" s="270"/>
      <c r="O35" s="281"/>
      <c r="P35" s="232"/>
      <c r="Q35" s="232"/>
      <c r="R35" s="282"/>
      <c r="S35" s="232"/>
      <c r="T35" s="232"/>
      <c r="U35" s="282"/>
      <c r="V35" s="282"/>
      <c r="W35" s="253"/>
      <c r="X35" s="225"/>
      <c r="Y35" s="283"/>
    </row>
    <row r="36" spans="1:25" s="170" customFormat="1" ht="10.5" x14ac:dyDescent="0.25">
      <c r="A36" s="263"/>
      <c r="B36" s="273"/>
      <c r="C36" s="240"/>
      <c r="D36" s="274"/>
      <c r="E36" s="264"/>
      <c r="F36" s="275"/>
      <c r="G36" s="276"/>
      <c r="H36" s="277"/>
      <c r="I36" s="276"/>
      <c r="J36" s="278"/>
      <c r="K36" s="279"/>
      <c r="L36" s="268"/>
      <c r="M36" s="280"/>
      <c r="N36" s="270"/>
      <c r="O36" s="281"/>
      <c r="P36" s="232"/>
      <c r="Q36" s="232"/>
      <c r="R36" s="282"/>
      <c r="S36" s="232"/>
      <c r="T36" s="232"/>
      <c r="U36" s="282"/>
      <c r="V36" s="282"/>
      <c r="W36" s="253"/>
      <c r="X36" s="225"/>
      <c r="Y36" s="283"/>
    </row>
    <row r="37" spans="1:25" s="170" customFormat="1" ht="10.5" x14ac:dyDescent="0.25">
      <c r="A37" s="263"/>
      <c r="B37" s="273"/>
      <c r="C37" s="240"/>
      <c r="D37" s="274"/>
      <c r="E37" s="264"/>
      <c r="F37" s="275"/>
      <c r="G37" s="276"/>
      <c r="H37" s="277"/>
      <c r="I37" s="276"/>
      <c r="J37" s="278"/>
      <c r="K37" s="279"/>
      <c r="L37" s="268"/>
      <c r="M37" s="280"/>
      <c r="N37" s="270"/>
      <c r="O37" s="281"/>
      <c r="P37" s="232"/>
      <c r="Q37" s="232"/>
      <c r="R37" s="282"/>
      <c r="S37" s="232"/>
      <c r="T37" s="232"/>
      <c r="U37" s="282"/>
      <c r="V37" s="282"/>
      <c r="W37" s="253"/>
      <c r="X37" s="225"/>
      <c r="Y37" s="283"/>
    </row>
    <row r="38" spans="1:25" s="170" customFormat="1" ht="10.5" x14ac:dyDescent="0.25">
      <c r="A38" s="263"/>
      <c r="B38" s="273"/>
      <c r="C38" s="240"/>
      <c r="D38" s="274"/>
      <c r="E38" s="264"/>
      <c r="F38" s="275"/>
      <c r="G38" s="276"/>
      <c r="H38" s="277"/>
      <c r="I38" s="276"/>
      <c r="J38" s="278"/>
      <c r="K38" s="279"/>
      <c r="L38" s="268"/>
      <c r="M38" s="280"/>
      <c r="N38" s="270"/>
      <c r="O38" s="281"/>
      <c r="P38" s="232"/>
      <c r="Q38" s="232"/>
      <c r="R38" s="282"/>
      <c r="S38" s="232"/>
      <c r="T38" s="232"/>
      <c r="U38" s="282"/>
      <c r="V38" s="282"/>
      <c r="W38" s="253"/>
      <c r="X38" s="225"/>
      <c r="Y38" s="283"/>
    </row>
    <row r="39" spans="1:25" s="170" customFormat="1" ht="10.5" x14ac:dyDescent="0.25">
      <c r="A39" s="263"/>
      <c r="B39" s="273"/>
      <c r="C39" s="240"/>
      <c r="D39" s="274"/>
      <c r="E39" s="264"/>
      <c r="F39" s="275"/>
      <c r="G39" s="276"/>
      <c r="H39" s="277"/>
      <c r="I39" s="276"/>
      <c r="J39" s="278"/>
      <c r="K39" s="279"/>
      <c r="L39" s="268"/>
      <c r="M39" s="280"/>
      <c r="N39" s="270"/>
      <c r="O39" s="281"/>
      <c r="P39" s="232"/>
      <c r="Q39" s="232"/>
      <c r="R39" s="282"/>
      <c r="S39" s="232"/>
      <c r="T39" s="232"/>
      <c r="U39" s="282"/>
      <c r="V39" s="282"/>
      <c r="W39" s="253"/>
      <c r="X39" s="225"/>
      <c r="Y39" s="283"/>
    </row>
    <row r="40" spans="1:25" s="170" customFormat="1" ht="10.5" x14ac:dyDescent="0.25">
      <c r="A40" s="263"/>
      <c r="B40" s="273"/>
      <c r="C40" s="240"/>
      <c r="D40" s="274"/>
      <c r="E40" s="264"/>
      <c r="F40" s="275"/>
      <c r="G40" s="276"/>
      <c r="H40" s="277"/>
      <c r="I40" s="276"/>
      <c r="J40" s="278"/>
      <c r="K40" s="279"/>
      <c r="L40" s="268"/>
      <c r="M40" s="280"/>
      <c r="N40" s="270"/>
      <c r="O40" s="281"/>
      <c r="P40" s="232"/>
      <c r="Q40" s="232"/>
      <c r="R40" s="282"/>
      <c r="S40" s="232"/>
      <c r="T40" s="232"/>
      <c r="U40" s="282"/>
      <c r="V40" s="282"/>
      <c r="W40" s="253"/>
      <c r="X40" s="225"/>
      <c r="Y40" s="283"/>
    </row>
    <row r="41" spans="1:25" s="170" customFormat="1" ht="10.5" x14ac:dyDescent="0.25">
      <c r="A41" s="263"/>
      <c r="B41" s="273"/>
      <c r="C41" s="240"/>
      <c r="D41" s="274"/>
      <c r="E41" s="264"/>
      <c r="F41" s="275"/>
      <c r="G41" s="276"/>
      <c r="H41" s="277"/>
      <c r="I41" s="276"/>
      <c r="J41" s="278"/>
      <c r="K41" s="279"/>
      <c r="L41" s="268"/>
      <c r="M41" s="280"/>
      <c r="N41" s="270"/>
      <c r="O41" s="281"/>
      <c r="P41" s="232"/>
      <c r="Q41" s="232"/>
      <c r="R41" s="282"/>
      <c r="S41" s="232"/>
      <c r="T41" s="232"/>
      <c r="U41" s="282"/>
      <c r="V41" s="282"/>
      <c r="W41" s="253"/>
      <c r="X41" s="225"/>
      <c r="Y41" s="283"/>
    </row>
    <row r="42" spans="1:25" s="170" customFormat="1" ht="10.5" x14ac:dyDescent="0.25">
      <c r="A42" s="263"/>
      <c r="B42" s="273"/>
      <c r="C42" s="240"/>
      <c r="D42" s="274"/>
      <c r="E42" s="264"/>
      <c r="F42" s="275"/>
      <c r="G42" s="276"/>
      <c r="H42" s="277"/>
      <c r="I42" s="276"/>
      <c r="J42" s="278"/>
      <c r="K42" s="279"/>
      <c r="L42" s="268"/>
      <c r="M42" s="280"/>
      <c r="N42" s="270"/>
      <c r="O42" s="281"/>
      <c r="P42" s="232"/>
      <c r="Q42" s="232"/>
      <c r="R42" s="282"/>
      <c r="S42" s="232"/>
      <c r="T42" s="232"/>
      <c r="U42" s="282"/>
      <c r="V42" s="282"/>
      <c r="W42" s="253"/>
      <c r="X42" s="225"/>
      <c r="Y42" s="283"/>
    </row>
    <row r="43" spans="1:25" s="170" customFormat="1" ht="10.5" x14ac:dyDescent="0.25">
      <c r="A43" s="263"/>
      <c r="B43" s="273"/>
      <c r="C43" s="240"/>
      <c r="D43" s="274"/>
      <c r="E43" s="264"/>
      <c r="F43" s="275"/>
      <c r="G43" s="276"/>
      <c r="H43" s="277"/>
      <c r="I43" s="276"/>
      <c r="J43" s="278"/>
      <c r="K43" s="279"/>
      <c r="L43" s="268"/>
      <c r="M43" s="280"/>
      <c r="N43" s="270"/>
      <c r="O43" s="281"/>
      <c r="P43" s="232"/>
      <c r="Q43" s="232"/>
      <c r="R43" s="282"/>
      <c r="S43" s="232"/>
      <c r="T43" s="232"/>
      <c r="U43" s="282"/>
      <c r="V43" s="282"/>
      <c r="W43" s="253"/>
      <c r="X43" s="225"/>
      <c r="Y43" s="283"/>
    </row>
    <row r="44" spans="1:25" s="170" customFormat="1" ht="10.5" x14ac:dyDescent="0.25">
      <c r="A44" s="263"/>
      <c r="B44" s="273"/>
      <c r="C44" s="240"/>
      <c r="D44" s="274"/>
      <c r="E44" s="264"/>
      <c r="F44" s="275"/>
      <c r="G44" s="276"/>
      <c r="H44" s="277"/>
      <c r="I44" s="276"/>
      <c r="J44" s="278"/>
      <c r="K44" s="279"/>
      <c r="L44" s="268"/>
      <c r="M44" s="280"/>
      <c r="N44" s="270"/>
      <c r="O44" s="281"/>
      <c r="P44" s="232"/>
      <c r="Q44" s="232"/>
      <c r="R44" s="282"/>
      <c r="S44" s="232"/>
      <c r="T44" s="232"/>
      <c r="U44" s="282"/>
      <c r="V44" s="282"/>
      <c r="W44" s="253"/>
      <c r="X44" s="225"/>
      <c r="Y44" s="283"/>
    </row>
    <row r="45" spans="1:25" s="170" customFormat="1" ht="10.5" x14ac:dyDescent="0.25">
      <c r="A45" s="263"/>
      <c r="B45" s="273"/>
      <c r="C45" s="240"/>
      <c r="D45" s="274"/>
      <c r="E45" s="264"/>
      <c r="F45" s="275"/>
      <c r="G45" s="276"/>
      <c r="H45" s="277"/>
      <c r="I45" s="276"/>
      <c r="J45" s="278"/>
      <c r="K45" s="279"/>
      <c r="L45" s="268"/>
      <c r="M45" s="280"/>
      <c r="N45" s="270"/>
      <c r="O45" s="281"/>
      <c r="P45" s="232"/>
      <c r="Q45" s="232"/>
      <c r="R45" s="282"/>
      <c r="S45" s="232"/>
      <c r="T45" s="232"/>
      <c r="U45" s="282"/>
      <c r="V45" s="282"/>
      <c r="W45" s="253"/>
      <c r="X45" s="225"/>
      <c r="Y45" s="283"/>
    </row>
    <row r="46" spans="1:25" s="170" customFormat="1" ht="10.5" x14ac:dyDescent="0.25">
      <c r="A46" s="263"/>
      <c r="B46" s="273"/>
      <c r="C46" s="240"/>
      <c r="D46" s="274"/>
      <c r="E46" s="264"/>
      <c r="F46" s="275"/>
      <c r="G46" s="276"/>
      <c r="H46" s="277"/>
      <c r="I46" s="276"/>
      <c r="J46" s="278"/>
      <c r="K46" s="279"/>
      <c r="L46" s="268"/>
      <c r="M46" s="280"/>
      <c r="N46" s="270"/>
      <c r="O46" s="281"/>
      <c r="P46" s="232"/>
      <c r="Q46" s="232"/>
      <c r="R46" s="282"/>
      <c r="S46" s="232"/>
      <c r="T46" s="232"/>
      <c r="U46" s="282"/>
      <c r="V46" s="282"/>
      <c r="W46" s="253"/>
      <c r="X46" s="225"/>
      <c r="Y46" s="283"/>
    </row>
    <row r="47" spans="1:25" s="170" customFormat="1" ht="10.5" x14ac:dyDescent="0.25">
      <c r="A47" s="263"/>
      <c r="B47" s="273"/>
      <c r="C47" s="240"/>
      <c r="D47" s="274"/>
      <c r="E47" s="264"/>
      <c r="F47" s="275"/>
      <c r="G47" s="276"/>
      <c r="H47" s="277"/>
      <c r="I47" s="276"/>
      <c r="J47" s="278"/>
      <c r="K47" s="279"/>
      <c r="L47" s="268"/>
      <c r="M47" s="280"/>
      <c r="N47" s="270"/>
      <c r="O47" s="281"/>
      <c r="P47" s="232"/>
      <c r="Q47" s="232"/>
      <c r="R47" s="282"/>
      <c r="S47" s="232"/>
      <c r="T47" s="232"/>
      <c r="U47" s="282"/>
      <c r="V47" s="282"/>
      <c r="W47" s="253"/>
      <c r="X47" s="225"/>
      <c r="Y47" s="283"/>
    </row>
    <row r="48" spans="1:25" s="170" customFormat="1" ht="10.5" x14ac:dyDescent="0.25">
      <c r="A48" s="263"/>
      <c r="B48" s="273"/>
      <c r="C48" s="240"/>
      <c r="D48" s="274"/>
      <c r="E48" s="264"/>
      <c r="F48" s="275"/>
      <c r="G48" s="276"/>
      <c r="H48" s="277"/>
      <c r="I48" s="276"/>
      <c r="J48" s="278"/>
      <c r="K48" s="279"/>
      <c r="L48" s="268"/>
      <c r="M48" s="280"/>
      <c r="N48" s="270"/>
      <c r="O48" s="281"/>
      <c r="P48" s="232"/>
      <c r="Q48" s="232"/>
      <c r="R48" s="282"/>
      <c r="S48" s="232"/>
      <c r="T48" s="232"/>
      <c r="U48" s="282"/>
      <c r="V48" s="282"/>
      <c r="W48" s="253"/>
      <c r="X48" s="225"/>
      <c r="Y48" s="283"/>
    </row>
    <row r="49" spans="1:25" s="170" customFormat="1" ht="10.5" x14ac:dyDescent="0.25">
      <c r="A49" s="263"/>
      <c r="B49" s="273"/>
      <c r="C49" s="240"/>
      <c r="D49" s="274"/>
      <c r="E49" s="264"/>
      <c r="F49" s="275"/>
      <c r="G49" s="276"/>
      <c r="H49" s="277"/>
      <c r="I49" s="276"/>
      <c r="J49" s="278"/>
      <c r="K49" s="279"/>
      <c r="L49" s="268"/>
      <c r="M49" s="280"/>
      <c r="N49" s="270"/>
      <c r="O49" s="281"/>
      <c r="P49" s="232"/>
      <c r="Q49" s="232"/>
      <c r="R49" s="282"/>
      <c r="S49" s="232"/>
      <c r="T49" s="232"/>
      <c r="U49" s="282"/>
      <c r="V49" s="282"/>
      <c r="W49" s="253"/>
      <c r="X49" s="225"/>
      <c r="Y49" s="283"/>
    </row>
    <row r="50" spans="1:25" s="170" customFormat="1" ht="10.5" x14ac:dyDescent="0.25">
      <c r="A50" s="263"/>
      <c r="B50" s="273"/>
      <c r="C50" s="240"/>
      <c r="D50" s="274"/>
      <c r="E50" s="264"/>
      <c r="F50" s="275"/>
      <c r="G50" s="276"/>
      <c r="H50" s="277"/>
      <c r="I50" s="276"/>
      <c r="J50" s="278"/>
      <c r="K50" s="279"/>
      <c r="L50" s="268"/>
      <c r="M50" s="280"/>
      <c r="N50" s="270"/>
      <c r="O50" s="281"/>
      <c r="P50" s="232"/>
      <c r="Q50" s="232"/>
      <c r="R50" s="282"/>
      <c r="S50" s="232"/>
      <c r="T50" s="232"/>
      <c r="U50" s="282"/>
      <c r="V50" s="282"/>
      <c r="W50" s="253"/>
      <c r="X50" s="225"/>
      <c r="Y50" s="283"/>
    </row>
    <row r="51" spans="1:25" s="170" customFormat="1" ht="10.5" x14ac:dyDescent="0.25">
      <c r="A51" s="263"/>
      <c r="B51" s="273"/>
      <c r="C51" s="240"/>
      <c r="D51" s="274"/>
      <c r="E51" s="264"/>
      <c r="F51" s="275"/>
      <c r="G51" s="276"/>
      <c r="H51" s="277"/>
      <c r="I51" s="276"/>
      <c r="J51" s="278"/>
      <c r="K51" s="279"/>
      <c r="L51" s="268"/>
      <c r="M51" s="280"/>
      <c r="N51" s="270"/>
      <c r="O51" s="281"/>
      <c r="P51" s="232"/>
      <c r="Q51" s="232"/>
      <c r="R51" s="282"/>
      <c r="S51" s="232"/>
      <c r="T51" s="232"/>
      <c r="U51" s="282"/>
      <c r="V51" s="282"/>
      <c r="W51" s="253"/>
      <c r="X51" s="225"/>
      <c r="Y51" s="283"/>
    </row>
    <row r="52" spans="1:25" s="170" customFormat="1" ht="10.5" x14ac:dyDescent="0.25">
      <c r="A52" s="263"/>
      <c r="B52" s="273"/>
      <c r="C52" s="240"/>
      <c r="D52" s="274"/>
      <c r="E52" s="264"/>
      <c r="F52" s="275"/>
      <c r="G52" s="276"/>
      <c r="H52" s="277"/>
      <c r="I52" s="276"/>
      <c r="J52" s="278"/>
      <c r="K52" s="279"/>
      <c r="L52" s="268"/>
      <c r="M52" s="280"/>
      <c r="N52" s="270"/>
      <c r="O52" s="281"/>
      <c r="P52" s="232"/>
      <c r="Q52" s="232"/>
      <c r="R52" s="282"/>
      <c r="S52" s="232"/>
      <c r="T52" s="232"/>
      <c r="U52" s="282"/>
      <c r="V52" s="282"/>
      <c r="W52" s="253"/>
      <c r="X52" s="225"/>
      <c r="Y52" s="283"/>
    </row>
    <row r="53" spans="1:25" s="170" customFormat="1" ht="10.5" x14ac:dyDescent="0.25">
      <c r="A53" s="263"/>
      <c r="B53" s="273"/>
      <c r="C53" s="240"/>
      <c r="D53" s="274"/>
      <c r="E53" s="264"/>
      <c r="F53" s="275"/>
      <c r="G53" s="276"/>
      <c r="H53" s="277"/>
      <c r="I53" s="276"/>
      <c r="J53" s="278"/>
      <c r="K53" s="279"/>
      <c r="L53" s="268"/>
      <c r="M53" s="280"/>
      <c r="N53" s="270"/>
      <c r="O53" s="281"/>
      <c r="P53" s="232"/>
      <c r="Q53" s="232"/>
      <c r="R53" s="282"/>
      <c r="S53" s="232"/>
      <c r="T53" s="232"/>
      <c r="U53" s="282"/>
      <c r="V53" s="282"/>
      <c r="W53" s="253"/>
      <c r="X53" s="225"/>
      <c r="Y53" s="283"/>
    </row>
    <row r="54" spans="1:25" s="170" customFormat="1" ht="10.5" x14ac:dyDescent="0.25">
      <c r="A54" s="263"/>
      <c r="B54" s="273"/>
      <c r="C54" s="240"/>
      <c r="D54" s="274"/>
      <c r="E54" s="264"/>
      <c r="F54" s="275"/>
      <c r="G54" s="276"/>
      <c r="H54" s="277"/>
      <c r="I54" s="276"/>
      <c r="J54" s="278"/>
      <c r="K54" s="279"/>
      <c r="L54" s="268"/>
      <c r="M54" s="280"/>
      <c r="N54" s="270"/>
      <c r="O54" s="281"/>
      <c r="P54" s="232"/>
      <c r="Q54" s="232"/>
      <c r="R54" s="282"/>
      <c r="S54" s="232"/>
      <c r="T54" s="232"/>
      <c r="U54" s="282"/>
      <c r="V54" s="282"/>
      <c r="W54" s="253"/>
      <c r="X54" s="225"/>
      <c r="Y54" s="283"/>
    </row>
    <row r="55" spans="1:25" s="170" customFormat="1" ht="10.5" x14ac:dyDescent="0.25">
      <c r="A55" s="263"/>
      <c r="B55" s="273"/>
      <c r="C55" s="240"/>
      <c r="D55" s="274"/>
      <c r="E55" s="264"/>
      <c r="F55" s="275"/>
      <c r="G55" s="276"/>
      <c r="H55" s="277"/>
      <c r="I55" s="276"/>
      <c r="J55" s="278"/>
      <c r="K55" s="279"/>
      <c r="L55" s="268"/>
      <c r="M55" s="280"/>
      <c r="N55" s="270"/>
      <c r="O55" s="281"/>
      <c r="P55" s="232"/>
      <c r="Q55" s="232"/>
      <c r="R55" s="282"/>
      <c r="S55" s="232"/>
      <c r="T55" s="232"/>
      <c r="U55" s="282"/>
      <c r="V55" s="282"/>
      <c r="W55" s="253"/>
      <c r="X55" s="225"/>
      <c r="Y55" s="283"/>
    </row>
    <row r="56" spans="1:25" s="170" customFormat="1" ht="10.5" x14ac:dyDescent="0.25">
      <c r="A56" s="263"/>
      <c r="B56" s="273"/>
      <c r="C56" s="240"/>
      <c r="D56" s="274"/>
      <c r="E56" s="264"/>
      <c r="F56" s="275"/>
      <c r="G56" s="276"/>
      <c r="H56" s="277"/>
      <c r="I56" s="276"/>
      <c r="J56" s="278"/>
      <c r="K56" s="279"/>
      <c r="L56" s="268"/>
      <c r="M56" s="280"/>
      <c r="N56" s="270"/>
      <c r="O56" s="281"/>
      <c r="P56" s="232"/>
      <c r="Q56" s="232"/>
      <c r="R56" s="282"/>
      <c r="S56" s="232"/>
      <c r="T56" s="232"/>
      <c r="U56" s="282"/>
      <c r="V56" s="282"/>
      <c r="W56" s="253"/>
      <c r="X56" s="225"/>
      <c r="Y56" s="283"/>
    </row>
    <row r="57" spans="1:25" s="170" customFormat="1" ht="10.5" x14ac:dyDescent="0.25">
      <c r="A57" s="263"/>
      <c r="B57" s="273"/>
      <c r="C57" s="240"/>
      <c r="D57" s="274"/>
      <c r="E57" s="264"/>
      <c r="F57" s="275"/>
      <c r="G57" s="276"/>
      <c r="H57" s="277"/>
      <c r="I57" s="276"/>
      <c r="J57" s="278"/>
      <c r="K57" s="279"/>
      <c r="L57" s="268"/>
      <c r="M57" s="280"/>
      <c r="N57" s="270"/>
      <c r="O57" s="281"/>
      <c r="P57" s="232"/>
      <c r="Q57" s="232"/>
      <c r="R57" s="282"/>
      <c r="S57" s="232"/>
      <c r="T57" s="232"/>
      <c r="U57" s="282"/>
      <c r="V57" s="282"/>
      <c r="W57" s="253"/>
      <c r="X57" s="225"/>
      <c r="Y57" s="283"/>
    </row>
    <row r="58" spans="1:25" s="170" customFormat="1" ht="10.5" x14ac:dyDescent="0.25">
      <c r="A58" s="263"/>
      <c r="B58" s="273"/>
      <c r="C58" s="240"/>
      <c r="D58" s="274"/>
      <c r="E58" s="264"/>
      <c r="F58" s="275"/>
      <c r="G58" s="276"/>
      <c r="H58" s="277"/>
      <c r="I58" s="276"/>
      <c r="J58" s="278"/>
      <c r="K58" s="279"/>
      <c r="L58" s="268"/>
      <c r="M58" s="280"/>
      <c r="N58" s="270"/>
      <c r="O58" s="281"/>
      <c r="P58" s="232"/>
      <c r="Q58" s="232"/>
      <c r="R58" s="282"/>
      <c r="S58" s="232"/>
      <c r="T58" s="232"/>
      <c r="U58" s="282"/>
      <c r="V58" s="282"/>
      <c r="W58" s="253"/>
      <c r="X58" s="225"/>
      <c r="Y58" s="283"/>
    </row>
    <row r="59" spans="1:25" s="170" customFormat="1" ht="10.5" x14ac:dyDescent="0.25">
      <c r="A59" s="263"/>
      <c r="B59" s="273"/>
      <c r="C59" s="240"/>
      <c r="D59" s="274"/>
      <c r="E59" s="264"/>
      <c r="F59" s="275"/>
      <c r="G59" s="276"/>
      <c r="H59" s="277"/>
      <c r="I59" s="276"/>
      <c r="J59" s="278"/>
      <c r="K59" s="279"/>
      <c r="L59" s="268"/>
      <c r="M59" s="280"/>
      <c r="N59" s="270"/>
      <c r="O59" s="281"/>
      <c r="P59" s="232"/>
      <c r="Q59" s="232"/>
      <c r="R59" s="282"/>
      <c r="S59" s="232"/>
      <c r="T59" s="232"/>
      <c r="U59" s="282"/>
      <c r="V59" s="282"/>
      <c r="W59" s="253"/>
      <c r="X59" s="225"/>
      <c r="Y59" s="283"/>
    </row>
    <row r="60" spans="1:25" s="170" customFormat="1" ht="10.5" x14ac:dyDescent="0.25">
      <c r="A60" s="263"/>
      <c r="B60" s="273"/>
      <c r="C60" s="240"/>
      <c r="D60" s="274"/>
      <c r="E60" s="264"/>
      <c r="F60" s="275"/>
      <c r="G60" s="276"/>
      <c r="H60" s="277"/>
      <c r="I60" s="276"/>
      <c r="J60" s="278"/>
      <c r="K60" s="279"/>
      <c r="L60" s="268"/>
      <c r="M60" s="280"/>
      <c r="N60" s="270"/>
      <c r="O60" s="281"/>
      <c r="P60" s="232"/>
      <c r="Q60" s="232"/>
      <c r="R60" s="282"/>
      <c r="S60" s="232"/>
      <c r="T60" s="232"/>
      <c r="U60" s="282"/>
      <c r="V60" s="282"/>
      <c r="W60" s="253"/>
      <c r="X60" s="225"/>
      <c r="Y60" s="283"/>
    </row>
    <row r="61" spans="1:25" s="170" customFormat="1" ht="10.5" x14ac:dyDescent="0.25">
      <c r="A61" s="263"/>
      <c r="B61" s="273"/>
      <c r="C61" s="240"/>
      <c r="D61" s="274"/>
      <c r="E61" s="264"/>
      <c r="F61" s="275"/>
      <c r="G61" s="276"/>
      <c r="H61" s="277"/>
      <c r="I61" s="276"/>
      <c r="J61" s="278"/>
      <c r="K61" s="279"/>
      <c r="L61" s="268"/>
      <c r="M61" s="280"/>
      <c r="N61" s="270"/>
      <c r="O61" s="281"/>
      <c r="P61" s="232"/>
      <c r="Q61" s="232"/>
      <c r="R61" s="282"/>
      <c r="S61" s="232"/>
      <c r="T61" s="232"/>
      <c r="U61" s="282"/>
      <c r="V61" s="282"/>
      <c r="W61" s="253"/>
      <c r="X61" s="225"/>
      <c r="Y61" s="283"/>
    </row>
    <row r="62" spans="1:25" s="170" customFormat="1" ht="10.5" x14ac:dyDescent="0.25">
      <c r="A62" s="263"/>
      <c r="B62" s="273"/>
      <c r="C62" s="240"/>
      <c r="D62" s="274"/>
      <c r="E62" s="264"/>
      <c r="F62" s="275"/>
      <c r="G62" s="276"/>
      <c r="H62" s="277"/>
      <c r="I62" s="276"/>
      <c r="J62" s="278"/>
      <c r="K62" s="279"/>
      <c r="L62" s="268"/>
      <c r="M62" s="280"/>
      <c r="N62" s="270"/>
      <c r="O62" s="281"/>
      <c r="P62" s="232"/>
      <c r="Q62" s="232"/>
      <c r="R62" s="282"/>
      <c r="S62" s="232"/>
      <c r="T62" s="232"/>
      <c r="U62" s="282"/>
      <c r="V62" s="282"/>
      <c r="W62" s="253"/>
      <c r="X62" s="225"/>
      <c r="Y62" s="283"/>
    </row>
    <row r="63" spans="1:25" s="170" customFormat="1" ht="10.5" x14ac:dyDescent="0.25">
      <c r="A63" s="263"/>
      <c r="B63" s="273"/>
      <c r="C63" s="240"/>
      <c r="D63" s="274"/>
      <c r="E63" s="264"/>
      <c r="F63" s="275"/>
      <c r="G63" s="276"/>
      <c r="H63" s="277"/>
      <c r="I63" s="276"/>
      <c r="J63" s="278"/>
      <c r="K63" s="279"/>
      <c r="L63" s="268"/>
      <c r="M63" s="280"/>
      <c r="N63" s="270"/>
      <c r="O63" s="281"/>
      <c r="P63" s="232"/>
      <c r="Q63" s="232"/>
      <c r="R63" s="282"/>
      <c r="S63" s="232"/>
      <c r="T63" s="232"/>
      <c r="U63" s="282"/>
      <c r="V63" s="282"/>
      <c r="W63" s="253"/>
      <c r="X63" s="225"/>
      <c r="Y63" s="283"/>
    </row>
    <row r="64" spans="1:25" s="170" customFormat="1" ht="10.5" x14ac:dyDescent="0.25">
      <c r="A64" s="263"/>
      <c r="B64" s="273"/>
      <c r="C64" s="240"/>
      <c r="D64" s="274"/>
      <c r="E64" s="264"/>
      <c r="F64" s="275"/>
      <c r="G64" s="276"/>
      <c r="H64" s="277"/>
      <c r="I64" s="276"/>
      <c r="J64" s="278"/>
      <c r="K64" s="279"/>
      <c r="L64" s="268"/>
      <c r="M64" s="280"/>
      <c r="N64" s="270"/>
      <c r="O64" s="281"/>
      <c r="P64" s="232"/>
      <c r="Q64" s="232"/>
      <c r="R64" s="282"/>
      <c r="S64" s="232"/>
      <c r="T64" s="232"/>
      <c r="U64" s="282"/>
      <c r="V64" s="282"/>
      <c r="W64" s="253"/>
      <c r="X64" s="225"/>
      <c r="Y64" s="283"/>
    </row>
    <row r="65" spans="1:25" s="170" customFormat="1" ht="10.5" x14ac:dyDescent="0.25">
      <c r="A65" s="263"/>
      <c r="B65" s="273"/>
      <c r="C65" s="240"/>
      <c r="D65" s="274"/>
      <c r="E65" s="264"/>
      <c r="F65" s="275"/>
      <c r="G65" s="276"/>
      <c r="H65" s="277"/>
      <c r="I65" s="276"/>
      <c r="J65" s="278"/>
      <c r="K65" s="279"/>
      <c r="L65" s="268"/>
      <c r="M65" s="280"/>
      <c r="N65" s="270"/>
      <c r="O65" s="281"/>
      <c r="P65" s="232"/>
      <c r="Q65" s="232"/>
      <c r="R65" s="282"/>
      <c r="S65" s="232"/>
      <c r="T65" s="232"/>
      <c r="U65" s="282"/>
      <c r="V65" s="282"/>
      <c r="W65" s="253"/>
      <c r="X65" s="225"/>
      <c r="Y65" s="283"/>
    </row>
    <row r="66" spans="1:25" s="170" customFormat="1" ht="10.5" x14ac:dyDescent="0.25">
      <c r="A66" s="263"/>
      <c r="B66" s="273"/>
      <c r="C66" s="240"/>
      <c r="D66" s="274"/>
      <c r="E66" s="264"/>
      <c r="F66" s="275"/>
      <c r="G66" s="276"/>
      <c r="H66" s="277"/>
      <c r="I66" s="276"/>
      <c r="J66" s="278"/>
      <c r="K66" s="279"/>
      <c r="L66" s="268"/>
      <c r="M66" s="280"/>
      <c r="N66" s="270"/>
      <c r="O66" s="281"/>
      <c r="P66" s="232"/>
      <c r="Q66" s="232"/>
      <c r="R66" s="282"/>
      <c r="S66" s="232"/>
      <c r="T66" s="232"/>
      <c r="U66" s="282"/>
      <c r="V66" s="282"/>
      <c r="W66" s="253"/>
      <c r="X66" s="225"/>
      <c r="Y66" s="283"/>
    </row>
    <row r="67" spans="1:25" s="170" customFormat="1" ht="10.5" x14ac:dyDescent="0.25">
      <c r="A67" s="263"/>
      <c r="B67" s="273"/>
      <c r="C67" s="240"/>
      <c r="D67" s="274"/>
      <c r="E67" s="264"/>
      <c r="F67" s="275"/>
      <c r="G67" s="276"/>
      <c r="H67" s="277"/>
      <c r="I67" s="276"/>
      <c r="J67" s="278"/>
      <c r="K67" s="279"/>
      <c r="L67" s="268"/>
      <c r="M67" s="280"/>
      <c r="N67" s="270"/>
      <c r="O67" s="281"/>
      <c r="P67" s="232"/>
      <c r="Q67" s="232"/>
      <c r="R67" s="282"/>
      <c r="S67" s="232"/>
      <c r="T67" s="232"/>
      <c r="U67" s="282"/>
      <c r="V67" s="282"/>
      <c r="W67" s="253"/>
      <c r="X67" s="225"/>
      <c r="Y67" s="283"/>
    </row>
    <row r="68" spans="1:25" s="170" customFormat="1" ht="10.5" x14ac:dyDescent="0.25">
      <c r="A68" s="263"/>
      <c r="B68" s="273"/>
      <c r="C68" s="240"/>
      <c r="D68" s="274"/>
      <c r="E68" s="264"/>
      <c r="F68" s="275"/>
      <c r="G68" s="276"/>
      <c r="H68" s="277"/>
      <c r="I68" s="276"/>
      <c r="J68" s="278"/>
      <c r="K68" s="279"/>
      <c r="L68" s="268"/>
      <c r="M68" s="280"/>
      <c r="N68" s="270"/>
      <c r="O68" s="281"/>
      <c r="P68" s="232"/>
      <c r="Q68" s="232"/>
      <c r="R68" s="282"/>
      <c r="S68" s="232"/>
      <c r="T68" s="232"/>
      <c r="U68" s="282"/>
      <c r="V68" s="282"/>
      <c r="W68" s="253"/>
      <c r="X68" s="225"/>
      <c r="Y68" s="283"/>
    </row>
    <row r="69" spans="1:25" s="170" customFormat="1" ht="10.5" x14ac:dyDescent="0.25">
      <c r="A69" s="263"/>
      <c r="B69" s="273"/>
      <c r="C69" s="240"/>
      <c r="D69" s="274"/>
      <c r="E69" s="264"/>
      <c r="F69" s="275"/>
      <c r="G69" s="276"/>
      <c r="H69" s="277"/>
      <c r="I69" s="276"/>
      <c r="J69" s="278"/>
      <c r="K69" s="279"/>
      <c r="L69" s="268"/>
      <c r="M69" s="280"/>
      <c r="N69" s="270"/>
      <c r="O69" s="281"/>
      <c r="P69" s="232"/>
      <c r="Q69" s="232"/>
      <c r="R69" s="282"/>
      <c r="S69" s="232"/>
      <c r="T69" s="232"/>
      <c r="U69" s="282"/>
      <c r="V69" s="282"/>
      <c r="W69" s="253"/>
      <c r="X69" s="225"/>
      <c r="Y69" s="283"/>
    </row>
    <row r="70" spans="1:25" s="170" customFormat="1" ht="10.5" x14ac:dyDescent="0.25">
      <c r="A70" s="263"/>
      <c r="B70" s="273"/>
      <c r="C70" s="240"/>
      <c r="D70" s="274"/>
      <c r="E70" s="264"/>
      <c r="F70" s="275"/>
      <c r="G70" s="276"/>
      <c r="H70" s="277"/>
      <c r="I70" s="276"/>
      <c r="J70" s="278"/>
      <c r="K70" s="279"/>
      <c r="L70" s="268"/>
      <c r="M70" s="280"/>
      <c r="N70" s="270"/>
      <c r="O70" s="281"/>
      <c r="P70" s="232"/>
      <c r="Q70" s="232"/>
      <c r="R70" s="282"/>
      <c r="S70" s="232"/>
      <c r="T70" s="232"/>
      <c r="U70" s="282"/>
      <c r="V70" s="282"/>
      <c r="W70" s="253"/>
      <c r="X70" s="225"/>
      <c r="Y70" s="283"/>
    </row>
    <row r="71" spans="1:25" s="170" customFormat="1" ht="10.5" x14ac:dyDescent="0.25">
      <c r="A71" s="263"/>
      <c r="B71" s="273"/>
      <c r="C71" s="240"/>
      <c r="D71" s="274"/>
      <c r="E71" s="264"/>
      <c r="F71" s="275"/>
      <c r="G71" s="276"/>
      <c r="H71" s="277"/>
      <c r="I71" s="276"/>
      <c r="J71" s="278"/>
      <c r="K71" s="279"/>
      <c r="L71" s="268"/>
      <c r="M71" s="280"/>
      <c r="N71" s="270"/>
      <c r="O71" s="281"/>
      <c r="P71" s="232"/>
      <c r="Q71" s="232"/>
      <c r="R71" s="282"/>
      <c r="S71" s="232"/>
      <c r="T71" s="232"/>
      <c r="U71" s="282"/>
      <c r="V71" s="282"/>
      <c r="W71" s="253"/>
      <c r="X71" s="225"/>
      <c r="Y71" s="283"/>
    </row>
    <row r="72" spans="1:25" s="170" customFormat="1" ht="10.5" x14ac:dyDescent="0.25">
      <c r="A72" s="263"/>
      <c r="B72" s="273"/>
      <c r="C72" s="240"/>
      <c r="D72" s="274"/>
      <c r="E72" s="264"/>
      <c r="F72" s="275"/>
      <c r="G72" s="276"/>
      <c r="H72" s="277"/>
      <c r="I72" s="276"/>
      <c r="J72" s="278"/>
      <c r="K72" s="279"/>
      <c r="L72" s="268"/>
      <c r="M72" s="280"/>
      <c r="N72" s="270"/>
      <c r="O72" s="281"/>
      <c r="P72" s="232"/>
      <c r="Q72" s="232"/>
      <c r="R72" s="282"/>
      <c r="S72" s="232"/>
      <c r="T72" s="232"/>
      <c r="U72" s="282"/>
      <c r="V72" s="282"/>
      <c r="W72" s="253"/>
      <c r="X72" s="225"/>
      <c r="Y72" s="283"/>
    </row>
    <row r="73" spans="1:25" s="170" customFormat="1" ht="10.5" x14ac:dyDescent="0.25">
      <c r="A73" s="263"/>
      <c r="B73" s="273"/>
      <c r="C73" s="240"/>
      <c r="D73" s="274"/>
      <c r="E73" s="264"/>
      <c r="F73" s="275"/>
      <c r="G73" s="276"/>
      <c r="H73" s="277"/>
      <c r="I73" s="276"/>
      <c r="J73" s="278"/>
      <c r="K73" s="279"/>
      <c r="L73" s="268"/>
      <c r="M73" s="280"/>
      <c r="N73" s="270"/>
      <c r="O73" s="281"/>
      <c r="P73" s="232"/>
      <c r="Q73" s="232"/>
      <c r="R73" s="282"/>
      <c r="S73" s="232"/>
      <c r="T73" s="232"/>
      <c r="U73" s="282"/>
      <c r="V73" s="282"/>
      <c r="W73" s="253"/>
      <c r="X73" s="225"/>
      <c r="Y73" s="283"/>
    </row>
    <row r="74" spans="1:25" s="170" customFormat="1" ht="10.5" x14ac:dyDescent="0.25">
      <c r="A74" s="263"/>
      <c r="B74" s="273"/>
      <c r="C74" s="240"/>
      <c r="D74" s="274"/>
      <c r="E74" s="264"/>
      <c r="F74" s="275"/>
      <c r="G74" s="276"/>
      <c r="H74" s="277"/>
      <c r="I74" s="276"/>
      <c r="J74" s="278"/>
      <c r="K74" s="279"/>
      <c r="L74" s="268"/>
      <c r="M74" s="280"/>
      <c r="N74" s="270"/>
      <c r="O74" s="281"/>
      <c r="P74" s="232"/>
      <c r="Q74" s="232"/>
      <c r="R74" s="282"/>
      <c r="S74" s="232"/>
      <c r="T74" s="232"/>
      <c r="U74" s="282"/>
      <c r="V74" s="282"/>
      <c r="W74" s="253"/>
      <c r="X74" s="225"/>
      <c r="Y74" s="283"/>
    </row>
    <row r="75" spans="1:25" s="170" customFormat="1" ht="10.5" x14ac:dyDescent="0.25">
      <c r="A75" s="263"/>
      <c r="B75" s="273"/>
      <c r="C75" s="240"/>
      <c r="D75" s="274"/>
      <c r="E75" s="264"/>
      <c r="F75" s="275"/>
      <c r="G75" s="276"/>
      <c r="H75" s="277"/>
      <c r="I75" s="276"/>
      <c r="J75" s="278"/>
      <c r="K75" s="279"/>
      <c r="L75" s="268"/>
      <c r="M75" s="280"/>
      <c r="N75" s="270"/>
      <c r="O75" s="281"/>
      <c r="P75" s="232"/>
      <c r="Q75" s="232"/>
      <c r="R75" s="282"/>
      <c r="S75" s="232"/>
      <c r="T75" s="232"/>
      <c r="U75" s="282"/>
      <c r="V75" s="282"/>
      <c r="W75" s="253"/>
      <c r="X75" s="225"/>
      <c r="Y75" s="283"/>
    </row>
    <row r="76" spans="1:25" s="170" customFormat="1" ht="10.5" x14ac:dyDescent="0.25">
      <c r="A76" s="263"/>
      <c r="B76" s="273"/>
      <c r="C76" s="240"/>
      <c r="D76" s="274"/>
      <c r="E76" s="264"/>
      <c r="F76" s="275"/>
      <c r="G76" s="276"/>
      <c r="H76" s="277"/>
      <c r="I76" s="276"/>
      <c r="J76" s="278"/>
      <c r="K76" s="279"/>
      <c r="L76" s="268"/>
      <c r="M76" s="280"/>
      <c r="N76" s="270"/>
      <c r="O76" s="281"/>
      <c r="P76" s="232"/>
      <c r="Q76" s="232"/>
      <c r="R76" s="282"/>
      <c r="S76" s="232"/>
      <c r="T76" s="232"/>
      <c r="U76" s="282"/>
      <c r="V76" s="282"/>
      <c r="W76" s="253"/>
      <c r="X76" s="225"/>
      <c r="Y76" s="283"/>
    </row>
    <row r="77" spans="1:25" s="170" customFormat="1" ht="10.5" x14ac:dyDescent="0.25">
      <c r="A77" s="263"/>
      <c r="B77" s="273"/>
      <c r="C77" s="240"/>
      <c r="D77" s="274"/>
      <c r="E77" s="264"/>
      <c r="F77" s="275"/>
      <c r="G77" s="276"/>
      <c r="H77" s="277"/>
      <c r="I77" s="276"/>
      <c r="J77" s="278"/>
      <c r="K77" s="279"/>
      <c r="L77" s="268"/>
      <c r="M77" s="280"/>
      <c r="N77" s="270"/>
      <c r="O77" s="281"/>
      <c r="P77" s="232"/>
      <c r="Q77" s="232"/>
      <c r="R77" s="282"/>
      <c r="S77" s="232"/>
      <c r="T77" s="232"/>
      <c r="U77" s="282"/>
      <c r="V77" s="282"/>
      <c r="W77" s="253"/>
      <c r="X77" s="225"/>
      <c r="Y77" s="283"/>
    </row>
    <row r="78" spans="1:25" s="170" customFormat="1" ht="10.5" x14ac:dyDescent="0.25">
      <c r="A78" s="263"/>
      <c r="B78" s="273"/>
      <c r="C78" s="240"/>
      <c r="D78" s="274"/>
      <c r="E78" s="264"/>
      <c r="F78" s="275"/>
      <c r="G78" s="276"/>
      <c r="H78" s="277"/>
      <c r="I78" s="276"/>
      <c r="J78" s="278"/>
      <c r="K78" s="279"/>
      <c r="L78" s="268"/>
      <c r="M78" s="280"/>
      <c r="N78" s="270"/>
      <c r="O78" s="281"/>
      <c r="P78" s="232"/>
      <c r="Q78" s="232"/>
      <c r="R78" s="282"/>
      <c r="S78" s="232"/>
      <c r="T78" s="232"/>
      <c r="U78" s="282"/>
      <c r="V78" s="282"/>
      <c r="W78" s="253"/>
      <c r="X78" s="225"/>
      <c r="Y78" s="283"/>
    </row>
    <row r="79" spans="1:25" s="170" customFormat="1" ht="10.5" x14ac:dyDescent="0.25">
      <c r="A79" s="263"/>
      <c r="B79" s="273"/>
      <c r="C79" s="240"/>
      <c r="D79" s="274"/>
      <c r="E79" s="264"/>
      <c r="F79" s="275"/>
      <c r="G79" s="276"/>
      <c r="H79" s="277"/>
      <c r="I79" s="276"/>
      <c r="J79" s="278"/>
      <c r="K79" s="279"/>
      <c r="L79" s="268"/>
      <c r="M79" s="280"/>
      <c r="N79" s="270"/>
      <c r="O79" s="281"/>
      <c r="P79" s="232"/>
      <c r="Q79" s="232"/>
      <c r="R79" s="282"/>
      <c r="S79" s="232"/>
      <c r="T79" s="232"/>
      <c r="U79" s="282"/>
      <c r="V79" s="282"/>
      <c r="W79" s="253"/>
      <c r="X79" s="225"/>
      <c r="Y79" s="283"/>
    </row>
    <row r="80" spans="1:25" s="170" customFormat="1" ht="10.5" x14ac:dyDescent="0.25">
      <c r="A80" s="263"/>
      <c r="B80" s="273"/>
      <c r="C80" s="240"/>
      <c r="D80" s="274"/>
      <c r="E80" s="264"/>
      <c r="F80" s="275"/>
      <c r="G80" s="276"/>
      <c r="H80" s="277"/>
      <c r="I80" s="276"/>
      <c r="J80" s="278"/>
      <c r="K80" s="279"/>
      <c r="L80" s="268"/>
      <c r="M80" s="280"/>
      <c r="N80" s="270"/>
      <c r="O80" s="281"/>
      <c r="P80" s="232"/>
      <c r="Q80" s="232"/>
      <c r="R80" s="282"/>
      <c r="S80" s="232"/>
      <c r="T80" s="232"/>
      <c r="U80" s="282"/>
      <c r="V80" s="282"/>
      <c r="W80" s="253"/>
      <c r="X80" s="225"/>
      <c r="Y80" s="283"/>
    </row>
    <row r="81" spans="1:27" s="170" customFormat="1" ht="10.5" x14ac:dyDescent="0.25">
      <c r="A81" s="263"/>
      <c r="B81" s="273"/>
      <c r="C81" s="240"/>
      <c r="D81" s="274"/>
      <c r="E81" s="264"/>
      <c r="F81" s="275"/>
      <c r="G81" s="276"/>
      <c r="H81" s="277"/>
      <c r="I81" s="276"/>
      <c r="J81" s="278"/>
      <c r="K81" s="279"/>
      <c r="L81" s="268"/>
      <c r="M81" s="280"/>
      <c r="N81" s="270"/>
      <c r="O81" s="281"/>
      <c r="P81" s="232"/>
      <c r="Q81" s="232"/>
      <c r="R81" s="282"/>
      <c r="S81" s="232"/>
      <c r="T81" s="232"/>
      <c r="U81" s="282"/>
      <c r="V81" s="282"/>
      <c r="W81" s="253"/>
      <c r="X81" s="225"/>
      <c r="Y81" s="283"/>
    </row>
    <row r="82" spans="1:27" s="170" customFormat="1" ht="10.5" x14ac:dyDescent="0.25">
      <c r="A82" s="263"/>
      <c r="B82" s="273"/>
      <c r="C82" s="240"/>
      <c r="D82" s="274"/>
      <c r="E82" s="264"/>
      <c r="F82" s="275"/>
      <c r="G82" s="276"/>
      <c r="H82" s="277"/>
      <c r="I82" s="276"/>
      <c r="J82" s="278"/>
      <c r="K82" s="279"/>
      <c r="L82" s="268"/>
      <c r="M82" s="280"/>
      <c r="N82" s="270"/>
      <c r="O82" s="281"/>
      <c r="P82" s="232"/>
      <c r="Q82" s="232"/>
      <c r="R82" s="282"/>
      <c r="S82" s="232"/>
      <c r="T82" s="232"/>
      <c r="U82" s="282"/>
      <c r="V82" s="282"/>
      <c r="W82" s="253"/>
      <c r="X82" s="225"/>
      <c r="Y82" s="283"/>
    </row>
    <row r="83" spans="1:27" ht="10.5" x14ac:dyDescent="0.25">
      <c r="A83" s="221"/>
      <c r="B83" s="244"/>
      <c r="C83" s="245"/>
      <c r="D83" s="246"/>
      <c r="E83" s="247"/>
      <c r="F83" s="245"/>
      <c r="G83" s="245"/>
      <c r="H83" s="246"/>
      <c r="I83" s="245"/>
      <c r="J83" s="248"/>
      <c r="K83" s="249"/>
      <c r="L83" s="250"/>
      <c r="M83" s="251"/>
      <c r="N83" s="252"/>
      <c r="O83" s="246"/>
      <c r="P83" s="232"/>
      <c r="Q83" s="246"/>
      <c r="R83" s="246"/>
      <c r="S83" s="246"/>
      <c r="T83" s="246"/>
      <c r="U83" s="246"/>
      <c r="V83" s="246"/>
      <c r="W83" s="253"/>
      <c r="X83" s="225"/>
      <c r="Y83" s="254"/>
      <c r="AA83" s="169"/>
    </row>
    <row r="84" spans="1:27" ht="10.5" x14ac:dyDescent="0.25">
      <c r="A84" s="221"/>
      <c r="B84" s="244"/>
      <c r="C84" s="245"/>
      <c r="D84" s="246"/>
      <c r="E84" s="247"/>
      <c r="F84" s="245"/>
      <c r="G84" s="245"/>
      <c r="H84" s="246"/>
      <c r="I84" s="245"/>
      <c r="J84" s="248"/>
      <c r="K84" s="249"/>
      <c r="L84" s="250"/>
      <c r="M84" s="251"/>
      <c r="N84" s="252"/>
      <c r="O84" s="246"/>
      <c r="P84" s="232"/>
      <c r="Q84" s="246"/>
      <c r="R84" s="246"/>
      <c r="S84" s="246"/>
      <c r="T84" s="246"/>
      <c r="U84" s="246"/>
      <c r="V84" s="246"/>
      <c r="W84" s="253"/>
      <c r="X84" s="225"/>
      <c r="Y84" s="254"/>
      <c r="AA84" s="169"/>
    </row>
    <row r="85" spans="1:27" ht="10.5" x14ac:dyDescent="0.25">
      <c r="A85" s="221"/>
      <c r="B85" s="244"/>
      <c r="C85" s="245"/>
      <c r="D85" s="246"/>
      <c r="E85" s="247"/>
      <c r="F85" s="245"/>
      <c r="G85" s="245"/>
      <c r="H85" s="246"/>
      <c r="I85" s="245"/>
      <c r="J85" s="248"/>
      <c r="K85" s="249"/>
      <c r="L85" s="250"/>
      <c r="M85" s="251"/>
      <c r="N85" s="252"/>
      <c r="O85" s="246"/>
      <c r="P85" s="232"/>
      <c r="Q85" s="246"/>
      <c r="R85" s="246"/>
      <c r="S85" s="246"/>
      <c r="T85" s="246"/>
      <c r="U85" s="246"/>
      <c r="V85" s="246"/>
      <c r="W85" s="253"/>
      <c r="X85" s="225"/>
      <c r="Y85" s="254"/>
      <c r="AA85" s="169"/>
    </row>
    <row r="86" spans="1:27" ht="10.5" x14ac:dyDescent="0.25">
      <c r="A86" s="232"/>
      <c r="B86" s="244"/>
      <c r="C86" s="246"/>
      <c r="D86" s="246"/>
      <c r="E86" s="255"/>
      <c r="F86" s="246"/>
      <c r="G86" s="246"/>
      <c r="H86" s="246"/>
      <c r="I86" s="246"/>
      <c r="J86" s="256"/>
      <c r="K86" s="257"/>
      <c r="L86" s="258"/>
      <c r="M86" s="259"/>
      <c r="N86" s="260"/>
      <c r="O86" s="246"/>
      <c r="P86" s="232"/>
      <c r="Q86" s="246"/>
      <c r="R86" s="246"/>
      <c r="S86" s="246"/>
      <c r="T86" s="246"/>
      <c r="U86" s="246"/>
      <c r="V86" s="246"/>
      <c r="W86" s="261"/>
      <c r="X86" s="284"/>
      <c r="Y86" s="262"/>
      <c r="AA86" s="169"/>
    </row>
    <row r="87" spans="1:27" ht="10.5" x14ac:dyDescent="0.25">
      <c r="A87" s="221"/>
      <c r="B87" s="244"/>
      <c r="C87" s="245"/>
      <c r="D87" s="246"/>
      <c r="E87" s="247"/>
      <c r="F87" s="245"/>
      <c r="G87" s="245"/>
      <c r="H87" s="245"/>
      <c r="I87" s="245"/>
      <c r="J87" s="248"/>
      <c r="K87" s="249"/>
      <c r="L87" s="250"/>
      <c r="M87" s="251"/>
      <c r="N87" s="252"/>
      <c r="O87" s="246"/>
      <c r="P87" s="232"/>
      <c r="Q87" s="246"/>
      <c r="R87" s="246"/>
      <c r="S87" s="232"/>
      <c r="T87" s="232"/>
      <c r="U87" s="246"/>
      <c r="V87" s="246"/>
      <c r="W87" s="253"/>
      <c r="X87" s="225"/>
      <c r="Y87" s="254"/>
      <c r="AA87" s="169"/>
    </row>
    <row r="88" spans="1:27" ht="10.5" x14ac:dyDescent="0.25">
      <c r="A88" s="221"/>
      <c r="B88" s="244"/>
      <c r="C88" s="245"/>
      <c r="D88" s="246"/>
      <c r="E88" s="247"/>
      <c r="F88" s="245"/>
      <c r="G88" s="245"/>
      <c r="H88" s="245"/>
      <c r="I88" s="245"/>
      <c r="J88" s="248"/>
      <c r="K88" s="249"/>
      <c r="L88" s="250"/>
      <c r="M88" s="251"/>
      <c r="N88" s="252"/>
      <c r="O88" s="246"/>
      <c r="P88" s="232"/>
      <c r="Q88" s="246"/>
      <c r="R88" s="246"/>
      <c r="S88" s="232"/>
      <c r="T88" s="232"/>
      <c r="U88" s="246"/>
      <c r="V88" s="246"/>
      <c r="W88" s="253"/>
      <c r="X88" s="225"/>
      <c r="Y88" s="254"/>
      <c r="AA88" s="169"/>
    </row>
    <row r="89" spans="1:27" ht="10.5" x14ac:dyDescent="0.25">
      <c r="A89" s="221"/>
      <c r="B89" s="244"/>
      <c r="C89" s="245"/>
      <c r="D89" s="246"/>
      <c r="E89" s="247"/>
      <c r="F89" s="245"/>
      <c r="G89" s="245"/>
      <c r="H89" s="245"/>
      <c r="I89" s="245"/>
      <c r="J89" s="248"/>
      <c r="K89" s="249"/>
      <c r="L89" s="250"/>
      <c r="M89" s="251"/>
      <c r="N89" s="252"/>
      <c r="O89" s="246"/>
      <c r="P89" s="232"/>
      <c r="Q89" s="246"/>
      <c r="R89" s="246"/>
      <c r="S89" s="232"/>
      <c r="T89" s="232"/>
      <c r="U89" s="246"/>
      <c r="V89" s="246"/>
      <c r="W89" s="253"/>
      <c r="X89" s="225"/>
      <c r="Y89" s="254"/>
      <c r="AA89" s="169"/>
    </row>
    <row r="90" spans="1:27" ht="10.5" x14ac:dyDescent="0.25">
      <c r="A90" s="221"/>
      <c r="B90" s="244"/>
      <c r="C90" s="245"/>
      <c r="D90" s="246"/>
      <c r="E90" s="247"/>
      <c r="F90" s="245"/>
      <c r="G90" s="245"/>
      <c r="H90" s="245"/>
      <c r="I90" s="245"/>
      <c r="J90" s="248"/>
      <c r="K90" s="249"/>
      <c r="L90" s="250"/>
      <c r="M90" s="251"/>
      <c r="N90" s="252"/>
      <c r="O90" s="246"/>
      <c r="P90" s="232"/>
      <c r="Q90" s="246"/>
      <c r="R90" s="246"/>
      <c r="S90" s="232"/>
      <c r="T90" s="232"/>
      <c r="U90" s="246"/>
      <c r="V90" s="246"/>
      <c r="W90" s="253"/>
      <c r="X90" s="225"/>
      <c r="Y90" s="254"/>
      <c r="AA90" s="169"/>
    </row>
    <row r="91" spans="1:27" ht="10.5" x14ac:dyDescent="0.25">
      <c r="A91" s="263"/>
      <c r="B91" s="244"/>
      <c r="C91" s="245"/>
      <c r="D91" s="246"/>
      <c r="E91" s="264"/>
      <c r="F91" s="265"/>
      <c r="G91" s="265"/>
      <c r="H91" s="265"/>
      <c r="I91" s="265"/>
      <c r="J91" s="266"/>
      <c r="K91" s="267"/>
      <c r="L91" s="268"/>
      <c r="M91" s="269"/>
      <c r="N91" s="270"/>
      <c r="O91" s="271"/>
      <c r="P91" s="232"/>
      <c r="Q91" s="232"/>
      <c r="R91" s="246"/>
      <c r="S91" s="232"/>
      <c r="T91" s="232"/>
      <c r="U91" s="246"/>
      <c r="V91" s="246"/>
      <c r="W91" s="253"/>
      <c r="X91" s="225"/>
      <c r="Y91" s="272"/>
      <c r="AA91" s="169"/>
    </row>
    <row r="92" spans="1:27" ht="10.5" x14ac:dyDescent="0.25">
      <c r="A92" s="221"/>
      <c r="B92" s="244"/>
      <c r="C92" s="245"/>
      <c r="D92" s="246"/>
      <c r="E92" s="247"/>
      <c r="F92" s="245"/>
      <c r="G92" s="245"/>
      <c r="H92" s="245"/>
      <c r="I92" s="245"/>
      <c r="J92" s="248"/>
      <c r="K92" s="249"/>
      <c r="L92" s="250"/>
      <c r="M92" s="251"/>
      <c r="N92" s="252"/>
      <c r="O92" s="246"/>
      <c r="P92" s="232"/>
      <c r="Q92" s="246"/>
      <c r="R92" s="246"/>
      <c r="S92" s="232"/>
      <c r="T92" s="232"/>
      <c r="U92" s="246"/>
      <c r="V92" s="246"/>
      <c r="W92" s="253"/>
      <c r="X92" s="225"/>
      <c r="Y92" s="254"/>
      <c r="AA92" s="169"/>
    </row>
    <row r="93" spans="1:27" ht="10.5" x14ac:dyDescent="0.25">
      <c r="A93" s="221"/>
      <c r="B93" s="244"/>
      <c r="C93" s="245"/>
      <c r="D93" s="246"/>
      <c r="E93" s="247"/>
      <c r="F93" s="245"/>
      <c r="G93" s="245"/>
      <c r="H93" s="245"/>
      <c r="I93" s="245"/>
      <c r="J93" s="248"/>
      <c r="K93" s="249"/>
      <c r="L93" s="250"/>
      <c r="M93" s="251"/>
      <c r="N93" s="252"/>
      <c r="O93" s="246"/>
      <c r="P93" s="232"/>
      <c r="Q93" s="246"/>
      <c r="R93" s="246"/>
      <c r="S93" s="232"/>
      <c r="T93" s="232"/>
      <c r="U93" s="246"/>
      <c r="V93" s="246"/>
      <c r="W93" s="253"/>
      <c r="X93" s="225"/>
      <c r="Y93" s="254"/>
      <c r="AA93" s="169"/>
    </row>
    <row r="94" spans="1:27" ht="10.5" x14ac:dyDescent="0.25">
      <c r="A94" s="221"/>
      <c r="B94" s="244"/>
      <c r="C94" s="245"/>
      <c r="D94" s="246"/>
      <c r="E94" s="247"/>
      <c r="F94" s="245"/>
      <c r="G94" s="245"/>
      <c r="H94" s="245"/>
      <c r="I94" s="245"/>
      <c r="J94" s="248"/>
      <c r="K94" s="249"/>
      <c r="L94" s="250"/>
      <c r="M94" s="251"/>
      <c r="N94" s="252"/>
      <c r="O94" s="246"/>
      <c r="P94" s="232"/>
      <c r="Q94" s="246"/>
      <c r="R94" s="246"/>
      <c r="S94" s="232"/>
      <c r="T94" s="232"/>
      <c r="U94" s="246"/>
      <c r="V94" s="246"/>
      <c r="W94" s="253"/>
      <c r="X94" s="225"/>
      <c r="Y94" s="254"/>
      <c r="AA94" s="169"/>
    </row>
    <row r="95" spans="1:27" ht="10.5" x14ac:dyDescent="0.25">
      <c r="A95" s="221"/>
      <c r="B95" s="244"/>
      <c r="C95" s="245"/>
      <c r="D95" s="246"/>
      <c r="E95" s="247"/>
      <c r="F95" s="245"/>
      <c r="G95" s="245"/>
      <c r="H95" s="245"/>
      <c r="I95" s="245"/>
      <c r="J95" s="248"/>
      <c r="K95" s="249"/>
      <c r="L95" s="250"/>
      <c r="M95" s="251"/>
      <c r="N95" s="252"/>
      <c r="O95" s="246"/>
      <c r="P95" s="232"/>
      <c r="Q95" s="246"/>
      <c r="R95" s="246"/>
      <c r="S95" s="232"/>
      <c r="T95" s="232"/>
      <c r="U95" s="246"/>
      <c r="V95" s="246"/>
      <c r="W95" s="253"/>
      <c r="X95" s="225"/>
      <c r="Y95" s="254"/>
      <c r="AA95" s="169"/>
    </row>
    <row r="96" spans="1:27" ht="10.5" x14ac:dyDescent="0.25">
      <c r="A96" s="221"/>
      <c r="B96" s="244"/>
      <c r="C96" s="245"/>
      <c r="D96" s="246"/>
      <c r="E96" s="247"/>
      <c r="F96" s="245"/>
      <c r="G96" s="245"/>
      <c r="H96" s="245"/>
      <c r="I96" s="245"/>
      <c r="J96" s="248"/>
      <c r="K96" s="249"/>
      <c r="L96" s="250"/>
      <c r="M96" s="251"/>
      <c r="N96" s="252"/>
      <c r="O96" s="246"/>
      <c r="P96" s="232"/>
      <c r="Q96" s="246"/>
      <c r="R96" s="246"/>
      <c r="S96" s="232"/>
      <c r="T96" s="232"/>
      <c r="U96" s="246"/>
      <c r="V96" s="246"/>
      <c r="W96" s="253"/>
      <c r="X96" s="225"/>
      <c r="Y96" s="254"/>
      <c r="AA96" s="169"/>
    </row>
    <row r="97" spans="1:27" ht="10.5" x14ac:dyDescent="0.25">
      <c r="A97" s="221"/>
      <c r="B97" s="244"/>
      <c r="C97" s="245"/>
      <c r="D97" s="246"/>
      <c r="E97" s="247"/>
      <c r="F97" s="245"/>
      <c r="G97" s="245"/>
      <c r="H97" s="245"/>
      <c r="I97" s="245"/>
      <c r="J97" s="248"/>
      <c r="K97" s="249"/>
      <c r="L97" s="250"/>
      <c r="M97" s="251"/>
      <c r="N97" s="252"/>
      <c r="O97" s="246"/>
      <c r="P97" s="232"/>
      <c r="Q97" s="246"/>
      <c r="R97" s="246"/>
      <c r="S97" s="232"/>
      <c r="T97" s="232"/>
      <c r="U97" s="246"/>
      <c r="V97" s="246"/>
      <c r="W97" s="253"/>
      <c r="X97" s="225"/>
      <c r="Y97" s="254"/>
      <c r="AA97" s="169"/>
    </row>
    <row r="98" spans="1:27" ht="10.5" x14ac:dyDescent="0.25">
      <c r="A98" s="263"/>
      <c r="B98" s="244"/>
      <c r="C98" s="245"/>
      <c r="D98" s="246"/>
      <c r="E98" s="264"/>
      <c r="F98" s="265"/>
      <c r="G98" s="265"/>
      <c r="H98" s="265"/>
      <c r="I98" s="265"/>
      <c r="J98" s="266"/>
      <c r="K98" s="267"/>
      <c r="L98" s="268"/>
      <c r="M98" s="269"/>
      <c r="N98" s="270"/>
      <c r="O98" s="271"/>
      <c r="P98" s="232"/>
      <c r="Q98" s="232"/>
      <c r="R98" s="246"/>
      <c r="S98" s="232"/>
      <c r="T98" s="232"/>
      <c r="U98" s="246"/>
      <c r="V98" s="246"/>
      <c r="W98" s="253"/>
      <c r="X98" s="225"/>
      <c r="Y98" s="272"/>
      <c r="AA98" s="169"/>
    </row>
    <row r="99" spans="1:27" ht="10.5" x14ac:dyDescent="0.25">
      <c r="A99" s="221"/>
      <c r="B99" s="244"/>
      <c r="C99" s="245"/>
      <c r="D99" s="246"/>
      <c r="E99" s="247"/>
      <c r="F99" s="245"/>
      <c r="G99" s="245"/>
      <c r="H99" s="245"/>
      <c r="I99" s="245"/>
      <c r="J99" s="248"/>
      <c r="K99" s="249"/>
      <c r="L99" s="250"/>
      <c r="M99" s="251"/>
      <c r="N99" s="252"/>
      <c r="O99" s="246"/>
      <c r="P99" s="232"/>
      <c r="Q99" s="246"/>
      <c r="R99" s="246"/>
      <c r="S99" s="232"/>
      <c r="T99" s="232"/>
      <c r="U99" s="246"/>
      <c r="V99" s="246"/>
      <c r="W99" s="253"/>
      <c r="X99" s="225"/>
      <c r="Y99" s="254"/>
      <c r="AA99" s="169"/>
    </row>
    <row r="100" spans="1:27" ht="10.5" x14ac:dyDescent="0.25">
      <c r="A100" s="221"/>
      <c r="B100" s="244"/>
      <c r="C100" s="245"/>
      <c r="D100" s="246"/>
      <c r="E100" s="247"/>
      <c r="F100" s="245"/>
      <c r="G100" s="245"/>
      <c r="H100" s="245"/>
      <c r="I100" s="245"/>
      <c r="J100" s="248"/>
      <c r="K100" s="249"/>
      <c r="L100" s="250"/>
      <c r="M100" s="251"/>
      <c r="N100" s="252"/>
      <c r="O100" s="246"/>
      <c r="P100" s="232"/>
      <c r="Q100" s="246"/>
      <c r="R100" s="246"/>
      <c r="S100" s="232"/>
      <c r="T100" s="232"/>
      <c r="U100" s="246"/>
      <c r="V100" s="246"/>
      <c r="W100" s="253"/>
      <c r="X100" s="225"/>
      <c r="Y100" s="254"/>
      <c r="AA100" s="169"/>
    </row>
    <row r="101" spans="1:27" ht="10.5" x14ac:dyDescent="0.25">
      <c r="A101" s="221"/>
      <c r="B101" s="244"/>
      <c r="C101" s="245"/>
      <c r="D101" s="246"/>
      <c r="E101" s="247"/>
      <c r="F101" s="245"/>
      <c r="G101" s="245"/>
      <c r="H101" s="245"/>
      <c r="I101" s="245"/>
      <c r="J101" s="248"/>
      <c r="K101" s="249"/>
      <c r="L101" s="250"/>
      <c r="M101" s="251"/>
      <c r="N101" s="252"/>
      <c r="O101" s="246"/>
      <c r="P101" s="232"/>
      <c r="Q101" s="246"/>
      <c r="R101" s="246"/>
      <c r="S101" s="232"/>
      <c r="T101" s="232"/>
      <c r="U101" s="246"/>
      <c r="V101" s="246"/>
      <c r="W101" s="253"/>
      <c r="X101" s="225"/>
      <c r="Y101" s="254"/>
      <c r="AA101" s="169"/>
    </row>
    <row r="102" spans="1:27" ht="10.5" x14ac:dyDescent="0.25">
      <c r="A102" s="221"/>
      <c r="B102" s="244"/>
      <c r="C102" s="245"/>
      <c r="D102" s="246"/>
      <c r="E102" s="247"/>
      <c r="F102" s="245"/>
      <c r="G102" s="245"/>
      <c r="H102" s="245"/>
      <c r="I102" s="245"/>
      <c r="J102" s="248"/>
      <c r="K102" s="249"/>
      <c r="L102" s="250"/>
      <c r="M102" s="251"/>
      <c r="N102" s="252"/>
      <c r="O102" s="246"/>
      <c r="P102" s="232"/>
      <c r="Q102" s="246"/>
      <c r="R102" s="246"/>
      <c r="S102" s="232"/>
      <c r="T102" s="232"/>
      <c r="U102" s="246"/>
      <c r="V102" s="246"/>
      <c r="W102" s="253"/>
      <c r="X102" s="225"/>
      <c r="Y102" s="254"/>
      <c r="AA102" s="169"/>
    </row>
    <row r="103" spans="1:27" ht="10.5" x14ac:dyDescent="0.25">
      <c r="A103" s="221"/>
      <c r="B103" s="244"/>
      <c r="C103" s="245"/>
      <c r="D103" s="246"/>
      <c r="E103" s="247"/>
      <c r="F103" s="245"/>
      <c r="G103" s="245"/>
      <c r="H103" s="245"/>
      <c r="I103" s="245"/>
      <c r="J103" s="248"/>
      <c r="K103" s="249"/>
      <c r="L103" s="250"/>
      <c r="M103" s="251"/>
      <c r="N103" s="252"/>
      <c r="O103" s="246"/>
      <c r="P103" s="232"/>
      <c r="Q103" s="246"/>
      <c r="R103" s="246"/>
      <c r="S103" s="232"/>
      <c r="T103" s="232"/>
      <c r="U103" s="246"/>
      <c r="V103" s="246"/>
      <c r="W103" s="253"/>
      <c r="X103" s="225"/>
      <c r="Y103" s="254"/>
      <c r="AA103" s="169"/>
    </row>
    <row r="104" spans="1:27" ht="10.5" x14ac:dyDescent="0.25">
      <c r="A104" s="221"/>
      <c r="B104" s="244"/>
      <c r="C104" s="245"/>
      <c r="D104" s="246"/>
      <c r="E104" s="247"/>
      <c r="F104" s="245"/>
      <c r="G104" s="245"/>
      <c r="H104" s="245"/>
      <c r="I104" s="245"/>
      <c r="J104" s="248"/>
      <c r="K104" s="249"/>
      <c r="L104" s="250"/>
      <c r="M104" s="251"/>
      <c r="N104" s="252"/>
      <c r="O104" s="246"/>
      <c r="P104" s="232"/>
      <c r="Q104" s="246"/>
      <c r="R104" s="246"/>
      <c r="S104" s="232"/>
      <c r="T104" s="232"/>
      <c r="U104" s="246"/>
      <c r="V104" s="246"/>
      <c r="W104" s="253"/>
      <c r="X104" s="225"/>
      <c r="Y104" s="254"/>
      <c r="AA104" s="169"/>
    </row>
    <row r="105" spans="1:27" ht="10.5" x14ac:dyDescent="0.25">
      <c r="A105" s="263"/>
      <c r="B105" s="244"/>
      <c r="C105" s="245"/>
      <c r="D105" s="246"/>
      <c r="E105" s="264"/>
      <c r="F105" s="265"/>
      <c r="G105" s="265"/>
      <c r="H105" s="265"/>
      <c r="I105" s="265"/>
      <c r="J105" s="266"/>
      <c r="K105" s="267"/>
      <c r="L105" s="268"/>
      <c r="M105" s="269"/>
      <c r="N105" s="270"/>
      <c r="O105" s="271"/>
      <c r="P105" s="232"/>
      <c r="Q105" s="232"/>
      <c r="R105" s="246"/>
      <c r="S105" s="232"/>
      <c r="T105" s="232"/>
      <c r="U105" s="246"/>
      <c r="V105" s="246"/>
      <c r="W105" s="253"/>
      <c r="X105" s="225"/>
      <c r="Y105" s="272"/>
      <c r="AA105" s="169"/>
    </row>
    <row r="106" spans="1:27" ht="10.5" x14ac:dyDescent="0.25">
      <c r="A106" s="221"/>
      <c r="B106" s="244"/>
      <c r="C106" s="245"/>
      <c r="D106" s="246"/>
      <c r="E106" s="247"/>
      <c r="F106" s="245"/>
      <c r="G106" s="245"/>
      <c r="H106" s="245"/>
      <c r="I106" s="245"/>
      <c r="J106" s="248"/>
      <c r="K106" s="249"/>
      <c r="L106" s="250"/>
      <c r="M106" s="251"/>
      <c r="N106" s="252"/>
      <c r="O106" s="246"/>
      <c r="P106" s="232"/>
      <c r="Q106" s="246"/>
      <c r="R106" s="246"/>
      <c r="S106" s="232"/>
      <c r="T106" s="232"/>
      <c r="U106" s="246"/>
      <c r="V106" s="246"/>
      <c r="W106" s="253"/>
      <c r="X106" s="225"/>
      <c r="Y106" s="254"/>
      <c r="AA106" s="169"/>
    </row>
    <row r="107" spans="1:27" ht="10.5" x14ac:dyDescent="0.25">
      <c r="A107" s="221"/>
      <c r="B107" s="244"/>
      <c r="C107" s="245"/>
      <c r="D107" s="246"/>
      <c r="E107" s="247"/>
      <c r="F107" s="245"/>
      <c r="G107" s="245"/>
      <c r="H107" s="246"/>
      <c r="I107" s="245"/>
      <c r="J107" s="248"/>
      <c r="K107" s="249"/>
      <c r="L107" s="250"/>
      <c r="M107" s="251"/>
      <c r="N107" s="252"/>
      <c r="O107" s="246"/>
      <c r="P107" s="232"/>
      <c r="Q107" s="246"/>
      <c r="R107" s="246"/>
      <c r="S107" s="232"/>
      <c r="T107" s="232"/>
      <c r="U107" s="246"/>
      <c r="V107" s="246"/>
      <c r="W107" s="253"/>
      <c r="X107" s="225"/>
      <c r="Y107" s="254"/>
      <c r="AA107" s="169"/>
    </row>
    <row r="108" spans="1:27" ht="10.5" x14ac:dyDescent="0.25">
      <c r="A108" s="221"/>
      <c r="B108" s="244"/>
      <c r="C108" s="245"/>
      <c r="D108" s="246"/>
      <c r="E108" s="247"/>
      <c r="F108" s="245"/>
      <c r="G108" s="245"/>
      <c r="H108" s="246"/>
      <c r="I108" s="245"/>
      <c r="J108" s="248"/>
      <c r="K108" s="249"/>
      <c r="L108" s="250"/>
      <c r="M108" s="251"/>
      <c r="N108" s="252"/>
      <c r="O108" s="246"/>
      <c r="P108" s="232"/>
      <c r="Q108" s="246"/>
      <c r="R108" s="246"/>
      <c r="S108" s="232"/>
      <c r="T108" s="232"/>
      <c r="U108" s="246"/>
      <c r="V108" s="246"/>
      <c r="W108" s="253"/>
      <c r="X108" s="225"/>
      <c r="Y108" s="254"/>
      <c r="AA108" s="169"/>
    </row>
    <row r="109" spans="1:27" ht="10.5" x14ac:dyDescent="0.25">
      <c r="A109" s="221"/>
      <c r="B109" s="244"/>
      <c r="C109" s="245"/>
      <c r="D109" s="246"/>
      <c r="E109" s="247"/>
      <c r="F109" s="245"/>
      <c r="G109" s="245"/>
      <c r="H109" s="245"/>
      <c r="I109" s="245"/>
      <c r="J109" s="248"/>
      <c r="K109" s="249"/>
      <c r="L109" s="250"/>
      <c r="M109" s="251"/>
      <c r="N109" s="252"/>
      <c r="O109" s="246"/>
      <c r="P109" s="232"/>
      <c r="Q109" s="246"/>
      <c r="R109" s="246"/>
      <c r="S109" s="232"/>
      <c r="T109" s="232"/>
      <c r="U109" s="246"/>
      <c r="V109" s="246"/>
      <c r="W109" s="253"/>
      <c r="X109" s="225"/>
      <c r="Y109" s="254"/>
      <c r="AA109" s="169"/>
    </row>
    <row r="110" spans="1:27" ht="10.5" x14ac:dyDescent="0.25">
      <c r="A110" s="221"/>
      <c r="B110" s="244"/>
      <c r="C110" s="245"/>
      <c r="D110" s="246"/>
      <c r="E110" s="247"/>
      <c r="F110" s="245"/>
      <c r="G110" s="245"/>
      <c r="H110" s="245"/>
      <c r="I110" s="245"/>
      <c r="J110" s="248"/>
      <c r="K110" s="249"/>
      <c r="L110" s="250"/>
      <c r="M110" s="251"/>
      <c r="N110" s="252"/>
      <c r="O110" s="246"/>
      <c r="P110" s="232"/>
      <c r="Q110" s="246"/>
      <c r="R110" s="246"/>
      <c r="S110" s="232"/>
      <c r="T110" s="232"/>
      <c r="U110" s="246"/>
      <c r="V110" s="246"/>
      <c r="W110" s="253"/>
      <c r="X110" s="225"/>
      <c r="Y110" s="254"/>
      <c r="AA110" s="169"/>
    </row>
    <row r="111" spans="1:27" ht="10.5" x14ac:dyDescent="0.25">
      <c r="A111" s="221"/>
      <c r="B111" s="244"/>
      <c r="C111" s="245"/>
      <c r="D111" s="246"/>
      <c r="E111" s="247"/>
      <c r="F111" s="245"/>
      <c r="G111" s="245"/>
      <c r="H111" s="245"/>
      <c r="I111" s="245"/>
      <c r="J111" s="248"/>
      <c r="K111" s="249"/>
      <c r="L111" s="250"/>
      <c r="M111" s="251"/>
      <c r="N111" s="252"/>
      <c r="O111" s="246"/>
      <c r="P111" s="232"/>
      <c r="Q111" s="246"/>
      <c r="R111" s="246"/>
      <c r="S111" s="232"/>
      <c r="T111" s="232"/>
      <c r="U111" s="246"/>
      <c r="V111" s="246"/>
      <c r="W111" s="253"/>
      <c r="X111" s="225"/>
      <c r="Y111" s="254"/>
      <c r="AA111" s="169"/>
    </row>
    <row r="112" spans="1:27" ht="10.5" x14ac:dyDescent="0.25">
      <c r="A112" s="221"/>
      <c r="B112" s="244"/>
      <c r="C112" s="245"/>
      <c r="D112" s="246"/>
      <c r="E112" s="247"/>
      <c r="F112" s="245"/>
      <c r="G112" s="245"/>
      <c r="H112" s="245"/>
      <c r="I112" s="245"/>
      <c r="J112" s="248"/>
      <c r="K112" s="249"/>
      <c r="L112" s="250"/>
      <c r="M112" s="251"/>
      <c r="N112" s="252"/>
      <c r="O112" s="246"/>
      <c r="P112" s="232"/>
      <c r="Q112" s="246"/>
      <c r="R112" s="246"/>
      <c r="S112" s="232"/>
      <c r="T112" s="232"/>
      <c r="U112" s="246"/>
      <c r="V112" s="246"/>
      <c r="W112" s="253"/>
      <c r="X112" s="225"/>
      <c r="Y112" s="254"/>
      <c r="AA112" s="169"/>
    </row>
    <row r="113" spans="1:27" ht="10.5" x14ac:dyDescent="0.25">
      <c r="A113" s="221"/>
      <c r="B113" s="244"/>
      <c r="C113" s="245"/>
      <c r="D113" s="246"/>
      <c r="E113" s="247"/>
      <c r="F113" s="245"/>
      <c r="G113" s="245"/>
      <c r="H113" s="245"/>
      <c r="I113" s="245"/>
      <c r="J113" s="248"/>
      <c r="K113" s="249"/>
      <c r="L113" s="250"/>
      <c r="M113" s="251"/>
      <c r="N113" s="252"/>
      <c r="O113" s="246"/>
      <c r="P113" s="232"/>
      <c r="Q113" s="246"/>
      <c r="R113" s="246"/>
      <c r="S113" s="232"/>
      <c r="T113" s="232"/>
      <c r="U113" s="246"/>
      <c r="V113" s="246"/>
      <c r="W113" s="253"/>
      <c r="X113" s="225"/>
      <c r="Y113" s="254"/>
      <c r="AA113" s="169"/>
    </row>
    <row r="114" spans="1:27" ht="10.5" x14ac:dyDescent="0.25">
      <c r="A114" s="221"/>
      <c r="B114" s="244"/>
      <c r="C114" s="245"/>
      <c r="D114" s="246"/>
      <c r="E114" s="247"/>
      <c r="F114" s="245"/>
      <c r="G114" s="245"/>
      <c r="H114" s="245"/>
      <c r="I114" s="245"/>
      <c r="J114" s="248"/>
      <c r="K114" s="249"/>
      <c r="L114" s="250"/>
      <c r="M114" s="251"/>
      <c r="N114" s="252"/>
      <c r="O114" s="246"/>
      <c r="P114" s="232"/>
      <c r="Q114" s="246"/>
      <c r="R114" s="246"/>
      <c r="S114" s="232"/>
      <c r="T114" s="232"/>
      <c r="U114" s="246"/>
      <c r="V114" s="246"/>
      <c r="W114" s="253"/>
      <c r="X114" s="225"/>
      <c r="Y114" s="254"/>
      <c r="AA114" s="169"/>
    </row>
    <row r="115" spans="1:27" ht="10.5" x14ac:dyDescent="0.25">
      <c r="A115" s="221"/>
      <c r="B115" s="244"/>
      <c r="C115" s="245"/>
      <c r="D115" s="246"/>
      <c r="E115" s="247"/>
      <c r="F115" s="245"/>
      <c r="G115" s="245"/>
      <c r="H115" s="245"/>
      <c r="I115" s="245"/>
      <c r="J115" s="248"/>
      <c r="K115" s="249"/>
      <c r="L115" s="250"/>
      <c r="M115" s="251"/>
      <c r="N115" s="252"/>
      <c r="O115" s="246"/>
      <c r="P115" s="232"/>
      <c r="Q115" s="246"/>
      <c r="R115" s="246"/>
      <c r="S115" s="232"/>
      <c r="T115" s="232"/>
      <c r="U115" s="246"/>
      <c r="V115" s="246"/>
      <c r="W115" s="253"/>
      <c r="X115" s="225"/>
      <c r="Y115" s="254"/>
      <c r="AA115" s="169"/>
    </row>
    <row r="116" spans="1:27" ht="10.35" customHeight="1" x14ac:dyDescent="0.25"/>
  </sheetData>
  <mergeCells count="1">
    <mergeCell ref="C2:F2"/>
  </mergeCells>
  <pageMargins left="0.7" right="0.7" top="0.75" bottom="0.75" header="0.3" footer="0.3"/>
  <pageSetup paperSize="9" orientation="portrait" r:id="rId1"/>
  <ignoredErrors>
    <ignoredError sqref="B2:F2 N2 P2" unlockedFormula="1"/>
  </ignoredErrors>
  <legacyDrawing r:id="rId2"/>
  <tableParts count="1">
    <tablePart r:id="rId3"/>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103B8-B932-4F6E-8FEB-494A2CE65F45}">
  <sheetPr>
    <tabColor rgb="FFFFFF00"/>
  </sheetPr>
  <dimension ref="A1:BB59"/>
  <sheetViews>
    <sheetView zoomScaleNormal="100" workbookViewId="0">
      <pane xSplit="4" topLeftCell="S1" activePane="topRight" state="frozen"/>
      <selection pane="topRight" activeCell="A8" sqref="A8"/>
    </sheetView>
  </sheetViews>
  <sheetFormatPr defaultColWidth="8.85546875" defaultRowHeight="15" x14ac:dyDescent="0.25"/>
  <cols>
    <col min="1" max="1" width="13.85546875" style="169" customWidth="1"/>
    <col min="2" max="2" width="15" style="169" customWidth="1"/>
    <col min="3" max="3" width="35.5703125" customWidth="1"/>
    <col min="4" max="4" width="7.85546875" customWidth="1"/>
    <col min="5" max="5" width="11.140625" style="169" bestFit="1" customWidth="1"/>
    <col min="6" max="6" width="13.42578125" style="170" customWidth="1"/>
    <col min="7" max="8" width="10.5703125" hidden="1" customWidth="1"/>
    <col min="9" max="9" width="10.5703125" bestFit="1" customWidth="1"/>
    <col min="10" max="10" width="9.5703125" customWidth="1"/>
    <col min="11" max="12" width="13.42578125" style="169" customWidth="1"/>
    <col min="13" max="13" width="13.85546875" customWidth="1"/>
    <col min="14" max="14" width="15.42578125" style="169" customWidth="1"/>
    <col min="15" max="15" width="13.85546875" style="169" hidden="1" customWidth="1"/>
    <col min="16" max="17" width="13.85546875" style="169" customWidth="1"/>
    <col min="18" max="18" width="15" style="169" customWidth="1"/>
    <col min="19" max="19" width="15.5703125" style="169" customWidth="1"/>
    <col min="20" max="20" width="15.5703125" customWidth="1"/>
    <col min="21" max="21" width="20.5703125" customWidth="1"/>
    <col min="22" max="22" width="0" hidden="1" customWidth="1"/>
    <col min="23" max="23" width="13.42578125" style="169" hidden="1" customWidth="1"/>
    <col min="24" max="24" width="13.42578125" style="169" customWidth="1"/>
    <col min="25" max="25" width="14.5703125" style="169" customWidth="1"/>
    <col min="26" max="26" width="13.42578125" style="169" customWidth="1"/>
    <col min="27" max="27" width="15.5703125" customWidth="1"/>
    <col min="28" max="28" width="15.5703125" hidden="1" customWidth="1"/>
    <col min="29" max="29" width="15.5703125" customWidth="1"/>
    <col min="30" max="30" width="15.5703125" hidden="1" customWidth="1"/>
    <col min="31" max="31" width="15.5703125" customWidth="1"/>
    <col min="32" max="33" width="17.5703125" hidden="1" customWidth="1"/>
    <col min="34" max="34" width="17.5703125" customWidth="1"/>
    <col min="35" max="36" width="17.5703125" hidden="1" customWidth="1"/>
    <col min="37" max="37" width="17.5703125" customWidth="1"/>
    <col min="38" max="38" width="35.5703125" customWidth="1"/>
    <col min="40" max="40" width="7.42578125" style="169" customWidth="1"/>
    <col min="41" max="41" width="6.5703125" style="171" customWidth="1"/>
    <col min="42" max="42" width="10.5703125" style="169" customWidth="1"/>
    <col min="44" max="44" width="10.5703125" style="169" customWidth="1"/>
    <col min="46" max="46" width="13.42578125" style="169" customWidth="1"/>
    <col min="47" max="47" width="10.5703125" style="169" customWidth="1"/>
    <col min="48" max="48" width="12.5703125" style="169" customWidth="1"/>
    <col min="49" max="49" width="13.5703125" style="169" customWidth="1"/>
    <col min="50" max="50" width="36" style="170" customWidth="1"/>
    <col min="51" max="51" width="9.5703125" style="169" customWidth="1"/>
    <col min="52" max="52" width="11.5703125" style="169" customWidth="1"/>
    <col min="53" max="53" width="13.5703125" style="172" bestFit="1" customWidth="1"/>
    <col min="54" max="54" width="9.5703125" style="172" customWidth="1"/>
    <col min="55" max="55" width="9.42578125" style="169" bestFit="1" customWidth="1"/>
    <col min="56" max="56" width="12.85546875" style="169" bestFit="1" customWidth="1"/>
    <col min="57" max="16384" width="8.85546875" style="169"/>
  </cols>
  <sheetData>
    <row r="1" spans="1:54" ht="11.25" thickBot="1" x14ac:dyDescent="0.3">
      <c r="B1" s="169" t="s">
        <v>728</v>
      </c>
      <c r="C1" s="341" t="s">
        <v>728</v>
      </c>
      <c r="D1" s="342" t="s">
        <v>729</v>
      </c>
      <c r="E1" s="343"/>
      <c r="G1" s="171"/>
      <c r="H1" s="171"/>
      <c r="I1" s="171"/>
      <c r="J1" s="169"/>
      <c r="M1" s="344" t="s">
        <v>730</v>
      </c>
      <c r="N1" s="345">
        <f>Advies!B36</f>
        <v>46260</v>
      </c>
      <c r="Q1" s="170"/>
      <c r="R1" s="344" t="s">
        <v>731</v>
      </c>
      <c r="S1" s="808">
        <v>46261</v>
      </c>
      <c r="T1" s="172"/>
      <c r="U1" s="172"/>
      <c r="V1" s="169"/>
      <c r="W1" s="347"/>
      <c r="X1" s="347"/>
      <c r="Y1" s="347"/>
      <c r="Z1" s="347"/>
      <c r="AA1" s="348"/>
      <c r="AB1" s="348"/>
      <c r="AC1" s="348"/>
      <c r="AD1" s="348"/>
      <c r="AE1" s="349"/>
      <c r="AF1" s="348"/>
      <c r="AG1" s="348"/>
      <c r="AH1" s="350"/>
      <c r="AI1" s="350"/>
      <c r="AJ1" s="350"/>
      <c r="AK1" s="170"/>
      <c r="AL1" s="169"/>
      <c r="AM1" s="169"/>
      <c r="AO1" s="169"/>
      <c r="AQ1" s="169"/>
      <c r="AS1" s="169"/>
      <c r="AX1" s="169"/>
      <c r="BA1" s="169"/>
      <c r="BB1" s="169"/>
    </row>
    <row r="2" spans="1:54" ht="11.25" thickBot="1" x14ac:dyDescent="0.3">
      <c r="B2" s="169" t="s">
        <v>572</v>
      </c>
      <c r="C2" s="351"/>
      <c r="D2" s="351"/>
      <c r="G2" s="171"/>
      <c r="H2" s="171"/>
      <c r="I2" s="171"/>
      <c r="J2" s="169"/>
      <c r="M2" s="344" t="s">
        <v>636</v>
      </c>
      <c r="N2" s="439" t="str">
        <f>Advies!B38</f>
        <v>Jan</v>
      </c>
      <c r="Q2" s="170"/>
      <c r="R2" s="344" t="s">
        <v>732</v>
      </c>
      <c r="S2" s="352" t="s">
        <v>733</v>
      </c>
      <c r="T2" s="172"/>
      <c r="U2" s="172"/>
      <c r="V2" s="169"/>
      <c r="W2" s="353"/>
      <c r="X2" s="353"/>
      <c r="Y2" s="353"/>
      <c r="Z2" s="353"/>
      <c r="AA2" s="348"/>
      <c r="AB2" s="348"/>
      <c r="AC2" s="348"/>
      <c r="AD2" s="348"/>
      <c r="AE2" s="349"/>
      <c r="AF2" s="348"/>
      <c r="AG2" s="348"/>
      <c r="AH2" s="169"/>
      <c r="AI2" s="169"/>
      <c r="AJ2" s="169"/>
      <c r="AK2" s="170"/>
      <c r="AL2" s="169"/>
      <c r="AM2" s="169"/>
      <c r="AO2" s="169"/>
      <c r="AQ2" s="169"/>
      <c r="AS2" s="169"/>
      <c r="AX2" s="169"/>
      <c r="BA2" s="169"/>
      <c r="BB2" s="169"/>
    </row>
    <row r="3" spans="1:54" ht="30" thickBot="1" x14ac:dyDescent="0.3">
      <c r="A3" s="168" t="s">
        <v>734</v>
      </c>
      <c r="C3" s="169"/>
      <c r="D3" s="168"/>
      <c r="G3" s="171"/>
      <c r="H3" s="171"/>
      <c r="I3" s="171"/>
      <c r="J3" s="169"/>
      <c r="M3" s="169"/>
      <c r="N3" s="547"/>
      <c r="Q3" s="170"/>
      <c r="T3" s="172"/>
      <c r="U3" s="172"/>
      <c r="V3" s="169"/>
      <c r="AA3" s="169"/>
      <c r="AB3" s="169"/>
      <c r="AC3" s="169"/>
      <c r="AD3" s="169"/>
      <c r="AE3" s="169"/>
      <c r="AF3" s="169"/>
      <c r="AG3" s="169"/>
      <c r="AH3" s="169"/>
      <c r="AI3" s="169"/>
      <c r="AJ3" s="169"/>
      <c r="AK3" s="170"/>
      <c r="AL3" s="169"/>
      <c r="AM3" s="169"/>
      <c r="AO3" s="169"/>
      <c r="AQ3" s="169"/>
      <c r="AS3" s="169"/>
      <c r="AX3" s="169"/>
      <c r="BA3" s="169"/>
      <c r="BB3" s="169"/>
    </row>
    <row r="4" spans="1:54" ht="23.25" thickBot="1" x14ac:dyDescent="0.3">
      <c r="A4" s="173" t="s">
        <v>1</v>
      </c>
      <c r="B4" s="174" t="str">
        <f>Advies!B10</f>
        <v>Voorbeeld</v>
      </c>
      <c r="C4" s="735" t="str">
        <f>Advies!B12</f>
        <v>Voorbeeld</v>
      </c>
      <c r="D4" s="735"/>
      <c r="E4" s="735"/>
      <c r="F4" s="735"/>
      <c r="G4" s="169"/>
      <c r="H4" s="169"/>
      <c r="I4" s="169"/>
      <c r="J4" s="169"/>
      <c r="K4" s="354" t="s">
        <v>380</v>
      </c>
      <c r="L4" s="525">
        <f>Advies!B34</f>
        <v>3</v>
      </c>
      <c r="M4" s="175" t="s">
        <v>735</v>
      </c>
      <c r="N4" s="218">
        <f>Advies!B18</f>
        <v>636</v>
      </c>
      <c r="P4" s="175" t="s">
        <v>158</v>
      </c>
      <c r="Q4" s="176">
        <f>Advies!B17</f>
        <v>1943</v>
      </c>
      <c r="R4" s="177" t="s">
        <v>569</v>
      </c>
      <c r="S4" s="824"/>
      <c r="T4" s="824"/>
      <c r="U4" s="824"/>
      <c r="V4" s="824"/>
      <c r="W4" s="825"/>
      <c r="AA4" s="169"/>
      <c r="AB4" s="355"/>
      <c r="AC4" s="355"/>
      <c r="AD4" s="355"/>
      <c r="AE4" s="169"/>
      <c r="AF4" s="355"/>
      <c r="AG4" s="355"/>
      <c r="AH4" s="169"/>
      <c r="AI4" s="169"/>
      <c r="AJ4" s="169"/>
      <c r="AK4" s="169"/>
      <c r="AL4" s="169"/>
      <c r="AM4" s="169"/>
      <c r="AO4" s="169"/>
      <c r="AQ4" s="169"/>
      <c r="AS4" s="169"/>
      <c r="AX4" s="169"/>
      <c r="BA4" s="169"/>
      <c r="BB4" s="169"/>
    </row>
    <row r="5" spans="1:54" ht="14.25" thickTop="1" thickBot="1" x14ac:dyDescent="0.3">
      <c r="C5" s="169"/>
      <c r="D5" s="169"/>
      <c r="G5" s="169"/>
      <c r="H5" s="169"/>
      <c r="I5" s="169"/>
      <c r="J5" s="169"/>
      <c r="M5" s="169"/>
      <c r="Q5" s="172"/>
      <c r="T5" s="169"/>
      <c r="U5" s="169"/>
      <c r="V5" s="169"/>
      <c r="X5" s="786" t="s">
        <v>570</v>
      </c>
      <c r="Y5" s="787"/>
      <c r="Z5" s="787"/>
      <c r="AA5" s="788"/>
      <c r="AB5" s="169"/>
      <c r="AC5" s="169"/>
      <c r="AD5" s="169"/>
      <c r="AE5" s="169"/>
      <c r="AF5" s="169"/>
      <c r="AG5" s="169"/>
      <c r="AH5" s="786" t="s">
        <v>571</v>
      </c>
      <c r="AI5" s="787"/>
      <c r="AJ5" s="787"/>
      <c r="AK5" s="788"/>
      <c r="AL5" s="169"/>
      <c r="AM5" s="169"/>
      <c r="AO5" s="169"/>
      <c r="AQ5" s="169"/>
      <c r="AS5" s="169"/>
      <c r="AX5" s="169"/>
      <c r="BA5" s="169"/>
      <c r="BB5" s="169"/>
    </row>
    <row r="6" spans="1:54" ht="11.25" thickTop="1" x14ac:dyDescent="0.25">
      <c r="A6" s="356" t="s">
        <v>736</v>
      </c>
      <c r="B6" s="495" t="s">
        <v>736</v>
      </c>
      <c r="C6" s="357" t="s">
        <v>737</v>
      </c>
      <c r="D6" s="343" t="s">
        <v>738</v>
      </c>
      <c r="E6" s="356" t="s">
        <v>736</v>
      </c>
      <c r="F6" s="343" t="s">
        <v>738</v>
      </c>
      <c r="G6" s="358" t="s">
        <v>738</v>
      </c>
      <c r="H6" s="358" t="s">
        <v>738</v>
      </c>
      <c r="I6" s="358" t="s">
        <v>738</v>
      </c>
      <c r="J6" s="356" t="s">
        <v>736</v>
      </c>
      <c r="K6" s="356" t="s">
        <v>736</v>
      </c>
      <c r="L6" s="356" t="s">
        <v>736</v>
      </c>
      <c r="M6" s="343" t="s">
        <v>738</v>
      </c>
      <c r="N6" s="343" t="s">
        <v>738</v>
      </c>
      <c r="O6" s="343" t="s">
        <v>738</v>
      </c>
      <c r="P6" s="343" t="s">
        <v>738</v>
      </c>
      <c r="Q6" s="356" t="s">
        <v>736</v>
      </c>
      <c r="R6" s="343" t="s">
        <v>738</v>
      </c>
      <c r="S6" s="343" t="s">
        <v>738</v>
      </c>
      <c r="T6" s="343" t="s">
        <v>738</v>
      </c>
      <c r="U6" s="343" t="s">
        <v>738</v>
      </c>
      <c r="V6" s="343" t="s">
        <v>738</v>
      </c>
      <c r="W6" s="356" t="s">
        <v>736</v>
      </c>
      <c r="X6" s="359" t="s">
        <v>737</v>
      </c>
      <c r="Y6" s="360" t="s">
        <v>737</v>
      </c>
      <c r="Z6" s="360" t="s">
        <v>737</v>
      </c>
      <c r="AA6" s="361" t="s">
        <v>738</v>
      </c>
      <c r="AB6" s="357" t="s">
        <v>737</v>
      </c>
      <c r="AC6" s="343" t="s">
        <v>738</v>
      </c>
      <c r="AD6" s="343" t="s">
        <v>738</v>
      </c>
      <c r="AE6" s="343" t="s">
        <v>738</v>
      </c>
      <c r="AF6" s="357" t="s">
        <v>737</v>
      </c>
      <c r="AG6" s="357" t="s">
        <v>737</v>
      </c>
      <c r="AH6" s="359" t="s">
        <v>737</v>
      </c>
      <c r="AI6" s="360" t="s">
        <v>737</v>
      </c>
      <c r="AJ6" s="360" t="s">
        <v>737</v>
      </c>
      <c r="AK6" s="362" t="s">
        <v>737</v>
      </c>
      <c r="AL6" s="343" t="s">
        <v>738</v>
      </c>
      <c r="AM6" s="169"/>
      <c r="AO6" s="169"/>
      <c r="AQ6" s="169"/>
      <c r="AS6" s="169"/>
      <c r="AX6" s="169"/>
      <c r="BA6" s="169"/>
      <c r="BB6" s="169"/>
    </row>
    <row r="7" spans="1:54" s="170" customFormat="1" ht="42" x14ac:dyDescent="0.25">
      <c r="A7" s="593" t="s">
        <v>572</v>
      </c>
      <c r="B7" s="179" t="s">
        <v>573</v>
      </c>
      <c r="C7" s="180" t="s">
        <v>574</v>
      </c>
      <c r="D7" s="180" t="s">
        <v>575</v>
      </c>
      <c r="E7" s="180" t="s">
        <v>1</v>
      </c>
      <c r="F7" s="181" t="s">
        <v>576</v>
      </c>
      <c r="G7" s="179" t="s">
        <v>577</v>
      </c>
      <c r="H7" s="179" t="s">
        <v>578</v>
      </c>
      <c r="I7" s="179" t="s">
        <v>355</v>
      </c>
      <c r="J7" s="180" t="s">
        <v>579</v>
      </c>
      <c r="K7" s="180" t="s">
        <v>580</v>
      </c>
      <c r="L7" s="181" t="s">
        <v>581</v>
      </c>
      <c r="M7" s="181" t="s">
        <v>582</v>
      </c>
      <c r="N7" s="180" t="s">
        <v>583</v>
      </c>
      <c r="O7" s="180" t="s">
        <v>584</v>
      </c>
      <c r="P7" s="180" t="s">
        <v>585</v>
      </c>
      <c r="Q7" s="180" t="s">
        <v>586</v>
      </c>
      <c r="R7" s="363" t="s">
        <v>587</v>
      </c>
      <c r="S7" s="183" t="s">
        <v>588</v>
      </c>
      <c r="T7" s="183" t="s">
        <v>589</v>
      </c>
      <c r="U7" s="183" t="s">
        <v>590</v>
      </c>
      <c r="V7" s="180" t="s">
        <v>591</v>
      </c>
      <c r="W7" s="184" t="s">
        <v>592</v>
      </c>
      <c r="X7" s="185" t="s">
        <v>593</v>
      </c>
      <c r="Y7" s="183" t="s">
        <v>594</v>
      </c>
      <c r="Z7" s="183" t="s">
        <v>595</v>
      </c>
      <c r="AA7" s="186" t="s">
        <v>596</v>
      </c>
      <c r="AB7" s="181" t="s">
        <v>597</v>
      </c>
      <c r="AC7" s="181" t="s">
        <v>598</v>
      </c>
      <c r="AD7" s="181" t="s">
        <v>599</v>
      </c>
      <c r="AE7" s="181" t="s">
        <v>600</v>
      </c>
      <c r="AF7" s="180" t="s">
        <v>601</v>
      </c>
      <c r="AG7" s="184" t="s">
        <v>602</v>
      </c>
      <c r="AH7" s="187" t="s">
        <v>603</v>
      </c>
      <c r="AI7" s="180" t="s">
        <v>604</v>
      </c>
      <c r="AJ7" s="180" t="s">
        <v>605</v>
      </c>
      <c r="AK7" s="188" t="s">
        <v>606</v>
      </c>
      <c r="AL7" s="181" t="s">
        <v>607</v>
      </c>
    </row>
    <row r="8" spans="1:54" ht="107.1" customHeight="1" x14ac:dyDescent="0.25">
      <c r="A8" s="364" t="str">
        <f>IF(ISBLANK(TInventB[[#This Row],[Bouwdeel omschrijving]]),"",CONCATENATE(TInventB[[#This Row],[Code Bouwdeeltype]],"-",TInventB[[#This Row],[Volgnr.]]))</f>
        <v>210010-1</v>
      </c>
      <c r="B8" s="365">
        <f>IF(ISBLANK(TInventB[[#This Row],[Bouwdeel omschrijving]]),"",VLOOKUP(TInventB[[#This Row],[Bouwdeel omschrijving]],TsblB[],2,FALSE))</f>
        <v>210010</v>
      </c>
      <c r="C8" s="809" t="s">
        <v>805</v>
      </c>
      <c r="D8" s="810">
        <v>1</v>
      </c>
      <c r="E8" s="368" t="str">
        <f>IF(ISBLANK(TInventB[[#This Row],[Bouwdeel omschrijving]]),"",$B$4)</f>
        <v>Voorbeeld</v>
      </c>
      <c r="F8" s="813" t="s">
        <v>1377</v>
      </c>
      <c r="G8" s="810"/>
      <c r="H8" s="810"/>
      <c r="I8" s="810">
        <v>310</v>
      </c>
      <c r="J8" s="365" t="str">
        <f>IF(ISBLANK(TInventB[[#This Row],[Bouwdeel omschrijving]]),"",VLOOKUP(TInventB[[#This Row],[Bouwdeel omschrijving]],TsblB[],4,FALSE))</f>
        <v>m2</v>
      </c>
      <c r="K8" s="365" t="str">
        <f>IF(ISBLANK(TInventB[[#This Row],[Bouwdeel omschrijving]]),"",VLOOKUP(TInventB[[#This Row],[Bouwdeel omschrijving]],TsblB[],3,FALSE))</f>
        <v>B</v>
      </c>
      <c r="L8" s="369">
        <f>IF(ISBLANK(C8),"",$L$4)</f>
        <v>3</v>
      </c>
      <c r="M8" s="816" t="s">
        <v>1660</v>
      </c>
      <c r="N8" s="817">
        <v>15707</v>
      </c>
      <c r="O8" s="817"/>
      <c r="P8" s="818">
        <v>100</v>
      </c>
      <c r="Q8" s="371">
        <f>IF(ISBLANK(TInventB[[#This Row],[Technische levensduur 
'[jaren']]]),"",(TInventB[[#This Row],[Datum van constructie of productie
'[jjjj-mm-dd']]]+(TInventB[[#This Row],[Technische levensduur 
'[jaren']]]*365)))</f>
        <v>52207</v>
      </c>
      <c r="R8" s="826">
        <v>0</v>
      </c>
      <c r="S8" s="827" t="s">
        <v>1380</v>
      </c>
      <c r="T8" s="827" t="s">
        <v>1380</v>
      </c>
      <c r="U8" s="828" t="s">
        <v>1381</v>
      </c>
      <c r="V8" s="367"/>
      <c r="W8" s="197" t="s">
        <v>1165</v>
      </c>
      <c r="X8" s="373"/>
      <c r="Y8" s="374"/>
      <c r="Z8" s="375"/>
      <c r="AA8" s="200"/>
      <c r="AB8" s="376" t="s">
        <v>839</v>
      </c>
      <c r="AC8" s="831" t="s">
        <v>1380</v>
      </c>
      <c r="AD8" s="832"/>
      <c r="AE8" s="831" t="s">
        <v>1380</v>
      </c>
      <c r="AF8" s="833" t="s">
        <v>739</v>
      </c>
      <c r="AG8" s="834" t="s">
        <v>739</v>
      </c>
      <c r="AH8" s="835"/>
      <c r="AI8" s="832"/>
      <c r="AJ8" s="832"/>
      <c r="AK8" s="836"/>
      <c r="AL8" s="816" t="s">
        <v>1388</v>
      </c>
      <c r="AM8" s="169"/>
      <c r="AO8" s="169"/>
      <c r="AQ8" s="169"/>
      <c r="AS8" s="169"/>
      <c r="AX8" s="169"/>
      <c r="BA8" s="169"/>
      <c r="BB8" s="169"/>
    </row>
    <row r="9" spans="1:54" ht="76.5" customHeight="1" x14ac:dyDescent="0.25">
      <c r="A9" s="369" t="str">
        <f>IF(ISBLANK(TInventB[[#This Row],[Bouwdeel omschrijving]]),"",CONCATENATE(TInventB[[#This Row],[Code Bouwdeeltype]],"-",TInventB[[#This Row],[Volgnr.]]))</f>
        <v>312010-1</v>
      </c>
      <c r="B9" s="365">
        <f>IF(ISBLANK(TInventB[[#This Row],[Bouwdeel omschrijving]]),"",VLOOKUP(TInventB[[#This Row],[Bouwdeel omschrijving]],TsblB[],2,FALSE))</f>
        <v>312010</v>
      </c>
      <c r="C9" s="809" t="s">
        <v>806</v>
      </c>
      <c r="D9" s="811">
        <v>1</v>
      </c>
      <c r="E9" s="365" t="str">
        <f>IF(ISBLANK(TInventB[[#This Row],[Bouwdeel omschrijving]]),"",$B$4)</f>
        <v>Voorbeeld</v>
      </c>
      <c r="F9" s="813" t="s">
        <v>1378</v>
      </c>
      <c r="G9" s="811"/>
      <c r="H9" s="811"/>
      <c r="I9" s="811">
        <v>95</v>
      </c>
      <c r="J9" s="365" t="str">
        <f>IF(ISBLANK(TInventB[[#This Row],[Bouwdeel omschrijving]]),"",VLOOKUP(TInventB[[#This Row],[Bouwdeel omschrijving]],TsblB[],4,FALSE))</f>
        <v>m2</v>
      </c>
      <c r="K9" s="365" t="str">
        <f>IF(ISBLANK(TInventB[[#This Row],[Bouwdeel omschrijving]]),"",VLOOKUP(TInventB[[#This Row],[Bouwdeel omschrijving]],TsblB[],3,FALSE))</f>
        <v>B</v>
      </c>
      <c r="L9" s="380">
        <f t="shared" ref="L9:L59" si="0">IF(ISBLANK(C9),"",$L$4)</f>
        <v>3</v>
      </c>
      <c r="M9" s="819" t="s">
        <v>1661</v>
      </c>
      <c r="N9" s="817">
        <v>33604</v>
      </c>
      <c r="O9" s="817"/>
      <c r="P9" s="818">
        <v>50</v>
      </c>
      <c r="Q9" s="381">
        <f>IF(ISBLANK(TInventB[[#This Row],[Technische levensduur 
'[jaren']]]),"",(TInventB[[#This Row],[Datum van constructie of productie
'[jjjj-mm-dd']]]+(TInventB[[#This Row],[Technische levensduur 
'[jaren']]]*365)))</f>
        <v>51854</v>
      </c>
      <c r="R9" s="826">
        <v>85500</v>
      </c>
      <c r="S9" s="827" t="s">
        <v>1380</v>
      </c>
      <c r="T9" s="827" t="s">
        <v>1380</v>
      </c>
      <c r="U9" s="828" t="s">
        <v>1382</v>
      </c>
      <c r="V9" s="190"/>
      <c r="W9" s="197" t="s">
        <v>1165</v>
      </c>
      <c r="X9" s="373"/>
      <c r="Y9" s="374"/>
      <c r="Z9" s="375"/>
      <c r="AA9" s="200"/>
      <c r="AB9" s="376" t="s">
        <v>836</v>
      </c>
      <c r="AC9" s="832" t="s">
        <v>1380</v>
      </c>
      <c r="AD9" s="832"/>
      <c r="AE9" s="832" t="s">
        <v>1380</v>
      </c>
      <c r="AF9" s="833" t="s">
        <v>739</v>
      </c>
      <c r="AG9" s="834" t="s">
        <v>739</v>
      </c>
      <c r="AH9" s="835"/>
      <c r="AI9" s="832"/>
      <c r="AJ9" s="832"/>
      <c r="AK9" s="836"/>
      <c r="AL9" s="816" t="s">
        <v>1389</v>
      </c>
      <c r="AM9" s="169"/>
      <c r="AO9" s="169"/>
      <c r="AQ9" s="169"/>
      <c r="AS9" s="169"/>
      <c r="AX9" s="169"/>
      <c r="BA9" s="169"/>
      <c r="BB9" s="169"/>
    </row>
    <row r="10" spans="1:54" ht="75.599999999999994" customHeight="1" x14ac:dyDescent="0.25">
      <c r="A10" s="369" t="str">
        <f>IF(ISBLANK(TInventB[[#This Row],[Bouwdeel omschrijving]]),"",CONCATENATE(TInventB[[#This Row],[Code Bouwdeeltype]],"-",TInventB[[#This Row],[Volgnr.]]))</f>
        <v>312010-2</v>
      </c>
      <c r="B10" s="365">
        <f>IF(ISBLANK(TInventB[[#This Row],[Bouwdeel omschrijving]]),"",VLOOKUP(TInventB[[#This Row],[Bouwdeel omschrijving]],TsblB[],2,FALSE))</f>
        <v>312010</v>
      </c>
      <c r="C10" s="809" t="s">
        <v>806</v>
      </c>
      <c r="D10" s="811">
        <v>2</v>
      </c>
      <c r="E10" s="365" t="str">
        <f>IF(ISBLANK(TInventB[[#This Row],[Bouwdeel omschrijving]]),"",$B$4)</f>
        <v>Voorbeeld</v>
      </c>
      <c r="F10" s="813">
        <v>106</v>
      </c>
      <c r="G10" s="811"/>
      <c r="H10" s="811"/>
      <c r="I10" s="811">
        <v>4</v>
      </c>
      <c r="J10" s="365" t="str">
        <f>IF(ISBLANK(TInventB[[#This Row],[Bouwdeel omschrijving]]),"",VLOOKUP(TInventB[[#This Row],[Bouwdeel omschrijving]],TsblB[],4,FALSE))</f>
        <v>m2</v>
      </c>
      <c r="K10" s="365" t="str">
        <f>IF(ISBLANK(TInventB[[#This Row],[Bouwdeel omschrijving]]),"",VLOOKUP(TInventB[[#This Row],[Bouwdeel omschrijving]],TsblB[],3,FALSE))</f>
        <v>B</v>
      </c>
      <c r="L10" s="382">
        <f t="shared" si="0"/>
        <v>3</v>
      </c>
      <c r="M10" s="816" t="s">
        <v>1662</v>
      </c>
      <c r="N10" s="817">
        <v>15707</v>
      </c>
      <c r="O10" s="817"/>
      <c r="P10" s="820">
        <v>75</v>
      </c>
      <c r="Q10" s="381">
        <f>IF(ISBLANK(TInventB[[#This Row],[Technische levensduur 
'[jaren']]]),"",(TInventB[[#This Row],[Datum van constructie of productie
'[jjjj-mm-dd']]]+(TInventB[[#This Row],[Technische levensduur 
'[jaren']]]*365)))</f>
        <v>43082</v>
      </c>
      <c r="R10" s="826">
        <v>4000</v>
      </c>
      <c r="S10" s="827" t="s">
        <v>1380</v>
      </c>
      <c r="T10" s="827" t="s">
        <v>1380</v>
      </c>
      <c r="U10" s="828" t="s">
        <v>1383</v>
      </c>
      <c r="V10" s="190"/>
      <c r="W10" s="197" t="s">
        <v>1165</v>
      </c>
      <c r="X10" s="373"/>
      <c r="Y10" s="374"/>
      <c r="Z10" s="375"/>
      <c r="AA10" s="200"/>
      <c r="AB10" s="376" t="s">
        <v>838</v>
      </c>
      <c r="AC10" s="832" t="s">
        <v>1380</v>
      </c>
      <c r="AD10" s="832"/>
      <c r="AE10" s="832" t="s">
        <v>1380</v>
      </c>
      <c r="AF10" s="833" t="s">
        <v>739</v>
      </c>
      <c r="AG10" s="834" t="s">
        <v>739</v>
      </c>
      <c r="AH10" s="835"/>
      <c r="AI10" s="832"/>
      <c r="AJ10" s="832"/>
      <c r="AK10" s="836"/>
      <c r="AL10" s="816" t="s">
        <v>1390</v>
      </c>
      <c r="AM10" s="169"/>
      <c r="AO10" s="169"/>
      <c r="AQ10" s="169"/>
      <c r="AS10" s="169"/>
      <c r="AX10" s="169"/>
      <c r="BA10" s="169"/>
      <c r="BB10" s="169"/>
    </row>
    <row r="11" spans="1:54" ht="23.45" customHeight="1" x14ac:dyDescent="0.25">
      <c r="A11" s="369" t="str">
        <f>IF(ISBLANK(TInventB[[#This Row],[Bouwdeel omschrijving]]),"",CONCATENATE(TInventB[[#This Row],[Code Bouwdeeltype]],"-",TInventB[[#This Row],[Volgnr.]]))</f>
        <v>312030-1</v>
      </c>
      <c r="B11" s="365">
        <f>IF(ISBLANK(TInventB[[#This Row],[Bouwdeel omschrijving]]),"",VLOOKUP(TInventB[[#This Row],[Bouwdeel omschrijving]],TsblB[],2,FALSE))</f>
        <v>312030</v>
      </c>
      <c r="C11" s="809" t="s">
        <v>782</v>
      </c>
      <c r="D11" s="811">
        <v>1</v>
      </c>
      <c r="E11" s="365" t="str">
        <f>IF(ISBLANK(TInventB[[#This Row],[Bouwdeel omschrijving]]),"",$B$4)</f>
        <v>Voorbeeld</v>
      </c>
      <c r="F11" s="813">
        <v>106</v>
      </c>
      <c r="G11" s="811"/>
      <c r="H11" s="811"/>
      <c r="I11" s="811">
        <v>4</v>
      </c>
      <c r="J11" s="365" t="str">
        <f>IF(ISBLANK(TInventB[[#This Row],[Bouwdeel omschrijving]]),"",VLOOKUP(TInventB[[#This Row],[Bouwdeel omschrijving]],TsblB[],4,FALSE))</f>
        <v>m2</v>
      </c>
      <c r="K11" s="365" t="str">
        <f>IF(ISBLANK(TInventB[[#This Row],[Bouwdeel omschrijving]]),"",VLOOKUP(TInventB[[#This Row],[Bouwdeel omschrijving]],TsblB[],3,FALSE))</f>
        <v>B</v>
      </c>
      <c r="L11" s="380">
        <f t="shared" si="0"/>
        <v>3</v>
      </c>
      <c r="M11" s="819" t="s">
        <v>1663</v>
      </c>
      <c r="N11" s="817">
        <v>15707</v>
      </c>
      <c r="O11" s="817"/>
      <c r="P11" s="820">
        <v>75</v>
      </c>
      <c r="Q11" s="381">
        <f>IF(ISBLANK(TInventB[[#This Row],[Technische levensduur 
'[jaren']]]),"",(TInventB[[#This Row],[Datum van constructie of productie
'[jjjj-mm-dd']]]+(TInventB[[#This Row],[Technische levensduur 
'[jaren']]]*365)))</f>
        <v>43082</v>
      </c>
      <c r="R11" s="826">
        <v>560</v>
      </c>
      <c r="S11" s="827" t="s">
        <v>1380</v>
      </c>
      <c r="T11" s="827" t="s">
        <v>1380</v>
      </c>
      <c r="U11" s="828" t="s">
        <v>1384</v>
      </c>
      <c r="V11" s="190"/>
      <c r="W11" s="197" t="s">
        <v>1165</v>
      </c>
      <c r="X11" s="373"/>
      <c r="Y11" s="374"/>
      <c r="Z11" s="375"/>
      <c r="AA11" s="200"/>
      <c r="AB11" s="376" t="s">
        <v>839</v>
      </c>
      <c r="AC11" s="832" t="s">
        <v>1380</v>
      </c>
      <c r="AD11" s="832"/>
      <c r="AE11" s="832" t="s">
        <v>1380</v>
      </c>
      <c r="AF11" s="833" t="s">
        <v>739</v>
      </c>
      <c r="AG11" s="834" t="s">
        <v>739</v>
      </c>
      <c r="AH11" s="835"/>
      <c r="AI11" s="832"/>
      <c r="AJ11" s="832"/>
      <c r="AK11" s="836"/>
      <c r="AL11" s="816" t="s">
        <v>1391</v>
      </c>
      <c r="AM11" s="169"/>
      <c r="AO11" s="169"/>
      <c r="AQ11" s="169"/>
      <c r="AS11" s="169"/>
      <c r="AX11" s="169"/>
      <c r="BA11" s="169"/>
      <c r="BB11" s="169"/>
    </row>
    <row r="12" spans="1:54" ht="46.5" customHeight="1" x14ac:dyDescent="0.25">
      <c r="A12" s="369" t="str">
        <f>IF(ISBLANK(TInventB[[#This Row],[Bouwdeel omschrijving]]),"",CONCATENATE(TInventB[[#This Row],[Code Bouwdeeltype]],"-",TInventB[[#This Row],[Volgnr.]]))</f>
        <v>312050-1</v>
      </c>
      <c r="B12" s="365">
        <f>IF(ISBLANK(TInventB[[#This Row],[Bouwdeel omschrijving]]),"",VLOOKUP(TInventB[[#This Row],[Bouwdeel omschrijving]],TsblB[],2,FALSE))</f>
        <v>312050</v>
      </c>
      <c r="C12" s="809" t="s">
        <v>784</v>
      </c>
      <c r="D12" s="811">
        <v>1</v>
      </c>
      <c r="E12" s="365" t="str">
        <f>IF(ISBLANK(TInventB[[#This Row],[Bouwdeel omschrijving]]),"",$B$4)</f>
        <v>Voorbeeld</v>
      </c>
      <c r="F12" s="813" t="s">
        <v>1379</v>
      </c>
      <c r="G12" s="811"/>
      <c r="H12" s="811"/>
      <c r="I12" s="811">
        <v>48</v>
      </c>
      <c r="J12" s="365" t="str">
        <f>IF(ISBLANK(TInventB[[#This Row],[Bouwdeel omschrijving]]),"",VLOOKUP(TInventB[[#This Row],[Bouwdeel omschrijving]],TsblB[],4,FALSE))</f>
        <v>m2</v>
      </c>
      <c r="K12" s="365" t="str">
        <f>IF(ISBLANK(TInventB[[#This Row],[Bouwdeel omschrijving]]),"",VLOOKUP(TInventB[[#This Row],[Bouwdeel omschrijving]],TsblB[],3,FALSE))</f>
        <v>B</v>
      </c>
      <c r="L12" s="382">
        <f t="shared" si="0"/>
        <v>3</v>
      </c>
      <c r="M12" s="816" t="s">
        <v>1664</v>
      </c>
      <c r="N12" s="817">
        <v>33604</v>
      </c>
      <c r="O12" s="817"/>
      <c r="P12" s="820">
        <v>30</v>
      </c>
      <c r="Q12" s="381">
        <f>IF(ISBLANK(TInventB[[#This Row],[Technische levensduur 
'[jaren']]]),"",(TInventB[[#This Row],[Datum van constructie of productie
'[jjjj-mm-dd']]]+(TInventB[[#This Row],[Technische levensduur 
'[jaren']]]*365)))</f>
        <v>44554</v>
      </c>
      <c r="R12" s="826">
        <v>6720</v>
      </c>
      <c r="S12" s="827" t="s">
        <v>1380</v>
      </c>
      <c r="T12" s="827" t="s">
        <v>1380</v>
      </c>
      <c r="U12" s="828" t="s">
        <v>1385</v>
      </c>
      <c r="V12" s="190"/>
      <c r="W12" s="197" t="s">
        <v>1165</v>
      </c>
      <c r="X12" s="373"/>
      <c r="Y12" s="374"/>
      <c r="Z12" s="375"/>
      <c r="AA12" s="200"/>
      <c r="AB12" s="376" t="s">
        <v>839</v>
      </c>
      <c r="AC12" s="832" t="s">
        <v>1387</v>
      </c>
      <c r="AD12" s="832"/>
      <c r="AE12" s="832" t="s">
        <v>1380</v>
      </c>
      <c r="AF12" s="833" t="s">
        <v>739</v>
      </c>
      <c r="AG12" s="834" t="s">
        <v>739</v>
      </c>
      <c r="AH12" s="835"/>
      <c r="AI12" s="832"/>
      <c r="AJ12" s="832"/>
      <c r="AK12" s="836"/>
      <c r="AL12" s="816" t="s">
        <v>1392</v>
      </c>
      <c r="AM12" s="169"/>
      <c r="AO12" s="169"/>
      <c r="AQ12" s="169"/>
      <c r="AS12" s="169"/>
      <c r="AX12" s="169"/>
      <c r="BA12" s="169"/>
      <c r="BB12" s="169"/>
    </row>
    <row r="13" spans="1:54" ht="75" customHeight="1" x14ac:dyDescent="0.25">
      <c r="A13" s="369" t="str">
        <f>IF(ISBLANK(TInventB[[#This Row],[Bouwdeel omschrijving]]),"",CONCATENATE(TInventB[[#This Row],[Code Bouwdeeltype]],"-",TInventB[[#This Row],[Volgnr.]]))</f>
        <v>471210-1</v>
      </c>
      <c r="B13" s="365">
        <f>IF(ISBLANK(TInventB[[#This Row],[Bouwdeel omschrijving]]),"",VLOOKUP(TInventB[[#This Row],[Bouwdeel omschrijving]],TsblB[],2,FALSE))</f>
        <v>471210</v>
      </c>
      <c r="C13" s="809" t="s">
        <v>798</v>
      </c>
      <c r="D13" s="811">
        <v>1</v>
      </c>
      <c r="E13" s="365" t="str">
        <f>IF(ISBLANK(TInventB[[#This Row],[Bouwdeel omschrijving]]),"",$B$4)</f>
        <v>Voorbeeld</v>
      </c>
      <c r="F13" s="813">
        <v>106</v>
      </c>
      <c r="G13" s="811"/>
      <c r="H13" s="811"/>
      <c r="I13" s="811">
        <v>420</v>
      </c>
      <c r="J13" s="365" t="str">
        <f>IF(ISBLANK(TInventB[[#This Row],[Bouwdeel omschrijving]]),"",VLOOKUP(TInventB[[#This Row],[Bouwdeel omschrijving]],TsblB[],4,FALSE))</f>
        <v>m²</v>
      </c>
      <c r="K13" s="365" t="str">
        <f>IF(ISBLANK(TInventB[[#This Row],[Bouwdeel omschrijving]]),"",VLOOKUP(TInventB[[#This Row],[Bouwdeel omschrijving]],TsblB[],3,FALSE))</f>
        <v>B</v>
      </c>
      <c r="L13" s="380">
        <f t="shared" si="0"/>
        <v>3</v>
      </c>
      <c r="M13" s="819" t="s">
        <v>1665</v>
      </c>
      <c r="N13" s="817">
        <v>33756</v>
      </c>
      <c r="O13" s="817"/>
      <c r="P13" s="820">
        <v>75</v>
      </c>
      <c r="Q13" s="381">
        <f>IF(ISBLANK(TInventB[[#This Row],[Technische levensduur 
'[jaren']]]),"",(TInventB[[#This Row],[Datum van constructie of productie
'[jjjj-mm-dd']]]+(TInventB[[#This Row],[Technische levensduur 
'[jaren']]]*365)))</f>
        <v>61131</v>
      </c>
      <c r="R13" s="826">
        <v>41580</v>
      </c>
      <c r="S13" s="827">
        <v>900016560</v>
      </c>
      <c r="T13" s="827" t="s">
        <v>1380</v>
      </c>
      <c r="U13" s="828" t="s">
        <v>1386</v>
      </c>
      <c r="V13" s="190"/>
      <c r="W13" s="197" t="s">
        <v>1165</v>
      </c>
      <c r="X13" s="373"/>
      <c r="Y13" s="374"/>
      <c r="Z13" s="375"/>
      <c r="AA13" s="200"/>
      <c r="AB13" s="376" t="s">
        <v>838</v>
      </c>
      <c r="AC13" s="832" t="s">
        <v>1380</v>
      </c>
      <c r="AD13" s="832"/>
      <c r="AE13" s="832" t="s">
        <v>1380</v>
      </c>
      <c r="AF13" s="833" t="s">
        <v>739</v>
      </c>
      <c r="AG13" s="834" t="s">
        <v>739</v>
      </c>
      <c r="AH13" s="835"/>
      <c r="AI13" s="832"/>
      <c r="AJ13" s="832"/>
      <c r="AK13" s="836"/>
      <c r="AL13" s="816" t="s">
        <v>1393</v>
      </c>
      <c r="AM13" s="169"/>
      <c r="AO13" s="169"/>
      <c r="AQ13" s="169"/>
      <c r="AS13" s="169"/>
      <c r="AX13" s="169"/>
      <c r="BA13" s="169"/>
      <c r="BB13" s="169"/>
    </row>
    <row r="14" spans="1:54" ht="10.5" x14ac:dyDescent="0.25">
      <c r="A14" s="369" t="str">
        <f>IF(ISBLANK(TInventB[[#This Row],[Bouwdeel omschrijving]]),"",CONCATENATE(TInventB[[#This Row],[Code Bouwdeeltype]],"-",TInventB[[#This Row],[Volgnr.]]))</f>
        <v/>
      </c>
      <c r="B14" s="365" t="str">
        <f>IF(ISBLANK(TInventB[[#This Row],[Bouwdeel omschrijving]]),"",VLOOKUP(TInventB[[#This Row],[Bouwdeel omschrijving]],TsblB[],2,FALSE))</f>
        <v/>
      </c>
      <c r="C14" s="809"/>
      <c r="D14" s="811"/>
      <c r="E14" s="365" t="str">
        <f>IF(ISBLANK(TInventB[[#This Row],[Bouwdeel omschrijving]]),"",$B$4)</f>
        <v/>
      </c>
      <c r="F14" s="813"/>
      <c r="G14" s="811"/>
      <c r="H14" s="811"/>
      <c r="I14" s="811"/>
      <c r="J14" s="365" t="str">
        <f>IF(ISBLANK(TInventB[[#This Row],[Bouwdeel omschrijving]]),"",VLOOKUP(TInventB[[#This Row],[Bouwdeel omschrijving]],TsblB[],4,FALSE))</f>
        <v/>
      </c>
      <c r="K14" s="365" t="str">
        <f>IF(ISBLANK(TInventB[[#This Row],[Bouwdeel omschrijving]]),"",VLOOKUP(TInventB[[#This Row],[Bouwdeel omschrijving]],TsblB[],3,FALSE))</f>
        <v/>
      </c>
      <c r="L14" s="382" t="str">
        <f t="shared" si="0"/>
        <v/>
      </c>
      <c r="M14" s="816"/>
      <c r="N14" s="817"/>
      <c r="O14" s="817"/>
      <c r="P14" s="820"/>
      <c r="Q14" s="381" t="str">
        <f>IF(ISBLANK(TInventB[[#This Row],[Technische levensduur 
'[jaren']]]),"",(TInventB[[#This Row],[Datum van constructie of productie
'[jjjj-mm-dd']]]+(TInventB[[#This Row],[Technische levensduur 
'[jaren']]]*365)))</f>
        <v/>
      </c>
      <c r="R14" s="826"/>
      <c r="S14" s="827"/>
      <c r="T14" s="827"/>
      <c r="U14" s="828"/>
      <c r="V14" s="190"/>
      <c r="W14" s="197" t="s">
        <v>1165</v>
      </c>
      <c r="X14" s="373"/>
      <c r="Y14" s="374"/>
      <c r="Z14" s="375"/>
      <c r="AA14" s="200"/>
      <c r="AB14" s="376"/>
      <c r="AC14" s="832"/>
      <c r="AD14" s="832"/>
      <c r="AE14" s="832"/>
      <c r="AF14" s="833" t="s">
        <v>739</v>
      </c>
      <c r="AG14" s="834" t="s">
        <v>739</v>
      </c>
      <c r="AH14" s="835"/>
      <c r="AI14" s="832"/>
      <c r="AJ14" s="832"/>
      <c r="AK14" s="836"/>
      <c r="AL14" s="816"/>
      <c r="AM14" s="169"/>
      <c r="AO14" s="169"/>
      <c r="AQ14" s="169"/>
      <c r="AS14" s="169"/>
      <c r="AX14" s="169"/>
      <c r="BA14" s="169"/>
      <c r="BB14" s="169"/>
    </row>
    <row r="15" spans="1:54" ht="10.5" x14ac:dyDescent="0.25">
      <c r="A15" s="369" t="str">
        <f>IF(ISBLANK(TInventB[[#This Row],[Bouwdeel omschrijving]]),"",CONCATENATE(TInventB[[#This Row],[Code Bouwdeeltype]],"-",TInventB[[#This Row],[Volgnr.]]))</f>
        <v/>
      </c>
      <c r="B15" s="365" t="str">
        <f>IF(ISBLANK(TInventB[[#This Row],[Bouwdeel omschrijving]]),"",VLOOKUP(TInventB[[#This Row],[Bouwdeel omschrijving]],TsblB[],2,FALSE))</f>
        <v/>
      </c>
      <c r="C15" s="809"/>
      <c r="D15" s="811"/>
      <c r="E15" s="365" t="str">
        <f>IF(ISBLANK(TInventB[[#This Row],[Bouwdeel omschrijving]]),"",$B$4)</f>
        <v/>
      </c>
      <c r="F15" s="813"/>
      <c r="G15" s="811"/>
      <c r="H15" s="811"/>
      <c r="I15" s="811"/>
      <c r="J15" s="365" t="str">
        <f>IF(ISBLANK(TInventB[[#This Row],[Bouwdeel omschrijving]]),"",VLOOKUP(TInventB[[#This Row],[Bouwdeel omschrijving]],TsblB[],4,FALSE))</f>
        <v/>
      </c>
      <c r="K15" s="365" t="str">
        <f>IF(ISBLANK(TInventB[[#This Row],[Bouwdeel omschrijving]]),"",VLOOKUP(TInventB[[#This Row],[Bouwdeel omschrijving]],TsblB[],3,FALSE))</f>
        <v/>
      </c>
      <c r="L15" s="380" t="str">
        <f t="shared" si="0"/>
        <v/>
      </c>
      <c r="M15" s="819"/>
      <c r="N15" s="817"/>
      <c r="O15" s="817"/>
      <c r="P15" s="820"/>
      <c r="Q15" s="381" t="str">
        <f>IF(ISBLANK(TInventB[[#This Row],[Technische levensduur 
'[jaren']]]),"",(TInventB[[#This Row],[Datum van constructie of productie
'[jjjj-mm-dd']]]+(TInventB[[#This Row],[Technische levensduur 
'[jaren']]]*365)))</f>
        <v/>
      </c>
      <c r="R15" s="826"/>
      <c r="S15" s="827"/>
      <c r="T15" s="827"/>
      <c r="U15" s="828"/>
      <c r="V15" s="190"/>
      <c r="W15" s="197" t="s">
        <v>1165</v>
      </c>
      <c r="X15" s="373"/>
      <c r="Y15" s="374"/>
      <c r="Z15" s="375"/>
      <c r="AA15" s="200"/>
      <c r="AB15" s="376"/>
      <c r="AC15" s="832"/>
      <c r="AD15" s="832"/>
      <c r="AE15" s="832"/>
      <c r="AF15" s="833" t="s">
        <v>739</v>
      </c>
      <c r="AG15" s="834" t="s">
        <v>739</v>
      </c>
      <c r="AH15" s="835"/>
      <c r="AI15" s="832"/>
      <c r="AJ15" s="832"/>
      <c r="AK15" s="836"/>
      <c r="AL15" s="816"/>
      <c r="AM15" s="169"/>
      <c r="AO15" s="169"/>
      <c r="AQ15" s="169"/>
      <c r="AS15" s="169"/>
      <c r="AX15" s="169"/>
      <c r="BA15" s="169"/>
      <c r="BB15" s="169"/>
    </row>
    <row r="16" spans="1:54" ht="10.5" x14ac:dyDescent="0.25">
      <c r="A16" s="369" t="str">
        <f>IF(ISBLANK(TInventB[[#This Row],[Bouwdeel omschrijving]]),"",CONCATENATE(TInventB[[#This Row],[Code Bouwdeeltype]],"-",TInventB[[#This Row],[Volgnr.]]))</f>
        <v/>
      </c>
      <c r="B16" s="365" t="str">
        <f>IF(ISBLANK(TInventB[[#This Row],[Bouwdeel omschrijving]]),"",VLOOKUP(TInventB[[#This Row],[Bouwdeel omschrijving]],TsblB[],2,FALSE))</f>
        <v/>
      </c>
      <c r="C16" s="809"/>
      <c r="D16" s="811"/>
      <c r="E16" s="365" t="str">
        <f>IF(ISBLANK(TInventB[[#This Row],[Bouwdeel omschrijving]]),"",$B$4)</f>
        <v/>
      </c>
      <c r="F16" s="813"/>
      <c r="G16" s="811"/>
      <c r="H16" s="811"/>
      <c r="I16" s="811"/>
      <c r="J16" s="365" t="str">
        <f>IF(ISBLANK(TInventB[[#This Row],[Bouwdeel omschrijving]]),"",VLOOKUP(TInventB[[#This Row],[Bouwdeel omschrijving]],TsblB[],4,FALSE))</f>
        <v/>
      </c>
      <c r="K16" s="365" t="str">
        <f>IF(ISBLANK(TInventB[[#This Row],[Bouwdeel omschrijving]]),"",VLOOKUP(TInventB[[#This Row],[Bouwdeel omschrijving]],TsblB[],3,FALSE))</f>
        <v/>
      </c>
      <c r="L16" s="382" t="str">
        <f t="shared" si="0"/>
        <v/>
      </c>
      <c r="M16" s="816"/>
      <c r="N16" s="817"/>
      <c r="O16" s="817"/>
      <c r="P16" s="820"/>
      <c r="Q16" s="381" t="str">
        <f>IF(ISBLANK(TInventB[[#This Row],[Technische levensduur 
'[jaren']]]),"",(TInventB[[#This Row],[Datum van constructie of productie
'[jjjj-mm-dd']]]+(TInventB[[#This Row],[Technische levensduur 
'[jaren']]]*365)))</f>
        <v/>
      </c>
      <c r="R16" s="826"/>
      <c r="S16" s="827"/>
      <c r="T16" s="827"/>
      <c r="U16" s="828"/>
      <c r="V16" s="190"/>
      <c r="W16" s="197" t="s">
        <v>1165</v>
      </c>
      <c r="X16" s="373"/>
      <c r="Y16" s="374"/>
      <c r="Z16" s="375"/>
      <c r="AA16" s="200"/>
      <c r="AB16" s="376"/>
      <c r="AC16" s="832"/>
      <c r="AD16" s="832"/>
      <c r="AE16" s="832"/>
      <c r="AF16" s="833" t="s">
        <v>739</v>
      </c>
      <c r="AG16" s="834" t="s">
        <v>739</v>
      </c>
      <c r="AH16" s="835"/>
      <c r="AI16" s="832"/>
      <c r="AJ16" s="832"/>
      <c r="AK16" s="836"/>
      <c r="AL16" s="816"/>
      <c r="AM16" s="169"/>
      <c r="AO16" s="169"/>
      <c r="AQ16" s="169"/>
      <c r="AS16" s="169"/>
      <c r="AX16" s="169"/>
      <c r="BA16" s="169"/>
      <c r="BB16" s="169"/>
    </row>
    <row r="17" spans="1:54" ht="10.5" x14ac:dyDescent="0.25">
      <c r="A17" s="369" t="str">
        <f>IF(ISBLANK(TInventB[[#This Row],[Bouwdeel omschrijving]]),"",CONCATENATE(TInventB[[#This Row],[Code Bouwdeeltype]],"-",TInventB[[#This Row],[Volgnr.]]))</f>
        <v/>
      </c>
      <c r="B17" s="365" t="str">
        <f>IF(ISBLANK(TInventB[[#This Row],[Bouwdeel omschrijving]]),"",VLOOKUP(TInventB[[#This Row],[Bouwdeel omschrijving]],TsblB[],2,FALSE))</f>
        <v/>
      </c>
      <c r="C17" s="809"/>
      <c r="D17" s="811"/>
      <c r="E17" s="365" t="str">
        <f>IF(ISBLANK(TInventB[[#This Row],[Bouwdeel omschrijving]]),"",$B$4)</f>
        <v/>
      </c>
      <c r="F17" s="813"/>
      <c r="G17" s="811"/>
      <c r="H17" s="811"/>
      <c r="I17" s="811"/>
      <c r="J17" s="365" t="str">
        <f>IF(ISBLANK(TInventB[[#This Row],[Bouwdeel omschrijving]]),"",VLOOKUP(TInventB[[#This Row],[Bouwdeel omschrijving]],TsblB[],4,FALSE))</f>
        <v/>
      </c>
      <c r="K17" s="365" t="str">
        <f>IF(ISBLANK(TInventB[[#This Row],[Bouwdeel omschrijving]]),"",VLOOKUP(TInventB[[#This Row],[Bouwdeel omschrijving]],TsblB[],3,FALSE))</f>
        <v/>
      </c>
      <c r="L17" s="380" t="str">
        <f t="shared" si="0"/>
        <v/>
      </c>
      <c r="M17" s="819"/>
      <c r="N17" s="817"/>
      <c r="O17" s="817"/>
      <c r="P17" s="820"/>
      <c r="Q17" s="381" t="str">
        <f>IF(ISBLANK(TInventB[[#This Row],[Technische levensduur 
'[jaren']]]),"",(TInventB[[#This Row],[Datum van constructie of productie
'[jjjj-mm-dd']]]+(TInventB[[#This Row],[Technische levensduur 
'[jaren']]]*365)))</f>
        <v/>
      </c>
      <c r="R17" s="826"/>
      <c r="S17" s="827"/>
      <c r="T17" s="827"/>
      <c r="U17" s="828"/>
      <c r="V17" s="190"/>
      <c r="W17" s="197" t="s">
        <v>1165</v>
      </c>
      <c r="X17" s="373"/>
      <c r="Y17" s="374"/>
      <c r="Z17" s="375"/>
      <c r="AA17" s="200"/>
      <c r="AB17" s="376"/>
      <c r="AC17" s="832"/>
      <c r="AD17" s="832"/>
      <c r="AE17" s="832"/>
      <c r="AF17" s="833" t="s">
        <v>739</v>
      </c>
      <c r="AG17" s="834" t="s">
        <v>739</v>
      </c>
      <c r="AH17" s="835"/>
      <c r="AI17" s="832"/>
      <c r="AJ17" s="832"/>
      <c r="AK17" s="836"/>
      <c r="AL17" s="816"/>
      <c r="AM17" s="169"/>
      <c r="AO17" s="169"/>
      <c r="AQ17" s="169"/>
      <c r="AS17" s="169"/>
      <c r="AX17" s="169"/>
      <c r="BA17" s="169"/>
      <c r="BB17" s="169"/>
    </row>
    <row r="18" spans="1:54" ht="10.5" x14ac:dyDescent="0.25">
      <c r="A18" s="369" t="str">
        <f>IF(ISBLANK(TInventB[[#This Row],[Bouwdeel omschrijving]]),"",CONCATENATE(TInventB[[#This Row],[Code Bouwdeeltype]],"-",TInventB[[#This Row],[Volgnr.]]))</f>
        <v/>
      </c>
      <c r="B18" s="365" t="str">
        <f>IF(ISBLANK(TInventB[[#This Row],[Bouwdeel omschrijving]]),"",VLOOKUP(TInventB[[#This Row],[Bouwdeel omschrijving]],TsblB[],2,FALSE))</f>
        <v/>
      </c>
      <c r="C18" s="809"/>
      <c r="D18" s="811"/>
      <c r="E18" s="365" t="str">
        <f>IF(ISBLANK(TInventB[[#This Row],[Bouwdeel omschrijving]]),"",$B$4)</f>
        <v/>
      </c>
      <c r="F18" s="813"/>
      <c r="G18" s="811"/>
      <c r="H18" s="811"/>
      <c r="I18" s="811"/>
      <c r="J18" s="365" t="str">
        <f>IF(ISBLANK(TInventB[[#This Row],[Bouwdeel omschrijving]]),"",VLOOKUP(TInventB[[#This Row],[Bouwdeel omschrijving]],TsblB[],4,FALSE))</f>
        <v/>
      </c>
      <c r="K18" s="365" t="str">
        <f>IF(ISBLANK(TInventB[[#This Row],[Bouwdeel omschrijving]]),"",VLOOKUP(TInventB[[#This Row],[Bouwdeel omschrijving]],TsblB[],3,FALSE))</f>
        <v/>
      </c>
      <c r="L18" s="382" t="str">
        <f t="shared" si="0"/>
        <v/>
      </c>
      <c r="M18" s="816"/>
      <c r="N18" s="817"/>
      <c r="O18" s="817"/>
      <c r="P18" s="820"/>
      <c r="Q18" s="381" t="str">
        <f>IF(ISBLANK(TInventB[[#This Row],[Technische levensduur 
'[jaren']]]),"",(TInventB[[#This Row],[Datum van constructie of productie
'[jjjj-mm-dd']]]+(TInventB[[#This Row],[Technische levensduur 
'[jaren']]]*365)))</f>
        <v/>
      </c>
      <c r="R18" s="826"/>
      <c r="S18" s="827"/>
      <c r="T18" s="827"/>
      <c r="U18" s="828"/>
      <c r="V18" s="190"/>
      <c r="W18" s="197" t="s">
        <v>1165</v>
      </c>
      <c r="X18" s="373"/>
      <c r="Y18" s="374"/>
      <c r="Z18" s="375"/>
      <c r="AA18" s="200"/>
      <c r="AB18" s="376"/>
      <c r="AC18" s="832"/>
      <c r="AD18" s="832"/>
      <c r="AE18" s="832"/>
      <c r="AF18" s="833" t="s">
        <v>739</v>
      </c>
      <c r="AG18" s="834" t="s">
        <v>739</v>
      </c>
      <c r="AH18" s="835"/>
      <c r="AI18" s="832"/>
      <c r="AJ18" s="832"/>
      <c r="AK18" s="836"/>
      <c r="AL18" s="816"/>
      <c r="AM18" s="169"/>
      <c r="AO18" s="169"/>
      <c r="AQ18" s="169"/>
      <c r="AS18" s="169"/>
      <c r="AX18" s="169"/>
      <c r="BA18" s="169"/>
      <c r="BB18" s="169"/>
    </row>
    <row r="19" spans="1:54" ht="10.5" x14ac:dyDescent="0.25">
      <c r="A19" s="369" t="str">
        <f>IF(ISBLANK(TInventB[[#This Row],[Bouwdeel omschrijving]]),"",CONCATENATE(TInventB[[#This Row],[Code Bouwdeeltype]],"-",TInventB[[#This Row],[Volgnr.]]))</f>
        <v/>
      </c>
      <c r="B19" s="365" t="str">
        <f>IF(ISBLANK(TInventB[[#This Row],[Bouwdeel omschrijving]]),"",VLOOKUP(TInventB[[#This Row],[Bouwdeel omschrijving]],TsblB[],2,FALSE))</f>
        <v/>
      </c>
      <c r="C19" s="809"/>
      <c r="D19" s="811"/>
      <c r="E19" s="365" t="str">
        <f>IF(ISBLANK(TInventB[[#This Row],[Bouwdeel omschrijving]]),"",$B$4)</f>
        <v/>
      </c>
      <c r="F19" s="813"/>
      <c r="G19" s="811"/>
      <c r="H19" s="811"/>
      <c r="I19" s="811"/>
      <c r="J19" s="365" t="str">
        <f>IF(ISBLANK(TInventB[[#This Row],[Bouwdeel omschrijving]]),"",VLOOKUP(TInventB[[#This Row],[Bouwdeel omschrijving]],TsblB[],4,FALSE))</f>
        <v/>
      </c>
      <c r="K19" s="365" t="str">
        <f>IF(ISBLANK(TInventB[[#This Row],[Bouwdeel omschrijving]]),"",VLOOKUP(TInventB[[#This Row],[Bouwdeel omschrijving]],TsblB[],3,FALSE))</f>
        <v/>
      </c>
      <c r="L19" s="380" t="str">
        <f t="shared" si="0"/>
        <v/>
      </c>
      <c r="M19" s="819"/>
      <c r="N19" s="817"/>
      <c r="O19" s="817"/>
      <c r="P19" s="820"/>
      <c r="Q19" s="381" t="str">
        <f>IF(ISBLANK(TInventB[[#This Row],[Technische levensduur 
'[jaren']]]),"",(TInventB[[#This Row],[Datum van constructie of productie
'[jjjj-mm-dd']]]+(TInventB[[#This Row],[Technische levensduur 
'[jaren']]]*365)))</f>
        <v/>
      </c>
      <c r="R19" s="826"/>
      <c r="S19" s="827"/>
      <c r="T19" s="827"/>
      <c r="U19" s="828"/>
      <c r="V19" s="190"/>
      <c r="W19" s="197" t="s">
        <v>1165</v>
      </c>
      <c r="X19" s="373"/>
      <c r="Y19" s="374"/>
      <c r="Z19" s="375"/>
      <c r="AA19" s="200"/>
      <c r="AB19" s="376"/>
      <c r="AC19" s="832"/>
      <c r="AD19" s="832"/>
      <c r="AE19" s="832"/>
      <c r="AF19" s="833" t="s">
        <v>739</v>
      </c>
      <c r="AG19" s="834" t="s">
        <v>739</v>
      </c>
      <c r="AH19" s="835"/>
      <c r="AI19" s="832"/>
      <c r="AJ19" s="832"/>
      <c r="AK19" s="836"/>
      <c r="AL19" s="816"/>
      <c r="AM19" s="169"/>
      <c r="AO19" s="169"/>
      <c r="AQ19" s="169"/>
      <c r="AS19" s="169"/>
      <c r="AX19" s="169"/>
      <c r="BA19" s="169"/>
      <c r="BB19" s="169"/>
    </row>
    <row r="20" spans="1:54" ht="10.5" x14ac:dyDescent="0.25">
      <c r="A20" s="369" t="str">
        <f>IF(ISBLANK(TInventB[[#This Row],[Bouwdeel omschrijving]]),"",CONCATENATE(TInventB[[#This Row],[Code Bouwdeeltype]],"-",TInventB[[#This Row],[Volgnr.]]))</f>
        <v/>
      </c>
      <c r="B20" s="365" t="str">
        <f>IF(ISBLANK(TInventB[[#This Row],[Bouwdeel omschrijving]]),"",VLOOKUP(TInventB[[#This Row],[Bouwdeel omschrijving]],TsblB[],2,FALSE))</f>
        <v/>
      </c>
      <c r="C20" s="809"/>
      <c r="D20" s="811"/>
      <c r="E20" s="365" t="str">
        <f>IF(ISBLANK(TInventB[[#This Row],[Bouwdeel omschrijving]]),"",$B$4)</f>
        <v/>
      </c>
      <c r="F20" s="813"/>
      <c r="G20" s="811"/>
      <c r="H20" s="811"/>
      <c r="I20" s="811"/>
      <c r="J20" s="365" t="str">
        <f>IF(ISBLANK(TInventB[[#This Row],[Bouwdeel omschrijving]]),"",VLOOKUP(TInventB[[#This Row],[Bouwdeel omschrijving]],TsblB[],4,FALSE))</f>
        <v/>
      </c>
      <c r="K20" s="365" t="str">
        <f>IF(ISBLANK(TInventB[[#This Row],[Bouwdeel omschrijving]]),"",VLOOKUP(TInventB[[#This Row],[Bouwdeel omschrijving]],TsblB[],3,FALSE))</f>
        <v/>
      </c>
      <c r="L20" s="382" t="str">
        <f t="shared" si="0"/>
        <v/>
      </c>
      <c r="M20" s="816"/>
      <c r="N20" s="817"/>
      <c r="O20" s="817"/>
      <c r="P20" s="820"/>
      <c r="Q20" s="381" t="str">
        <f>IF(ISBLANK(TInventB[[#This Row],[Technische levensduur 
'[jaren']]]),"",(TInventB[[#This Row],[Datum van constructie of productie
'[jjjj-mm-dd']]]+(TInventB[[#This Row],[Technische levensduur 
'[jaren']]]*365)))</f>
        <v/>
      </c>
      <c r="R20" s="826"/>
      <c r="S20" s="827"/>
      <c r="T20" s="827"/>
      <c r="U20" s="828"/>
      <c r="V20" s="190"/>
      <c r="W20" s="197" t="s">
        <v>1165</v>
      </c>
      <c r="X20" s="373"/>
      <c r="Y20" s="374"/>
      <c r="Z20" s="375"/>
      <c r="AA20" s="200"/>
      <c r="AB20" s="376"/>
      <c r="AC20" s="832"/>
      <c r="AD20" s="832"/>
      <c r="AE20" s="832"/>
      <c r="AF20" s="833" t="s">
        <v>739</v>
      </c>
      <c r="AG20" s="834" t="s">
        <v>739</v>
      </c>
      <c r="AH20" s="835"/>
      <c r="AI20" s="832"/>
      <c r="AJ20" s="832"/>
      <c r="AK20" s="836"/>
      <c r="AL20" s="816"/>
      <c r="AM20" s="169"/>
      <c r="AO20" s="169"/>
      <c r="AQ20" s="169"/>
      <c r="AS20" s="169"/>
      <c r="AX20" s="169"/>
      <c r="BA20" s="169"/>
      <c r="BB20" s="169"/>
    </row>
    <row r="21" spans="1:54" ht="10.5" x14ac:dyDescent="0.25">
      <c r="A21" s="369" t="str">
        <f>IF(ISBLANK(TInventB[[#This Row],[Bouwdeel omschrijving]]),"",CONCATENATE(TInventB[[#This Row],[Code Bouwdeeltype]],"-",TInventB[[#This Row],[Volgnr.]]))</f>
        <v/>
      </c>
      <c r="B21" s="365" t="str">
        <f>IF(ISBLANK(TInventB[[#This Row],[Bouwdeel omschrijving]]),"",VLOOKUP(TInventB[[#This Row],[Bouwdeel omschrijving]],TsblB[],2,FALSE))</f>
        <v/>
      </c>
      <c r="C21" s="809"/>
      <c r="D21" s="811"/>
      <c r="E21" s="365" t="str">
        <f>IF(ISBLANK(TInventB[[#This Row],[Bouwdeel omschrijving]]),"",$B$4)</f>
        <v/>
      </c>
      <c r="F21" s="813"/>
      <c r="G21" s="811"/>
      <c r="H21" s="811"/>
      <c r="I21" s="811"/>
      <c r="J21" s="365" t="str">
        <f>IF(ISBLANK(TInventB[[#This Row],[Bouwdeel omschrijving]]),"",VLOOKUP(TInventB[[#This Row],[Bouwdeel omschrijving]],TsblB[],4,FALSE))</f>
        <v/>
      </c>
      <c r="K21" s="365" t="str">
        <f>IF(ISBLANK(TInventB[[#This Row],[Bouwdeel omschrijving]]),"",VLOOKUP(TInventB[[#This Row],[Bouwdeel omschrijving]],TsblB[],3,FALSE))</f>
        <v/>
      </c>
      <c r="L21" s="380" t="str">
        <f t="shared" si="0"/>
        <v/>
      </c>
      <c r="M21" s="819"/>
      <c r="N21" s="817"/>
      <c r="O21" s="817"/>
      <c r="P21" s="820"/>
      <c r="Q21" s="381" t="str">
        <f>IF(ISBLANK(TInventB[[#This Row],[Technische levensduur 
'[jaren']]]),"",(TInventB[[#This Row],[Datum van constructie of productie
'[jjjj-mm-dd']]]+(TInventB[[#This Row],[Technische levensduur 
'[jaren']]]*365)))</f>
        <v/>
      </c>
      <c r="R21" s="826"/>
      <c r="S21" s="827"/>
      <c r="T21" s="827"/>
      <c r="U21" s="828"/>
      <c r="V21" s="190"/>
      <c r="W21" s="197" t="s">
        <v>1165</v>
      </c>
      <c r="X21" s="373"/>
      <c r="Y21" s="374"/>
      <c r="Z21" s="375"/>
      <c r="AA21" s="200"/>
      <c r="AB21" s="376"/>
      <c r="AC21" s="832"/>
      <c r="AD21" s="832"/>
      <c r="AE21" s="832"/>
      <c r="AF21" s="833" t="s">
        <v>739</v>
      </c>
      <c r="AG21" s="834" t="s">
        <v>739</v>
      </c>
      <c r="AH21" s="835"/>
      <c r="AI21" s="832"/>
      <c r="AJ21" s="832"/>
      <c r="AK21" s="836"/>
      <c r="AL21" s="816"/>
      <c r="AM21" s="169"/>
      <c r="AO21" s="169"/>
      <c r="AQ21" s="169"/>
      <c r="AS21" s="169"/>
      <c r="AX21" s="169"/>
      <c r="BA21" s="169"/>
      <c r="BB21" s="169"/>
    </row>
    <row r="22" spans="1:54" ht="10.5" x14ac:dyDescent="0.25">
      <c r="A22" s="369" t="str">
        <f>IF(ISBLANK(TInventB[[#This Row],[Bouwdeel omschrijving]]),"",CONCATENATE(TInventB[[#This Row],[Code Bouwdeeltype]],"-",TInventB[[#This Row],[Volgnr.]]))</f>
        <v/>
      </c>
      <c r="B22" s="365" t="str">
        <f>IF(ISBLANK(TInventB[[#This Row],[Bouwdeel omschrijving]]),"",VLOOKUP(TInventB[[#This Row],[Bouwdeel omschrijving]],TsblB[],2,FALSE))</f>
        <v/>
      </c>
      <c r="C22" s="809"/>
      <c r="D22" s="811"/>
      <c r="E22" s="365" t="str">
        <f>IF(ISBLANK(TInventB[[#This Row],[Bouwdeel omschrijving]]),"",$B$4)</f>
        <v/>
      </c>
      <c r="F22" s="813"/>
      <c r="G22" s="811"/>
      <c r="H22" s="811"/>
      <c r="I22" s="811"/>
      <c r="J22" s="365" t="str">
        <f>IF(ISBLANK(TInventB[[#This Row],[Bouwdeel omschrijving]]),"",VLOOKUP(TInventB[[#This Row],[Bouwdeel omschrijving]],TsblB[],4,FALSE))</f>
        <v/>
      </c>
      <c r="K22" s="365" t="str">
        <f>IF(ISBLANK(TInventB[[#This Row],[Bouwdeel omschrijving]]),"",VLOOKUP(TInventB[[#This Row],[Bouwdeel omschrijving]],TsblB[],3,FALSE))</f>
        <v/>
      </c>
      <c r="L22" s="382" t="str">
        <f t="shared" si="0"/>
        <v/>
      </c>
      <c r="M22" s="816"/>
      <c r="N22" s="817"/>
      <c r="O22" s="817"/>
      <c r="P22" s="820"/>
      <c r="Q22" s="381" t="str">
        <f>IF(ISBLANK(TInventB[[#This Row],[Technische levensduur 
'[jaren']]]),"",(TInventB[[#This Row],[Datum van constructie of productie
'[jjjj-mm-dd']]]+(TInventB[[#This Row],[Technische levensduur 
'[jaren']]]*365)))</f>
        <v/>
      </c>
      <c r="R22" s="826"/>
      <c r="S22" s="827"/>
      <c r="T22" s="827"/>
      <c r="U22" s="828"/>
      <c r="V22" s="190"/>
      <c r="W22" s="197" t="s">
        <v>1165</v>
      </c>
      <c r="X22" s="373"/>
      <c r="Y22" s="374"/>
      <c r="Z22" s="375"/>
      <c r="AA22" s="200"/>
      <c r="AB22" s="376"/>
      <c r="AC22" s="832"/>
      <c r="AD22" s="832"/>
      <c r="AE22" s="832"/>
      <c r="AF22" s="833" t="s">
        <v>739</v>
      </c>
      <c r="AG22" s="834" t="s">
        <v>739</v>
      </c>
      <c r="AH22" s="835"/>
      <c r="AI22" s="832"/>
      <c r="AJ22" s="832"/>
      <c r="AK22" s="836"/>
      <c r="AL22" s="816"/>
      <c r="AM22" s="169"/>
      <c r="AO22" s="169"/>
      <c r="AQ22" s="169"/>
      <c r="AS22" s="169"/>
      <c r="AX22" s="169"/>
      <c r="BA22" s="169"/>
      <c r="BB22" s="169"/>
    </row>
    <row r="23" spans="1:54" ht="10.5" x14ac:dyDescent="0.25">
      <c r="A23" s="369" t="str">
        <f>IF(ISBLANK(TInventB[[#This Row],[Bouwdeel omschrijving]]),"",CONCATENATE(TInventB[[#This Row],[Code Bouwdeeltype]],"-",TInventB[[#This Row],[Volgnr.]]))</f>
        <v/>
      </c>
      <c r="B23" s="365" t="str">
        <f>IF(ISBLANK(TInventB[[#This Row],[Bouwdeel omschrijving]]),"",VLOOKUP(TInventB[[#This Row],[Bouwdeel omschrijving]],TsblB[],2,FALSE))</f>
        <v/>
      </c>
      <c r="C23" s="809"/>
      <c r="D23" s="811"/>
      <c r="E23" s="365" t="str">
        <f>IF(ISBLANK(TInventB[[#This Row],[Bouwdeel omschrijving]]),"",$B$4)</f>
        <v/>
      </c>
      <c r="F23" s="813"/>
      <c r="G23" s="811"/>
      <c r="H23" s="811"/>
      <c r="I23" s="811"/>
      <c r="J23" s="365" t="str">
        <f>IF(ISBLANK(TInventB[[#This Row],[Bouwdeel omschrijving]]),"",VLOOKUP(TInventB[[#This Row],[Bouwdeel omschrijving]],TsblB[],4,FALSE))</f>
        <v/>
      </c>
      <c r="K23" s="365" t="str">
        <f>IF(ISBLANK(TInventB[[#This Row],[Bouwdeel omschrijving]]),"",VLOOKUP(TInventB[[#This Row],[Bouwdeel omschrijving]],TsblB[],3,FALSE))</f>
        <v/>
      </c>
      <c r="L23" s="380" t="str">
        <f t="shared" si="0"/>
        <v/>
      </c>
      <c r="M23" s="819"/>
      <c r="N23" s="817"/>
      <c r="O23" s="817"/>
      <c r="P23" s="820"/>
      <c r="Q23" s="381" t="str">
        <f>IF(ISBLANK(TInventB[[#This Row],[Technische levensduur 
'[jaren']]]),"",(TInventB[[#This Row],[Datum van constructie of productie
'[jjjj-mm-dd']]]+(TInventB[[#This Row],[Technische levensduur 
'[jaren']]]*365)))</f>
        <v/>
      </c>
      <c r="R23" s="826"/>
      <c r="S23" s="827"/>
      <c r="T23" s="827"/>
      <c r="U23" s="828"/>
      <c r="V23" s="190"/>
      <c r="W23" s="197" t="s">
        <v>1165</v>
      </c>
      <c r="X23" s="373"/>
      <c r="Y23" s="374"/>
      <c r="Z23" s="375"/>
      <c r="AA23" s="200"/>
      <c r="AB23" s="376"/>
      <c r="AC23" s="832"/>
      <c r="AD23" s="832"/>
      <c r="AE23" s="832"/>
      <c r="AF23" s="833" t="s">
        <v>739</v>
      </c>
      <c r="AG23" s="834" t="s">
        <v>739</v>
      </c>
      <c r="AH23" s="835"/>
      <c r="AI23" s="832"/>
      <c r="AJ23" s="832"/>
      <c r="AK23" s="836"/>
      <c r="AL23" s="816"/>
      <c r="AM23" s="169"/>
      <c r="AO23" s="169"/>
      <c r="AQ23" s="169"/>
      <c r="AS23" s="169"/>
      <c r="AX23" s="169"/>
      <c r="BA23" s="169"/>
      <c r="BB23" s="169"/>
    </row>
    <row r="24" spans="1:54" ht="10.5" x14ac:dyDescent="0.25">
      <c r="A24" s="369" t="str">
        <f>IF(ISBLANK(TInventB[[#This Row],[Bouwdeel omschrijving]]),"",CONCATENATE(TInventB[[#This Row],[Code Bouwdeeltype]],"-",TInventB[[#This Row],[Volgnr.]]))</f>
        <v/>
      </c>
      <c r="B24" s="365" t="str">
        <f>IF(ISBLANK(TInventB[[#This Row],[Bouwdeel omschrijving]]),"",VLOOKUP(TInventB[[#This Row],[Bouwdeel omschrijving]],TsblB[],2,FALSE))</f>
        <v/>
      </c>
      <c r="C24" s="809"/>
      <c r="D24" s="811"/>
      <c r="E24" s="365" t="str">
        <f>IF(ISBLANK(TInventB[[#This Row],[Bouwdeel omschrijving]]),"",$B$4)</f>
        <v/>
      </c>
      <c r="F24" s="813"/>
      <c r="G24" s="811"/>
      <c r="H24" s="811"/>
      <c r="I24" s="811"/>
      <c r="J24" s="365" t="str">
        <f>IF(ISBLANK(TInventB[[#This Row],[Bouwdeel omschrijving]]),"",VLOOKUP(TInventB[[#This Row],[Bouwdeel omschrijving]],TsblB[],4,FALSE))</f>
        <v/>
      </c>
      <c r="K24" s="365" t="str">
        <f>IF(ISBLANK(TInventB[[#This Row],[Bouwdeel omschrijving]]),"",VLOOKUP(TInventB[[#This Row],[Bouwdeel omschrijving]],TsblB[],3,FALSE))</f>
        <v/>
      </c>
      <c r="L24" s="382" t="str">
        <f t="shared" si="0"/>
        <v/>
      </c>
      <c r="M24" s="816"/>
      <c r="N24" s="817"/>
      <c r="O24" s="817"/>
      <c r="P24" s="820"/>
      <c r="Q24" s="381" t="str">
        <f>IF(ISBLANK(TInventB[[#This Row],[Technische levensduur 
'[jaren']]]),"",(TInventB[[#This Row],[Datum van constructie of productie
'[jjjj-mm-dd']]]+(TInventB[[#This Row],[Technische levensduur 
'[jaren']]]*365)))</f>
        <v/>
      </c>
      <c r="R24" s="826"/>
      <c r="S24" s="827"/>
      <c r="T24" s="827"/>
      <c r="U24" s="828"/>
      <c r="V24" s="190"/>
      <c r="W24" s="197" t="s">
        <v>1165</v>
      </c>
      <c r="X24" s="373"/>
      <c r="Y24" s="374"/>
      <c r="Z24" s="375"/>
      <c r="AA24" s="200"/>
      <c r="AB24" s="376"/>
      <c r="AC24" s="832"/>
      <c r="AD24" s="832"/>
      <c r="AE24" s="832"/>
      <c r="AF24" s="833" t="s">
        <v>739</v>
      </c>
      <c r="AG24" s="834" t="s">
        <v>739</v>
      </c>
      <c r="AH24" s="835"/>
      <c r="AI24" s="832"/>
      <c r="AJ24" s="832"/>
      <c r="AK24" s="836"/>
      <c r="AL24" s="816"/>
      <c r="AM24" s="169"/>
      <c r="AO24" s="169"/>
      <c r="AQ24" s="169"/>
      <c r="AS24" s="169"/>
      <c r="AX24" s="169"/>
      <c r="BA24" s="169"/>
      <c r="BB24" s="169"/>
    </row>
    <row r="25" spans="1:54" ht="10.5" x14ac:dyDescent="0.25">
      <c r="A25" s="369" t="str">
        <f>IF(ISBLANK(TInventB[[#This Row],[Bouwdeel omschrijving]]),"",CONCATENATE(TInventB[[#This Row],[Code Bouwdeeltype]],"-",TInventB[[#This Row],[Volgnr.]]))</f>
        <v/>
      </c>
      <c r="B25" s="365" t="str">
        <f>IF(ISBLANK(TInventB[[#This Row],[Bouwdeel omschrijving]]),"",VLOOKUP(TInventB[[#This Row],[Bouwdeel omschrijving]],TsblB[],2,FALSE))</f>
        <v/>
      </c>
      <c r="C25" s="809"/>
      <c r="D25" s="811"/>
      <c r="E25" s="365" t="str">
        <f>IF(ISBLANK(TInventB[[#This Row],[Bouwdeel omschrijving]]),"",$B$4)</f>
        <v/>
      </c>
      <c r="F25" s="813"/>
      <c r="G25" s="811"/>
      <c r="H25" s="811"/>
      <c r="I25" s="811"/>
      <c r="J25" s="365" t="str">
        <f>IF(ISBLANK(TInventB[[#This Row],[Bouwdeel omschrijving]]),"",VLOOKUP(TInventB[[#This Row],[Bouwdeel omschrijving]],TsblB[],4,FALSE))</f>
        <v/>
      </c>
      <c r="K25" s="365" t="str">
        <f>IF(ISBLANK(TInventB[[#This Row],[Bouwdeel omschrijving]]),"",VLOOKUP(TInventB[[#This Row],[Bouwdeel omschrijving]],TsblB[],3,FALSE))</f>
        <v/>
      </c>
      <c r="L25" s="380" t="str">
        <f t="shared" si="0"/>
        <v/>
      </c>
      <c r="M25" s="819"/>
      <c r="N25" s="817"/>
      <c r="O25" s="817"/>
      <c r="P25" s="820"/>
      <c r="Q25" s="381" t="str">
        <f>IF(ISBLANK(TInventB[[#This Row],[Technische levensduur 
'[jaren']]]),"",(TInventB[[#This Row],[Datum van constructie of productie
'[jjjj-mm-dd']]]+(TInventB[[#This Row],[Technische levensduur 
'[jaren']]]*365)))</f>
        <v/>
      </c>
      <c r="R25" s="826"/>
      <c r="S25" s="827"/>
      <c r="T25" s="827"/>
      <c r="U25" s="828"/>
      <c r="V25" s="190"/>
      <c r="W25" s="197" t="s">
        <v>1165</v>
      </c>
      <c r="X25" s="373"/>
      <c r="Y25" s="374"/>
      <c r="Z25" s="375"/>
      <c r="AA25" s="200"/>
      <c r="AB25" s="376"/>
      <c r="AC25" s="832"/>
      <c r="AD25" s="832"/>
      <c r="AE25" s="832"/>
      <c r="AF25" s="833" t="s">
        <v>739</v>
      </c>
      <c r="AG25" s="834" t="s">
        <v>739</v>
      </c>
      <c r="AH25" s="835"/>
      <c r="AI25" s="832"/>
      <c r="AJ25" s="832"/>
      <c r="AK25" s="836"/>
      <c r="AL25" s="816"/>
      <c r="AM25" s="169"/>
      <c r="AO25" s="169"/>
      <c r="AQ25" s="169"/>
      <c r="AS25" s="169"/>
      <c r="AX25" s="169"/>
      <c r="BA25" s="169"/>
      <c r="BB25" s="169"/>
    </row>
    <row r="26" spans="1:54" ht="10.5" x14ac:dyDescent="0.25">
      <c r="A26" s="369" t="str">
        <f>IF(ISBLANK(TInventB[[#This Row],[Bouwdeel omschrijving]]),"",CONCATENATE(TInventB[[#This Row],[Code Bouwdeeltype]],"-",TInventB[[#This Row],[Volgnr.]]))</f>
        <v/>
      </c>
      <c r="B26" s="365" t="str">
        <f>IF(ISBLANK(TInventB[[#This Row],[Bouwdeel omschrijving]]),"",VLOOKUP(TInventB[[#This Row],[Bouwdeel omschrijving]],TsblB[],2,FALSE))</f>
        <v/>
      </c>
      <c r="C26" s="809"/>
      <c r="D26" s="811"/>
      <c r="E26" s="365" t="str">
        <f>IF(ISBLANK(TInventB[[#This Row],[Bouwdeel omschrijving]]),"",$B$4)</f>
        <v/>
      </c>
      <c r="F26" s="813"/>
      <c r="G26" s="811"/>
      <c r="H26" s="811"/>
      <c r="I26" s="811"/>
      <c r="J26" s="365" t="str">
        <f>IF(ISBLANK(TInventB[[#This Row],[Bouwdeel omschrijving]]),"",VLOOKUP(TInventB[[#This Row],[Bouwdeel omschrijving]],TsblB[],4,FALSE))</f>
        <v/>
      </c>
      <c r="K26" s="365" t="str">
        <f>IF(ISBLANK(TInventB[[#This Row],[Bouwdeel omschrijving]]),"",VLOOKUP(TInventB[[#This Row],[Bouwdeel omschrijving]],TsblB[],3,FALSE))</f>
        <v/>
      </c>
      <c r="L26" s="382" t="str">
        <f t="shared" si="0"/>
        <v/>
      </c>
      <c r="M26" s="816"/>
      <c r="N26" s="817"/>
      <c r="O26" s="817"/>
      <c r="P26" s="820"/>
      <c r="Q26" s="381" t="str">
        <f>IF(ISBLANK(TInventB[[#This Row],[Technische levensduur 
'[jaren']]]),"",(TInventB[[#This Row],[Datum van constructie of productie
'[jjjj-mm-dd']]]+(TInventB[[#This Row],[Technische levensduur 
'[jaren']]]*365)))</f>
        <v/>
      </c>
      <c r="R26" s="826"/>
      <c r="S26" s="827"/>
      <c r="T26" s="827"/>
      <c r="U26" s="828"/>
      <c r="V26" s="190"/>
      <c r="W26" s="197" t="s">
        <v>1165</v>
      </c>
      <c r="X26" s="373"/>
      <c r="Y26" s="374"/>
      <c r="Z26" s="375"/>
      <c r="AA26" s="200"/>
      <c r="AB26" s="376"/>
      <c r="AC26" s="832"/>
      <c r="AD26" s="832"/>
      <c r="AE26" s="832"/>
      <c r="AF26" s="833" t="s">
        <v>739</v>
      </c>
      <c r="AG26" s="834" t="s">
        <v>739</v>
      </c>
      <c r="AH26" s="835"/>
      <c r="AI26" s="832"/>
      <c r="AJ26" s="832"/>
      <c r="AK26" s="836"/>
      <c r="AL26" s="816"/>
      <c r="AM26" s="169"/>
      <c r="AO26" s="169"/>
      <c r="AQ26" s="169"/>
      <c r="AS26" s="169"/>
      <c r="AX26" s="169"/>
      <c r="BA26" s="169"/>
      <c r="BB26" s="169"/>
    </row>
    <row r="27" spans="1:54" ht="10.5" x14ac:dyDescent="0.25">
      <c r="A27" s="369" t="str">
        <f>IF(ISBLANK(TInventB[[#This Row],[Bouwdeel omschrijving]]),"",CONCATENATE(TInventB[[#This Row],[Code Bouwdeeltype]],"-",TInventB[[#This Row],[Volgnr.]]))</f>
        <v/>
      </c>
      <c r="B27" s="365" t="str">
        <f>IF(ISBLANK(TInventB[[#This Row],[Bouwdeel omschrijving]]),"",VLOOKUP(TInventB[[#This Row],[Bouwdeel omschrijving]],TsblB[],2,FALSE))</f>
        <v/>
      </c>
      <c r="C27" s="809"/>
      <c r="D27" s="811"/>
      <c r="E27" s="365" t="str">
        <f>IF(ISBLANK(TInventB[[#This Row],[Bouwdeel omschrijving]]),"",$B$4)</f>
        <v/>
      </c>
      <c r="F27" s="813"/>
      <c r="G27" s="811"/>
      <c r="H27" s="811"/>
      <c r="I27" s="811"/>
      <c r="J27" s="365" t="str">
        <f>IF(ISBLANK(TInventB[[#This Row],[Bouwdeel omschrijving]]),"",VLOOKUP(TInventB[[#This Row],[Bouwdeel omschrijving]],TsblB[],4,FALSE))</f>
        <v/>
      </c>
      <c r="K27" s="365" t="str">
        <f>IF(ISBLANK(TInventB[[#This Row],[Bouwdeel omschrijving]]),"",VLOOKUP(TInventB[[#This Row],[Bouwdeel omschrijving]],TsblB[],3,FALSE))</f>
        <v/>
      </c>
      <c r="L27" s="380" t="str">
        <f t="shared" si="0"/>
        <v/>
      </c>
      <c r="M27" s="819"/>
      <c r="N27" s="817"/>
      <c r="O27" s="817"/>
      <c r="P27" s="820"/>
      <c r="Q27" s="381" t="str">
        <f>IF(ISBLANK(TInventB[[#This Row],[Technische levensduur 
'[jaren']]]),"",(TInventB[[#This Row],[Datum van constructie of productie
'[jjjj-mm-dd']]]+(TInventB[[#This Row],[Technische levensduur 
'[jaren']]]*365)))</f>
        <v/>
      </c>
      <c r="R27" s="826"/>
      <c r="S27" s="827"/>
      <c r="T27" s="827"/>
      <c r="U27" s="828"/>
      <c r="V27" s="190"/>
      <c r="W27" s="197" t="s">
        <v>1165</v>
      </c>
      <c r="X27" s="373"/>
      <c r="Y27" s="374"/>
      <c r="Z27" s="375"/>
      <c r="AA27" s="200"/>
      <c r="AB27" s="376"/>
      <c r="AC27" s="832"/>
      <c r="AD27" s="832"/>
      <c r="AE27" s="832"/>
      <c r="AF27" s="833" t="s">
        <v>739</v>
      </c>
      <c r="AG27" s="834" t="s">
        <v>739</v>
      </c>
      <c r="AH27" s="835"/>
      <c r="AI27" s="832"/>
      <c r="AJ27" s="832"/>
      <c r="AK27" s="836"/>
      <c r="AL27" s="816"/>
      <c r="AM27" s="169"/>
      <c r="AO27" s="169"/>
      <c r="AQ27" s="169"/>
      <c r="AS27" s="169"/>
      <c r="AX27" s="169"/>
      <c r="BA27" s="169"/>
      <c r="BB27" s="169"/>
    </row>
    <row r="28" spans="1:54" ht="10.5" x14ac:dyDescent="0.25">
      <c r="A28" s="369" t="str">
        <f>IF(ISBLANK(TInventB[[#This Row],[Bouwdeel omschrijving]]),"",CONCATENATE(TInventB[[#This Row],[Code Bouwdeeltype]],"-",TInventB[[#This Row],[Volgnr.]]))</f>
        <v/>
      </c>
      <c r="B28" s="365" t="str">
        <f>IF(ISBLANK(TInventB[[#This Row],[Bouwdeel omschrijving]]),"",VLOOKUP(TInventB[[#This Row],[Bouwdeel omschrijving]],TsblB[],2,FALSE))</f>
        <v/>
      </c>
      <c r="C28" s="809"/>
      <c r="D28" s="811"/>
      <c r="E28" s="365" t="str">
        <f>IF(ISBLANK(TInventB[[#This Row],[Bouwdeel omschrijving]]),"",$B$4)</f>
        <v/>
      </c>
      <c r="F28" s="813"/>
      <c r="G28" s="811"/>
      <c r="H28" s="811"/>
      <c r="I28" s="811"/>
      <c r="J28" s="365" t="str">
        <f>IF(ISBLANK(TInventB[[#This Row],[Bouwdeel omschrijving]]),"",VLOOKUP(TInventB[[#This Row],[Bouwdeel omschrijving]],TsblB[],4,FALSE))</f>
        <v/>
      </c>
      <c r="K28" s="365" t="str">
        <f>IF(ISBLANK(TInventB[[#This Row],[Bouwdeel omschrijving]]),"",VLOOKUP(TInventB[[#This Row],[Bouwdeel omschrijving]],TsblB[],3,FALSE))</f>
        <v/>
      </c>
      <c r="L28" s="382" t="str">
        <f t="shared" si="0"/>
        <v/>
      </c>
      <c r="M28" s="816"/>
      <c r="N28" s="817"/>
      <c r="O28" s="817"/>
      <c r="P28" s="820"/>
      <c r="Q28" s="381" t="str">
        <f>IF(ISBLANK(TInventB[[#This Row],[Technische levensduur 
'[jaren']]]),"",(TInventB[[#This Row],[Datum van constructie of productie
'[jjjj-mm-dd']]]+(TInventB[[#This Row],[Technische levensduur 
'[jaren']]]*365)))</f>
        <v/>
      </c>
      <c r="R28" s="826"/>
      <c r="S28" s="827"/>
      <c r="T28" s="827"/>
      <c r="U28" s="828"/>
      <c r="V28" s="190"/>
      <c r="W28" s="197" t="s">
        <v>1165</v>
      </c>
      <c r="X28" s="373"/>
      <c r="Y28" s="374"/>
      <c r="Z28" s="375"/>
      <c r="AA28" s="200"/>
      <c r="AB28" s="376"/>
      <c r="AC28" s="832"/>
      <c r="AD28" s="832"/>
      <c r="AE28" s="832"/>
      <c r="AF28" s="833" t="s">
        <v>739</v>
      </c>
      <c r="AG28" s="834" t="s">
        <v>739</v>
      </c>
      <c r="AH28" s="835"/>
      <c r="AI28" s="832"/>
      <c r="AJ28" s="832"/>
      <c r="AK28" s="836"/>
      <c r="AL28" s="816"/>
      <c r="AM28" s="169"/>
      <c r="AO28" s="169"/>
      <c r="AQ28" s="169"/>
      <c r="AS28" s="169"/>
      <c r="AX28" s="169"/>
      <c r="BA28" s="169"/>
      <c r="BB28" s="169"/>
    </row>
    <row r="29" spans="1:54" ht="10.5" x14ac:dyDescent="0.25">
      <c r="A29" s="369" t="str">
        <f>IF(ISBLANK(TInventB[[#This Row],[Bouwdeel omschrijving]]),"",CONCATENATE(TInventB[[#This Row],[Code Bouwdeeltype]],"-",TInventB[[#This Row],[Volgnr.]]))</f>
        <v/>
      </c>
      <c r="B29" s="365" t="str">
        <f>IF(ISBLANK(TInventB[[#This Row],[Bouwdeel omschrijving]]),"",VLOOKUP(TInventB[[#This Row],[Bouwdeel omschrijving]],TsblB[],2,FALSE))</f>
        <v/>
      </c>
      <c r="C29" s="809"/>
      <c r="D29" s="811"/>
      <c r="E29" s="365" t="str">
        <f>IF(ISBLANK(TInventB[[#This Row],[Bouwdeel omschrijving]]),"",$B$4)</f>
        <v/>
      </c>
      <c r="F29" s="813"/>
      <c r="G29" s="811"/>
      <c r="H29" s="811"/>
      <c r="I29" s="811"/>
      <c r="J29" s="365" t="str">
        <f>IF(ISBLANK(TInventB[[#This Row],[Bouwdeel omschrijving]]),"",VLOOKUP(TInventB[[#This Row],[Bouwdeel omschrijving]],TsblB[],4,FALSE))</f>
        <v/>
      </c>
      <c r="K29" s="365" t="str">
        <f>IF(ISBLANK(TInventB[[#This Row],[Bouwdeel omschrijving]]),"",VLOOKUP(TInventB[[#This Row],[Bouwdeel omschrijving]],TsblB[],3,FALSE))</f>
        <v/>
      </c>
      <c r="L29" s="380" t="str">
        <f t="shared" si="0"/>
        <v/>
      </c>
      <c r="M29" s="819"/>
      <c r="N29" s="817"/>
      <c r="O29" s="817"/>
      <c r="P29" s="820"/>
      <c r="Q29" s="381" t="str">
        <f>IF(ISBLANK(TInventB[[#This Row],[Technische levensduur 
'[jaren']]]),"",(TInventB[[#This Row],[Datum van constructie of productie
'[jjjj-mm-dd']]]+(TInventB[[#This Row],[Technische levensduur 
'[jaren']]]*365)))</f>
        <v/>
      </c>
      <c r="R29" s="826"/>
      <c r="S29" s="827"/>
      <c r="T29" s="827"/>
      <c r="U29" s="828"/>
      <c r="V29" s="190"/>
      <c r="W29" s="197" t="s">
        <v>1165</v>
      </c>
      <c r="X29" s="373"/>
      <c r="Y29" s="374"/>
      <c r="Z29" s="375"/>
      <c r="AA29" s="200"/>
      <c r="AB29" s="376"/>
      <c r="AC29" s="832"/>
      <c r="AD29" s="832"/>
      <c r="AE29" s="832"/>
      <c r="AF29" s="833" t="s">
        <v>739</v>
      </c>
      <c r="AG29" s="834" t="s">
        <v>739</v>
      </c>
      <c r="AH29" s="835"/>
      <c r="AI29" s="832"/>
      <c r="AJ29" s="832"/>
      <c r="AK29" s="836"/>
      <c r="AL29" s="816"/>
      <c r="AM29" s="169"/>
      <c r="AO29" s="169"/>
      <c r="AQ29" s="169"/>
      <c r="AS29" s="169"/>
      <c r="AX29" s="169"/>
      <c r="BA29" s="169"/>
      <c r="BB29" s="169"/>
    </row>
    <row r="30" spans="1:54" ht="10.5" x14ac:dyDescent="0.25">
      <c r="A30" s="369" t="str">
        <f>IF(ISBLANK(TInventB[[#This Row],[Bouwdeel omschrijving]]),"",CONCATENATE(TInventB[[#This Row],[Code Bouwdeeltype]],"-",TInventB[[#This Row],[Volgnr.]]))</f>
        <v/>
      </c>
      <c r="B30" s="365" t="str">
        <f>IF(ISBLANK(TInventB[[#This Row],[Bouwdeel omschrijving]]),"",VLOOKUP(TInventB[[#This Row],[Bouwdeel omschrijving]],TsblB[],2,FALSE))</f>
        <v/>
      </c>
      <c r="C30" s="809"/>
      <c r="D30" s="811"/>
      <c r="E30" s="365" t="str">
        <f>IF(ISBLANK(TInventB[[#This Row],[Bouwdeel omschrijving]]),"",$B$4)</f>
        <v/>
      </c>
      <c r="F30" s="813"/>
      <c r="G30" s="811"/>
      <c r="H30" s="811"/>
      <c r="I30" s="811"/>
      <c r="J30" s="365" t="str">
        <f>IF(ISBLANK(TInventB[[#This Row],[Bouwdeel omschrijving]]),"",VLOOKUP(TInventB[[#This Row],[Bouwdeel omschrijving]],TsblB[],4,FALSE))</f>
        <v/>
      </c>
      <c r="K30" s="365" t="str">
        <f>IF(ISBLANK(TInventB[[#This Row],[Bouwdeel omschrijving]]),"",VLOOKUP(TInventB[[#This Row],[Bouwdeel omschrijving]],TsblB[],3,FALSE))</f>
        <v/>
      </c>
      <c r="L30" s="382" t="str">
        <f t="shared" si="0"/>
        <v/>
      </c>
      <c r="M30" s="816"/>
      <c r="N30" s="817"/>
      <c r="O30" s="817"/>
      <c r="P30" s="820"/>
      <c r="Q30" s="381" t="str">
        <f>IF(ISBLANK(TInventB[[#This Row],[Technische levensduur 
'[jaren']]]),"",(TInventB[[#This Row],[Datum van constructie of productie
'[jjjj-mm-dd']]]+(TInventB[[#This Row],[Technische levensduur 
'[jaren']]]*365)))</f>
        <v/>
      </c>
      <c r="R30" s="826"/>
      <c r="S30" s="827"/>
      <c r="T30" s="827"/>
      <c r="U30" s="828"/>
      <c r="V30" s="190"/>
      <c r="W30" s="197" t="s">
        <v>1165</v>
      </c>
      <c r="X30" s="373"/>
      <c r="Y30" s="374"/>
      <c r="Z30" s="375"/>
      <c r="AA30" s="200"/>
      <c r="AB30" s="376"/>
      <c r="AC30" s="832"/>
      <c r="AD30" s="832"/>
      <c r="AE30" s="832"/>
      <c r="AF30" s="833" t="s">
        <v>739</v>
      </c>
      <c r="AG30" s="834" t="s">
        <v>739</v>
      </c>
      <c r="AH30" s="835"/>
      <c r="AI30" s="832"/>
      <c r="AJ30" s="832"/>
      <c r="AK30" s="836"/>
      <c r="AL30" s="816"/>
      <c r="AM30" s="169"/>
      <c r="AO30" s="169"/>
      <c r="AQ30" s="169"/>
      <c r="AS30" s="169"/>
      <c r="AX30" s="169"/>
      <c r="BA30" s="169"/>
      <c r="BB30" s="169"/>
    </row>
    <row r="31" spans="1:54" ht="10.5" x14ac:dyDescent="0.25">
      <c r="A31" s="369" t="str">
        <f>IF(ISBLANK(TInventB[[#This Row],[Bouwdeel omschrijving]]),"",CONCATENATE(TInventB[[#This Row],[Code Bouwdeeltype]],"-",TInventB[[#This Row],[Volgnr.]]))</f>
        <v/>
      </c>
      <c r="B31" s="365" t="str">
        <f>IF(ISBLANK(TInventB[[#This Row],[Bouwdeel omschrijving]]),"",VLOOKUP(TInventB[[#This Row],[Bouwdeel omschrijving]],TsblB[],2,FALSE))</f>
        <v/>
      </c>
      <c r="C31" s="809"/>
      <c r="D31" s="811"/>
      <c r="E31" s="365" t="str">
        <f>IF(ISBLANK(TInventB[[#This Row],[Bouwdeel omschrijving]]),"",$B$4)</f>
        <v/>
      </c>
      <c r="F31" s="813"/>
      <c r="G31" s="811"/>
      <c r="H31" s="811"/>
      <c r="I31" s="811"/>
      <c r="J31" s="365" t="str">
        <f>IF(ISBLANK(TInventB[[#This Row],[Bouwdeel omschrijving]]),"",VLOOKUP(TInventB[[#This Row],[Bouwdeel omschrijving]],TsblB[],4,FALSE))</f>
        <v/>
      </c>
      <c r="K31" s="365" t="str">
        <f>IF(ISBLANK(TInventB[[#This Row],[Bouwdeel omschrijving]]),"",VLOOKUP(TInventB[[#This Row],[Bouwdeel omschrijving]],TsblB[],3,FALSE))</f>
        <v/>
      </c>
      <c r="L31" s="380" t="str">
        <f t="shared" si="0"/>
        <v/>
      </c>
      <c r="M31" s="819"/>
      <c r="N31" s="817"/>
      <c r="O31" s="817"/>
      <c r="P31" s="820"/>
      <c r="Q31" s="381" t="str">
        <f>IF(ISBLANK(TInventB[[#This Row],[Technische levensduur 
'[jaren']]]),"",(TInventB[[#This Row],[Datum van constructie of productie
'[jjjj-mm-dd']]]+(TInventB[[#This Row],[Technische levensduur 
'[jaren']]]*365)))</f>
        <v/>
      </c>
      <c r="R31" s="826"/>
      <c r="S31" s="827"/>
      <c r="T31" s="827"/>
      <c r="U31" s="828"/>
      <c r="V31" s="190"/>
      <c r="W31" s="197" t="s">
        <v>1165</v>
      </c>
      <c r="X31" s="373"/>
      <c r="Y31" s="374"/>
      <c r="Z31" s="375"/>
      <c r="AA31" s="200"/>
      <c r="AB31" s="376"/>
      <c r="AC31" s="832"/>
      <c r="AD31" s="832"/>
      <c r="AE31" s="832"/>
      <c r="AF31" s="833" t="s">
        <v>739</v>
      </c>
      <c r="AG31" s="834" t="s">
        <v>739</v>
      </c>
      <c r="AH31" s="835"/>
      <c r="AI31" s="832"/>
      <c r="AJ31" s="832"/>
      <c r="AK31" s="836"/>
      <c r="AL31" s="816"/>
      <c r="AM31" s="169"/>
      <c r="AO31" s="169"/>
      <c r="AQ31" s="169"/>
      <c r="AS31" s="169"/>
      <c r="AX31" s="169"/>
      <c r="BA31" s="169"/>
      <c r="BB31" s="169"/>
    </row>
    <row r="32" spans="1:54" ht="10.5" x14ac:dyDescent="0.25">
      <c r="A32" s="369" t="str">
        <f>IF(ISBLANK(TInventB[[#This Row],[Bouwdeel omschrijving]]),"",CONCATENATE(TInventB[[#This Row],[Code Bouwdeeltype]],"-",TInventB[[#This Row],[Volgnr.]]))</f>
        <v/>
      </c>
      <c r="B32" s="365" t="str">
        <f>IF(ISBLANK(TInventB[[#This Row],[Bouwdeel omschrijving]]),"",VLOOKUP(TInventB[[#This Row],[Bouwdeel omschrijving]],TsblB[],2,FALSE))</f>
        <v/>
      </c>
      <c r="C32" s="809"/>
      <c r="D32" s="811"/>
      <c r="E32" s="365" t="str">
        <f>IF(ISBLANK(TInventB[[#This Row],[Bouwdeel omschrijving]]),"",$B$4)</f>
        <v/>
      </c>
      <c r="F32" s="813"/>
      <c r="G32" s="811"/>
      <c r="H32" s="811"/>
      <c r="I32" s="811"/>
      <c r="J32" s="365" t="str">
        <f>IF(ISBLANK(TInventB[[#This Row],[Bouwdeel omschrijving]]),"",VLOOKUP(TInventB[[#This Row],[Bouwdeel omschrijving]],TsblB[],4,FALSE))</f>
        <v/>
      </c>
      <c r="K32" s="365" t="str">
        <f>IF(ISBLANK(TInventB[[#This Row],[Bouwdeel omschrijving]]),"",VLOOKUP(TInventB[[#This Row],[Bouwdeel omschrijving]],TsblB[],3,FALSE))</f>
        <v/>
      </c>
      <c r="L32" s="382" t="str">
        <f t="shared" si="0"/>
        <v/>
      </c>
      <c r="M32" s="816"/>
      <c r="N32" s="817"/>
      <c r="O32" s="817"/>
      <c r="P32" s="820"/>
      <c r="Q32" s="381" t="str">
        <f>IF(ISBLANK(TInventB[[#This Row],[Technische levensduur 
'[jaren']]]),"",(TInventB[[#This Row],[Datum van constructie of productie
'[jjjj-mm-dd']]]+(TInventB[[#This Row],[Technische levensduur 
'[jaren']]]*365)))</f>
        <v/>
      </c>
      <c r="R32" s="826"/>
      <c r="S32" s="827"/>
      <c r="T32" s="827"/>
      <c r="U32" s="828"/>
      <c r="V32" s="190"/>
      <c r="W32" s="197" t="s">
        <v>1165</v>
      </c>
      <c r="X32" s="373"/>
      <c r="Y32" s="374"/>
      <c r="Z32" s="375"/>
      <c r="AA32" s="200"/>
      <c r="AB32" s="376"/>
      <c r="AC32" s="832"/>
      <c r="AD32" s="832"/>
      <c r="AE32" s="832"/>
      <c r="AF32" s="833" t="s">
        <v>739</v>
      </c>
      <c r="AG32" s="834" t="s">
        <v>739</v>
      </c>
      <c r="AH32" s="835"/>
      <c r="AI32" s="832"/>
      <c r="AJ32" s="832"/>
      <c r="AK32" s="836"/>
      <c r="AL32" s="816"/>
      <c r="AM32" s="169"/>
      <c r="AO32" s="169"/>
      <c r="AQ32" s="169"/>
      <c r="AS32" s="169"/>
      <c r="AX32" s="169"/>
      <c r="BA32" s="169"/>
      <c r="BB32" s="169"/>
    </row>
    <row r="33" spans="1:54" ht="10.5" x14ac:dyDescent="0.25">
      <c r="A33" s="369" t="str">
        <f>IF(ISBLANK(TInventB[[#This Row],[Bouwdeel omschrijving]]),"",CONCATENATE(TInventB[[#This Row],[Code Bouwdeeltype]],"-",TInventB[[#This Row],[Volgnr.]]))</f>
        <v/>
      </c>
      <c r="B33" s="365" t="str">
        <f>IF(ISBLANK(TInventB[[#This Row],[Bouwdeel omschrijving]]),"",VLOOKUP(TInventB[[#This Row],[Bouwdeel omschrijving]],TsblB[],2,FALSE))</f>
        <v/>
      </c>
      <c r="C33" s="809"/>
      <c r="D33" s="811"/>
      <c r="E33" s="365" t="str">
        <f>IF(ISBLANK(TInventB[[#This Row],[Bouwdeel omschrijving]]),"",$B$4)</f>
        <v/>
      </c>
      <c r="F33" s="813"/>
      <c r="G33" s="811"/>
      <c r="H33" s="811"/>
      <c r="I33" s="811"/>
      <c r="J33" s="365" t="str">
        <f>IF(ISBLANK(TInventB[[#This Row],[Bouwdeel omschrijving]]),"",VLOOKUP(TInventB[[#This Row],[Bouwdeel omschrijving]],TsblB[],4,FALSE))</f>
        <v/>
      </c>
      <c r="K33" s="365" t="str">
        <f>IF(ISBLANK(TInventB[[#This Row],[Bouwdeel omschrijving]]),"",VLOOKUP(TInventB[[#This Row],[Bouwdeel omschrijving]],TsblB[],3,FALSE))</f>
        <v/>
      </c>
      <c r="L33" s="380" t="str">
        <f t="shared" si="0"/>
        <v/>
      </c>
      <c r="M33" s="819"/>
      <c r="N33" s="817"/>
      <c r="O33" s="817"/>
      <c r="P33" s="820"/>
      <c r="Q33" s="381" t="str">
        <f>IF(ISBLANK(TInventB[[#This Row],[Technische levensduur 
'[jaren']]]),"",(TInventB[[#This Row],[Datum van constructie of productie
'[jjjj-mm-dd']]]+(TInventB[[#This Row],[Technische levensduur 
'[jaren']]]*365)))</f>
        <v/>
      </c>
      <c r="R33" s="826"/>
      <c r="S33" s="827"/>
      <c r="T33" s="827"/>
      <c r="U33" s="828"/>
      <c r="V33" s="190"/>
      <c r="W33" s="197" t="s">
        <v>1165</v>
      </c>
      <c r="X33" s="373"/>
      <c r="Y33" s="374"/>
      <c r="Z33" s="375"/>
      <c r="AA33" s="200"/>
      <c r="AB33" s="376"/>
      <c r="AC33" s="832"/>
      <c r="AD33" s="832"/>
      <c r="AE33" s="832"/>
      <c r="AF33" s="833" t="s">
        <v>739</v>
      </c>
      <c r="AG33" s="834" t="s">
        <v>739</v>
      </c>
      <c r="AH33" s="835"/>
      <c r="AI33" s="832"/>
      <c r="AJ33" s="832"/>
      <c r="AK33" s="836"/>
      <c r="AL33" s="816"/>
      <c r="AM33" s="169"/>
      <c r="AO33" s="169"/>
      <c r="AQ33" s="169"/>
      <c r="AS33" s="169"/>
      <c r="AX33" s="169"/>
      <c r="BA33" s="169"/>
      <c r="BB33" s="169"/>
    </row>
    <row r="34" spans="1:54" ht="10.5" x14ac:dyDescent="0.25">
      <c r="A34" s="369" t="str">
        <f>IF(ISBLANK(TInventB[[#This Row],[Bouwdeel omschrijving]]),"",CONCATENATE(TInventB[[#This Row],[Code Bouwdeeltype]],"-",TInventB[[#This Row],[Volgnr.]]))</f>
        <v/>
      </c>
      <c r="B34" s="365" t="str">
        <f>IF(ISBLANK(TInventB[[#This Row],[Bouwdeel omschrijving]]),"",VLOOKUP(TInventB[[#This Row],[Bouwdeel omschrijving]],TsblB[],2,FALSE))</f>
        <v/>
      </c>
      <c r="C34" s="809"/>
      <c r="D34" s="811"/>
      <c r="E34" s="365" t="str">
        <f>IF(ISBLANK(TInventB[[#This Row],[Bouwdeel omschrijving]]),"",$B$4)</f>
        <v/>
      </c>
      <c r="F34" s="813"/>
      <c r="G34" s="811"/>
      <c r="H34" s="811"/>
      <c r="I34" s="811"/>
      <c r="J34" s="365" t="str">
        <f>IF(ISBLANK(TInventB[[#This Row],[Bouwdeel omschrijving]]),"",VLOOKUP(TInventB[[#This Row],[Bouwdeel omschrijving]],TsblB[],4,FALSE))</f>
        <v/>
      </c>
      <c r="K34" s="365" t="str">
        <f>IF(ISBLANK(TInventB[[#This Row],[Bouwdeel omschrijving]]),"",VLOOKUP(TInventB[[#This Row],[Bouwdeel omschrijving]],TsblB[],3,FALSE))</f>
        <v/>
      </c>
      <c r="L34" s="382" t="str">
        <f t="shared" si="0"/>
        <v/>
      </c>
      <c r="M34" s="816"/>
      <c r="N34" s="817"/>
      <c r="O34" s="817"/>
      <c r="P34" s="820"/>
      <c r="Q34" s="381" t="str">
        <f>IF(ISBLANK(TInventB[[#This Row],[Technische levensduur 
'[jaren']]]),"",(TInventB[[#This Row],[Datum van constructie of productie
'[jjjj-mm-dd']]]+(TInventB[[#This Row],[Technische levensduur 
'[jaren']]]*365)))</f>
        <v/>
      </c>
      <c r="R34" s="826"/>
      <c r="S34" s="827"/>
      <c r="T34" s="827"/>
      <c r="U34" s="828"/>
      <c r="V34" s="190"/>
      <c r="W34" s="197" t="s">
        <v>1165</v>
      </c>
      <c r="X34" s="373"/>
      <c r="Y34" s="374"/>
      <c r="Z34" s="375"/>
      <c r="AA34" s="200"/>
      <c r="AB34" s="376"/>
      <c r="AC34" s="832"/>
      <c r="AD34" s="832"/>
      <c r="AE34" s="832"/>
      <c r="AF34" s="833" t="s">
        <v>739</v>
      </c>
      <c r="AG34" s="834" t="s">
        <v>739</v>
      </c>
      <c r="AH34" s="835"/>
      <c r="AI34" s="832"/>
      <c r="AJ34" s="832"/>
      <c r="AK34" s="836"/>
      <c r="AL34" s="816"/>
      <c r="AM34" s="169"/>
      <c r="AO34" s="169"/>
      <c r="AQ34" s="169"/>
      <c r="AS34" s="169"/>
      <c r="AX34" s="169"/>
      <c r="BA34" s="169"/>
      <c r="BB34" s="169"/>
    </row>
    <row r="35" spans="1:54" ht="10.5" x14ac:dyDescent="0.25">
      <c r="A35" s="369" t="str">
        <f>IF(ISBLANK(TInventB[[#This Row],[Bouwdeel omschrijving]]),"",CONCATENATE(TInventB[[#This Row],[Code Bouwdeeltype]],"-",TInventB[[#This Row],[Volgnr.]]))</f>
        <v/>
      </c>
      <c r="B35" s="365" t="str">
        <f>IF(ISBLANK(TInventB[[#This Row],[Bouwdeel omschrijving]]),"",VLOOKUP(TInventB[[#This Row],[Bouwdeel omschrijving]],TsblB[],2,FALSE))</f>
        <v/>
      </c>
      <c r="C35" s="809"/>
      <c r="D35" s="811"/>
      <c r="E35" s="365" t="str">
        <f>IF(ISBLANK(TInventB[[#This Row],[Bouwdeel omschrijving]]),"",$B$4)</f>
        <v/>
      </c>
      <c r="F35" s="813"/>
      <c r="G35" s="811"/>
      <c r="H35" s="811"/>
      <c r="I35" s="811"/>
      <c r="J35" s="365" t="str">
        <f>IF(ISBLANK(TInventB[[#This Row],[Bouwdeel omschrijving]]),"",VLOOKUP(TInventB[[#This Row],[Bouwdeel omschrijving]],TsblB[],4,FALSE))</f>
        <v/>
      </c>
      <c r="K35" s="365" t="str">
        <f>IF(ISBLANK(TInventB[[#This Row],[Bouwdeel omschrijving]]),"",VLOOKUP(TInventB[[#This Row],[Bouwdeel omschrijving]],TsblB[],3,FALSE))</f>
        <v/>
      </c>
      <c r="L35" s="382" t="str">
        <f t="shared" si="0"/>
        <v/>
      </c>
      <c r="M35" s="816"/>
      <c r="N35" s="817"/>
      <c r="O35" s="817"/>
      <c r="P35" s="820"/>
      <c r="Q35" s="381" t="str">
        <f>IF(ISBLANK(TInventB[[#This Row],[Technische levensduur 
'[jaren']]]),"",(TInventB[[#This Row],[Datum van constructie of productie
'[jjjj-mm-dd']]]+(TInventB[[#This Row],[Technische levensduur 
'[jaren']]]*365)))</f>
        <v/>
      </c>
      <c r="R35" s="826"/>
      <c r="S35" s="827"/>
      <c r="T35" s="827"/>
      <c r="U35" s="828"/>
      <c r="V35" s="190"/>
      <c r="W35" s="197" t="s">
        <v>1165</v>
      </c>
      <c r="X35" s="373"/>
      <c r="Y35" s="374"/>
      <c r="Z35" s="375"/>
      <c r="AA35" s="200"/>
      <c r="AB35" s="376"/>
      <c r="AC35" s="832"/>
      <c r="AD35" s="832"/>
      <c r="AE35" s="832"/>
      <c r="AF35" s="833" t="s">
        <v>739</v>
      </c>
      <c r="AG35" s="834" t="s">
        <v>739</v>
      </c>
      <c r="AH35" s="835"/>
      <c r="AI35" s="832"/>
      <c r="AJ35" s="832"/>
      <c r="AK35" s="836"/>
      <c r="AL35" s="816"/>
      <c r="AM35" s="169"/>
      <c r="AO35" s="169"/>
      <c r="AQ35" s="169"/>
      <c r="AS35" s="169"/>
      <c r="AX35" s="169"/>
      <c r="BA35" s="169"/>
      <c r="BB35" s="169"/>
    </row>
    <row r="36" spans="1:54" ht="10.5" x14ac:dyDescent="0.25">
      <c r="A36" s="369" t="str">
        <f>IF(ISBLANK(TInventB[[#This Row],[Bouwdeel omschrijving]]),"",CONCATENATE(TInventB[[#This Row],[Code Bouwdeeltype]],"-",TInventB[[#This Row],[Volgnr.]]))</f>
        <v/>
      </c>
      <c r="B36" s="365" t="str">
        <f>IF(ISBLANK(TInventB[[#This Row],[Bouwdeel omschrijving]]),"",VLOOKUP(TInventB[[#This Row],[Bouwdeel omschrijving]],TsblB[],2,FALSE))</f>
        <v/>
      </c>
      <c r="C36" s="809"/>
      <c r="D36" s="811"/>
      <c r="E36" s="365" t="str">
        <f>IF(ISBLANK(TInventB[[#This Row],[Bouwdeel omschrijving]]),"",$B$4)</f>
        <v/>
      </c>
      <c r="F36" s="813"/>
      <c r="G36" s="811"/>
      <c r="H36" s="811"/>
      <c r="I36" s="811"/>
      <c r="J36" s="365" t="str">
        <f>IF(ISBLANK(TInventB[[#This Row],[Bouwdeel omschrijving]]),"",VLOOKUP(TInventB[[#This Row],[Bouwdeel omschrijving]],TsblB[],4,FALSE))</f>
        <v/>
      </c>
      <c r="K36" s="365" t="str">
        <f>IF(ISBLANK(TInventB[[#This Row],[Bouwdeel omschrijving]]),"",VLOOKUP(TInventB[[#This Row],[Bouwdeel omschrijving]],TsblB[],3,FALSE))</f>
        <v/>
      </c>
      <c r="L36" s="382" t="str">
        <f t="shared" si="0"/>
        <v/>
      </c>
      <c r="M36" s="816"/>
      <c r="N36" s="817"/>
      <c r="O36" s="817"/>
      <c r="P36" s="820"/>
      <c r="Q36" s="381" t="str">
        <f>IF(ISBLANK(TInventB[[#This Row],[Technische levensduur 
'[jaren']]]),"",(TInventB[[#This Row],[Datum van constructie of productie
'[jjjj-mm-dd']]]+(TInventB[[#This Row],[Technische levensduur 
'[jaren']]]*365)))</f>
        <v/>
      </c>
      <c r="R36" s="826"/>
      <c r="S36" s="827"/>
      <c r="T36" s="827"/>
      <c r="U36" s="828"/>
      <c r="V36" s="190"/>
      <c r="W36" s="197" t="s">
        <v>1165</v>
      </c>
      <c r="X36" s="373"/>
      <c r="Y36" s="374"/>
      <c r="Z36" s="375"/>
      <c r="AA36" s="200"/>
      <c r="AB36" s="376"/>
      <c r="AC36" s="832"/>
      <c r="AD36" s="832"/>
      <c r="AE36" s="832"/>
      <c r="AF36" s="833" t="s">
        <v>739</v>
      </c>
      <c r="AG36" s="834" t="s">
        <v>739</v>
      </c>
      <c r="AH36" s="835"/>
      <c r="AI36" s="832"/>
      <c r="AJ36" s="832"/>
      <c r="AK36" s="836"/>
      <c r="AL36" s="816"/>
      <c r="AM36" s="169"/>
      <c r="AO36" s="169"/>
      <c r="AQ36" s="169"/>
      <c r="AS36" s="169"/>
      <c r="AX36" s="169"/>
      <c r="BA36" s="169"/>
      <c r="BB36" s="169"/>
    </row>
    <row r="37" spans="1:54" ht="10.5" x14ac:dyDescent="0.25">
      <c r="A37" s="369" t="str">
        <f>IF(ISBLANK(TInventB[[#This Row],[Bouwdeel omschrijving]]),"",CONCATENATE(TInventB[[#This Row],[Code Bouwdeeltype]],"-",TInventB[[#This Row],[Volgnr.]]))</f>
        <v/>
      </c>
      <c r="B37" s="365" t="str">
        <f>IF(ISBLANK(TInventB[[#This Row],[Bouwdeel omschrijving]]),"",VLOOKUP(TInventB[[#This Row],[Bouwdeel omschrijving]],TsblB[],2,FALSE))</f>
        <v/>
      </c>
      <c r="C37" s="809"/>
      <c r="D37" s="811"/>
      <c r="E37" s="365" t="str">
        <f>IF(ISBLANK(TInventB[[#This Row],[Bouwdeel omschrijving]]),"",$B$4)</f>
        <v/>
      </c>
      <c r="F37" s="813"/>
      <c r="G37" s="811"/>
      <c r="H37" s="811"/>
      <c r="I37" s="811"/>
      <c r="J37" s="365" t="str">
        <f>IF(ISBLANK(TInventB[[#This Row],[Bouwdeel omschrijving]]),"",VLOOKUP(TInventB[[#This Row],[Bouwdeel omschrijving]],TsblB[],4,FALSE))</f>
        <v/>
      </c>
      <c r="K37" s="365" t="str">
        <f>IF(ISBLANK(TInventB[[#This Row],[Bouwdeel omschrijving]]),"",VLOOKUP(TInventB[[#This Row],[Bouwdeel omschrijving]],TsblB[],3,FALSE))</f>
        <v/>
      </c>
      <c r="L37" s="382" t="str">
        <f t="shared" si="0"/>
        <v/>
      </c>
      <c r="M37" s="816"/>
      <c r="N37" s="817"/>
      <c r="O37" s="817"/>
      <c r="P37" s="820"/>
      <c r="Q37" s="381" t="str">
        <f>IF(ISBLANK(TInventB[[#This Row],[Technische levensduur 
'[jaren']]]),"",(TInventB[[#This Row],[Datum van constructie of productie
'[jjjj-mm-dd']]]+(TInventB[[#This Row],[Technische levensduur 
'[jaren']]]*365)))</f>
        <v/>
      </c>
      <c r="R37" s="826"/>
      <c r="S37" s="827"/>
      <c r="T37" s="827"/>
      <c r="U37" s="828"/>
      <c r="V37" s="190"/>
      <c r="W37" s="197" t="s">
        <v>1165</v>
      </c>
      <c r="X37" s="373"/>
      <c r="Y37" s="374"/>
      <c r="Z37" s="375"/>
      <c r="AA37" s="200"/>
      <c r="AB37" s="376"/>
      <c r="AC37" s="832"/>
      <c r="AD37" s="832"/>
      <c r="AE37" s="832"/>
      <c r="AF37" s="833" t="s">
        <v>739</v>
      </c>
      <c r="AG37" s="834" t="s">
        <v>739</v>
      </c>
      <c r="AH37" s="835"/>
      <c r="AI37" s="832"/>
      <c r="AJ37" s="832"/>
      <c r="AK37" s="836"/>
      <c r="AL37" s="816"/>
      <c r="AM37" s="169"/>
      <c r="AO37" s="169"/>
      <c r="AQ37" s="169"/>
      <c r="AS37" s="169"/>
      <c r="AX37" s="169"/>
      <c r="BA37" s="169"/>
      <c r="BB37" s="169"/>
    </row>
    <row r="38" spans="1:54" ht="10.5" x14ac:dyDescent="0.25">
      <c r="A38" s="369" t="str">
        <f>IF(ISBLANK(TInventB[[#This Row],[Bouwdeel omschrijving]]),"",CONCATENATE(TInventB[[#This Row],[Code Bouwdeeltype]],"-",TInventB[[#This Row],[Volgnr.]]))</f>
        <v/>
      </c>
      <c r="B38" s="365" t="str">
        <f>IF(ISBLANK(TInventB[[#This Row],[Bouwdeel omschrijving]]),"",VLOOKUP(TInventB[[#This Row],[Bouwdeel omschrijving]],TsblB[],2,FALSE))</f>
        <v/>
      </c>
      <c r="C38" s="809"/>
      <c r="D38" s="811"/>
      <c r="E38" s="365" t="str">
        <f>IF(ISBLANK(TInventB[[#This Row],[Bouwdeel omschrijving]]),"",$B$4)</f>
        <v/>
      </c>
      <c r="F38" s="813"/>
      <c r="G38" s="811"/>
      <c r="H38" s="811"/>
      <c r="I38" s="811"/>
      <c r="J38" s="365" t="str">
        <f>IF(ISBLANK(TInventB[[#This Row],[Bouwdeel omschrijving]]),"",VLOOKUP(TInventB[[#This Row],[Bouwdeel omschrijving]],TsblB[],4,FALSE))</f>
        <v/>
      </c>
      <c r="K38" s="365" t="str">
        <f>IF(ISBLANK(TInventB[[#This Row],[Bouwdeel omschrijving]]),"",VLOOKUP(TInventB[[#This Row],[Bouwdeel omschrijving]],TsblB[],3,FALSE))</f>
        <v/>
      </c>
      <c r="L38" s="382" t="str">
        <f t="shared" si="0"/>
        <v/>
      </c>
      <c r="M38" s="816"/>
      <c r="N38" s="817"/>
      <c r="O38" s="817"/>
      <c r="P38" s="820"/>
      <c r="Q38" s="381" t="str">
        <f>IF(ISBLANK(TInventB[[#This Row],[Technische levensduur 
'[jaren']]]),"",(TInventB[[#This Row],[Datum van constructie of productie
'[jjjj-mm-dd']]]+(TInventB[[#This Row],[Technische levensduur 
'[jaren']]]*365)))</f>
        <v/>
      </c>
      <c r="R38" s="826"/>
      <c r="S38" s="827"/>
      <c r="T38" s="827"/>
      <c r="U38" s="828"/>
      <c r="V38" s="190"/>
      <c r="W38" s="197" t="s">
        <v>1165</v>
      </c>
      <c r="X38" s="373"/>
      <c r="Y38" s="374"/>
      <c r="Z38" s="375"/>
      <c r="AA38" s="200"/>
      <c r="AB38" s="376"/>
      <c r="AC38" s="832"/>
      <c r="AD38" s="832"/>
      <c r="AE38" s="832"/>
      <c r="AF38" s="833" t="s">
        <v>739</v>
      </c>
      <c r="AG38" s="834" t="s">
        <v>739</v>
      </c>
      <c r="AH38" s="835"/>
      <c r="AI38" s="832"/>
      <c r="AJ38" s="832"/>
      <c r="AK38" s="836"/>
      <c r="AL38" s="816"/>
      <c r="AM38" s="169"/>
      <c r="AO38" s="169"/>
      <c r="AQ38" s="169"/>
      <c r="AS38" s="169"/>
      <c r="AX38" s="169"/>
      <c r="BA38" s="169"/>
      <c r="BB38" s="169"/>
    </row>
    <row r="39" spans="1:54" ht="10.5" x14ac:dyDescent="0.25">
      <c r="A39" s="369" t="str">
        <f>IF(ISBLANK(TInventB[[#This Row],[Bouwdeel omschrijving]]),"",CONCATENATE(TInventB[[#This Row],[Code Bouwdeeltype]],"-",TInventB[[#This Row],[Volgnr.]]))</f>
        <v/>
      </c>
      <c r="B39" s="365" t="str">
        <f>IF(ISBLANK(TInventB[[#This Row],[Bouwdeel omschrijving]]),"",VLOOKUP(TInventB[[#This Row],[Bouwdeel omschrijving]],TsblB[],2,FALSE))</f>
        <v/>
      </c>
      <c r="C39" s="809"/>
      <c r="D39" s="811"/>
      <c r="E39" s="365" t="str">
        <f>IF(ISBLANK(TInventB[[#This Row],[Bouwdeel omschrijving]]),"",$B$4)</f>
        <v/>
      </c>
      <c r="F39" s="813"/>
      <c r="G39" s="811"/>
      <c r="H39" s="811"/>
      <c r="I39" s="811"/>
      <c r="J39" s="365" t="str">
        <f>IF(ISBLANK(TInventB[[#This Row],[Bouwdeel omschrijving]]),"",VLOOKUP(TInventB[[#This Row],[Bouwdeel omschrijving]],TsblB[],4,FALSE))</f>
        <v/>
      </c>
      <c r="K39" s="365" t="str">
        <f>IF(ISBLANK(TInventB[[#This Row],[Bouwdeel omschrijving]]),"",VLOOKUP(TInventB[[#This Row],[Bouwdeel omschrijving]],TsblB[],3,FALSE))</f>
        <v/>
      </c>
      <c r="L39" s="382" t="str">
        <f t="shared" si="0"/>
        <v/>
      </c>
      <c r="M39" s="816"/>
      <c r="N39" s="817"/>
      <c r="O39" s="817"/>
      <c r="P39" s="820"/>
      <c r="Q39" s="381" t="str">
        <f>IF(ISBLANK(TInventB[[#This Row],[Technische levensduur 
'[jaren']]]),"",(TInventB[[#This Row],[Datum van constructie of productie
'[jjjj-mm-dd']]]+(TInventB[[#This Row],[Technische levensduur 
'[jaren']]]*365)))</f>
        <v/>
      </c>
      <c r="R39" s="826"/>
      <c r="S39" s="827"/>
      <c r="T39" s="827"/>
      <c r="U39" s="828"/>
      <c r="V39" s="190"/>
      <c r="W39" s="197" t="s">
        <v>1165</v>
      </c>
      <c r="X39" s="373"/>
      <c r="Y39" s="374"/>
      <c r="Z39" s="375"/>
      <c r="AA39" s="200"/>
      <c r="AB39" s="376"/>
      <c r="AC39" s="832"/>
      <c r="AD39" s="832"/>
      <c r="AE39" s="832"/>
      <c r="AF39" s="833" t="s">
        <v>739</v>
      </c>
      <c r="AG39" s="834" t="s">
        <v>739</v>
      </c>
      <c r="AH39" s="835"/>
      <c r="AI39" s="832"/>
      <c r="AJ39" s="832"/>
      <c r="AK39" s="836"/>
      <c r="AL39" s="816"/>
      <c r="AM39" s="169"/>
      <c r="AO39" s="169"/>
      <c r="AQ39" s="169"/>
      <c r="AS39" s="169"/>
      <c r="AX39" s="169"/>
      <c r="BA39" s="169"/>
      <c r="BB39" s="169"/>
    </row>
    <row r="40" spans="1:54" ht="10.5" x14ac:dyDescent="0.25">
      <c r="A40" s="369" t="str">
        <f>IF(ISBLANK(TInventB[[#This Row],[Bouwdeel omschrijving]]),"",CONCATENATE(TInventB[[#This Row],[Code Bouwdeeltype]],"-",TInventB[[#This Row],[Volgnr.]]))</f>
        <v/>
      </c>
      <c r="B40" s="365" t="str">
        <f>IF(ISBLANK(TInventB[[#This Row],[Bouwdeel omschrijving]]),"",VLOOKUP(TInventB[[#This Row],[Bouwdeel omschrijving]],TsblB[],2,FALSE))</f>
        <v/>
      </c>
      <c r="C40" s="809"/>
      <c r="D40" s="811"/>
      <c r="E40" s="365" t="str">
        <f>IF(ISBLANK(TInventB[[#This Row],[Bouwdeel omschrijving]]),"",$B$4)</f>
        <v/>
      </c>
      <c r="F40" s="813"/>
      <c r="G40" s="811"/>
      <c r="H40" s="811"/>
      <c r="I40" s="811"/>
      <c r="J40" s="365" t="str">
        <f>IF(ISBLANK(TInventB[[#This Row],[Bouwdeel omschrijving]]),"",VLOOKUP(TInventB[[#This Row],[Bouwdeel omschrijving]],TsblB[],4,FALSE))</f>
        <v/>
      </c>
      <c r="K40" s="365" t="str">
        <f>IF(ISBLANK(TInventB[[#This Row],[Bouwdeel omschrijving]]),"",VLOOKUP(TInventB[[#This Row],[Bouwdeel omschrijving]],TsblB[],3,FALSE))</f>
        <v/>
      </c>
      <c r="L40" s="382" t="str">
        <f t="shared" si="0"/>
        <v/>
      </c>
      <c r="M40" s="816"/>
      <c r="N40" s="817"/>
      <c r="O40" s="817"/>
      <c r="P40" s="820"/>
      <c r="Q40" s="381" t="str">
        <f>IF(ISBLANK(TInventB[[#This Row],[Technische levensduur 
'[jaren']]]),"",(TInventB[[#This Row],[Datum van constructie of productie
'[jjjj-mm-dd']]]+(TInventB[[#This Row],[Technische levensduur 
'[jaren']]]*365)))</f>
        <v/>
      </c>
      <c r="R40" s="826"/>
      <c r="S40" s="827"/>
      <c r="T40" s="827"/>
      <c r="U40" s="828"/>
      <c r="V40" s="190"/>
      <c r="W40" s="197" t="s">
        <v>1165</v>
      </c>
      <c r="X40" s="373"/>
      <c r="Y40" s="374"/>
      <c r="Z40" s="375"/>
      <c r="AA40" s="200"/>
      <c r="AB40" s="376"/>
      <c r="AC40" s="832"/>
      <c r="AD40" s="832"/>
      <c r="AE40" s="832"/>
      <c r="AF40" s="833" t="s">
        <v>739</v>
      </c>
      <c r="AG40" s="834" t="s">
        <v>739</v>
      </c>
      <c r="AH40" s="835"/>
      <c r="AI40" s="832"/>
      <c r="AJ40" s="832"/>
      <c r="AK40" s="836"/>
      <c r="AL40" s="816"/>
      <c r="AM40" s="169"/>
      <c r="AO40" s="169"/>
      <c r="AQ40" s="169"/>
      <c r="AS40" s="169"/>
      <c r="AX40" s="169"/>
      <c r="BA40" s="169"/>
      <c r="BB40" s="169"/>
    </row>
    <row r="41" spans="1:54" ht="10.5" x14ac:dyDescent="0.25">
      <c r="A41" s="369" t="str">
        <f>IF(ISBLANK(TInventB[[#This Row],[Bouwdeel omschrijving]]),"",CONCATENATE(TInventB[[#This Row],[Code Bouwdeeltype]],"-",TInventB[[#This Row],[Volgnr.]]))</f>
        <v/>
      </c>
      <c r="B41" s="365" t="str">
        <f>IF(ISBLANK(TInventB[[#This Row],[Bouwdeel omschrijving]]),"",VLOOKUP(TInventB[[#This Row],[Bouwdeel omschrijving]],TsblB[],2,FALSE))</f>
        <v/>
      </c>
      <c r="C41" s="809"/>
      <c r="D41" s="811"/>
      <c r="E41" s="365" t="str">
        <f>IF(ISBLANK(TInventB[[#This Row],[Bouwdeel omschrijving]]),"",$B$4)</f>
        <v/>
      </c>
      <c r="F41" s="813"/>
      <c r="G41" s="811"/>
      <c r="H41" s="811"/>
      <c r="I41" s="811"/>
      <c r="J41" s="365" t="str">
        <f>IF(ISBLANK(TInventB[[#This Row],[Bouwdeel omschrijving]]),"",VLOOKUP(TInventB[[#This Row],[Bouwdeel omschrijving]],TsblB[],4,FALSE))</f>
        <v/>
      </c>
      <c r="K41" s="365" t="str">
        <f>IF(ISBLANK(TInventB[[#This Row],[Bouwdeel omschrijving]]),"",VLOOKUP(TInventB[[#This Row],[Bouwdeel omschrijving]],TsblB[],3,FALSE))</f>
        <v/>
      </c>
      <c r="L41" s="382" t="str">
        <f t="shared" si="0"/>
        <v/>
      </c>
      <c r="M41" s="816"/>
      <c r="N41" s="817"/>
      <c r="O41" s="817"/>
      <c r="P41" s="820"/>
      <c r="Q41" s="381" t="str">
        <f>IF(ISBLANK(TInventB[[#This Row],[Technische levensduur 
'[jaren']]]),"",(TInventB[[#This Row],[Datum van constructie of productie
'[jjjj-mm-dd']]]+(TInventB[[#This Row],[Technische levensduur 
'[jaren']]]*365)))</f>
        <v/>
      </c>
      <c r="R41" s="826"/>
      <c r="S41" s="827"/>
      <c r="T41" s="827"/>
      <c r="U41" s="828"/>
      <c r="V41" s="190"/>
      <c r="W41" s="197" t="s">
        <v>1165</v>
      </c>
      <c r="X41" s="373"/>
      <c r="Y41" s="374"/>
      <c r="Z41" s="375"/>
      <c r="AA41" s="200"/>
      <c r="AB41" s="376"/>
      <c r="AC41" s="832"/>
      <c r="AD41" s="832"/>
      <c r="AE41" s="832"/>
      <c r="AF41" s="833" t="s">
        <v>739</v>
      </c>
      <c r="AG41" s="834" t="s">
        <v>739</v>
      </c>
      <c r="AH41" s="835"/>
      <c r="AI41" s="832"/>
      <c r="AJ41" s="832"/>
      <c r="AK41" s="836"/>
      <c r="AL41" s="816"/>
      <c r="AM41" s="169"/>
      <c r="AO41" s="169"/>
      <c r="AQ41" s="169"/>
      <c r="AS41" s="169"/>
      <c r="AX41" s="169"/>
      <c r="BA41" s="169"/>
      <c r="BB41" s="169"/>
    </row>
    <row r="42" spans="1:54" ht="10.5" x14ac:dyDescent="0.25">
      <c r="A42" s="369" t="str">
        <f>IF(ISBLANK(TInventB[[#This Row],[Bouwdeel omschrijving]]),"",CONCATENATE(TInventB[[#This Row],[Code Bouwdeeltype]],"-",TInventB[[#This Row],[Volgnr.]]))</f>
        <v/>
      </c>
      <c r="B42" s="365" t="str">
        <f>IF(ISBLANK(TInventB[[#This Row],[Bouwdeel omschrijving]]),"",VLOOKUP(TInventB[[#This Row],[Bouwdeel omschrijving]],TsblB[],2,FALSE))</f>
        <v/>
      </c>
      <c r="C42" s="809"/>
      <c r="D42" s="811"/>
      <c r="E42" s="365" t="str">
        <f>IF(ISBLANK(TInventB[[#This Row],[Bouwdeel omschrijving]]),"",$B$4)</f>
        <v/>
      </c>
      <c r="F42" s="813"/>
      <c r="G42" s="811"/>
      <c r="H42" s="811"/>
      <c r="I42" s="811"/>
      <c r="J42" s="365" t="str">
        <f>IF(ISBLANK(TInventB[[#This Row],[Bouwdeel omschrijving]]),"",VLOOKUP(TInventB[[#This Row],[Bouwdeel omschrijving]],TsblB[],4,FALSE))</f>
        <v/>
      </c>
      <c r="K42" s="365" t="str">
        <f>IF(ISBLANK(TInventB[[#This Row],[Bouwdeel omschrijving]]),"",VLOOKUP(TInventB[[#This Row],[Bouwdeel omschrijving]],TsblB[],3,FALSE))</f>
        <v/>
      </c>
      <c r="L42" s="382" t="str">
        <f t="shared" si="0"/>
        <v/>
      </c>
      <c r="M42" s="816"/>
      <c r="N42" s="817"/>
      <c r="O42" s="817"/>
      <c r="P42" s="820"/>
      <c r="Q42" s="381" t="str">
        <f>IF(ISBLANK(TInventB[[#This Row],[Technische levensduur 
'[jaren']]]),"",(TInventB[[#This Row],[Datum van constructie of productie
'[jjjj-mm-dd']]]+(TInventB[[#This Row],[Technische levensduur 
'[jaren']]]*365)))</f>
        <v/>
      </c>
      <c r="R42" s="826"/>
      <c r="S42" s="827"/>
      <c r="T42" s="827"/>
      <c r="U42" s="828"/>
      <c r="V42" s="190"/>
      <c r="W42" s="197" t="s">
        <v>1165</v>
      </c>
      <c r="X42" s="373"/>
      <c r="Y42" s="374"/>
      <c r="Z42" s="375"/>
      <c r="AA42" s="200"/>
      <c r="AB42" s="376"/>
      <c r="AC42" s="832"/>
      <c r="AD42" s="832"/>
      <c r="AE42" s="832"/>
      <c r="AF42" s="833" t="s">
        <v>739</v>
      </c>
      <c r="AG42" s="834" t="s">
        <v>739</v>
      </c>
      <c r="AH42" s="835"/>
      <c r="AI42" s="832"/>
      <c r="AJ42" s="832"/>
      <c r="AK42" s="836"/>
      <c r="AL42" s="816"/>
      <c r="AM42" s="169"/>
      <c r="AO42" s="169"/>
      <c r="AQ42" s="169"/>
      <c r="AS42" s="169"/>
      <c r="AX42" s="169"/>
      <c r="BA42" s="169"/>
      <c r="BB42" s="169"/>
    </row>
    <row r="43" spans="1:54" ht="10.5" x14ac:dyDescent="0.25">
      <c r="A43" s="369" t="str">
        <f>IF(ISBLANK(TInventB[[#This Row],[Bouwdeel omschrijving]]),"",CONCATENATE(TInventB[[#This Row],[Code Bouwdeeltype]],"-",TInventB[[#This Row],[Volgnr.]]))</f>
        <v/>
      </c>
      <c r="B43" s="365" t="str">
        <f>IF(ISBLANK(TInventB[[#This Row],[Bouwdeel omschrijving]]),"",VLOOKUP(TInventB[[#This Row],[Bouwdeel omschrijving]],TsblB[],2,FALSE))</f>
        <v/>
      </c>
      <c r="C43" s="809"/>
      <c r="D43" s="811"/>
      <c r="E43" s="365" t="str">
        <f>IF(ISBLANK(TInventB[[#This Row],[Bouwdeel omschrijving]]),"",$B$4)</f>
        <v/>
      </c>
      <c r="F43" s="813"/>
      <c r="G43" s="811"/>
      <c r="H43" s="811"/>
      <c r="I43" s="811"/>
      <c r="J43" s="365" t="str">
        <f>IF(ISBLANK(TInventB[[#This Row],[Bouwdeel omschrijving]]),"",VLOOKUP(TInventB[[#This Row],[Bouwdeel omschrijving]],TsblB[],4,FALSE))</f>
        <v/>
      </c>
      <c r="K43" s="365" t="str">
        <f>IF(ISBLANK(TInventB[[#This Row],[Bouwdeel omschrijving]]),"",VLOOKUP(TInventB[[#This Row],[Bouwdeel omschrijving]],TsblB[],3,FALSE))</f>
        <v/>
      </c>
      <c r="L43" s="382" t="str">
        <f t="shared" si="0"/>
        <v/>
      </c>
      <c r="M43" s="816"/>
      <c r="N43" s="817"/>
      <c r="O43" s="817"/>
      <c r="P43" s="820"/>
      <c r="Q43" s="381" t="str">
        <f>IF(ISBLANK(TInventB[[#This Row],[Technische levensduur 
'[jaren']]]),"",(TInventB[[#This Row],[Datum van constructie of productie
'[jjjj-mm-dd']]]+(TInventB[[#This Row],[Technische levensduur 
'[jaren']]]*365)))</f>
        <v/>
      </c>
      <c r="R43" s="826"/>
      <c r="S43" s="827"/>
      <c r="T43" s="827"/>
      <c r="U43" s="828"/>
      <c r="V43" s="190"/>
      <c r="W43" s="197" t="s">
        <v>1165</v>
      </c>
      <c r="X43" s="373"/>
      <c r="Y43" s="374"/>
      <c r="Z43" s="375"/>
      <c r="AA43" s="200"/>
      <c r="AB43" s="376"/>
      <c r="AC43" s="832"/>
      <c r="AD43" s="832"/>
      <c r="AE43" s="832"/>
      <c r="AF43" s="833" t="s">
        <v>739</v>
      </c>
      <c r="AG43" s="834" t="s">
        <v>739</v>
      </c>
      <c r="AH43" s="835"/>
      <c r="AI43" s="832"/>
      <c r="AJ43" s="832"/>
      <c r="AK43" s="836"/>
      <c r="AL43" s="816"/>
      <c r="AM43" s="169"/>
      <c r="AO43" s="169"/>
      <c r="AQ43" s="169"/>
      <c r="AS43" s="169"/>
      <c r="AX43" s="169"/>
      <c r="BA43" s="169"/>
      <c r="BB43" s="169"/>
    </row>
    <row r="44" spans="1:54" ht="10.5" x14ac:dyDescent="0.25">
      <c r="A44" s="369" t="str">
        <f>IF(ISBLANK(TInventB[[#This Row],[Bouwdeel omschrijving]]),"",CONCATENATE(TInventB[[#This Row],[Code Bouwdeeltype]],"-",TInventB[[#This Row],[Volgnr.]]))</f>
        <v/>
      </c>
      <c r="B44" s="365" t="str">
        <f>IF(ISBLANK(TInventB[[#This Row],[Bouwdeel omschrijving]]),"",VLOOKUP(TInventB[[#This Row],[Bouwdeel omschrijving]],TsblB[],2,FALSE))</f>
        <v/>
      </c>
      <c r="C44" s="809"/>
      <c r="D44" s="811"/>
      <c r="E44" s="365" t="str">
        <f>IF(ISBLANK(TInventB[[#This Row],[Bouwdeel omschrijving]]),"",$B$4)</f>
        <v/>
      </c>
      <c r="F44" s="813"/>
      <c r="G44" s="811"/>
      <c r="H44" s="811"/>
      <c r="I44" s="811"/>
      <c r="J44" s="365" t="str">
        <f>IF(ISBLANK(TInventB[[#This Row],[Bouwdeel omschrijving]]),"",VLOOKUP(TInventB[[#This Row],[Bouwdeel omschrijving]],TsblB[],4,FALSE))</f>
        <v/>
      </c>
      <c r="K44" s="365" t="str">
        <f>IF(ISBLANK(TInventB[[#This Row],[Bouwdeel omschrijving]]),"",VLOOKUP(TInventB[[#This Row],[Bouwdeel omschrijving]],TsblB[],3,FALSE))</f>
        <v/>
      </c>
      <c r="L44" s="382" t="str">
        <f t="shared" si="0"/>
        <v/>
      </c>
      <c r="M44" s="816"/>
      <c r="N44" s="817"/>
      <c r="O44" s="817"/>
      <c r="P44" s="820"/>
      <c r="Q44" s="381" t="str">
        <f>IF(ISBLANK(TInventB[[#This Row],[Technische levensduur 
'[jaren']]]),"",(TInventB[[#This Row],[Datum van constructie of productie
'[jjjj-mm-dd']]]+(TInventB[[#This Row],[Technische levensduur 
'[jaren']]]*365)))</f>
        <v/>
      </c>
      <c r="R44" s="826"/>
      <c r="S44" s="827"/>
      <c r="T44" s="827"/>
      <c r="U44" s="828"/>
      <c r="V44" s="190"/>
      <c r="W44" s="197" t="s">
        <v>1165</v>
      </c>
      <c r="X44" s="373"/>
      <c r="Y44" s="374"/>
      <c r="Z44" s="375"/>
      <c r="AA44" s="200"/>
      <c r="AB44" s="376"/>
      <c r="AC44" s="832"/>
      <c r="AD44" s="832"/>
      <c r="AE44" s="832"/>
      <c r="AF44" s="833" t="s">
        <v>739</v>
      </c>
      <c r="AG44" s="834" t="s">
        <v>739</v>
      </c>
      <c r="AH44" s="835"/>
      <c r="AI44" s="832"/>
      <c r="AJ44" s="832"/>
      <c r="AK44" s="836"/>
      <c r="AL44" s="816"/>
      <c r="AM44" s="169"/>
      <c r="AO44" s="169"/>
      <c r="AQ44" s="169"/>
      <c r="AS44" s="169"/>
      <c r="AX44" s="169"/>
      <c r="BA44" s="169"/>
      <c r="BB44" s="169"/>
    </row>
    <row r="45" spans="1:54" ht="10.5" x14ac:dyDescent="0.25">
      <c r="A45" s="369" t="str">
        <f>IF(ISBLANK(TInventB[[#This Row],[Bouwdeel omschrijving]]),"",CONCATENATE(TInventB[[#This Row],[Code Bouwdeeltype]],"-",TInventB[[#This Row],[Volgnr.]]))</f>
        <v/>
      </c>
      <c r="B45" s="365" t="str">
        <f>IF(ISBLANK(TInventB[[#This Row],[Bouwdeel omschrijving]]),"",VLOOKUP(TInventB[[#This Row],[Bouwdeel omschrijving]],TsblB[],2,FALSE))</f>
        <v/>
      </c>
      <c r="C45" s="809"/>
      <c r="D45" s="811"/>
      <c r="E45" s="365" t="str">
        <f>IF(ISBLANK(TInventB[[#This Row],[Bouwdeel omschrijving]]),"",$B$4)</f>
        <v/>
      </c>
      <c r="F45" s="813"/>
      <c r="G45" s="811"/>
      <c r="H45" s="811"/>
      <c r="I45" s="811"/>
      <c r="J45" s="365" t="str">
        <f>IF(ISBLANK(TInventB[[#This Row],[Bouwdeel omschrijving]]),"",VLOOKUP(TInventB[[#This Row],[Bouwdeel omschrijving]],TsblB[],4,FALSE))</f>
        <v/>
      </c>
      <c r="K45" s="365" t="str">
        <f>IF(ISBLANK(TInventB[[#This Row],[Bouwdeel omschrijving]]),"",VLOOKUP(TInventB[[#This Row],[Bouwdeel omschrijving]],TsblB[],3,FALSE))</f>
        <v/>
      </c>
      <c r="L45" s="382" t="str">
        <f t="shared" si="0"/>
        <v/>
      </c>
      <c r="M45" s="816"/>
      <c r="N45" s="817"/>
      <c r="O45" s="817"/>
      <c r="P45" s="820"/>
      <c r="Q45" s="381" t="str">
        <f>IF(ISBLANK(TInventB[[#This Row],[Technische levensduur 
'[jaren']]]),"",(TInventB[[#This Row],[Datum van constructie of productie
'[jjjj-mm-dd']]]+(TInventB[[#This Row],[Technische levensduur 
'[jaren']]]*365)))</f>
        <v/>
      </c>
      <c r="R45" s="826"/>
      <c r="S45" s="827"/>
      <c r="T45" s="827"/>
      <c r="U45" s="828"/>
      <c r="V45" s="190"/>
      <c r="W45" s="197" t="s">
        <v>1165</v>
      </c>
      <c r="X45" s="373"/>
      <c r="Y45" s="374"/>
      <c r="Z45" s="375"/>
      <c r="AA45" s="200"/>
      <c r="AB45" s="376"/>
      <c r="AC45" s="832"/>
      <c r="AD45" s="832"/>
      <c r="AE45" s="832"/>
      <c r="AF45" s="833" t="s">
        <v>739</v>
      </c>
      <c r="AG45" s="834" t="s">
        <v>739</v>
      </c>
      <c r="AH45" s="835"/>
      <c r="AI45" s="832"/>
      <c r="AJ45" s="832"/>
      <c r="AK45" s="836"/>
      <c r="AL45" s="816"/>
      <c r="AM45" s="169"/>
      <c r="AO45" s="169"/>
      <c r="AQ45" s="169"/>
      <c r="AS45" s="169"/>
      <c r="AX45" s="169"/>
      <c r="BA45" s="169"/>
      <c r="BB45" s="169"/>
    </row>
    <row r="46" spans="1:54" ht="10.5" x14ac:dyDescent="0.25">
      <c r="A46" s="369" t="str">
        <f>IF(ISBLANK(TInventB[[#This Row],[Bouwdeel omschrijving]]),"",CONCATENATE(TInventB[[#This Row],[Code Bouwdeeltype]],"-",TInventB[[#This Row],[Volgnr.]]))</f>
        <v/>
      </c>
      <c r="B46" s="365" t="str">
        <f>IF(ISBLANK(TInventB[[#This Row],[Bouwdeel omschrijving]]),"",VLOOKUP(TInventB[[#This Row],[Bouwdeel omschrijving]],TsblB[],2,FALSE))</f>
        <v/>
      </c>
      <c r="C46" s="809"/>
      <c r="D46" s="811"/>
      <c r="E46" s="365" t="str">
        <f>IF(ISBLANK(TInventB[[#This Row],[Bouwdeel omschrijving]]),"",$B$4)</f>
        <v/>
      </c>
      <c r="F46" s="813"/>
      <c r="G46" s="811"/>
      <c r="H46" s="811"/>
      <c r="I46" s="811"/>
      <c r="J46" s="365" t="str">
        <f>IF(ISBLANK(TInventB[[#This Row],[Bouwdeel omschrijving]]),"",VLOOKUP(TInventB[[#This Row],[Bouwdeel omschrijving]],TsblB[],4,FALSE))</f>
        <v/>
      </c>
      <c r="K46" s="365" t="str">
        <f>IF(ISBLANK(TInventB[[#This Row],[Bouwdeel omschrijving]]),"",VLOOKUP(TInventB[[#This Row],[Bouwdeel omschrijving]],TsblB[],3,FALSE))</f>
        <v/>
      </c>
      <c r="L46" s="369" t="str">
        <f t="shared" si="0"/>
        <v/>
      </c>
      <c r="M46" s="816"/>
      <c r="N46" s="817"/>
      <c r="O46" s="817"/>
      <c r="P46" s="820"/>
      <c r="Q46" s="381" t="str">
        <f>IF(ISBLANK(TInventB[[#This Row],[Technische levensduur 
'[jaren']]]),"",(TInventB[[#This Row],[Datum van constructie of productie
'[jjjj-mm-dd']]]+(TInventB[[#This Row],[Technische levensduur 
'[jaren']]]*365)))</f>
        <v/>
      </c>
      <c r="R46" s="826"/>
      <c r="S46" s="827"/>
      <c r="T46" s="827"/>
      <c r="U46" s="828"/>
      <c r="V46" s="190"/>
      <c r="W46" s="197" t="s">
        <v>1165</v>
      </c>
      <c r="X46" s="373"/>
      <c r="Y46" s="374"/>
      <c r="Z46" s="375"/>
      <c r="AA46" s="200"/>
      <c r="AB46" s="376"/>
      <c r="AC46" s="832"/>
      <c r="AD46" s="832"/>
      <c r="AE46" s="832"/>
      <c r="AF46" s="833" t="s">
        <v>739</v>
      </c>
      <c r="AG46" s="834" t="s">
        <v>739</v>
      </c>
      <c r="AH46" s="835"/>
      <c r="AI46" s="832"/>
      <c r="AJ46" s="832"/>
      <c r="AK46" s="836"/>
      <c r="AL46" s="832"/>
      <c r="AM46" s="169"/>
      <c r="AO46" s="169"/>
      <c r="AQ46" s="169"/>
      <c r="AS46" s="169"/>
      <c r="AX46" s="169"/>
      <c r="BA46" s="169"/>
      <c r="BB46" s="169"/>
    </row>
    <row r="47" spans="1:54" ht="10.5" x14ac:dyDescent="0.25">
      <c r="A47" s="369" t="str">
        <f>IF(ISBLANK(TInventB[[#This Row],[Bouwdeel omschrijving]]),"",CONCATENATE(TInventB[[#This Row],[Code Bouwdeeltype]],"-",TInventB[[#This Row],[Volgnr.]]))</f>
        <v/>
      </c>
      <c r="B47" s="365" t="str">
        <f>IF(ISBLANK(TInventB[[#This Row],[Bouwdeel omschrijving]]),"",VLOOKUP(TInventB[[#This Row],[Bouwdeel omschrijving]],TsblB[],2,FALSE))</f>
        <v/>
      </c>
      <c r="C47" s="809"/>
      <c r="D47" s="811"/>
      <c r="E47" s="365" t="str">
        <f>IF(ISBLANK(TInventB[[#This Row],[Bouwdeel omschrijving]]),"",$B$4)</f>
        <v/>
      </c>
      <c r="F47" s="813"/>
      <c r="G47" s="811"/>
      <c r="H47" s="811"/>
      <c r="I47" s="811"/>
      <c r="J47" s="365" t="str">
        <f>IF(ISBLANK(TInventB[[#This Row],[Bouwdeel omschrijving]]),"",VLOOKUP(TInventB[[#This Row],[Bouwdeel omschrijving]],TsblB[],4,FALSE))</f>
        <v/>
      </c>
      <c r="K47" s="365" t="str">
        <f>IF(ISBLANK(TInventB[[#This Row],[Bouwdeel omschrijving]]),"",VLOOKUP(TInventB[[#This Row],[Bouwdeel omschrijving]],TsblB[],3,FALSE))</f>
        <v/>
      </c>
      <c r="L47" s="369" t="str">
        <f t="shared" si="0"/>
        <v/>
      </c>
      <c r="M47" s="816"/>
      <c r="N47" s="817"/>
      <c r="O47" s="817"/>
      <c r="P47" s="820"/>
      <c r="Q47" s="381" t="str">
        <f>IF(ISBLANK(TInventB[[#This Row],[Technische levensduur 
'[jaren']]]),"",(TInventB[[#This Row],[Datum van constructie of productie
'[jjjj-mm-dd']]]+(TInventB[[#This Row],[Technische levensduur 
'[jaren']]]*365)))</f>
        <v/>
      </c>
      <c r="R47" s="826"/>
      <c r="S47" s="827"/>
      <c r="T47" s="827"/>
      <c r="U47" s="828"/>
      <c r="V47" s="190"/>
      <c r="W47" s="197" t="s">
        <v>1165</v>
      </c>
      <c r="X47" s="373"/>
      <c r="Y47" s="374"/>
      <c r="Z47" s="375"/>
      <c r="AA47" s="200"/>
      <c r="AB47" s="376"/>
      <c r="AC47" s="832"/>
      <c r="AD47" s="832"/>
      <c r="AE47" s="832"/>
      <c r="AF47" s="833" t="s">
        <v>739</v>
      </c>
      <c r="AG47" s="834" t="s">
        <v>739</v>
      </c>
      <c r="AH47" s="835"/>
      <c r="AI47" s="832"/>
      <c r="AJ47" s="832"/>
      <c r="AK47" s="836"/>
      <c r="AL47" s="832"/>
      <c r="AM47" s="169"/>
      <c r="AO47" s="169"/>
      <c r="AQ47" s="169"/>
      <c r="AS47" s="169"/>
      <c r="AX47" s="169"/>
      <c r="BA47" s="169"/>
      <c r="BB47" s="169"/>
    </row>
    <row r="48" spans="1:54" ht="10.5" x14ac:dyDescent="0.25">
      <c r="A48" s="369" t="str">
        <f>IF(ISBLANK(TInventB[[#This Row],[Bouwdeel omschrijving]]),"",CONCATENATE(TInventB[[#This Row],[Code Bouwdeeltype]],"-",TInventB[[#This Row],[Volgnr.]]))</f>
        <v/>
      </c>
      <c r="B48" s="365" t="str">
        <f>IF(ISBLANK(TInventB[[#This Row],[Bouwdeel omschrijving]]),"",VLOOKUP(TInventB[[#This Row],[Bouwdeel omschrijving]],TsblB[],2,FALSE))</f>
        <v/>
      </c>
      <c r="C48" s="809"/>
      <c r="D48" s="811"/>
      <c r="E48" s="365" t="str">
        <f>IF(ISBLANK(TInventB[[#This Row],[Bouwdeel omschrijving]]),"",$B$4)</f>
        <v/>
      </c>
      <c r="F48" s="814"/>
      <c r="G48" s="811"/>
      <c r="H48" s="811"/>
      <c r="I48" s="811"/>
      <c r="J48" s="365" t="str">
        <f>IF(ISBLANK(TInventB[[#This Row],[Bouwdeel omschrijving]]),"",VLOOKUP(TInventB[[#This Row],[Bouwdeel omschrijving]],TsblB[],4,FALSE))</f>
        <v/>
      </c>
      <c r="K48" s="365" t="str">
        <f>IF(ISBLANK(TInventB[[#This Row],[Bouwdeel omschrijving]]),"",VLOOKUP(TInventB[[#This Row],[Bouwdeel omschrijving]],TsblB[],3,FALSE))</f>
        <v/>
      </c>
      <c r="L48" s="369" t="str">
        <f t="shared" si="0"/>
        <v/>
      </c>
      <c r="M48" s="816"/>
      <c r="N48" s="817"/>
      <c r="O48" s="817"/>
      <c r="P48" s="820"/>
      <c r="Q48" s="381" t="str">
        <f>IF(ISBLANK(TInventB[[#This Row],[Technische levensduur 
'[jaren']]]),"",(TInventB[[#This Row],[Datum van constructie of productie
'[jjjj-mm-dd']]]+(TInventB[[#This Row],[Technische levensduur 
'[jaren']]]*365)))</f>
        <v/>
      </c>
      <c r="R48" s="826"/>
      <c r="S48" s="827"/>
      <c r="T48" s="827"/>
      <c r="U48" s="828"/>
      <c r="V48" s="190"/>
      <c r="W48" s="197" t="s">
        <v>1165</v>
      </c>
      <c r="X48" s="373"/>
      <c r="Y48" s="374"/>
      <c r="Z48" s="375"/>
      <c r="AA48" s="200"/>
      <c r="AB48" s="376"/>
      <c r="AC48" s="832"/>
      <c r="AD48" s="832"/>
      <c r="AE48" s="832"/>
      <c r="AF48" s="833" t="s">
        <v>739</v>
      </c>
      <c r="AG48" s="834" t="s">
        <v>739</v>
      </c>
      <c r="AH48" s="835"/>
      <c r="AI48" s="832"/>
      <c r="AJ48" s="832"/>
      <c r="AK48" s="836"/>
      <c r="AL48" s="832"/>
      <c r="AM48" s="169"/>
      <c r="AO48" s="169"/>
      <c r="AQ48" s="169"/>
      <c r="AS48" s="169"/>
      <c r="AX48" s="169"/>
      <c r="BA48" s="169"/>
      <c r="BB48" s="169"/>
    </row>
    <row r="49" spans="1:54" ht="10.5" x14ac:dyDescent="0.25">
      <c r="A49" s="369" t="str">
        <f>IF(ISBLANK(TInventB[[#This Row],[Bouwdeel omschrijving]]),"",CONCATENATE(TInventB[[#This Row],[Code Bouwdeeltype]],"-",TInventB[[#This Row],[Volgnr.]]))</f>
        <v/>
      </c>
      <c r="B49" s="365" t="str">
        <f>IF(ISBLANK(TInventB[[#This Row],[Bouwdeel omschrijving]]),"",VLOOKUP(TInventB[[#This Row],[Bouwdeel omschrijving]],TsblB[],2,FALSE))</f>
        <v/>
      </c>
      <c r="C49" s="809"/>
      <c r="D49" s="811"/>
      <c r="E49" s="365" t="str">
        <f>IF(ISBLANK(TInventB[[#This Row],[Bouwdeel omschrijving]]),"",$B$4)</f>
        <v/>
      </c>
      <c r="F49" s="813"/>
      <c r="G49" s="811"/>
      <c r="H49" s="811"/>
      <c r="I49" s="811"/>
      <c r="J49" s="365" t="str">
        <f>IF(ISBLANK(TInventB[[#This Row],[Bouwdeel omschrijving]]),"",VLOOKUP(TInventB[[#This Row],[Bouwdeel omschrijving]],TsblB[],4,FALSE))</f>
        <v/>
      </c>
      <c r="K49" s="365" t="str">
        <f>IF(ISBLANK(TInventB[[#This Row],[Bouwdeel omschrijving]]),"",VLOOKUP(TInventB[[#This Row],[Bouwdeel omschrijving]],TsblB[],3,FALSE))</f>
        <v/>
      </c>
      <c r="L49" s="369" t="str">
        <f t="shared" si="0"/>
        <v/>
      </c>
      <c r="M49" s="816"/>
      <c r="N49" s="817"/>
      <c r="O49" s="817"/>
      <c r="P49" s="820"/>
      <c r="Q49" s="381" t="str">
        <f>IF(ISBLANK(TInventB[[#This Row],[Technische levensduur 
'[jaren']]]),"",(TInventB[[#This Row],[Datum van constructie of productie
'[jjjj-mm-dd']]]+(TInventB[[#This Row],[Technische levensduur 
'[jaren']]]*365)))</f>
        <v/>
      </c>
      <c r="R49" s="826"/>
      <c r="S49" s="827"/>
      <c r="T49" s="827"/>
      <c r="U49" s="828"/>
      <c r="V49" s="190"/>
      <c r="W49" s="197" t="s">
        <v>1165</v>
      </c>
      <c r="X49" s="373"/>
      <c r="Y49" s="374"/>
      <c r="Z49" s="375"/>
      <c r="AA49" s="200"/>
      <c r="AB49" s="376"/>
      <c r="AC49" s="832"/>
      <c r="AD49" s="832"/>
      <c r="AE49" s="832"/>
      <c r="AF49" s="833" t="s">
        <v>739</v>
      </c>
      <c r="AG49" s="834" t="s">
        <v>739</v>
      </c>
      <c r="AH49" s="835"/>
      <c r="AI49" s="832"/>
      <c r="AJ49" s="832"/>
      <c r="AK49" s="836"/>
      <c r="AL49" s="832"/>
      <c r="AM49" s="169"/>
      <c r="AO49" s="169"/>
      <c r="AQ49" s="169"/>
      <c r="AS49" s="169"/>
      <c r="AX49" s="169"/>
      <c r="BA49" s="169"/>
      <c r="BB49" s="169"/>
    </row>
    <row r="50" spans="1:54" ht="10.5" x14ac:dyDescent="0.25">
      <c r="A50" s="369" t="str">
        <f>IF(ISBLANK(TInventB[[#This Row],[Bouwdeel omschrijving]]),"",CONCATENATE(TInventB[[#This Row],[Code Bouwdeeltype]],"-",TInventB[[#This Row],[Volgnr.]]))</f>
        <v/>
      </c>
      <c r="B50" s="365" t="str">
        <f>IF(ISBLANK(TInventB[[#This Row],[Bouwdeel omschrijving]]),"",VLOOKUP(TInventB[[#This Row],[Bouwdeel omschrijving]],TsblB[],2,FALSE))</f>
        <v/>
      </c>
      <c r="C50" s="809"/>
      <c r="D50" s="811"/>
      <c r="E50" s="365" t="str">
        <f>IF(ISBLANK(TInventB[[#This Row],[Bouwdeel omschrijving]]),"",$B$4)</f>
        <v/>
      </c>
      <c r="F50" s="813"/>
      <c r="G50" s="811"/>
      <c r="H50" s="811"/>
      <c r="I50" s="811"/>
      <c r="J50" s="365" t="str">
        <f>IF(ISBLANK(TInventB[[#This Row],[Bouwdeel omschrijving]]),"",VLOOKUP(TInventB[[#This Row],[Bouwdeel omschrijving]],TsblB[],4,FALSE))</f>
        <v/>
      </c>
      <c r="K50" s="365" t="str">
        <f>IF(ISBLANK(TInventB[[#This Row],[Bouwdeel omschrijving]]),"",VLOOKUP(TInventB[[#This Row],[Bouwdeel omschrijving]],TsblB[],3,FALSE))</f>
        <v/>
      </c>
      <c r="L50" s="369" t="str">
        <f t="shared" si="0"/>
        <v/>
      </c>
      <c r="M50" s="816"/>
      <c r="N50" s="817"/>
      <c r="O50" s="817"/>
      <c r="P50" s="820"/>
      <c r="Q50" s="381" t="str">
        <f>IF(ISBLANK(TInventB[[#This Row],[Technische levensduur 
'[jaren']]]),"",(TInventB[[#This Row],[Datum van constructie of productie
'[jjjj-mm-dd']]]+(TInventB[[#This Row],[Technische levensduur 
'[jaren']]]*365)))</f>
        <v/>
      </c>
      <c r="R50" s="826"/>
      <c r="S50" s="827"/>
      <c r="T50" s="827"/>
      <c r="U50" s="828"/>
      <c r="V50" s="190"/>
      <c r="W50" s="197" t="s">
        <v>1165</v>
      </c>
      <c r="X50" s="373"/>
      <c r="Y50" s="374"/>
      <c r="Z50" s="375"/>
      <c r="AA50" s="200"/>
      <c r="AB50" s="376"/>
      <c r="AC50" s="832"/>
      <c r="AD50" s="832"/>
      <c r="AE50" s="832"/>
      <c r="AF50" s="833" t="s">
        <v>739</v>
      </c>
      <c r="AG50" s="834" t="s">
        <v>739</v>
      </c>
      <c r="AH50" s="835"/>
      <c r="AI50" s="832"/>
      <c r="AJ50" s="832"/>
      <c r="AK50" s="836"/>
      <c r="AL50" s="832"/>
      <c r="AM50" s="169"/>
      <c r="AO50" s="169"/>
      <c r="AQ50" s="169"/>
      <c r="AS50" s="169"/>
      <c r="AX50" s="169"/>
      <c r="BA50" s="169"/>
      <c r="BB50" s="169"/>
    </row>
    <row r="51" spans="1:54" ht="10.5" x14ac:dyDescent="0.25">
      <c r="A51" s="369" t="str">
        <f>IF(ISBLANK(TInventB[[#This Row],[Bouwdeel omschrijving]]),"",CONCATENATE(TInventB[[#This Row],[Code Bouwdeeltype]],"-",TInventB[[#This Row],[Volgnr.]]))</f>
        <v/>
      </c>
      <c r="B51" s="365" t="str">
        <f>IF(ISBLANK(TInventB[[#This Row],[Bouwdeel omschrijving]]),"",VLOOKUP(TInventB[[#This Row],[Bouwdeel omschrijving]],TsblB[],2,FALSE))</f>
        <v/>
      </c>
      <c r="C51" s="809"/>
      <c r="D51" s="811"/>
      <c r="E51" s="365" t="str">
        <f>IF(ISBLANK(TInventB[[#This Row],[Bouwdeel omschrijving]]),"",$B$4)</f>
        <v/>
      </c>
      <c r="F51" s="813"/>
      <c r="G51" s="811"/>
      <c r="H51" s="811"/>
      <c r="I51" s="811"/>
      <c r="J51" s="365" t="str">
        <f>IF(ISBLANK(TInventB[[#This Row],[Bouwdeel omschrijving]]),"",VLOOKUP(TInventB[[#This Row],[Bouwdeel omschrijving]],TsblB[],4,FALSE))</f>
        <v/>
      </c>
      <c r="K51" s="365" t="str">
        <f>IF(ISBLANK(TInventB[[#This Row],[Bouwdeel omschrijving]]),"",VLOOKUP(TInventB[[#This Row],[Bouwdeel omschrijving]],TsblB[],3,FALSE))</f>
        <v/>
      </c>
      <c r="L51" s="369" t="str">
        <f t="shared" si="0"/>
        <v/>
      </c>
      <c r="M51" s="816"/>
      <c r="N51" s="817"/>
      <c r="O51" s="817"/>
      <c r="P51" s="820"/>
      <c r="Q51" s="381" t="str">
        <f>IF(ISBLANK(TInventB[[#This Row],[Technische levensduur 
'[jaren']]]),"",(TInventB[[#This Row],[Datum van constructie of productie
'[jjjj-mm-dd']]]+(TInventB[[#This Row],[Technische levensduur 
'[jaren']]]*365)))</f>
        <v/>
      </c>
      <c r="R51" s="826"/>
      <c r="S51" s="827"/>
      <c r="T51" s="827"/>
      <c r="U51" s="828"/>
      <c r="V51" s="190"/>
      <c r="W51" s="197" t="s">
        <v>1165</v>
      </c>
      <c r="X51" s="373"/>
      <c r="Y51" s="374"/>
      <c r="Z51" s="375"/>
      <c r="AA51" s="200"/>
      <c r="AB51" s="376"/>
      <c r="AC51" s="832"/>
      <c r="AD51" s="832"/>
      <c r="AE51" s="832"/>
      <c r="AF51" s="833" t="s">
        <v>739</v>
      </c>
      <c r="AG51" s="834" t="s">
        <v>739</v>
      </c>
      <c r="AH51" s="835"/>
      <c r="AI51" s="832"/>
      <c r="AJ51" s="832"/>
      <c r="AK51" s="836"/>
      <c r="AL51" s="832"/>
      <c r="AM51" s="169"/>
      <c r="AO51" s="169"/>
      <c r="AQ51" s="169"/>
      <c r="AS51" s="169"/>
      <c r="AX51" s="169"/>
      <c r="BA51" s="169"/>
      <c r="BB51" s="169"/>
    </row>
    <row r="52" spans="1:54" ht="10.5" x14ac:dyDescent="0.25">
      <c r="A52" s="369" t="str">
        <f>IF(ISBLANK(TInventB[[#This Row],[Bouwdeel omschrijving]]),"",CONCATENATE(TInventB[[#This Row],[Code Bouwdeeltype]],"-",TInventB[[#This Row],[Volgnr.]]))</f>
        <v/>
      </c>
      <c r="B52" s="365" t="str">
        <f>IF(ISBLANK(TInventB[[#This Row],[Bouwdeel omschrijving]]),"",VLOOKUP(TInventB[[#This Row],[Bouwdeel omschrijving]],TsblB[],2,FALSE))</f>
        <v/>
      </c>
      <c r="C52" s="809"/>
      <c r="D52" s="811"/>
      <c r="E52" s="365" t="str">
        <f>IF(ISBLANK(TInventB[[#This Row],[Bouwdeel omschrijving]]),"",$B$4)</f>
        <v/>
      </c>
      <c r="F52" s="813"/>
      <c r="G52" s="811"/>
      <c r="H52" s="811"/>
      <c r="I52" s="811"/>
      <c r="J52" s="365" t="str">
        <f>IF(ISBLANK(TInventB[[#This Row],[Bouwdeel omschrijving]]),"",VLOOKUP(TInventB[[#This Row],[Bouwdeel omschrijving]],TsblB[],4,FALSE))</f>
        <v/>
      </c>
      <c r="K52" s="365" t="str">
        <f>IF(ISBLANK(TInventB[[#This Row],[Bouwdeel omschrijving]]),"",VLOOKUP(TInventB[[#This Row],[Bouwdeel omschrijving]],TsblB[],3,FALSE))</f>
        <v/>
      </c>
      <c r="L52" s="369" t="str">
        <f t="shared" si="0"/>
        <v/>
      </c>
      <c r="M52" s="816"/>
      <c r="N52" s="817"/>
      <c r="O52" s="817"/>
      <c r="P52" s="820"/>
      <c r="Q52" s="381" t="str">
        <f>IF(ISBLANK(TInventB[[#This Row],[Technische levensduur 
'[jaren']]]),"",(TInventB[[#This Row],[Datum van constructie of productie
'[jjjj-mm-dd']]]+(TInventB[[#This Row],[Technische levensduur 
'[jaren']]]*365)))</f>
        <v/>
      </c>
      <c r="R52" s="826"/>
      <c r="S52" s="827"/>
      <c r="T52" s="827"/>
      <c r="U52" s="828"/>
      <c r="V52" s="190"/>
      <c r="W52" s="197" t="s">
        <v>1165</v>
      </c>
      <c r="X52" s="373"/>
      <c r="Y52" s="374"/>
      <c r="Z52" s="375"/>
      <c r="AA52" s="200"/>
      <c r="AB52" s="376"/>
      <c r="AC52" s="832"/>
      <c r="AD52" s="832"/>
      <c r="AE52" s="832"/>
      <c r="AF52" s="833" t="s">
        <v>739</v>
      </c>
      <c r="AG52" s="834" t="s">
        <v>739</v>
      </c>
      <c r="AH52" s="835"/>
      <c r="AI52" s="832"/>
      <c r="AJ52" s="832"/>
      <c r="AK52" s="836"/>
      <c r="AL52" s="832"/>
      <c r="AM52" s="169"/>
      <c r="AO52" s="169"/>
      <c r="AQ52" s="169"/>
      <c r="AS52" s="169"/>
      <c r="AX52" s="169"/>
      <c r="BA52" s="169"/>
      <c r="BB52" s="169"/>
    </row>
    <row r="53" spans="1:54" ht="10.5" x14ac:dyDescent="0.25">
      <c r="A53" s="369" t="str">
        <f>IF(ISBLANK(TInventB[[#This Row],[Bouwdeel omschrijving]]),"",CONCATENATE(TInventB[[#This Row],[Code Bouwdeeltype]],"-",TInventB[[#This Row],[Volgnr.]]))</f>
        <v/>
      </c>
      <c r="B53" s="365" t="str">
        <f>IF(ISBLANK(TInventB[[#This Row],[Bouwdeel omschrijving]]),"",VLOOKUP(TInventB[[#This Row],[Bouwdeel omschrijving]],TsblB[],2,FALSE))</f>
        <v/>
      </c>
      <c r="C53" s="809"/>
      <c r="D53" s="811"/>
      <c r="E53" s="365" t="str">
        <f>IF(ISBLANK(TInventB[[#This Row],[Bouwdeel omschrijving]]),"",$B$4)</f>
        <v/>
      </c>
      <c r="F53" s="813"/>
      <c r="G53" s="811"/>
      <c r="H53" s="811"/>
      <c r="I53" s="811"/>
      <c r="J53" s="365" t="str">
        <f>IF(ISBLANK(TInventB[[#This Row],[Bouwdeel omschrijving]]),"",VLOOKUP(TInventB[[#This Row],[Bouwdeel omschrijving]],TsblB[],4,FALSE))</f>
        <v/>
      </c>
      <c r="K53" s="365" t="str">
        <f>IF(ISBLANK(TInventB[[#This Row],[Bouwdeel omschrijving]]),"",VLOOKUP(TInventB[[#This Row],[Bouwdeel omschrijving]],TsblB[],3,FALSE))</f>
        <v/>
      </c>
      <c r="L53" s="369" t="str">
        <f t="shared" si="0"/>
        <v/>
      </c>
      <c r="M53" s="816"/>
      <c r="N53" s="817"/>
      <c r="O53" s="817"/>
      <c r="P53" s="820"/>
      <c r="Q53" s="381" t="str">
        <f>IF(ISBLANK(TInventB[[#This Row],[Technische levensduur 
'[jaren']]]),"",(TInventB[[#This Row],[Datum van constructie of productie
'[jjjj-mm-dd']]]+(TInventB[[#This Row],[Technische levensduur 
'[jaren']]]*365)))</f>
        <v/>
      </c>
      <c r="R53" s="826"/>
      <c r="S53" s="827"/>
      <c r="T53" s="827"/>
      <c r="U53" s="828"/>
      <c r="V53" s="190"/>
      <c r="W53" s="197" t="s">
        <v>1165</v>
      </c>
      <c r="X53" s="373"/>
      <c r="Y53" s="374"/>
      <c r="Z53" s="375"/>
      <c r="AA53" s="200"/>
      <c r="AB53" s="376"/>
      <c r="AC53" s="832"/>
      <c r="AD53" s="832"/>
      <c r="AE53" s="832"/>
      <c r="AF53" s="833" t="s">
        <v>739</v>
      </c>
      <c r="AG53" s="834" t="s">
        <v>739</v>
      </c>
      <c r="AH53" s="835"/>
      <c r="AI53" s="832"/>
      <c r="AJ53" s="832"/>
      <c r="AK53" s="836"/>
      <c r="AL53" s="832"/>
      <c r="AM53" s="169"/>
      <c r="AO53" s="169"/>
      <c r="AQ53" s="169"/>
      <c r="AS53" s="169"/>
      <c r="AX53" s="169"/>
      <c r="BA53" s="169"/>
      <c r="BB53" s="169"/>
    </row>
    <row r="54" spans="1:54" ht="10.5" x14ac:dyDescent="0.25">
      <c r="A54" s="369" t="str">
        <f>IF(ISBLANK(TInventB[[#This Row],[Bouwdeel omschrijving]]),"",CONCATENATE(TInventB[[#This Row],[Code Bouwdeeltype]],"-",TInventB[[#This Row],[Volgnr.]]))</f>
        <v/>
      </c>
      <c r="B54" s="365" t="str">
        <f>IF(ISBLANK(TInventB[[#This Row],[Bouwdeel omschrijving]]),"",VLOOKUP(TInventB[[#This Row],[Bouwdeel omschrijving]],TsblB[],2,FALSE))</f>
        <v/>
      </c>
      <c r="C54" s="809"/>
      <c r="D54" s="811"/>
      <c r="E54" s="365" t="str">
        <f>IF(ISBLANK(TInventB[[#This Row],[Bouwdeel omschrijving]]),"",$B$4)</f>
        <v/>
      </c>
      <c r="F54" s="813"/>
      <c r="G54" s="811"/>
      <c r="H54" s="811"/>
      <c r="I54" s="811"/>
      <c r="J54" s="365" t="str">
        <f>IF(ISBLANK(TInventB[[#This Row],[Bouwdeel omschrijving]]),"",VLOOKUP(TInventB[[#This Row],[Bouwdeel omschrijving]],TsblB[],4,FALSE))</f>
        <v/>
      </c>
      <c r="K54" s="365" t="str">
        <f>IF(ISBLANK(TInventB[[#This Row],[Bouwdeel omschrijving]]),"",VLOOKUP(TInventB[[#This Row],[Bouwdeel omschrijving]],TsblB[],3,FALSE))</f>
        <v/>
      </c>
      <c r="L54" s="369" t="str">
        <f t="shared" si="0"/>
        <v/>
      </c>
      <c r="M54" s="816"/>
      <c r="N54" s="817"/>
      <c r="O54" s="817"/>
      <c r="P54" s="820"/>
      <c r="Q54" s="381" t="str">
        <f>IF(ISBLANK(TInventB[[#This Row],[Technische levensduur 
'[jaren']]]),"",(TInventB[[#This Row],[Datum van constructie of productie
'[jjjj-mm-dd']]]+(TInventB[[#This Row],[Technische levensduur 
'[jaren']]]*365)))</f>
        <v/>
      </c>
      <c r="R54" s="826"/>
      <c r="S54" s="827"/>
      <c r="T54" s="827"/>
      <c r="U54" s="828"/>
      <c r="V54" s="190"/>
      <c r="W54" s="197" t="s">
        <v>1165</v>
      </c>
      <c r="X54" s="373"/>
      <c r="Y54" s="374"/>
      <c r="Z54" s="375"/>
      <c r="AA54" s="200"/>
      <c r="AB54" s="376"/>
      <c r="AC54" s="832"/>
      <c r="AD54" s="832"/>
      <c r="AE54" s="832"/>
      <c r="AF54" s="833" t="s">
        <v>739</v>
      </c>
      <c r="AG54" s="834" t="s">
        <v>739</v>
      </c>
      <c r="AH54" s="835"/>
      <c r="AI54" s="832"/>
      <c r="AJ54" s="832"/>
      <c r="AK54" s="836"/>
      <c r="AL54" s="832"/>
      <c r="AM54" s="169"/>
      <c r="AO54" s="169"/>
      <c r="AQ54" s="169"/>
      <c r="AS54" s="169"/>
      <c r="AX54" s="169"/>
      <c r="BA54" s="169"/>
      <c r="BB54" s="169"/>
    </row>
    <row r="55" spans="1:54" ht="10.5" x14ac:dyDescent="0.25">
      <c r="A55" s="369" t="str">
        <f>IF(ISBLANK(TInventB[[#This Row],[Bouwdeel omschrijving]]),"",CONCATENATE(TInventB[[#This Row],[Code Bouwdeeltype]],"-",TInventB[[#This Row],[Volgnr.]]))</f>
        <v/>
      </c>
      <c r="B55" s="365" t="str">
        <f>IF(ISBLANK(TInventB[[#This Row],[Bouwdeel omschrijving]]),"",VLOOKUP(TInventB[[#This Row],[Bouwdeel omschrijving]],TsblB[],2,FALSE))</f>
        <v/>
      </c>
      <c r="C55" s="809"/>
      <c r="D55" s="811"/>
      <c r="E55" s="365" t="str">
        <f>IF(ISBLANK(TInventB[[#This Row],[Bouwdeel omschrijving]]),"",$B$4)</f>
        <v/>
      </c>
      <c r="F55" s="813"/>
      <c r="G55" s="811"/>
      <c r="H55" s="811"/>
      <c r="I55" s="811"/>
      <c r="J55" s="365" t="str">
        <f>IF(ISBLANK(TInventB[[#This Row],[Bouwdeel omschrijving]]),"",VLOOKUP(TInventB[[#This Row],[Bouwdeel omschrijving]],TsblB[],4,FALSE))</f>
        <v/>
      </c>
      <c r="K55" s="365" t="str">
        <f>IF(ISBLANK(TInventB[[#This Row],[Bouwdeel omschrijving]]),"",VLOOKUP(TInventB[[#This Row],[Bouwdeel omschrijving]],TsblB[],3,FALSE))</f>
        <v/>
      </c>
      <c r="L55" s="369" t="str">
        <f t="shared" si="0"/>
        <v/>
      </c>
      <c r="M55" s="816"/>
      <c r="N55" s="817"/>
      <c r="O55" s="817"/>
      <c r="P55" s="820"/>
      <c r="Q55" s="381" t="str">
        <f>IF(ISBLANK(TInventB[[#This Row],[Technische levensduur 
'[jaren']]]),"",(TInventB[[#This Row],[Datum van constructie of productie
'[jjjj-mm-dd']]]+(TInventB[[#This Row],[Technische levensduur 
'[jaren']]]*365)))</f>
        <v/>
      </c>
      <c r="R55" s="826"/>
      <c r="S55" s="827"/>
      <c r="T55" s="827"/>
      <c r="U55" s="828"/>
      <c r="V55" s="190"/>
      <c r="W55" s="197" t="s">
        <v>1165</v>
      </c>
      <c r="X55" s="373"/>
      <c r="Y55" s="374"/>
      <c r="Z55" s="375"/>
      <c r="AA55" s="200"/>
      <c r="AB55" s="376"/>
      <c r="AC55" s="832"/>
      <c r="AD55" s="832"/>
      <c r="AE55" s="832"/>
      <c r="AF55" s="833" t="s">
        <v>739</v>
      </c>
      <c r="AG55" s="834" t="s">
        <v>739</v>
      </c>
      <c r="AH55" s="835"/>
      <c r="AI55" s="832"/>
      <c r="AJ55" s="832"/>
      <c r="AK55" s="836"/>
      <c r="AL55" s="816"/>
      <c r="AM55" s="169"/>
      <c r="AO55" s="169"/>
      <c r="AQ55" s="169"/>
      <c r="AS55" s="169"/>
      <c r="AX55" s="169"/>
      <c r="BA55" s="169"/>
      <c r="BB55" s="169"/>
    </row>
    <row r="56" spans="1:54" ht="10.5" x14ac:dyDescent="0.25">
      <c r="A56" s="369" t="str">
        <f>IF(ISBLANK(TInventB[[#This Row],[Bouwdeel omschrijving]]),"",CONCATENATE(TInventB[[#This Row],[Code Bouwdeeltype]],"-",TInventB[[#This Row],[Volgnr.]]))</f>
        <v/>
      </c>
      <c r="B56" s="384" t="str">
        <f>IF(ISBLANK(TInventB[[#This Row],[Bouwdeel omschrijving]]),"",VLOOKUP(TInventB[[#This Row],[Bouwdeel omschrijving]],TsblB[],2,FALSE))</f>
        <v/>
      </c>
      <c r="C56" s="809"/>
      <c r="D56" s="812"/>
      <c r="E56" s="384" t="str">
        <f>IF(ISBLANK(TInventB[[#This Row],[Bouwdeel omschrijving]]),"",$B$4)</f>
        <v/>
      </c>
      <c r="F56" s="815"/>
      <c r="G56" s="812"/>
      <c r="H56" s="812"/>
      <c r="I56" s="812"/>
      <c r="J56" s="384" t="str">
        <f>IF(ISBLANK(TInventB[[#This Row],[Bouwdeel omschrijving]]),"",VLOOKUP(TInventB[[#This Row],[Bouwdeel omschrijving]],TsblB[],4,FALSE))</f>
        <v/>
      </c>
      <c r="K56" s="384" t="str">
        <f>IF(ISBLANK(TInventB[[#This Row],[Bouwdeel omschrijving]]),"",VLOOKUP(TInventB[[#This Row],[Bouwdeel omschrijving]],TsblB[],3,FALSE))</f>
        <v/>
      </c>
      <c r="L56" s="387" t="str">
        <f t="shared" si="0"/>
        <v/>
      </c>
      <c r="M56" s="821"/>
      <c r="N56" s="817"/>
      <c r="O56" s="817"/>
      <c r="P56" s="822"/>
      <c r="Q56" s="390" t="str">
        <f>IF(ISBLANK(TInventB[[#This Row],[Technische levensduur 
'[jaren']]]),"",(TInventB[[#This Row],[Datum van constructie of productie
'[jjjj-mm-dd']]]+(TInventB[[#This Row],[Technische levensduur 
'[jaren']]]*365)))</f>
        <v/>
      </c>
      <c r="R56" s="826"/>
      <c r="S56" s="827"/>
      <c r="T56" s="827"/>
      <c r="U56" s="829"/>
      <c r="V56" s="385"/>
      <c r="W56" s="392" t="s">
        <v>1165</v>
      </c>
      <c r="X56" s="373"/>
      <c r="Y56" s="374"/>
      <c r="Z56" s="375"/>
      <c r="AA56" s="200"/>
      <c r="AB56" s="376"/>
      <c r="AC56" s="837"/>
      <c r="AD56" s="837"/>
      <c r="AE56" s="837"/>
      <c r="AF56" s="833" t="s">
        <v>739</v>
      </c>
      <c r="AG56" s="834" t="s">
        <v>739</v>
      </c>
      <c r="AH56" s="835"/>
      <c r="AI56" s="832"/>
      <c r="AJ56" s="832"/>
      <c r="AK56" s="836"/>
      <c r="AL56" s="821"/>
      <c r="AM56" s="169"/>
      <c r="AO56" s="169"/>
      <c r="AQ56" s="169"/>
      <c r="AS56" s="169"/>
      <c r="AX56" s="169"/>
      <c r="BA56" s="169"/>
      <c r="BB56" s="169"/>
    </row>
    <row r="57" spans="1:54" ht="10.5" x14ac:dyDescent="0.25">
      <c r="A57" s="369" t="str">
        <f>IF(ISBLANK(TInventB[[#This Row],[Bouwdeel omschrijving]]),"",CONCATENATE(TInventB[[#This Row],[Code Bouwdeeltype]],"-",TInventB[[#This Row],[Volgnr.]]))</f>
        <v/>
      </c>
      <c r="B57" s="365" t="str">
        <f>IF(ISBLANK(TInventB[[#This Row],[Bouwdeel omschrijving]]),"",VLOOKUP(TInventB[[#This Row],[Bouwdeel omschrijving]],TsblB[],2,FALSE))</f>
        <v/>
      </c>
      <c r="C57" s="809"/>
      <c r="D57" s="811"/>
      <c r="E57" s="365" t="str">
        <f>IF(ISBLANK(TInventB[[#This Row],[Bouwdeel omschrijving]]),"",$B$4)</f>
        <v/>
      </c>
      <c r="F57" s="813"/>
      <c r="G57" s="811"/>
      <c r="H57" s="811"/>
      <c r="I57" s="811"/>
      <c r="J57" s="365" t="str">
        <f>IF(ISBLANK(TInventB[[#This Row],[Bouwdeel omschrijving]]),"",VLOOKUP(TInventB[[#This Row],[Bouwdeel omschrijving]],TsblB[],4,FALSE))</f>
        <v/>
      </c>
      <c r="K57" s="365" t="str">
        <f>IF(ISBLANK(TInventB[[#This Row],[Bouwdeel omschrijving]]),"",VLOOKUP(TInventB[[#This Row],[Bouwdeel omschrijving]],TsblB[],3,FALSE))</f>
        <v/>
      </c>
      <c r="L57" s="369" t="str">
        <f t="shared" si="0"/>
        <v/>
      </c>
      <c r="M57" s="816"/>
      <c r="N57" s="817"/>
      <c r="O57" s="817"/>
      <c r="P57" s="820"/>
      <c r="Q57" s="381" t="str">
        <f>IF(ISBLANK(TInventB[[#This Row],[Technische levensduur 
'[jaren']]]),"",(TInventB[[#This Row],[Datum van constructie of productie
'[jjjj-mm-dd']]]+(TInventB[[#This Row],[Technische levensduur 
'[jaren']]]*365)))</f>
        <v/>
      </c>
      <c r="R57" s="826"/>
      <c r="S57" s="827"/>
      <c r="T57" s="827"/>
      <c r="U57" s="828"/>
      <c r="V57" s="190"/>
      <c r="W57" s="197" t="s">
        <v>1165</v>
      </c>
      <c r="X57" s="373"/>
      <c r="Y57" s="374"/>
      <c r="Z57" s="375"/>
      <c r="AA57" s="200"/>
      <c r="AB57" s="376"/>
      <c r="AC57" s="832"/>
      <c r="AD57" s="832"/>
      <c r="AE57" s="832"/>
      <c r="AF57" s="833" t="s">
        <v>739</v>
      </c>
      <c r="AG57" s="834" t="s">
        <v>739</v>
      </c>
      <c r="AH57" s="835"/>
      <c r="AI57" s="832"/>
      <c r="AJ57" s="832"/>
      <c r="AK57" s="836"/>
      <c r="AL57" s="816"/>
      <c r="AM57" s="169"/>
      <c r="AO57" s="169"/>
      <c r="AQ57" s="169"/>
      <c r="AS57" s="169"/>
      <c r="AX57" s="169"/>
      <c r="BA57" s="169"/>
      <c r="BB57" s="169"/>
    </row>
    <row r="58" spans="1:54" ht="10.5" x14ac:dyDescent="0.25">
      <c r="A58" s="369" t="str">
        <f>IF(ISBLANK(TInventB[[#This Row],[Bouwdeel omschrijving]]),"",CONCATENATE(TInventB[[#This Row],[Code Bouwdeeltype]],"-",TInventB[[#This Row],[Volgnr.]]))</f>
        <v/>
      </c>
      <c r="B58" s="365" t="str">
        <f>IF(ISBLANK(TInventB[[#This Row],[Bouwdeel omschrijving]]),"",VLOOKUP(TInventB[[#This Row],[Bouwdeel omschrijving]],TsblB[],2,FALSE))</f>
        <v/>
      </c>
      <c r="C58" s="809"/>
      <c r="D58" s="811"/>
      <c r="E58" s="365" t="str">
        <f>IF(ISBLANK(TInventB[[#This Row],[Bouwdeel omschrijving]]),"",$B$4)</f>
        <v/>
      </c>
      <c r="F58" s="814"/>
      <c r="G58" s="811"/>
      <c r="H58" s="811"/>
      <c r="I58" s="811"/>
      <c r="J58" s="365" t="str">
        <f>IF(ISBLANK(TInventB[[#This Row],[Bouwdeel omschrijving]]),"",VLOOKUP(TInventB[[#This Row],[Bouwdeel omschrijving]],TsblB[],4,FALSE))</f>
        <v/>
      </c>
      <c r="K58" s="365" t="str">
        <f>IF(ISBLANK(TInventB[[#This Row],[Bouwdeel omschrijving]]),"",VLOOKUP(TInventB[[#This Row],[Bouwdeel omschrijving]],TsblB[],3,FALSE))</f>
        <v/>
      </c>
      <c r="L58" s="394" t="str">
        <f t="shared" si="0"/>
        <v/>
      </c>
      <c r="M58" s="823"/>
      <c r="N58" s="817"/>
      <c r="O58" s="817"/>
      <c r="P58" s="820"/>
      <c r="Q58" s="381" t="str">
        <f>IF(ISBLANK(TInventB[[#This Row],[Technische levensduur 
'[jaren']]]),"",(TInventB[[#This Row],[Datum van constructie of productie
'[jjjj-mm-dd']]]+(TInventB[[#This Row],[Technische levensduur 
'[jaren']]]*365)))</f>
        <v/>
      </c>
      <c r="R58" s="826"/>
      <c r="S58" s="827"/>
      <c r="T58" s="827"/>
      <c r="U58" s="830"/>
      <c r="V58" s="190"/>
      <c r="W58" s="197" t="s">
        <v>1165</v>
      </c>
      <c r="X58" s="373"/>
      <c r="Y58" s="374"/>
      <c r="Z58" s="375"/>
      <c r="AA58" s="200"/>
      <c r="AB58" s="376"/>
      <c r="AC58" s="838"/>
      <c r="AD58" s="838"/>
      <c r="AE58" s="838"/>
      <c r="AF58" s="833" t="s">
        <v>739</v>
      </c>
      <c r="AG58" s="834" t="s">
        <v>739</v>
      </c>
      <c r="AH58" s="835"/>
      <c r="AI58" s="832"/>
      <c r="AJ58" s="832"/>
      <c r="AK58" s="836"/>
      <c r="AL58" s="816"/>
      <c r="AM58" s="169"/>
      <c r="AO58" s="169"/>
      <c r="AQ58" s="169"/>
      <c r="AS58" s="169"/>
      <c r="AX58" s="169"/>
      <c r="BA58" s="169"/>
      <c r="BB58" s="169"/>
    </row>
    <row r="59" spans="1:54" ht="10.5" x14ac:dyDescent="0.25">
      <c r="A59" s="387" t="str">
        <f>IF(ISBLANK(TInventB[[#This Row],[Bouwdeel omschrijving]]),"",CONCATENATE(TInventB[[#This Row],[Code Bouwdeeltype]],"-",TInventB[[#This Row],[Volgnr.]]))</f>
        <v/>
      </c>
      <c r="B59" s="365" t="str">
        <f>IF(ISBLANK(TInventB[[#This Row],[Bouwdeel omschrijving]]),"",VLOOKUP(TInventB[[#This Row],[Bouwdeel omschrijving]],TsblB[],2,FALSE))</f>
        <v/>
      </c>
      <c r="C59" s="809"/>
      <c r="D59" s="811"/>
      <c r="E59" s="365" t="str">
        <f>IF(ISBLANK(TInventB[[#This Row],[Bouwdeel omschrijving]]),"",$B$4)</f>
        <v/>
      </c>
      <c r="F59" s="813"/>
      <c r="G59" s="811"/>
      <c r="H59" s="811"/>
      <c r="I59" s="811"/>
      <c r="J59" s="365" t="str">
        <f>IF(ISBLANK(TInventB[[#This Row],[Bouwdeel omschrijving]]),"",VLOOKUP(TInventB[[#This Row],[Bouwdeel omschrijving]],TsblB[],4,FALSE))</f>
        <v/>
      </c>
      <c r="K59" s="365" t="str">
        <f>IF(ISBLANK(TInventB[[#This Row],[Bouwdeel omschrijving]]),"",VLOOKUP(TInventB[[#This Row],[Bouwdeel omschrijving]],TsblB[],3,FALSE))</f>
        <v/>
      </c>
      <c r="L59" s="369" t="str">
        <f t="shared" si="0"/>
        <v/>
      </c>
      <c r="M59" s="816"/>
      <c r="N59" s="817"/>
      <c r="O59" s="817"/>
      <c r="P59" s="820"/>
      <c r="Q59" s="381" t="str">
        <f>IF(ISBLANK(TInventB[[#This Row],[Technische levensduur 
'[jaren']]]),"",(TInventB[[#This Row],[Datum van constructie of productie
'[jjjj-mm-dd']]]+(TInventB[[#This Row],[Technische levensduur 
'[jaren']]]*365)))</f>
        <v/>
      </c>
      <c r="R59" s="826"/>
      <c r="S59" s="827"/>
      <c r="T59" s="827"/>
      <c r="U59" s="828"/>
      <c r="V59" s="190"/>
      <c r="W59" s="197" t="s">
        <v>1165</v>
      </c>
      <c r="X59" s="373"/>
      <c r="Y59" s="374"/>
      <c r="Z59" s="375"/>
      <c r="AA59" s="200"/>
      <c r="AB59" s="376"/>
      <c r="AC59" s="832"/>
      <c r="AD59" s="832"/>
      <c r="AE59" s="832"/>
      <c r="AF59" s="833" t="s">
        <v>739</v>
      </c>
      <c r="AG59" s="834" t="s">
        <v>739</v>
      </c>
      <c r="AH59" s="835"/>
      <c r="AI59" s="832"/>
      <c r="AJ59" s="832"/>
      <c r="AK59" s="836"/>
      <c r="AL59" s="816"/>
      <c r="AM59" s="169"/>
      <c r="AO59" s="169"/>
      <c r="AQ59" s="169"/>
      <c r="AS59" s="169"/>
      <c r="AX59" s="169"/>
      <c r="BA59" s="169"/>
      <c r="BB59" s="169"/>
    </row>
  </sheetData>
  <mergeCells count="4">
    <mergeCell ref="C4:F4"/>
    <mergeCell ref="S4:W4"/>
    <mergeCell ref="X5:AA5"/>
    <mergeCell ref="AH5:AK5"/>
  </mergeCells>
  <dataValidations count="1">
    <dataValidation type="list" allowBlank="1" showInputMessage="1" showErrorMessage="1" sqref="S2 AH2:AJ2" xr:uid="{73A5C525-85C8-481A-B62C-C224BCEDCFF4}">
      <formula1>"Concept,Definitief"</formula1>
    </dataValidation>
  </dataValidations>
  <pageMargins left="0.7" right="0.7" top="0.75" bottom="0.75" header="0.3" footer="0.3"/>
  <legacyDrawing r:id="rId1"/>
  <tableParts count="1">
    <tablePart r:id="rId2"/>
  </tableParts>
  <extLst>
    <ext xmlns:x14="http://schemas.microsoft.com/office/spreadsheetml/2009/9/main" uri="{CCE6A557-97BC-4b89-ADB6-D9C93CAAB3DF}">
      <x14:dataValidations xmlns:xm="http://schemas.microsoft.com/office/excel/2006/main" count="9">
        <x14:dataValidation type="list" allowBlank="1" showInputMessage="1" showErrorMessage="1" xr:uid="{0259F072-8BF3-4F35-87A1-4A2800ED783E}">
          <x14:formula1>
            <xm:f>'SBL-2024'!$B$5:$B$19</xm:f>
          </x14:formula1>
          <xm:sqref>C8:C59</xm:sqref>
        </x14:dataValidation>
        <x14:dataValidation type="list" allowBlank="1" showInputMessage="1" showErrorMessage="1" xr:uid="{75108A22-EA7F-4DAC-AC2F-CF217E125E05}">
          <x14:formula1>
            <xm:f>'Menu''s'!$H$267:$H$268</xm:f>
          </x14:formula1>
          <xm:sqref>X8:X59</xm:sqref>
        </x14:dataValidation>
        <x14:dataValidation type="list" allowBlank="1" showInputMessage="1" showErrorMessage="1" xr:uid="{E525856A-EAAB-4CB5-92EF-FD7D50B9E547}">
          <x14:formula1>
            <xm:f>'Menu''s'!$H$271:$H$272</xm:f>
          </x14:formula1>
          <xm:sqref>Y8:Y59</xm:sqref>
        </x14:dataValidation>
        <x14:dataValidation type="list" allowBlank="1" showInputMessage="1" showErrorMessage="1" xr:uid="{795AF5F9-98F0-4B27-B8A8-850B93917C07}">
          <x14:formula1>
            <xm:f>'Menu''s'!$H$275:$H$279</xm:f>
          </x14:formula1>
          <xm:sqref>Z8:Z59</xm:sqref>
        </x14:dataValidation>
        <x14:dataValidation type="list" allowBlank="1" showInputMessage="1" showErrorMessage="1" xr:uid="{BC456409-DA79-4F42-B20F-CD44650620A1}">
          <x14:formula1>
            <xm:f>'Menu''s'!$H$260:$H$264</xm:f>
          </x14:formula1>
          <xm:sqref>AB8:AB59</xm:sqref>
        </x14:dataValidation>
        <x14:dataValidation type="list" allowBlank="1" showInputMessage="1" showErrorMessage="1" xr:uid="{CB86ECEE-6EDE-4AF2-BBE6-F62DEC69BFE8}">
          <x14:formula1>
            <xm:f>'Menu''s'!$H$282:$H$284</xm:f>
          </x14:formula1>
          <xm:sqref>AH8:AH59</xm:sqref>
        </x14:dataValidation>
        <x14:dataValidation type="list" allowBlank="1" showInputMessage="1" showErrorMessage="1" xr:uid="{03EDFD5E-B02B-4850-A780-A0980D553459}">
          <x14:formula1>
            <xm:f>'Menu''s'!$H$292:$H$295</xm:f>
          </x14:formula1>
          <xm:sqref>AJ8:AJ59</xm:sqref>
        </x14:dataValidation>
        <x14:dataValidation type="list" allowBlank="1" showInputMessage="1" showErrorMessage="1" xr:uid="{9F3459B4-5AD5-4C85-8E0B-85051A8F9189}">
          <x14:formula1>
            <xm:f>'Menu''s'!$H$298:$H$300</xm:f>
          </x14:formula1>
          <xm:sqref>AK8:AK59</xm:sqref>
        </x14:dataValidation>
        <x14:dataValidation type="list" allowBlank="1" showInputMessage="1" showErrorMessage="1" xr:uid="{7AB8B02E-A463-4E3D-BA36-8F2A9656B51B}">
          <x14:formula1>
            <xm:f>'Menu''s'!$H$287:$H$289</xm:f>
          </x14:formula1>
          <xm:sqref>AI8:AI59</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BFC27-7430-49F4-BCBF-E18788796D80}">
  <sheetPr>
    <tabColor rgb="FFFFFF00"/>
  </sheetPr>
  <dimension ref="A1:AE193"/>
  <sheetViews>
    <sheetView topLeftCell="A6" zoomScale="115" zoomScaleNormal="115" workbookViewId="0">
      <pane xSplit="5" topLeftCell="O1" activePane="topRight" state="frozen"/>
      <selection activeCell="A4" sqref="A4"/>
      <selection pane="topRight" activeCell="O14" sqref="O14"/>
    </sheetView>
  </sheetViews>
  <sheetFormatPr defaultColWidth="8.85546875" defaultRowHeight="15" x14ac:dyDescent="0.25"/>
  <cols>
    <col min="1" max="1" width="15.5703125" style="169" customWidth="1"/>
    <col min="2" max="2" width="14.140625" style="169" customWidth="1"/>
    <col min="3" max="3" width="8.5703125" style="169" bestFit="1" customWidth="1"/>
    <col min="4" max="4" width="34.5703125" style="169" customWidth="1"/>
    <col min="5" max="5" width="7.5703125" style="169" customWidth="1"/>
    <col min="6" max="6" width="8.5703125" style="169" customWidth="1"/>
    <col min="7" max="7" width="13.85546875" style="169" customWidth="1"/>
    <col min="8" max="8" width="17.42578125" style="169" customWidth="1"/>
    <col min="9" max="9" width="10.5703125" style="169" customWidth="1"/>
    <col min="10" max="10" width="12" style="169" customWidth="1"/>
    <col min="11" max="11" width="9.140625" style="169" customWidth="1"/>
    <col min="12" max="12" width="11.140625" style="216" bestFit="1" customWidth="1"/>
    <col min="13" max="13" width="14.42578125" style="169" customWidth="1"/>
    <col min="14" max="14" width="7.5703125" style="216" hidden="1" customWidth="1"/>
    <col min="15" max="15" width="19.5703125" style="170" customWidth="1"/>
    <col min="16" max="17" width="22.42578125" style="217" customWidth="1"/>
    <col min="18" max="18" width="38.42578125" style="170" customWidth="1"/>
    <col min="19" max="19" width="12.42578125" style="170" bestFit="1" customWidth="1"/>
    <col min="20" max="22" width="35.5703125" style="170" customWidth="1"/>
    <col min="23" max="23" width="25.5703125" style="170" customWidth="1"/>
    <col min="24" max="24" width="9.140625" style="169" customWidth="1"/>
    <col min="25" max="25" width="8.5703125" style="169" bestFit="1" customWidth="1"/>
    <col min="26" max="26" width="12.42578125" style="172" bestFit="1" customWidth="1"/>
    <col min="27" max="27" width="8.85546875" hidden="1" customWidth="1"/>
    <col min="28" max="30" width="8.85546875" style="169" hidden="1" customWidth="1"/>
    <col min="31" max="31" width="11" style="169" hidden="1" customWidth="1"/>
    <col min="32" max="32" width="10.42578125" style="169" customWidth="1"/>
    <col min="33" max="16384" width="8.85546875" style="169"/>
  </cols>
  <sheetData>
    <row r="1" spans="1:31" ht="29.25" x14ac:dyDescent="0.2">
      <c r="A1" s="168" t="s">
        <v>740</v>
      </c>
      <c r="J1" s="396"/>
      <c r="K1" s="397" t="s">
        <v>741</v>
      </c>
      <c r="L1" s="398"/>
      <c r="M1" s="397"/>
      <c r="N1" s="398"/>
      <c r="AA1" s="169"/>
    </row>
    <row r="2" spans="1:31" ht="10.5" x14ac:dyDescent="0.25">
      <c r="A2" s="399" t="s">
        <v>728</v>
      </c>
      <c r="B2" s="169" t="s">
        <v>742</v>
      </c>
      <c r="I2" s="170"/>
      <c r="J2" s="170"/>
      <c r="K2" s="170"/>
      <c r="L2" s="170"/>
      <c r="M2" s="170"/>
      <c r="N2" s="400"/>
      <c r="AA2" s="399"/>
      <c r="AB2" s="399"/>
    </row>
    <row r="3" spans="1:31" x14ac:dyDescent="0.25">
      <c r="A3" s="399" t="s">
        <v>743</v>
      </c>
      <c r="B3" s="169" t="s">
        <v>744</v>
      </c>
      <c r="J3" s="401" t="s">
        <v>380</v>
      </c>
      <c r="K3" s="527">
        <f>Advies!B34</f>
        <v>3</v>
      </c>
      <c r="L3" s="402"/>
      <c r="M3" s="170"/>
      <c r="N3" s="400"/>
      <c r="AA3" s="399"/>
      <c r="AB3" s="399"/>
    </row>
    <row r="4" spans="1:31" x14ac:dyDescent="0.25">
      <c r="A4" s="399" t="s">
        <v>737</v>
      </c>
      <c r="B4" s="169" t="s">
        <v>745</v>
      </c>
      <c r="J4" s="403" t="s">
        <v>381</v>
      </c>
      <c r="K4" s="526">
        <f>Advies!B34</f>
        <v>3</v>
      </c>
      <c r="L4" s="402"/>
      <c r="M4" s="170"/>
      <c r="N4" s="400"/>
      <c r="AA4" s="399"/>
      <c r="AB4" s="399"/>
    </row>
    <row r="5" spans="1:31" x14ac:dyDescent="0.25">
      <c r="A5" s="399" t="s">
        <v>746</v>
      </c>
      <c r="B5" s="404">
        <f>'Inventarisatie B'!S1</f>
        <v>46261</v>
      </c>
      <c r="J5" s="403" t="s">
        <v>382</v>
      </c>
      <c r="K5" s="526">
        <f>Advies!B34</f>
        <v>3</v>
      </c>
      <c r="L5" s="402"/>
      <c r="M5" s="170"/>
      <c r="N5" s="405"/>
      <c r="AA5" s="399"/>
      <c r="AB5" s="399"/>
    </row>
    <row r="6" spans="1:31" x14ac:dyDescent="0.25">
      <c r="A6" s="399" t="s">
        <v>747</v>
      </c>
      <c r="B6" s="406" t="s">
        <v>1426</v>
      </c>
      <c r="C6" s="406"/>
      <c r="D6" s="406"/>
      <c r="J6" s="403" t="s">
        <v>383</v>
      </c>
      <c r="K6" s="526">
        <f>Advies!B34</f>
        <v>3</v>
      </c>
      <c r="L6" s="402"/>
      <c r="M6" s="170"/>
      <c r="N6" s="400"/>
      <c r="AA6" s="399"/>
      <c r="AB6" s="399"/>
    </row>
    <row r="7" spans="1:31" x14ac:dyDescent="0.25">
      <c r="J7" s="403" t="s">
        <v>164</v>
      </c>
      <c r="K7" s="526">
        <f>Advies!B34</f>
        <v>3</v>
      </c>
      <c r="L7" s="402"/>
      <c r="M7" s="170"/>
      <c r="N7" s="400"/>
      <c r="AA7" s="399"/>
      <c r="AB7" s="399"/>
    </row>
    <row r="8" spans="1:31" ht="10.5" x14ac:dyDescent="0.25">
      <c r="A8" s="357" t="s">
        <v>737</v>
      </c>
      <c r="B8" s="356" t="s">
        <v>736</v>
      </c>
      <c r="C8" s="356" t="s">
        <v>736</v>
      </c>
      <c r="D8" s="356" t="s">
        <v>736</v>
      </c>
      <c r="E8" s="169" t="s">
        <v>738</v>
      </c>
      <c r="F8" s="357" t="s">
        <v>737</v>
      </c>
      <c r="G8" s="356" t="s">
        <v>736</v>
      </c>
      <c r="H8" s="356" t="s">
        <v>736</v>
      </c>
      <c r="I8" s="356" t="s">
        <v>736</v>
      </c>
      <c r="J8" s="169" t="s">
        <v>738</v>
      </c>
      <c r="K8" s="356" t="s">
        <v>736</v>
      </c>
      <c r="L8" s="400" t="s">
        <v>738</v>
      </c>
      <c r="M8" s="356" t="s">
        <v>736</v>
      </c>
      <c r="N8" s="407" t="s">
        <v>738</v>
      </c>
      <c r="O8" s="170" t="s">
        <v>738</v>
      </c>
      <c r="P8" s="170" t="s">
        <v>738</v>
      </c>
      <c r="Q8" s="357" t="s">
        <v>737</v>
      </c>
      <c r="R8" s="170" t="s">
        <v>738</v>
      </c>
      <c r="S8" s="357" t="s">
        <v>737</v>
      </c>
      <c r="T8" s="170" t="s">
        <v>738</v>
      </c>
      <c r="U8" s="170" t="s">
        <v>738</v>
      </c>
      <c r="V8" s="357" t="s">
        <v>737</v>
      </c>
      <c r="W8" s="357" t="s">
        <v>737</v>
      </c>
      <c r="X8" s="169" t="s">
        <v>738</v>
      </c>
      <c r="Y8" s="169" t="s">
        <v>738</v>
      </c>
      <c r="Z8" s="356" t="s">
        <v>736</v>
      </c>
      <c r="AA8" s="356" t="s">
        <v>736</v>
      </c>
      <c r="AB8" s="356" t="s">
        <v>736</v>
      </c>
      <c r="AC8" s="356" t="s">
        <v>736</v>
      </c>
      <c r="AD8" s="356" t="s">
        <v>736</v>
      </c>
      <c r="AE8" s="356" t="s">
        <v>736</v>
      </c>
    </row>
    <row r="9" spans="1:31" ht="41.1" customHeight="1" x14ac:dyDescent="0.25">
      <c r="A9" s="208" t="s">
        <v>572</v>
      </c>
      <c r="B9" s="208" t="s">
        <v>573</v>
      </c>
      <c r="C9" s="209" t="s">
        <v>609</v>
      </c>
      <c r="D9" s="209" t="s">
        <v>610</v>
      </c>
      <c r="E9" s="210" t="s">
        <v>611</v>
      </c>
      <c r="F9" s="209" t="s">
        <v>612</v>
      </c>
      <c r="G9" s="209" t="s">
        <v>613</v>
      </c>
      <c r="H9" s="209" t="s">
        <v>614</v>
      </c>
      <c r="I9" s="209" t="s">
        <v>615</v>
      </c>
      <c r="J9" s="209" t="s">
        <v>591</v>
      </c>
      <c r="K9" s="211" t="s">
        <v>616</v>
      </c>
      <c r="L9" s="212" t="s">
        <v>617</v>
      </c>
      <c r="M9" s="213" t="s">
        <v>618</v>
      </c>
      <c r="N9" s="214" t="s">
        <v>619</v>
      </c>
      <c r="O9" s="209" t="s">
        <v>620</v>
      </c>
      <c r="P9" s="208" t="s">
        <v>621</v>
      </c>
      <c r="Q9" s="213" t="s">
        <v>1370</v>
      </c>
      <c r="R9" s="209" t="s">
        <v>622</v>
      </c>
      <c r="S9" s="209" t="s">
        <v>398</v>
      </c>
      <c r="T9" s="209" t="s">
        <v>623</v>
      </c>
      <c r="U9" s="209" t="s">
        <v>624</v>
      </c>
      <c r="V9" s="209" t="s">
        <v>1152</v>
      </c>
      <c r="W9" s="209" t="s">
        <v>748</v>
      </c>
      <c r="X9" s="209" t="s">
        <v>626</v>
      </c>
      <c r="Y9" s="209" t="s">
        <v>355</v>
      </c>
      <c r="Z9" s="215" t="s">
        <v>627</v>
      </c>
      <c r="AA9" s="408" t="s">
        <v>749</v>
      </c>
      <c r="AB9" s="184" t="s">
        <v>750</v>
      </c>
      <c r="AC9" s="409" t="s">
        <v>751</v>
      </c>
      <c r="AD9" s="409" t="s">
        <v>752</v>
      </c>
      <c r="AE9" s="409" t="s">
        <v>753</v>
      </c>
    </row>
    <row r="10" spans="1:31" ht="31.5" x14ac:dyDescent="0.25">
      <c r="A10" s="337" t="str" cm="1">
        <f t="array" ref="A10">IFERROR(INDEX(TInventB[UVID],ROUNDDOWN((ROW(A1)+1)/2,0)),"")</f>
        <v>210010-1</v>
      </c>
      <c r="B10" s="410">
        <f>IF(TInspectieB[[#This Row],[UVID]]="","",VLOOKUP(TInspectieB[[#This Row],[UVID]],TInventB[],2,FALSE))</f>
        <v>210010</v>
      </c>
      <c r="C10" s="365" t="str">
        <f>IF(TInspectieB[[#This Row],[UVID]]="","",VLOOKUP(TInspectieB[[#This Row],[UVID]],TInventB[],11,FALSE))</f>
        <v>B</v>
      </c>
      <c r="D10" s="411" t="str">
        <f>IF(TInspectieB[[#This Row],[UVID]]="","",VLOOKUP(TInspectieB[[#This Row],[UVID]],TInventB[],3,FALSE))</f>
        <v>Gevel</v>
      </c>
      <c r="E10" s="839" t="str">
        <f>IF(TInspectieB[[#This Row],[Omschrijving bouwdeel]]="","",IF(MOD(ROW()-2,2)=0,"O",IF(TRIM(TInspectieB[[#This Row],[Code Bouwdeeltype]])="312010","O","E")))</f>
        <v>O</v>
      </c>
      <c r="F10" s="840" t="s">
        <v>814</v>
      </c>
      <c r="G10" s="413" t="str">
        <f>IF(ISBLANK(TInspectieB[[#This Row],[Soort gebrek]]),"",VLOOKUP(TInspectieB[[#This Row],[Soort gebrek]],TSoortGebrek[#Data],3,FALSE))</f>
        <v>Wetsgebrek</v>
      </c>
      <c r="H10" s="413" t="str">
        <f>IF(ISBLANK(TInspectieB[[#This Row],[Soort gebrek]]),"",VLOOKUP(TInspectieB[[#This Row],[Soort gebrek]],TSoortGebrek[#Data],2,FALSE))</f>
        <v>wettelijk basiskwaliteit</v>
      </c>
      <c r="I10" s="413" t="str">
        <f>IF(TInspectieB[[#This Row],[Soort gebrek]]=0,"",VLOOKUP(TInspectieB[[#This Row],[Soort gebrek]],TSoortGebrek[],4,FALSE))</f>
        <v>Eind</v>
      </c>
      <c r="J10" s="842">
        <v>1</v>
      </c>
      <c r="K10" s="415">
        <f>IF(TInspectieB[[#This Row],[Soort gebrek]]=0,"",VLOOKUP(TInspectieB[[#This Row],[Combi]],TPrio[#Data],2,FALSE))</f>
        <v>4</v>
      </c>
      <c r="L10" s="843">
        <v>3</v>
      </c>
      <c r="M10" s="416" t="str">
        <f>IF(ISBLANK(TInspectieB[[#This Row],[Gebrek nr.]]),"",TInspectieB[[#This Row],[UVID]]&amp;"-"&amp;TInspectieB[[#This Row],[Gebrek nr.]])</f>
        <v>210010-1-3</v>
      </c>
      <c r="N10" s="417"/>
      <c r="O10" s="844" t="s">
        <v>1660</v>
      </c>
      <c r="P10" s="830">
        <v>8</v>
      </c>
      <c r="Q10" s="819" t="s">
        <v>839</v>
      </c>
      <c r="R10" s="830" t="s">
        <v>1396</v>
      </c>
      <c r="S10" s="830" t="s">
        <v>776</v>
      </c>
      <c r="T10" s="830" t="s">
        <v>1404</v>
      </c>
      <c r="U10" s="830" t="s">
        <v>1412</v>
      </c>
      <c r="V10" s="830" t="s">
        <v>1425</v>
      </c>
      <c r="W10" s="830" t="s">
        <v>884</v>
      </c>
      <c r="X10" s="845">
        <v>1200</v>
      </c>
      <c r="Y10" s="846">
        <v>1</v>
      </c>
      <c r="Z10" s="421">
        <f>IF(ISBLANK(TInspectieB[[#This Row],[Aantal]]),"",ROUND(TInspectieB[[#This Row],[Kengetal]]*TInspectieB[[#This Row],[Aantal]],-1))</f>
        <v>1200</v>
      </c>
      <c r="AA10" s="422">
        <f>IF(TInspectieB[[#This Row],[Vak-groep]]="","1",VLOOKUP(C10,$J$2:$K$7,2,FALSE))</f>
        <v>3</v>
      </c>
      <c r="AB10" s="423" t="str">
        <f>CONCATENATE(TInspectieB[[#This Row],[Soort gebrek]],TInspectieB[[#This Row],[Trede]])</f>
        <v>W-BK3</v>
      </c>
      <c r="AC10" s="413" t="e">
        <v>#N/A</v>
      </c>
      <c r="AD10" s="413" t="e">
        <v>#N/A</v>
      </c>
      <c r="AE10" s="424">
        <v>0</v>
      </c>
    </row>
    <row r="11" spans="1:31" ht="63" x14ac:dyDescent="0.25">
      <c r="A11" s="337" t="str" cm="1">
        <f t="array" ref="A11">IFERROR(INDEX(TInventB[UVID],ROUNDDOWN((ROW(A2)+1)/2,0)),"")</f>
        <v>210010-1</v>
      </c>
      <c r="B11" s="410">
        <f>IF(TInspectieB[[#This Row],[UVID]]="","",VLOOKUP(TInspectieB[[#This Row],[UVID]],TInventB[],2,FALSE))</f>
        <v>210010</v>
      </c>
      <c r="C11" s="365" t="str">
        <f>IF(TInspectieB[[#This Row],[UVID]]="","",VLOOKUP(TInspectieB[[#This Row],[UVID]],TInventB[],11,FALSE))</f>
        <v>B</v>
      </c>
      <c r="D11" s="411" t="str">
        <f>IF(TInspectieB[[#This Row],[UVID]]="","",VLOOKUP(TInspectieB[[#This Row],[UVID]],TInventB[],3,FALSE))</f>
        <v>Gevel</v>
      </c>
      <c r="E11" s="839" t="str">
        <f>IF(TInspectieB[[#This Row],[Omschrijving bouwdeel]]="","",IF(MOD(ROW()-2,2)=0,"O",IF(TRIM(TInspectieB[[#This Row],[Code Bouwdeeltype]])="312010","O","E")))</f>
        <v>E</v>
      </c>
      <c r="F11" s="840" t="s">
        <v>818</v>
      </c>
      <c r="G11" s="413" t="str">
        <f>IF(ISBLANK(TInspectieB[[#This Row],[Soort gebrek]]),"",VLOOKUP(TInspectieB[[#This Row],[Soort gebrek]],TSoortGebrek[#Data],3,FALSE))</f>
        <v>Gering</v>
      </c>
      <c r="H11" s="413" t="str">
        <f>IF(ISBLANK(TInspectieB[[#This Row],[Soort gebrek]]),"",VLOOKUP(TInspectieB[[#This Row],[Soort gebrek]],TSoortGebrek[#Data],2,FALSE))</f>
        <v>onderhoud</v>
      </c>
      <c r="I11" s="413" t="str">
        <f>IF(TInspectieB[[#This Row],[Soort gebrek]]=0,"",VLOOKUP(TInspectieB[[#This Row],[Soort gebrek]],TSoortGebrek[],4,FALSE))</f>
        <v>Gevorderd</v>
      </c>
      <c r="J11" s="842">
        <v>0.5</v>
      </c>
      <c r="K11" s="415">
        <f>IF(TInspectieB[[#This Row],[Soort gebrek]]=0,"",VLOOKUP(TInspectieB[[#This Row],[Combi]],TPrio[#Data],2,FALSE))</f>
        <v>4</v>
      </c>
      <c r="L11" s="843">
        <v>1</v>
      </c>
      <c r="M11" s="416" t="str">
        <f>IF(ISBLANK(TInspectieB[[#This Row],[Gebrek nr.]]),"",TInspectieB[[#This Row],[UVID]]&amp;"-"&amp;TInspectieB[[#This Row],[Gebrek nr.]])</f>
        <v>210010-1-1</v>
      </c>
      <c r="N11" s="417"/>
      <c r="O11" s="844" t="s">
        <v>1660</v>
      </c>
      <c r="P11" s="830" t="s">
        <v>1378</v>
      </c>
      <c r="Q11" s="819" t="s">
        <v>839</v>
      </c>
      <c r="R11" s="830" t="s">
        <v>1397</v>
      </c>
      <c r="S11" s="830" t="s">
        <v>73</v>
      </c>
      <c r="T11" s="830" t="s">
        <v>1424</v>
      </c>
      <c r="U11" s="830" t="s">
        <v>1416</v>
      </c>
      <c r="V11" s="830" t="s">
        <v>1272</v>
      </c>
      <c r="W11" s="830" t="s">
        <v>890</v>
      </c>
      <c r="X11" s="845">
        <v>35</v>
      </c>
      <c r="Y11" s="846">
        <v>310</v>
      </c>
      <c r="Z11" s="421">
        <f>IF(ISBLANK(TInspectieB[[#This Row],[Aantal]]),"",ROUND(TInspectieB[[#This Row],[Kengetal]]*TInspectieB[[#This Row],[Aantal]],-1))</f>
        <v>10850</v>
      </c>
      <c r="AA11" s="422">
        <f>IF(TInspectieB[[#This Row],[Vak-groep]]="","1",VLOOKUP(C11,$J$2:$K$7,2,FALSE))</f>
        <v>3</v>
      </c>
      <c r="AB11" s="423" t="str">
        <f>CONCATENATE(TInspectieB[[#This Row],[Soort gebrek]],TInspectieB[[#This Row],[Trede]])</f>
        <v>G-PO3</v>
      </c>
      <c r="AC11" s="413" t="e">
        <v>#N/A</v>
      </c>
      <c r="AD11" s="413" t="e">
        <v>#N/A</v>
      </c>
      <c r="AE11" s="424">
        <v>0</v>
      </c>
    </row>
    <row r="12" spans="1:31" ht="31.5" x14ac:dyDescent="0.25">
      <c r="A12" s="337" t="str" cm="1">
        <f t="array" ref="A12">IFERROR(INDEX(TInventB[UVID],ROUNDDOWN((ROW(A3)+1)/2,0)),"")</f>
        <v>312010-1</v>
      </c>
      <c r="B12" s="410">
        <f>IF(TInspectieB[[#This Row],[UVID]]="","",VLOOKUP(TInspectieB[[#This Row],[UVID]],TInventB[],2,FALSE))</f>
        <v>312010</v>
      </c>
      <c r="C12" s="365" t="str">
        <f>IF(TInspectieB[[#This Row],[UVID]]="","",VLOOKUP(TInspectieB[[#This Row],[UVID]],TInventB[],11,FALSE))</f>
        <v>B</v>
      </c>
      <c r="D12" s="411" t="str">
        <f>IF(TInspectieB[[#This Row],[UVID]]="","",VLOOKUP(TInspectieB[[#This Row],[UVID]],TInventB[],3,FALSE))</f>
        <v>Kozijnwerk buiten</v>
      </c>
      <c r="E12" s="839" t="str">
        <f>IF(TInspectieB[[#This Row],[Omschrijving bouwdeel]]="","",IF(MOD(ROW()-2,2)=0,"O",IF(TRIM(TInspectieB[[#This Row],[Code Bouwdeeltype]])="312010","O","E")))</f>
        <v>O</v>
      </c>
      <c r="F12" s="840" t="s">
        <v>818</v>
      </c>
      <c r="G12" s="413" t="str">
        <f>IF(ISBLANK(TInspectieB[[#This Row],[Soort gebrek]]),"",VLOOKUP(TInspectieB[[#This Row],[Soort gebrek]],TSoortGebrek[#Data],3,FALSE))</f>
        <v>Gering</v>
      </c>
      <c r="H12" s="413" t="str">
        <f>IF(ISBLANK(TInspectieB[[#This Row],[Soort gebrek]]),"",VLOOKUP(TInspectieB[[#This Row],[Soort gebrek]],TSoortGebrek[#Data],2,FALSE))</f>
        <v>onderhoud</v>
      </c>
      <c r="I12" s="413" t="str">
        <f>IF(TInspectieB[[#This Row],[Soort gebrek]]=0,"",VLOOKUP(TInspectieB[[#This Row],[Soort gebrek]],TSoortGebrek[],4,FALSE))</f>
        <v>Gevorderd</v>
      </c>
      <c r="J12" s="841">
        <v>0.02</v>
      </c>
      <c r="K12" s="415">
        <f>IF(TInspectieB[[#This Row],[Soort gebrek]]=0,"",VLOOKUP(TInspectieB[[#This Row],[Combi]],TPrio[#Data],2,FALSE))</f>
        <v>4</v>
      </c>
      <c r="L12" s="843">
        <v>1</v>
      </c>
      <c r="M12" s="416" t="str">
        <f>IF(ISBLANK(TInspectieB[[#This Row],[Gebrek nr.]]),"",TInspectieB[[#This Row],[UVID]]&amp;"-"&amp;TInspectieB[[#This Row],[Gebrek nr.]])</f>
        <v>312010-1-1</v>
      </c>
      <c r="N12" s="417"/>
      <c r="O12" s="844" t="s">
        <v>1661</v>
      </c>
      <c r="P12" s="828" t="s">
        <v>1395</v>
      </c>
      <c r="Q12" s="819" t="s">
        <v>836</v>
      </c>
      <c r="R12" s="828" t="s">
        <v>1398</v>
      </c>
      <c r="S12" s="828" t="s">
        <v>776</v>
      </c>
      <c r="T12" s="828" t="s">
        <v>1405</v>
      </c>
      <c r="U12" s="828" t="s">
        <v>1413</v>
      </c>
      <c r="V12" s="828" t="s">
        <v>1425</v>
      </c>
      <c r="W12" s="830" t="s">
        <v>884</v>
      </c>
      <c r="X12" s="845">
        <v>1000</v>
      </c>
      <c r="Y12" s="846">
        <v>1</v>
      </c>
      <c r="Z12" s="421">
        <f>IF(ISBLANK(TInspectieB[[#This Row],[Aantal]]),"",ROUND(TInspectieB[[#This Row],[Kengetal]]*TInspectieB[[#This Row],[Aantal]],-1))</f>
        <v>1000</v>
      </c>
      <c r="AA12" s="422">
        <f>IF(TInspectieB[[#This Row],[Vak-groep]]="","1",VLOOKUP(C12,$J$2:$K$7,2,FALSE))</f>
        <v>3</v>
      </c>
      <c r="AB12" s="423" t="str">
        <f>CONCATENATE(TInspectieB[[#This Row],[Soort gebrek]],TInspectieB[[#This Row],[Trede]])</f>
        <v>G-PO3</v>
      </c>
      <c r="AC12" s="413" t="e">
        <v>#N/A</v>
      </c>
      <c r="AD12" s="413" t="e">
        <v>#N/A</v>
      </c>
      <c r="AE12" s="424">
        <v>0</v>
      </c>
    </row>
    <row r="13" spans="1:31" ht="42" x14ac:dyDescent="0.25">
      <c r="A13" s="337" t="str" cm="1">
        <f t="array" ref="A13">IFERROR(INDEX(TInventB[UVID],ROUNDDOWN((ROW(A4)+1)/2,0)),"")</f>
        <v>312010-1</v>
      </c>
      <c r="B13" s="410">
        <f>IF(TInspectieB[[#This Row],[UVID]]="","",VLOOKUP(TInspectieB[[#This Row],[UVID]],TInventB[],2,FALSE))</f>
        <v>312010</v>
      </c>
      <c r="C13" s="365" t="str">
        <f>IF(TInspectieB[[#This Row],[UVID]]="","",VLOOKUP(TInspectieB[[#This Row],[UVID]],TInventB[],11,FALSE))</f>
        <v>B</v>
      </c>
      <c r="D13" s="411" t="str">
        <f>IF(TInspectieB[[#This Row],[UVID]]="","",VLOOKUP(TInspectieB[[#This Row],[UVID]],TInventB[],3,FALSE))</f>
        <v>Kozijnwerk buiten</v>
      </c>
      <c r="E13" s="839" t="str">
        <f>IF(TInspectieB[[#This Row],[Omschrijving bouwdeel]]="","",IF(MOD(ROW()-2,2)=0,"O",IF(TRIM(TInspectieB[[#This Row],[Code Bouwdeeltype]])="312010","O","E")))</f>
        <v>O</v>
      </c>
      <c r="F13" s="840" t="s">
        <v>825</v>
      </c>
      <c r="G13" s="413" t="str">
        <f>IF(ISBLANK(TInspectieB[[#This Row],[Soort gebrek]]),"",VLOOKUP(TInspectieB[[#This Row],[Soort gebrek]],TSoortGebrek[#Data],3,FALSE))</f>
        <v>Theoretisch</v>
      </c>
      <c r="H13" s="413" t="str">
        <f>IF(ISBLANK(TInspectieB[[#This Row],[Soort gebrek]]),"",VLOOKUP(TInspectieB[[#This Row],[Soort gebrek]],TSoortGebrek[#Data],2,FALSE))</f>
        <v>≥75% verval &lt;87,5%</v>
      </c>
      <c r="I13" s="413" t="str">
        <f>IF(TInspectieB[[#This Row],[Soort gebrek]]=0,"",VLOOKUP(TInspectieB[[#This Row],[Soort gebrek]],TSoortGebrek[],4,FALSE))</f>
        <v>Gevorderd</v>
      </c>
      <c r="J13" s="841">
        <v>0.98</v>
      </c>
      <c r="K13" s="415">
        <f>IF(TInspectieB[[#This Row],[Soort gebrek]]=0,"",VLOOKUP(TInspectieB[[#This Row],[Combi]],TPrio[#Data],2,FALSE))</f>
        <v>9</v>
      </c>
      <c r="L13" s="843">
        <v>3</v>
      </c>
      <c r="M13" s="416" t="str">
        <f>IF(ISBLANK(TInspectieB[[#This Row],[Gebrek nr.]]),"",TInspectieB[[#This Row],[UVID]]&amp;"-"&amp;TInspectieB[[#This Row],[Gebrek nr.]])</f>
        <v>312010-1-3</v>
      </c>
      <c r="N13" s="417"/>
      <c r="O13" s="844" t="s">
        <v>1661</v>
      </c>
      <c r="P13" s="828" t="s">
        <v>1378</v>
      </c>
      <c r="Q13" s="819" t="s">
        <v>836</v>
      </c>
      <c r="R13" s="828" t="s">
        <v>1399</v>
      </c>
      <c r="S13" s="828" t="s">
        <v>776</v>
      </c>
      <c r="T13" s="828" t="s">
        <v>1406</v>
      </c>
      <c r="U13" s="828" t="s">
        <v>1417</v>
      </c>
      <c r="V13" s="828" t="s">
        <v>1273</v>
      </c>
      <c r="W13" s="830" t="s">
        <v>890</v>
      </c>
      <c r="X13" s="845">
        <v>750</v>
      </c>
      <c r="Y13" s="846">
        <v>95</v>
      </c>
      <c r="Z13" s="421">
        <f>IF(ISBLANK(TInspectieB[[#This Row],[Aantal]]),"",ROUND(TInspectieB[[#This Row],[Kengetal]]*TInspectieB[[#This Row],[Aantal]],-1))</f>
        <v>71250</v>
      </c>
      <c r="AA13" s="422">
        <f>IF(TInspectieB[[#This Row],[Vak-groep]]="","1",VLOOKUP(C13,$J$2:$K$7,2,FALSE))</f>
        <v>3</v>
      </c>
      <c r="AB13" s="423" t="str">
        <f>CONCATENATE(TInspectieB[[#This Row],[Soort gebrek]],TInspectieB[[#This Row],[Trede]])</f>
        <v>T-753</v>
      </c>
      <c r="AC13" s="413" t="e">
        <v>#N/A</v>
      </c>
      <c r="AD13" s="413" t="e">
        <v>#N/A</v>
      </c>
      <c r="AE13" s="424">
        <v>0</v>
      </c>
    </row>
    <row r="14" spans="1:31" ht="42" x14ac:dyDescent="0.25">
      <c r="A14" s="337" t="str" cm="1">
        <f t="array" ref="A14">IFERROR(INDEX(TInventB[UVID],ROUNDDOWN((ROW(A5)+1)/2,0)),"")</f>
        <v>312010-2</v>
      </c>
      <c r="B14" s="410">
        <f>IF(TInspectieB[[#This Row],[UVID]]="","",VLOOKUP(TInspectieB[[#This Row],[UVID]],TInventB[],2,FALSE))</f>
        <v>312010</v>
      </c>
      <c r="C14" s="365" t="str">
        <f>IF(TInspectieB[[#This Row],[UVID]]="","",VLOOKUP(TInspectieB[[#This Row],[UVID]],TInventB[],11,FALSE))</f>
        <v>B</v>
      </c>
      <c r="D14" s="411" t="str">
        <f>IF(TInspectieB[[#This Row],[UVID]]="","",VLOOKUP(TInspectieB[[#This Row],[UVID]],TInventB[],3,FALSE))</f>
        <v>Kozijnwerk buiten</v>
      </c>
      <c r="E14" s="839" t="str">
        <f>IF(TInspectieB[[#This Row],[Omschrijving bouwdeel]]="","",IF(MOD(ROW()-2,2)=0,"O",IF(TRIM(TInspectieB[[#This Row],[Code Bouwdeeltype]])="312010","O","E")))</f>
        <v>O</v>
      </c>
      <c r="F14" s="840" t="s">
        <v>822</v>
      </c>
      <c r="G14" s="413" t="str">
        <f>IF(ISBLANK(TInspectieB[[#This Row],[Soort gebrek]]),"",VLOOKUP(TInspectieB[[#This Row],[Soort gebrek]],TSoortGebrek[#Data],3,FALSE))</f>
        <v>Theoretisch</v>
      </c>
      <c r="H14" s="413" t="str">
        <f>IF(ISBLANK(TInspectieB[[#This Row],[Soort gebrek]]),"",VLOOKUP(TInspectieB[[#This Row],[Soort gebrek]],TSoortGebrek[#Data],2,FALSE))</f>
        <v>Verval  ≥ 87,5%</v>
      </c>
      <c r="I14" s="413" t="str">
        <f>IF(TInspectieB[[#This Row],[Soort gebrek]]=0,"",VLOOKUP(TInspectieB[[#This Row],[Soort gebrek]],TSoortGebrek[],4,FALSE))</f>
        <v>Eind</v>
      </c>
      <c r="J14" s="841">
        <v>1</v>
      </c>
      <c r="K14" s="415">
        <f>IF(TInspectieB[[#This Row],[Soort gebrek]]=0,"",VLOOKUP(TInspectieB[[#This Row],[Combi]],TPrio[#Data],2,FALSE))</f>
        <v>8</v>
      </c>
      <c r="L14" s="843">
        <v>1</v>
      </c>
      <c r="M14" s="416" t="str">
        <f>IF(ISBLANK(TInspectieB[[#This Row],[Gebrek nr.]]),"",TInspectieB[[#This Row],[UVID]]&amp;"-"&amp;TInspectieB[[#This Row],[Gebrek nr.]])</f>
        <v>312010-2-1</v>
      </c>
      <c r="N14" s="417"/>
      <c r="O14" s="844" t="s">
        <v>1662</v>
      </c>
      <c r="P14" s="828">
        <v>106</v>
      </c>
      <c r="Q14" s="819" t="s">
        <v>838</v>
      </c>
      <c r="R14" s="828" t="s">
        <v>1399</v>
      </c>
      <c r="S14" s="828" t="s">
        <v>776</v>
      </c>
      <c r="T14" s="828" t="s">
        <v>1407</v>
      </c>
      <c r="U14" s="828" t="s">
        <v>1417</v>
      </c>
      <c r="V14" s="828" t="s">
        <v>1273</v>
      </c>
      <c r="W14" s="830" t="s">
        <v>890</v>
      </c>
      <c r="X14" s="845">
        <v>1100</v>
      </c>
      <c r="Y14" s="846">
        <v>4</v>
      </c>
      <c r="Z14" s="421">
        <f>IF(ISBLANK(TInspectieB[[#This Row],[Aantal]]),"",ROUND(TInspectieB[[#This Row],[Kengetal]]*TInspectieB[[#This Row],[Aantal]],-1))</f>
        <v>4400</v>
      </c>
      <c r="AA14" s="422">
        <f>IF(TInspectieB[[#This Row],[Vak-groep]]="","1",VLOOKUP(C14,$J$2:$K$7,2,FALSE))</f>
        <v>3</v>
      </c>
      <c r="AB14" s="423" t="str">
        <f>CONCATENATE(TInspectieB[[#This Row],[Soort gebrek]],TInspectieB[[#This Row],[Trede]])</f>
        <v>T-87,53</v>
      </c>
      <c r="AC14" s="413" t="e">
        <v>#N/A</v>
      </c>
      <c r="AD14" s="413" t="e">
        <v>#N/A</v>
      </c>
      <c r="AE14" s="424">
        <v>0</v>
      </c>
    </row>
    <row r="15" spans="1:31" ht="52.5" x14ac:dyDescent="0.25">
      <c r="A15" s="337" t="str" cm="1">
        <f t="array" ref="A15">IFERROR(INDEX(TInventB[UVID],ROUNDDOWN((ROW(A7)+1)/2,0)),"")</f>
        <v>312030-1</v>
      </c>
      <c r="B15" s="410">
        <f>IF(TInspectieB[[#This Row],[UVID]]="","",VLOOKUP(TInspectieB[[#This Row],[UVID]],TInventB[],2,FALSE))</f>
        <v>312030</v>
      </c>
      <c r="C15" s="365" t="str">
        <f>IF(TInspectieB[[#This Row],[UVID]]="","",VLOOKUP(TInspectieB[[#This Row],[UVID]],TInventB[],11,FALSE))</f>
        <v>B</v>
      </c>
      <c r="D15" s="411" t="str">
        <f>IF(TInspectieB[[#This Row],[UVID]]="","",VLOOKUP(TInspectieB[[#This Row],[UVID]],TInventB[],3,FALSE))</f>
        <v>Beglazing buiten</v>
      </c>
      <c r="E15" s="839" t="str">
        <f>IF(TInspectieB[[#This Row],[Omschrijving bouwdeel]]="","",IF(MOD(ROW()-2,2)=0,"O",IF(TRIM(TInspectieB[[#This Row],[Code Bouwdeeltype]])="312010","O","E")))</f>
        <v>E</v>
      </c>
      <c r="F15" s="840" t="s">
        <v>832</v>
      </c>
      <c r="G15" s="413" t="str">
        <f>IF(ISBLANK(TInspectieB[[#This Row],[Soort gebrek]]),"",VLOOKUP(TInspectieB[[#This Row],[Soort gebrek]],TSoortGebrek[#Data],3,FALSE))</f>
        <v>Geen</v>
      </c>
      <c r="H15" s="413" t="str">
        <f>IF(ISBLANK(TInspectieB[[#This Row],[Soort gebrek]]),"",VLOOKUP(TInspectieB[[#This Row],[Soort gebrek]],TSoortGebrek[#Data],2,FALSE))</f>
        <v>Geen gebrek</v>
      </c>
      <c r="I15" s="413" t="str">
        <f>IF(TInspectieB[[#This Row],[Soort gebrek]]=0,"",VLOOKUP(TInspectieB[[#This Row],[Soort gebrek]],TSoortGebrek[],4,FALSE))</f>
        <v>Eind</v>
      </c>
      <c r="J15" s="841">
        <v>1</v>
      </c>
      <c r="K15" s="415">
        <f>IF(TInspectieB[[#This Row],[Soort gebrek]]=0,"",VLOOKUP(TInspectieB[[#This Row],[Combi]],TPrio[#Data],2,FALSE))</f>
        <v>0</v>
      </c>
      <c r="L15" s="843">
        <v>1</v>
      </c>
      <c r="M15" s="416" t="str">
        <f>IF(ISBLANK(TInspectieB[[#This Row],[Gebrek nr.]]),"",TInspectieB[[#This Row],[UVID]]&amp;"-"&amp;TInspectieB[[#This Row],[Gebrek nr.]])</f>
        <v>312030-1-1</v>
      </c>
      <c r="N15" s="417"/>
      <c r="O15" s="844" t="s">
        <v>1663</v>
      </c>
      <c r="P15" s="828">
        <v>106</v>
      </c>
      <c r="Q15" s="819" t="s">
        <v>839</v>
      </c>
      <c r="R15" s="828" t="s">
        <v>1400</v>
      </c>
      <c r="S15" s="828" t="s">
        <v>776</v>
      </c>
      <c r="T15" s="828" t="s">
        <v>1408</v>
      </c>
      <c r="U15" s="828" t="s">
        <v>1418</v>
      </c>
      <c r="V15" s="828" t="s">
        <v>1273</v>
      </c>
      <c r="W15" s="830" t="s">
        <v>890</v>
      </c>
      <c r="X15" s="845">
        <v>250</v>
      </c>
      <c r="Y15" s="846">
        <v>95</v>
      </c>
      <c r="Z15" s="421">
        <f>IF(ISBLANK(TInspectieB[[#This Row],[Aantal]]),"",ROUND(TInspectieB[[#This Row],[Kengetal]]*TInspectieB[[#This Row],[Aantal]],-1))</f>
        <v>23750</v>
      </c>
      <c r="AA15" s="422">
        <f>IF(TInspectieB[[#This Row],[Vak-groep]]="","1",VLOOKUP(C15,$J$2:$K$7,2,FALSE))</f>
        <v>3</v>
      </c>
      <c r="AB15" s="423" t="str">
        <f>CONCATENATE(TInspectieB[[#This Row],[Soort gebrek]],TInspectieB[[#This Row],[Trede]])</f>
        <v>GG3</v>
      </c>
      <c r="AC15" s="413" t="e">
        <v>#N/A</v>
      </c>
      <c r="AD15" s="413" t="e">
        <v>#N/A</v>
      </c>
      <c r="AE15" s="424">
        <v>0</v>
      </c>
    </row>
    <row r="16" spans="1:31" ht="63" x14ac:dyDescent="0.25">
      <c r="A16" s="337" t="str" cm="1">
        <f t="array" ref="A16">IFERROR(INDEX(TInventB[UVID],ROUNDDOWN((ROW(A8)+1)/2,0)),"")</f>
        <v>312030-1</v>
      </c>
      <c r="B16" s="410">
        <f>IF(TInspectieB[[#This Row],[UVID]]="","",VLOOKUP(TInspectieB[[#This Row],[UVID]],TInventB[],2,FALSE))</f>
        <v>312030</v>
      </c>
      <c r="C16" s="365" t="str">
        <f>IF(TInspectieB[[#This Row],[UVID]]="","",VLOOKUP(TInspectieB[[#This Row],[UVID]],TInventB[],11,FALSE))</f>
        <v>B</v>
      </c>
      <c r="D16" s="411" t="str">
        <f>IF(TInspectieB[[#This Row],[UVID]]="","",VLOOKUP(TInspectieB[[#This Row],[UVID]],TInventB[],3,FALSE))</f>
        <v>Beglazing buiten</v>
      </c>
      <c r="E16" s="839" t="str">
        <f>IF(TInspectieB[[#This Row],[Omschrijving bouwdeel]]="","",IF(MOD(ROW()-2,2)=0,"O",IF(TRIM(TInspectieB[[#This Row],[Code Bouwdeeltype]])="312010","O","E")))</f>
        <v>O</v>
      </c>
      <c r="F16" s="840" t="s">
        <v>822</v>
      </c>
      <c r="G16" s="413" t="str">
        <f>IF(ISBLANK(TInspectieB[[#This Row],[Soort gebrek]]),"",VLOOKUP(TInspectieB[[#This Row],[Soort gebrek]],TSoortGebrek[#Data],3,FALSE))</f>
        <v>Theoretisch</v>
      </c>
      <c r="H16" s="413" t="str">
        <f>IF(ISBLANK(TInspectieB[[#This Row],[Soort gebrek]]),"",VLOOKUP(TInspectieB[[#This Row],[Soort gebrek]],TSoortGebrek[#Data],2,FALSE))</f>
        <v>Verval  ≥ 87,5%</v>
      </c>
      <c r="I16" s="413" t="str">
        <f>IF(TInspectieB[[#This Row],[Soort gebrek]]=0,"",VLOOKUP(TInspectieB[[#This Row],[Soort gebrek]],TSoortGebrek[],4,FALSE))</f>
        <v>Eind</v>
      </c>
      <c r="J16" s="841">
        <v>1</v>
      </c>
      <c r="K16" s="415">
        <f>IF(TInspectieB[[#This Row],[Soort gebrek]]=0,"",VLOOKUP(TInspectieB[[#This Row],[Combi]],TPrio[#Data],2,FALSE))</f>
        <v>8</v>
      </c>
      <c r="L16" s="843">
        <v>2</v>
      </c>
      <c r="M16" s="416" t="str">
        <f>IF(ISBLANK(TInspectieB[[#This Row],[Gebrek nr.]]),"",TInspectieB[[#This Row],[UVID]]&amp;"-"&amp;TInspectieB[[#This Row],[Gebrek nr.]])</f>
        <v>312030-1-2</v>
      </c>
      <c r="N16" s="417"/>
      <c r="O16" s="844" t="s">
        <v>1663</v>
      </c>
      <c r="P16" s="828">
        <v>106</v>
      </c>
      <c r="Q16" s="819" t="s">
        <v>839</v>
      </c>
      <c r="R16" s="828" t="s">
        <v>1401</v>
      </c>
      <c r="S16" s="828" t="s">
        <v>77</v>
      </c>
      <c r="T16" s="828" t="s">
        <v>1421</v>
      </c>
      <c r="U16" s="828" t="s">
        <v>1401</v>
      </c>
      <c r="V16" s="828" t="s">
        <v>1425</v>
      </c>
      <c r="W16" s="830" t="s">
        <v>358</v>
      </c>
      <c r="X16" s="845"/>
      <c r="Y16" s="846"/>
      <c r="Z16" s="421" t="str">
        <f>IF(ISBLANK(TInspectieB[[#This Row],[Aantal]]),"",ROUND(TInspectieB[[#This Row],[Kengetal]]*TInspectieB[[#This Row],[Aantal]],-1))</f>
        <v/>
      </c>
      <c r="AA16" s="422">
        <f>IF(TInspectieB[[#This Row],[Vak-groep]]="","1",VLOOKUP(C16,$J$2:$K$7,2,FALSE))</f>
        <v>3</v>
      </c>
      <c r="AB16" s="423" t="str">
        <f>CONCATENATE(TInspectieB[[#This Row],[Soort gebrek]],TInspectieB[[#This Row],[Trede]])</f>
        <v>T-87,53</v>
      </c>
      <c r="AC16" s="413" t="e">
        <v>#N/A</v>
      </c>
      <c r="AD16" s="413" t="e">
        <v>#N/A</v>
      </c>
      <c r="AE16" s="424">
        <v>0</v>
      </c>
    </row>
    <row r="17" spans="1:31" ht="22.5" customHeight="1" x14ac:dyDescent="0.25">
      <c r="A17" s="337" t="str" cm="1">
        <f t="array" ref="A17">IFERROR(INDEX(TInventB[UVID],ROUNDDOWN((ROW(A9)+1)/2,0)),"")</f>
        <v>312050-1</v>
      </c>
      <c r="B17" s="410">
        <f>IF(TInspectieB[[#This Row],[UVID]]="","",VLOOKUP(TInspectieB[[#This Row],[UVID]],TInventB[],2,FALSE))</f>
        <v>312050</v>
      </c>
      <c r="C17" s="365" t="str">
        <f>IF(TInspectieB[[#This Row],[UVID]]="","",VLOOKUP(TInspectieB[[#This Row],[UVID]],TInventB[],11,FALSE))</f>
        <v>B</v>
      </c>
      <c r="D17" s="411" t="str">
        <f>IF(TInspectieB[[#This Row],[UVID]]="","",VLOOKUP(TInspectieB[[#This Row],[UVID]],TInventB[],3,FALSE))</f>
        <v>Beglazing isolatieglas buiten</v>
      </c>
      <c r="E17" s="839" t="s">
        <v>160</v>
      </c>
      <c r="F17" s="840" t="s">
        <v>825</v>
      </c>
      <c r="G17" s="413" t="str">
        <f>IF(ISBLANK(TInspectieB[[#This Row],[Soort gebrek]]),"",VLOOKUP(TInspectieB[[#This Row],[Soort gebrek]],TSoortGebrek[#Data],3,FALSE))</f>
        <v>Theoretisch</v>
      </c>
      <c r="H17" s="413" t="str">
        <f>IF(ISBLANK(TInspectieB[[#This Row],[Soort gebrek]]),"",VLOOKUP(TInspectieB[[#This Row],[Soort gebrek]],TSoortGebrek[#Data],2,FALSE))</f>
        <v>≥75% verval &lt;87,5%</v>
      </c>
      <c r="I17" s="413" t="str">
        <f>IF(TInspectieB[[#This Row],[Soort gebrek]]=0,"",VLOOKUP(TInspectieB[[#This Row],[Soort gebrek]],TSoortGebrek[],4,FALSE))</f>
        <v>Gevorderd</v>
      </c>
      <c r="J17" s="841">
        <v>1</v>
      </c>
      <c r="K17" s="415">
        <f>IF(TInspectieB[[#This Row],[Soort gebrek]]=0,"",VLOOKUP(TInspectieB[[#This Row],[Combi]],TPrio[#Data],2,FALSE))</f>
        <v>9</v>
      </c>
      <c r="L17" s="843">
        <v>1</v>
      </c>
      <c r="M17" s="416" t="str">
        <f>IF(ISBLANK(TInspectieB[[#This Row],[Gebrek nr.]]),"",TInspectieB[[#This Row],[UVID]]&amp;"-"&amp;TInspectieB[[#This Row],[Gebrek nr.]])</f>
        <v>312050-1-1</v>
      </c>
      <c r="N17" s="417"/>
      <c r="O17" s="844" t="s">
        <v>1664</v>
      </c>
      <c r="P17" s="828" t="s">
        <v>1378</v>
      </c>
      <c r="Q17" s="819" t="s">
        <v>839</v>
      </c>
      <c r="R17" s="828" t="s">
        <v>1399</v>
      </c>
      <c r="S17" s="828" t="s">
        <v>776</v>
      </c>
      <c r="T17" s="828" t="s">
        <v>1409</v>
      </c>
      <c r="U17" s="828" t="s">
        <v>1419</v>
      </c>
      <c r="V17" s="828" t="s">
        <v>1273</v>
      </c>
      <c r="W17" s="830" t="s">
        <v>901</v>
      </c>
      <c r="X17" s="845"/>
      <c r="Y17" s="846"/>
      <c r="Z17" s="421" t="str">
        <f>IF(ISBLANK(TInspectieB[[#This Row],[Aantal]]),"",ROUND(TInspectieB[[#This Row],[Kengetal]]*TInspectieB[[#This Row],[Aantal]],-1))</f>
        <v/>
      </c>
      <c r="AA17" s="422">
        <f>IF(TInspectieB[[#This Row],[Vak-groep]]="","1",VLOOKUP(C17,$J$2:$K$7,2,FALSE))</f>
        <v>3</v>
      </c>
      <c r="AB17" s="423" t="str">
        <f>CONCATENATE(TInspectieB[[#This Row],[Soort gebrek]],TInspectieB[[#This Row],[Trede]])</f>
        <v>T-753</v>
      </c>
      <c r="AC17" s="413" t="e">
        <v>#N/A</v>
      </c>
      <c r="AD17" s="413" t="e">
        <v>#N/A</v>
      </c>
      <c r="AE17" s="424">
        <v>0</v>
      </c>
    </row>
    <row r="18" spans="1:31" ht="52.5" x14ac:dyDescent="0.25">
      <c r="A18" s="337" t="str" cm="1">
        <f t="array" ref="A18">IFERROR(INDEX(TInventB[UVID],ROUNDDOWN((ROW(A10)+1)/2,0)),"")</f>
        <v>312050-1</v>
      </c>
      <c r="B18" s="410">
        <f>IF(TInspectieB[[#This Row],[UVID]]="","",VLOOKUP(TInspectieB[[#This Row],[UVID]],TInventB[],2,FALSE))</f>
        <v>312050</v>
      </c>
      <c r="C18" s="365" t="str">
        <f>IF(TInspectieB[[#This Row],[UVID]]="","",VLOOKUP(TInspectieB[[#This Row],[UVID]],TInventB[],11,FALSE))</f>
        <v>B</v>
      </c>
      <c r="D18" s="411" t="str">
        <f>IF(TInspectieB[[#This Row],[UVID]]="","",VLOOKUP(TInspectieB[[#This Row],[UVID]],TInventB[],3,FALSE))</f>
        <v>Beglazing isolatieglas buiten</v>
      </c>
      <c r="E18" s="839" t="s">
        <v>381</v>
      </c>
      <c r="F18" s="840" t="s">
        <v>832</v>
      </c>
      <c r="G18" s="413" t="str">
        <f>IF(ISBLANK(TInspectieB[[#This Row],[Soort gebrek]]),"",VLOOKUP(TInspectieB[[#This Row],[Soort gebrek]],TSoortGebrek[#Data],3,FALSE))</f>
        <v>Geen</v>
      </c>
      <c r="H18" s="413" t="str">
        <f>IF(ISBLANK(TInspectieB[[#This Row],[Soort gebrek]]),"",VLOOKUP(TInspectieB[[#This Row],[Soort gebrek]],TSoortGebrek[#Data],2,FALSE))</f>
        <v>Geen gebrek</v>
      </c>
      <c r="I18" s="413" t="str">
        <f>IF(TInspectieB[[#This Row],[Soort gebrek]]=0,"",VLOOKUP(TInspectieB[[#This Row],[Soort gebrek]],TSoortGebrek[],4,FALSE))</f>
        <v>Eind</v>
      </c>
      <c r="J18" s="841">
        <v>1</v>
      </c>
      <c r="K18" s="415">
        <f>IF(TInspectieB[[#This Row],[Soort gebrek]]=0,"",VLOOKUP(TInspectieB[[#This Row],[Combi]],TPrio[#Data],2,FALSE))</f>
        <v>0</v>
      </c>
      <c r="L18" s="843">
        <v>2</v>
      </c>
      <c r="M18" s="416" t="str">
        <f>IF(ISBLANK(TInspectieB[[#This Row],[Gebrek nr.]]),"",TInspectieB[[#This Row],[UVID]]&amp;"-"&amp;TInspectieB[[#This Row],[Gebrek nr.]])</f>
        <v>312050-1-2</v>
      </c>
      <c r="N18" s="417"/>
      <c r="O18" s="844" t="s">
        <v>1664</v>
      </c>
      <c r="P18" s="828" t="s">
        <v>1378</v>
      </c>
      <c r="Q18" s="819" t="s">
        <v>839</v>
      </c>
      <c r="R18" s="828" t="s">
        <v>1397</v>
      </c>
      <c r="S18" s="828" t="s">
        <v>78</v>
      </c>
      <c r="T18" s="828" t="s">
        <v>1423</v>
      </c>
      <c r="U18" s="828" t="s">
        <v>1420</v>
      </c>
      <c r="V18" s="828" t="s">
        <v>1273</v>
      </c>
      <c r="W18" s="830" t="s">
        <v>890</v>
      </c>
      <c r="X18" s="845">
        <v>250</v>
      </c>
      <c r="Y18" s="846">
        <v>48</v>
      </c>
      <c r="Z18" s="421">
        <f>IF(ISBLANK(TInspectieB[[#This Row],[Aantal]]),"",ROUND(TInspectieB[[#This Row],[Kengetal]]*TInspectieB[[#This Row],[Aantal]],-1))</f>
        <v>12000</v>
      </c>
      <c r="AA18" s="422">
        <f>IF(TInspectieB[[#This Row],[Vak-groep]]="","1",VLOOKUP(C18,$J$2:$K$7,2,FALSE))</f>
        <v>3</v>
      </c>
      <c r="AB18" s="423" t="str">
        <f>CONCATENATE(TInspectieB[[#This Row],[Soort gebrek]],TInspectieB[[#This Row],[Trede]])</f>
        <v>GG3</v>
      </c>
      <c r="AC18" s="413" t="e">
        <v>#N/A</v>
      </c>
      <c r="AD18" s="413" t="e">
        <v>#N/A</v>
      </c>
      <c r="AE18" s="424">
        <v>0</v>
      </c>
    </row>
    <row r="19" spans="1:31" ht="32.1" customHeight="1" x14ac:dyDescent="0.25">
      <c r="A19" s="337" t="str" cm="1">
        <f t="array" ref="A19">IFERROR(INDEX(TInventB[UVID],ROUNDDOWN((ROW(A11)+1)/2,0)),"")</f>
        <v>471210-1</v>
      </c>
      <c r="B19" s="410">
        <f>IF(TInspectieB[[#This Row],[UVID]]="","",VLOOKUP(TInspectieB[[#This Row],[UVID]],TInventB[],2,FALSE))</f>
        <v>471210</v>
      </c>
      <c r="C19" s="365" t="str">
        <f>IF(TInspectieB[[#This Row],[UVID]]="","",VLOOKUP(TInspectieB[[#This Row],[UVID]],TInventB[],11,FALSE))</f>
        <v>B</v>
      </c>
      <c r="D19" s="411" t="str">
        <f>IF(TInspectieB[[#This Row],[UVID]]="","",VLOOKUP(TInspectieB[[#This Row],[UVID]],TInventB[],3,FALSE))</f>
        <v>Dakbedekking hellend dak</v>
      </c>
      <c r="E19" s="839" t="s">
        <v>160</v>
      </c>
      <c r="F19" s="840" t="s">
        <v>822</v>
      </c>
      <c r="G19" s="413" t="str">
        <f>IF(ISBLANK(TInspectieB[[#This Row],[Soort gebrek]]),"",VLOOKUP(TInspectieB[[#This Row],[Soort gebrek]],TSoortGebrek[#Data],3,FALSE))</f>
        <v>Theoretisch</v>
      </c>
      <c r="H19" s="413" t="str">
        <f>IF(ISBLANK(TInspectieB[[#This Row],[Soort gebrek]]),"",VLOOKUP(TInspectieB[[#This Row],[Soort gebrek]],TSoortGebrek[#Data],2,FALSE))</f>
        <v>Verval  ≥ 87,5%</v>
      </c>
      <c r="I19" s="413" t="str">
        <f>IF(TInspectieB[[#This Row],[Soort gebrek]]=0,"",VLOOKUP(TInspectieB[[#This Row],[Soort gebrek]],TSoortGebrek[],4,FALSE))</f>
        <v>Eind</v>
      </c>
      <c r="J19" s="841">
        <v>0.8</v>
      </c>
      <c r="K19" s="415">
        <f>IF(TInspectieB[[#This Row],[Soort gebrek]]=0,"",VLOOKUP(TInspectieB[[#This Row],[Combi]],TPrio[#Data],2,FALSE))</f>
        <v>8</v>
      </c>
      <c r="L19" s="843">
        <v>1</v>
      </c>
      <c r="M19" s="416" t="str">
        <f>IF(ISBLANK(TInspectieB[[#This Row],[Gebrek nr.]]),"",TInspectieB[[#This Row],[UVID]]&amp;"-"&amp;TInspectieB[[#This Row],[Gebrek nr.]])</f>
        <v>471210-1-1</v>
      </c>
      <c r="N19" s="417"/>
      <c r="O19" s="844" t="s">
        <v>1665</v>
      </c>
      <c r="P19" s="828">
        <v>106</v>
      </c>
      <c r="Q19" s="819" t="s">
        <v>838</v>
      </c>
      <c r="R19" s="828" t="s">
        <v>1402</v>
      </c>
      <c r="S19" s="828" t="s">
        <v>776</v>
      </c>
      <c r="T19" s="828" t="s">
        <v>1410</v>
      </c>
      <c r="U19" s="828" t="s">
        <v>1414</v>
      </c>
      <c r="V19" s="828" t="s">
        <v>1425</v>
      </c>
      <c r="W19" s="830" t="s">
        <v>890</v>
      </c>
      <c r="X19" s="845">
        <v>99</v>
      </c>
      <c r="Y19" s="846">
        <v>420</v>
      </c>
      <c r="Z19" s="421">
        <f>IF(ISBLANK(TInspectieB[[#This Row],[Aantal]]),"",ROUND(TInspectieB[[#This Row],[Kengetal]]*TInspectieB[[#This Row],[Aantal]],-1))</f>
        <v>41580</v>
      </c>
      <c r="AA19" s="422">
        <f>IF(TInspectieB[[#This Row],[Vak-groep]]="","1",VLOOKUP(C19,$J$2:$K$7,2,FALSE))</f>
        <v>3</v>
      </c>
      <c r="AB19" s="423" t="str">
        <f>CONCATENATE(TInspectieB[[#This Row],[Soort gebrek]],TInspectieB[[#This Row],[Trede]])</f>
        <v>T-87,53</v>
      </c>
      <c r="AC19" s="413" t="e">
        <v>#N/A</v>
      </c>
      <c r="AD19" s="413" t="e">
        <v>#N/A</v>
      </c>
      <c r="AE19" s="424">
        <v>0</v>
      </c>
    </row>
    <row r="20" spans="1:31" ht="31.5" x14ac:dyDescent="0.25">
      <c r="A20" s="337" t="str" cm="1">
        <f t="array" ref="A20">IFERROR(INDEX(TInventB[UVID],ROUNDDOWN((ROW(A12)+1)/2,0)),"")</f>
        <v>471210-1</v>
      </c>
      <c r="B20" s="410">
        <f>IF(TInspectieB[[#This Row],[UVID]]="","",VLOOKUP(TInspectieB[[#This Row],[UVID]],TInventB[],2,FALSE))</f>
        <v>471210</v>
      </c>
      <c r="C20" s="365" t="str">
        <f>IF(TInspectieB[[#This Row],[UVID]]="","",VLOOKUP(TInspectieB[[#This Row],[UVID]],TInventB[],11,FALSE))</f>
        <v>B</v>
      </c>
      <c r="D20" s="411" t="str">
        <f>IF(TInspectieB[[#This Row],[UVID]]="","",VLOOKUP(TInspectieB[[#This Row],[UVID]],TInventB[],3,FALSE))</f>
        <v>Dakbedekking hellend dak</v>
      </c>
      <c r="E20" s="839" t="s">
        <v>160</v>
      </c>
      <c r="F20" s="840" t="s">
        <v>818</v>
      </c>
      <c r="G20" s="413" t="str">
        <f>IF(ISBLANK(TInspectieB[[#This Row],[Soort gebrek]]),"",VLOOKUP(TInspectieB[[#This Row],[Soort gebrek]],TSoortGebrek[#Data],3,FALSE))</f>
        <v>Gering</v>
      </c>
      <c r="H20" s="413" t="str">
        <f>IF(ISBLANK(TInspectieB[[#This Row],[Soort gebrek]]),"",VLOOKUP(TInspectieB[[#This Row],[Soort gebrek]],TSoortGebrek[#Data],2,FALSE))</f>
        <v>onderhoud</v>
      </c>
      <c r="I20" s="413" t="str">
        <f>IF(TInspectieB[[#This Row],[Soort gebrek]]=0,"",VLOOKUP(TInspectieB[[#This Row],[Soort gebrek]],TSoortGebrek[],4,FALSE))</f>
        <v>Gevorderd</v>
      </c>
      <c r="J20" s="841">
        <v>0.2</v>
      </c>
      <c r="K20" s="415">
        <f>IF(TInspectieB[[#This Row],[Soort gebrek]]=0,"",VLOOKUP(TInspectieB[[#This Row],[Combi]],TPrio[#Data],2,FALSE))</f>
        <v>4</v>
      </c>
      <c r="L20" s="843">
        <v>2</v>
      </c>
      <c r="M20" s="416" t="str">
        <f>IF(ISBLANK(TInspectieB[[#This Row],[Gebrek nr.]]),"",TInspectieB[[#This Row],[UVID]]&amp;"-"&amp;TInspectieB[[#This Row],[Gebrek nr.]])</f>
        <v>471210-1-2</v>
      </c>
      <c r="N20" s="417"/>
      <c r="O20" s="844" t="s">
        <v>1665</v>
      </c>
      <c r="P20" s="828">
        <v>106</v>
      </c>
      <c r="Q20" s="819" t="s">
        <v>838</v>
      </c>
      <c r="R20" s="828" t="s">
        <v>1403</v>
      </c>
      <c r="S20" s="828" t="s">
        <v>776</v>
      </c>
      <c r="T20" s="828" t="s">
        <v>1411</v>
      </c>
      <c r="U20" s="828" t="s">
        <v>1415</v>
      </c>
      <c r="V20" s="828" t="s">
        <v>1425</v>
      </c>
      <c r="W20" s="830" t="s">
        <v>874</v>
      </c>
      <c r="X20" s="845">
        <v>15</v>
      </c>
      <c r="Y20" s="846">
        <v>200</v>
      </c>
      <c r="Z20" s="421">
        <f>IF(ISBLANK(TInspectieB[[#This Row],[Aantal]]),"",ROUND(TInspectieB[[#This Row],[Kengetal]]*TInspectieB[[#This Row],[Aantal]],-1))</f>
        <v>3000</v>
      </c>
      <c r="AA20" s="422">
        <f>IF(TInspectieB[[#This Row],[Vak-groep]]="","1",VLOOKUP(C20,$J$2:$K$7,2,FALSE))</f>
        <v>3</v>
      </c>
      <c r="AB20" s="423" t="str">
        <f>CONCATENATE(TInspectieB[[#This Row],[Soort gebrek]],TInspectieB[[#This Row],[Trede]])</f>
        <v>G-PO3</v>
      </c>
      <c r="AC20" s="413" t="e">
        <v>#N/A</v>
      </c>
      <c r="AD20" s="413" t="e">
        <v>#N/A</v>
      </c>
      <c r="AE20" s="424">
        <v>0</v>
      </c>
    </row>
    <row r="21" spans="1:31" ht="21" x14ac:dyDescent="0.25">
      <c r="A21" s="337" t="s">
        <v>1394</v>
      </c>
      <c r="B21" s="410">
        <f>IF(TInspectieB[[#This Row],[UVID]]="","",VLOOKUP(TInspectieB[[#This Row],[UVID]],TInventB[],2,FALSE))</f>
        <v>471210</v>
      </c>
      <c r="C21" s="365" t="str">
        <f>IF(TInspectieB[[#This Row],[UVID]]="","",VLOOKUP(TInspectieB[[#This Row],[UVID]],TInventB[],11,FALSE))</f>
        <v>B</v>
      </c>
      <c r="D21" s="411" t="str">
        <f>IF(TInspectieB[[#This Row],[UVID]]="","",VLOOKUP(TInspectieB[[#This Row],[UVID]],TInventB[],3,FALSE))</f>
        <v>Dakbedekking hellend dak</v>
      </c>
      <c r="E21" s="839" t="s">
        <v>381</v>
      </c>
      <c r="F21" s="840" t="s">
        <v>832</v>
      </c>
      <c r="G21" s="413" t="str">
        <f>IF(ISBLANK(TInspectieB[[#This Row],[Soort gebrek]]),"",VLOOKUP(TInspectieB[[#This Row],[Soort gebrek]],TSoortGebrek[#Data],3,FALSE))</f>
        <v>Geen</v>
      </c>
      <c r="H21" s="413" t="str">
        <f>IF(ISBLANK(TInspectieB[[#This Row],[Soort gebrek]]),"",VLOOKUP(TInspectieB[[#This Row],[Soort gebrek]],TSoortGebrek[#Data],2,FALSE))</f>
        <v>Geen gebrek</v>
      </c>
      <c r="I21" s="413" t="str">
        <f>IF(TInspectieB[[#This Row],[Soort gebrek]]=0,"",VLOOKUP(TInspectieB[[#This Row],[Soort gebrek]],TSoortGebrek[],4,FALSE))</f>
        <v>Eind</v>
      </c>
      <c r="J21" s="841">
        <v>0.5</v>
      </c>
      <c r="K21" s="415">
        <f>IF(TInspectieB[[#This Row],[Soort gebrek]]=0,"",VLOOKUP(TInspectieB[[#This Row],[Combi]],TPrio[#Data],2,FALSE))</f>
        <v>0</v>
      </c>
      <c r="L21" s="843">
        <v>3</v>
      </c>
      <c r="M21" s="416" t="str">
        <f>IF(ISBLANK(TInspectieB[[#This Row],[Gebrek nr.]]),"",TInspectieB[[#This Row],[UVID]]&amp;"-"&amp;TInspectieB[[#This Row],[Gebrek nr.]])</f>
        <v>471210-1-3</v>
      </c>
      <c r="N21" s="417"/>
      <c r="O21" s="844" t="s">
        <v>1665</v>
      </c>
      <c r="P21" s="828">
        <v>106</v>
      </c>
      <c r="Q21" s="819" t="s">
        <v>838</v>
      </c>
      <c r="R21" s="828" t="s">
        <v>358</v>
      </c>
      <c r="S21" s="828" t="s">
        <v>118</v>
      </c>
      <c r="T21" s="828" t="s">
        <v>1422</v>
      </c>
      <c r="U21" s="828" t="s">
        <v>358</v>
      </c>
      <c r="V21" s="828" t="s">
        <v>1425</v>
      </c>
      <c r="W21" s="830" t="s">
        <v>358</v>
      </c>
      <c r="X21" s="845"/>
      <c r="Y21" s="846"/>
      <c r="Z21" s="421" t="str">
        <f>IF(ISBLANK(TInspectieB[[#This Row],[Aantal]]),"",ROUND(TInspectieB[[#This Row],[Kengetal]]*TInspectieB[[#This Row],[Aantal]],-1))</f>
        <v/>
      </c>
      <c r="AA21" s="422">
        <f>IF(TInspectieB[[#This Row],[Vak-groep]]="","1",VLOOKUP(C21,$J$2:$K$7,2,FALSE))</f>
        <v>3</v>
      </c>
      <c r="AB21" s="423" t="str">
        <f>CONCATENATE(TInspectieB[[#This Row],[Soort gebrek]],TInspectieB[[#This Row],[Trede]])</f>
        <v>GG3</v>
      </c>
      <c r="AC21" s="413" t="e">
        <v>#N/A</v>
      </c>
      <c r="AD21" s="413" t="e">
        <v>#N/A</v>
      </c>
      <c r="AE21" s="424">
        <v>0</v>
      </c>
    </row>
    <row r="22" spans="1:31" ht="10.5" x14ac:dyDescent="0.25">
      <c r="A22" s="337" t="str" cm="1">
        <f t="array" ref="A22">IFERROR(INDEX(TInventB[UVID],ROUNDDOWN((ROW(#REF!)+1)/2,0)),"")</f>
        <v/>
      </c>
      <c r="B22" s="410" t="str">
        <f>IF(TInspectieB[[#This Row],[UVID]]="","",VLOOKUP(TInspectieB[[#This Row],[UVID]],TInventB[],2,FALSE))</f>
        <v/>
      </c>
      <c r="C22" s="365" t="str">
        <f>IF(TInspectieB[[#This Row],[UVID]]="","",VLOOKUP(TInspectieB[[#This Row],[UVID]],TInventB[],11,FALSE))</f>
        <v/>
      </c>
      <c r="D22" s="411" t="str">
        <f>IF(TInspectieB[[#This Row],[UVID]]="","",VLOOKUP(TInspectieB[[#This Row],[UVID]],TInventB[],3,FALSE))</f>
        <v/>
      </c>
      <c r="E22" s="338" t="str">
        <f>IF(TInspectieB[[#This Row],[Omschrijving bouwdeel]]="","",IF(MOD(ROW()-2,2)=0,"O",IF(TRIM(TInspectieB[[#This Row],[Code Bouwdeeltype]])="312010","O","E")))</f>
        <v/>
      </c>
      <c r="F22" s="412"/>
      <c r="G22" s="413" t="str">
        <f>IF(ISBLANK(TInspectieB[[#This Row],[Soort gebrek]]),"",VLOOKUP(TInspectieB[[#This Row],[Soort gebrek]],TSoortGebrek[#Data],3,FALSE))</f>
        <v/>
      </c>
      <c r="H22" s="413" t="str">
        <f>IF(ISBLANK(TInspectieB[[#This Row],[Soort gebrek]]),"",VLOOKUP(TInspectieB[[#This Row],[Soort gebrek]],TSoortGebrek[#Data],2,FALSE))</f>
        <v/>
      </c>
      <c r="I22" s="413" t="str">
        <f>IF(TInspectieB[[#This Row],[Soort gebrek]]=0,"",VLOOKUP(TInspectieB[[#This Row],[Soort gebrek]],TSoortGebrek[],4,FALSE))</f>
        <v/>
      </c>
      <c r="J22" s="425"/>
      <c r="K22" s="415" t="str">
        <f>IF(TInspectieB[[#This Row],[Soort gebrek]]=0,"",VLOOKUP(TInspectieB[[#This Row],[Combi]],TPrio[#Data],2,FALSE))</f>
        <v/>
      </c>
      <c r="L22" s="339"/>
      <c r="M22" s="416" t="str">
        <f>IF(ISBLANK(TInspectieB[[#This Row],[Gebrek nr.]]),"",TInspectieB[[#This Row],[UVID]]&amp;"-"&amp;TInspectieB[[#This Row],[Gebrek nr.]])</f>
        <v/>
      </c>
      <c r="N22" s="417"/>
      <c r="O22" s="651"/>
      <c r="P22" s="206"/>
      <c r="Q22" s="193"/>
      <c r="R22" s="206"/>
      <c r="S22" s="206"/>
      <c r="T22" s="206"/>
      <c r="U22" s="206"/>
      <c r="V22" s="206"/>
      <c r="W22" s="419"/>
      <c r="X22" s="340"/>
      <c r="Y22" s="420"/>
      <c r="Z22" s="421" t="str">
        <f>IF(ISBLANK(TInspectieB[[#This Row],[Aantal]]),"",ROUND(TInspectieB[[#This Row],[Kengetal]]*TInspectieB[[#This Row],[Aantal]],-1))</f>
        <v/>
      </c>
      <c r="AA22" s="422" t="str">
        <f>IF(TInspectieB[[#This Row],[Vak-groep]]="","1",VLOOKUP(C22,$J$2:$K$7,2,FALSE))</f>
        <v>1</v>
      </c>
      <c r="AB22" s="423" t="str">
        <f>CONCATENATE(TInspectieB[[#This Row],[Soort gebrek]],TInspectieB[[#This Row],[Trede]])</f>
        <v>1</v>
      </c>
      <c r="AC22" s="413" t="e">
        <v>#N/A</v>
      </c>
      <c r="AD22" s="413" t="e">
        <v>#N/A</v>
      </c>
      <c r="AE22" s="424">
        <v>0</v>
      </c>
    </row>
    <row r="23" spans="1:31" ht="10.5" x14ac:dyDescent="0.25">
      <c r="A23" s="337" t="str" cm="1">
        <f t="array" ref="A23">IFERROR(INDEX(TInventB[UVID],ROUNDDOWN((ROW(A15)+1)/2,0)),"")</f>
        <v/>
      </c>
      <c r="B23" s="410" t="str">
        <f>IF(TInspectieB[[#This Row],[UVID]]="","",VLOOKUP(TInspectieB[[#This Row],[UVID]],TInventB[],2,FALSE))</f>
        <v/>
      </c>
      <c r="C23" s="365" t="str">
        <f>IF(TInspectieB[[#This Row],[UVID]]="","",VLOOKUP(TInspectieB[[#This Row],[UVID]],TInventB[],11,FALSE))</f>
        <v/>
      </c>
      <c r="D23" s="411" t="str">
        <f>IF(TInspectieB[[#This Row],[UVID]]="","",VLOOKUP(TInspectieB[[#This Row],[UVID]],TInventB[],3,FALSE))</f>
        <v/>
      </c>
      <c r="E23" s="338" t="str">
        <f>IF(TInspectieB[[#This Row],[Omschrijving bouwdeel]]="","",IF(MOD(ROW()-2,2)=0,"O",IF(TRIM(TInspectieB[[#This Row],[Code Bouwdeeltype]])="312010","O","E")))</f>
        <v/>
      </c>
      <c r="F23" s="412"/>
      <c r="G23" s="413" t="str">
        <f>IF(ISBLANK(TInspectieB[[#This Row],[Soort gebrek]]),"",VLOOKUP(TInspectieB[[#This Row],[Soort gebrek]],TSoortGebrek[#Data],3,FALSE))</f>
        <v/>
      </c>
      <c r="H23" s="413" t="str">
        <f>IF(ISBLANK(TInspectieB[[#This Row],[Soort gebrek]]),"",VLOOKUP(TInspectieB[[#This Row],[Soort gebrek]],TSoortGebrek[#Data],2,FALSE))</f>
        <v/>
      </c>
      <c r="I23" s="413" t="str">
        <f>IF(TInspectieB[[#This Row],[Soort gebrek]]=0,"",VLOOKUP(TInspectieB[[#This Row],[Soort gebrek]],TSoortGebrek[],4,FALSE))</f>
        <v/>
      </c>
      <c r="J23" s="425"/>
      <c r="K23" s="415" t="str">
        <f>IF(TInspectieB[[#This Row],[Soort gebrek]]=0,"",VLOOKUP(TInspectieB[[#This Row],[Combi]],TPrio[#Data],2,FALSE))</f>
        <v/>
      </c>
      <c r="L23" s="339"/>
      <c r="M23" s="416" t="str">
        <f>IF(ISBLANK(TInspectieB[[#This Row],[Gebrek nr.]]),"",TInspectieB[[#This Row],[UVID]]&amp;"-"&amp;TInspectieB[[#This Row],[Gebrek nr.]])</f>
        <v/>
      </c>
      <c r="N23" s="417"/>
      <c r="O23" s="651"/>
      <c r="P23" s="206"/>
      <c r="Q23" s="193"/>
      <c r="R23" s="206"/>
      <c r="S23" s="206"/>
      <c r="T23" s="206"/>
      <c r="U23" s="206"/>
      <c r="V23" s="206"/>
      <c r="W23" s="419"/>
      <c r="X23" s="340"/>
      <c r="Y23" s="420"/>
      <c r="Z23" s="421" t="str">
        <f>IF(ISBLANK(TInspectieB[[#This Row],[Aantal]]),"",ROUND(TInspectieB[[#This Row],[Kengetal]]*TInspectieB[[#This Row],[Aantal]],-1))</f>
        <v/>
      </c>
      <c r="AA23" s="422" t="str">
        <f>IF(TInspectieB[[#This Row],[Vak-groep]]="","1",VLOOKUP(C23,$J$2:$K$7,2,FALSE))</f>
        <v>1</v>
      </c>
      <c r="AB23" s="423" t="str">
        <f>CONCATENATE(TInspectieB[[#This Row],[Soort gebrek]],TInspectieB[[#This Row],[Trede]])</f>
        <v>1</v>
      </c>
      <c r="AC23" s="413" t="e">
        <v>#N/A</v>
      </c>
      <c r="AD23" s="413" t="e">
        <v>#N/A</v>
      </c>
      <c r="AE23" s="424">
        <v>0</v>
      </c>
    </row>
    <row r="24" spans="1:31" ht="10.5" x14ac:dyDescent="0.25">
      <c r="A24" s="337" t="str" cm="1">
        <f t="array" ref="A24">IFERROR(INDEX(TInventB[UVID],ROUNDDOWN((ROW(A16)+1)/2,0)),"")</f>
        <v/>
      </c>
      <c r="B24" s="410" t="str">
        <f>IF(TInspectieB[[#This Row],[UVID]]="","",VLOOKUP(TInspectieB[[#This Row],[UVID]],TInventB[],2,FALSE))</f>
        <v/>
      </c>
      <c r="C24" s="365" t="str">
        <f>IF(TInspectieB[[#This Row],[UVID]]="","",VLOOKUP(TInspectieB[[#This Row],[UVID]],TInventB[],11,FALSE))</f>
        <v/>
      </c>
      <c r="D24" s="411" t="str">
        <f>IF(TInspectieB[[#This Row],[UVID]]="","",VLOOKUP(TInspectieB[[#This Row],[UVID]],TInventB[],3,FALSE))</f>
        <v/>
      </c>
      <c r="E24" s="338" t="str">
        <f>IF(TInspectieB[[#This Row],[Omschrijving bouwdeel]]="","",IF(MOD(ROW()-2,2)=0,"O",IF(TRIM(TInspectieB[[#This Row],[Code Bouwdeeltype]])="312010","O","E")))</f>
        <v/>
      </c>
      <c r="F24" s="412"/>
      <c r="G24" s="413" t="str">
        <f>IF(ISBLANK(TInspectieB[[#This Row],[Soort gebrek]]),"",VLOOKUP(TInspectieB[[#This Row],[Soort gebrek]],TSoortGebrek[#Data],3,FALSE))</f>
        <v/>
      </c>
      <c r="H24" s="413" t="str">
        <f>IF(ISBLANK(TInspectieB[[#This Row],[Soort gebrek]]),"",VLOOKUP(TInspectieB[[#This Row],[Soort gebrek]],TSoortGebrek[#Data],2,FALSE))</f>
        <v/>
      </c>
      <c r="I24" s="413" t="str">
        <f>IF(TInspectieB[[#This Row],[Soort gebrek]]=0,"",VLOOKUP(TInspectieB[[#This Row],[Soort gebrek]],TSoortGebrek[],4,FALSE))</f>
        <v/>
      </c>
      <c r="J24" s="425"/>
      <c r="K24" s="415" t="str">
        <f>IF(TInspectieB[[#This Row],[Soort gebrek]]=0,"",VLOOKUP(TInspectieB[[#This Row],[Combi]],TPrio[#Data],2,FALSE))</f>
        <v/>
      </c>
      <c r="L24" s="339"/>
      <c r="M24" s="416" t="str">
        <f>IF(ISBLANK(TInspectieB[[#This Row],[Gebrek nr.]]),"",TInspectieB[[#This Row],[UVID]]&amp;"-"&amp;TInspectieB[[#This Row],[Gebrek nr.]])</f>
        <v/>
      </c>
      <c r="N24" s="417"/>
      <c r="O24" s="651"/>
      <c r="P24" s="206"/>
      <c r="Q24" s="193"/>
      <c r="R24" s="206"/>
      <c r="S24" s="206"/>
      <c r="T24" s="206"/>
      <c r="U24" s="206"/>
      <c r="V24" s="206"/>
      <c r="W24" s="419"/>
      <c r="X24" s="340"/>
      <c r="Y24" s="420"/>
      <c r="Z24" s="421" t="str">
        <f>IF(ISBLANK(TInspectieB[[#This Row],[Aantal]]),"",ROUND(TInspectieB[[#This Row],[Kengetal]]*TInspectieB[[#This Row],[Aantal]],-1))</f>
        <v/>
      </c>
      <c r="AA24" s="422" t="str">
        <f>IF(TInspectieB[[#This Row],[Vak-groep]]="","1",VLOOKUP(C24,$J$2:$K$7,2,FALSE))</f>
        <v>1</v>
      </c>
      <c r="AB24" s="423" t="str">
        <f>CONCATENATE(TInspectieB[[#This Row],[Soort gebrek]],TInspectieB[[#This Row],[Trede]])</f>
        <v>1</v>
      </c>
      <c r="AC24" s="413" t="e">
        <v>#N/A</v>
      </c>
      <c r="AD24" s="413" t="e">
        <v>#N/A</v>
      </c>
      <c r="AE24" s="424">
        <v>0</v>
      </c>
    </row>
    <row r="25" spans="1:31" ht="10.5" x14ac:dyDescent="0.25">
      <c r="A25" s="337" t="str" cm="1">
        <f t="array" ref="A25">IFERROR(INDEX(TInventB[UVID],ROUNDDOWN((ROW(A17)+1)/2,0)),"")</f>
        <v/>
      </c>
      <c r="B25" s="410" t="str">
        <f>IF(TInspectieB[[#This Row],[UVID]]="","",VLOOKUP(TInspectieB[[#This Row],[UVID]],TInventB[],2,FALSE))</f>
        <v/>
      </c>
      <c r="C25" s="365" t="str">
        <f>IF(TInspectieB[[#This Row],[UVID]]="","",VLOOKUP(TInspectieB[[#This Row],[UVID]],TInventB[],11,FALSE))</f>
        <v/>
      </c>
      <c r="D25" s="411" t="str">
        <f>IF(TInspectieB[[#This Row],[UVID]]="","",VLOOKUP(TInspectieB[[#This Row],[UVID]],TInventB[],3,FALSE))</f>
        <v/>
      </c>
      <c r="E25" s="338" t="str">
        <f>IF(TInspectieB[[#This Row],[Omschrijving bouwdeel]]="","",IF(MOD(ROW()-2,2)=0,"O",IF(TRIM(TInspectieB[[#This Row],[Code Bouwdeeltype]])="312010","O","E")))</f>
        <v/>
      </c>
      <c r="F25" s="412"/>
      <c r="G25" s="413" t="str">
        <f>IF(ISBLANK(TInspectieB[[#This Row],[Soort gebrek]]),"",VLOOKUP(TInspectieB[[#This Row],[Soort gebrek]],TSoortGebrek[#Data],3,FALSE))</f>
        <v/>
      </c>
      <c r="H25" s="413" t="str">
        <f>IF(ISBLANK(TInspectieB[[#This Row],[Soort gebrek]]),"",VLOOKUP(TInspectieB[[#This Row],[Soort gebrek]],TSoortGebrek[#Data],2,FALSE))</f>
        <v/>
      </c>
      <c r="I25" s="413" t="str">
        <f>IF(TInspectieB[[#This Row],[Soort gebrek]]=0,"",VLOOKUP(TInspectieB[[#This Row],[Soort gebrek]],TSoortGebrek[],4,FALSE))</f>
        <v/>
      </c>
      <c r="J25" s="425"/>
      <c r="K25" s="415" t="str">
        <f>IF(TInspectieB[[#This Row],[Soort gebrek]]=0,"",VLOOKUP(TInspectieB[[#This Row],[Combi]],TPrio[#Data],2,FALSE))</f>
        <v/>
      </c>
      <c r="L25" s="339"/>
      <c r="M25" s="416" t="str">
        <f>IF(ISBLANK(TInspectieB[[#This Row],[Gebrek nr.]]),"",TInspectieB[[#This Row],[UVID]]&amp;"-"&amp;TInspectieB[[#This Row],[Gebrek nr.]])</f>
        <v/>
      </c>
      <c r="N25" s="417"/>
      <c r="O25" s="651"/>
      <c r="P25" s="206"/>
      <c r="Q25" s="193"/>
      <c r="R25" s="206"/>
      <c r="S25" s="206"/>
      <c r="T25" s="206"/>
      <c r="U25" s="206"/>
      <c r="V25" s="206"/>
      <c r="W25" s="419"/>
      <c r="X25" s="340"/>
      <c r="Y25" s="420"/>
      <c r="Z25" s="421" t="str">
        <f>IF(ISBLANK(TInspectieB[[#This Row],[Aantal]]),"",ROUND(TInspectieB[[#This Row],[Kengetal]]*TInspectieB[[#This Row],[Aantal]],-1))</f>
        <v/>
      </c>
      <c r="AA25" s="422" t="str">
        <f>IF(TInspectieB[[#This Row],[Vak-groep]]="","1",VLOOKUP(C25,$J$2:$K$7,2,FALSE))</f>
        <v>1</v>
      </c>
      <c r="AB25" s="423" t="str">
        <f>CONCATENATE(TInspectieB[[#This Row],[Soort gebrek]],TInspectieB[[#This Row],[Trede]])</f>
        <v>1</v>
      </c>
      <c r="AC25" s="413" t="e">
        <v>#N/A</v>
      </c>
      <c r="AD25" s="413" t="e">
        <v>#N/A</v>
      </c>
      <c r="AE25" s="424">
        <v>0</v>
      </c>
    </row>
    <row r="26" spans="1:31" ht="10.5" x14ac:dyDescent="0.25">
      <c r="A26" s="337" t="str" cm="1">
        <f t="array" ref="A26">IFERROR(INDEX(TInventB[UVID],ROUNDDOWN((ROW(A18)+1)/2,0)),"")</f>
        <v/>
      </c>
      <c r="B26" s="410" t="str">
        <f>IF(TInspectieB[[#This Row],[UVID]]="","",VLOOKUP(TInspectieB[[#This Row],[UVID]],TInventB[],2,FALSE))</f>
        <v/>
      </c>
      <c r="C26" s="365" t="str">
        <f>IF(TInspectieB[[#This Row],[UVID]]="","",VLOOKUP(TInspectieB[[#This Row],[UVID]],TInventB[],11,FALSE))</f>
        <v/>
      </c>
      <c r="D26" s="411" t="str">
        <f>IF(TInspectieB[[#This Row],[UVID]]="","",VLOOKUP(TInspectieB[[#This Row],[UVID]],TInventB[],3,FALSE))</f>
        <v/>
      </c>
      <c r="E26" s="338" t="str">
        <f>IF(TInspectieB[[#This Row],[Omschrijving bouwdeel]]="","",IF(MOD(ROW()-2,2)=0,"O",IF(TRIM(TInspectieB[[#This Row],[Code Bouwdeeltype]])="312010","O","E")))</f>
        <v/>
      </c>
      <c r="F26" s="412"/>
      <c r="G26" s="413" t="str">
        <f>IF(ISBLANK(TInspectieB[[#This Row],[Soort gebrek]]),"",VLOOKUP(TInspectieB[[#This Row],[Soort gebrek]],TSoortGebrek[#Data],3,FALSE))</f>
        <v/>
      </c>
      <c r="H26" s="413" t="str">
        <f>IF(ISBLANK(TInspectieB[[#This Row],[Soort gebrek]]),"",VLOOKUP(TInspectieB[[#This Row],[Soort gebrek]],TSoortGebrek[#Data],2,FALSE))</f>
        <v/>
      </c>
      <c r="I26" s="413" t="str">
        <f>IF(TInspectieB[[#This Row],[Soort gebrek]]=0,"",VLOOKUP(TInspectieB[[#This Row],[Soort gebrek]],TSoortGebrek[],4,FALSE))</f>
        <v/>
      </c>
      <c r="J26" s="425"/>
      <c r="K26" s="415" t="str">
        <f>IF(TInspectieB[[#This Row],[Soort gebrek]]=0,"",VLOOKUP(TInspectieB[[#This Row],[Combi]],TPrio[#Data],2,FALSE))</f>
        <v/>
      </c>
      <c r="L26" s="339"/>
      <c r="M26" s="416" t="str">
        <f>IF(ISBLANK(TInspectieB[[#This Row],[Gebrek nr.]]),"",TInspectieB[[#This Row],[UVID]]&amp;"-"&amp;TInspectieB[[#This Row],[Gebrek nr.]])</f>
        <v/>
      </c>
      <c r="N26" s="417"/>
      <c r="O26" s="651"/>
      <c r="P26" s="206"/>
      <c r="Q26" s="193"/>
      <c r="R26" s="206"/>
      <c r="S26" s="206"/>
      <c r="T26" s="206"/>
      <c r="U26" s="206"/>
      <c r="V26" s="206"/>
      <c r="W26" s="419"/>
      <c r="X26" s="340"/>
      <c r="Y26" s="420"/>
      <c r="Z26" s="421" t="str">
        <f>IF(ISBLANK(TInspectieB[[#This Row],[Aantal]]),"",ROUND(TInspectieB[[#This Row],[Kengetal]]*TInspectieB[[#This Row],[Aantal]],-1))</f>
        <v/>
      </c>
      <c r="AA26" s="422" t="str">
        <f>IF(TInspectieB[[#This Row],[Vak-groep]]="","1",VLOOKUP(C26,$J$2:$K$7,2,FALSE))</f>
        <v>1</v>
      </c>
      <c r="AB26" s="423" t="str">
        <f>CONCATENATE(TInspectieB[[#This Row],[Soort gebrek]],TInspectieB[[#This Row],[Trede]])</f>
        <v>1</v>
      </c>
      <c r="AC26" s="413" t="e">
        <v>#N/A</v>
      </c>
      <c r="AD26" s="413" t="e">
        <v>#N/A</v>
      </c>
      <c r="AE26" s="424">
        <v>0</v>
      </c>
    </row>
    <row r="27" spans="1:31" ht="10.5" x14ac:dyDescent="0.25">
      <c r="A27" s="337" t="str" cm="1">
        <f t="array" ref="A27">IFERROR(INDEX(TInventB[UVID],ROUNDDOWN((ROW(A19)+1)/2,0)),"")</f>
        <v/>
      </c>
      <c r="B27" s="410" t="str">
        <f>IF(TInspectieB[[#This Row],[UVID]]="","",VLOOKUP(TInspectieB[[#This Row],[UVID]],TInventB[],2,FALSE))</f>
        <v/>
      </c>
      <c r="C27" s="365" t="str">
        <f>IF(TInspectieB[[#This Row],[UVID]]="","",VLOOKUP(TInspectieB[[#This Row],[UVID]],TInventB[],11,FALSE))</f>
        <v/>
      </c>
      <c r="D27" s="411" t="str">
        <f>IF(TInspectieB[[#This Row],[UVID]]="","",VLOOKUP(TInspectieB[[#This Row],[UVID]],TInventB[],3,FALSE))</f>
        <v/>
      </c>
      <c r="E27" s="338" t="str">
        <f>IF(TInspectieB[[#This Row],[Omschrijving bouwdeel]]="","",IF(MOD(ROW()-2,2)=0,"O",IF(TRIM(TInspectieB[[#This Row],[Code Bouwdeeltype]])="312010","O","E")))</f>
        <v/>
      </c>
      <c r="F27" s="412"/>
      <c r="G27" s="413" t="str">
        <f>IF(ISBLANK(TInspectieB[[#This Row],[Soort gebrek]]),"",VLOOKUP(TInspectieB[[#This Row],[Soort gebrek]],TSoortGebrek[#Data],3,FALSE))</f>
        <v/>
      </c>
      <c r="H27" s="413" t="str">
        <f>IF(ISBLANK(TInspectieB[[#This Row],[Soort gebrek]]),"",VLOOKUP(TInspectieB[[#This Row],[Soort gebrek]],TSoortGebrek[#Data],2,FALSE))</f>
        <v/>
      </c>
      <c r="I27" s="413" t="str">
        <f>IF(TInspectieB[[#This Row],[Soort gebrek]]=0,"",VLOOKUP(TInspectieB[[#This Row],[Soort gebrek]],TSoortGebrek[],4,FALSE))</f>
        <v/>
      </c>
      <c r="J27" s="425"/>
      <c r="K27" s="415" t="str">
        <f>IF(TInspectieB[[#This Row],[Soort gebrek]]=0,"",VLOOKUP(TInspectieB[[#This Row],[Combi]],TPrio[#Data],2,FALSE))</f>
        <v/>
      </c>
      <c r="L27" s="339"/>
      <c r="M27" s="416" t="str">
        <f>IF(ISBLANK(TInspectieB[[#This Row],[Gebrek nr.]]),"",TInspectieB[[#This Row],[UVID]]&amp;"-"&amp;TInspectieB[[#This Row],[Gebrek nr.]])</f>
        <v/>
      </c>
      <c r="N27" s="417"/>
      <c r="O27" s="651"/>
      <c r="P27" s="206"/>
      <c r="Q27" s="193"/>
      <c r="R27" s="206"/>
      <c r="S27" s="206"/>
      <c r="T27" s="206"/>
      <c r="U27" s="206"/>
      <c r="V27" s="206"/>
      <c r="W27" s="419"/>
      <c r="X27" s="340"/>
      <c r="Y27" s="420"/>
      <c r="Z27" s="421" t="str">
        <f>IF(ISBLANK(TInspectieB[[#This Row],[Aantal]]),"",ROUND(TInspectieB[[#This Row],[Kengetal]]*TInspectieB[[#This Row],[Aantal]],-1))</f>
        <v/>
      </c>
      <c r="AA27" s="422" t="str">
        <f>IF(TInspectieB[[#This Row],[Vak-groep]]="","1",VLOOKUP(C27,$J$2:$K$7,2,FALSE))</f>
        <v>1</v>
      </c>
      <c r="AB27" s="423" t="str">
        <f>CONCATENATE(TInspectieB[[#This Row],[Soort gebrek]],TInspectieB[[#This Row],[Trede]])</f>
        <v>1</v>
      </c>
      <c r="AC27" s="413" t="e">
        <v>#N/A</v>
      </c>
      <c r="AD27" s="413" t="e">
        <v>#N/A</v>
      </c>
      <c r="AE27" s="424">
        <v>0</v>
      </c>
    </row>
    <row r="28" spans="1:31" ht="10.5" x14ac:dyDescent="0.25">
      <c r="A28" s="337" t="str" cm="1">
        <f t="array" ref="A28">IFERROR(INDEX(TInventB[UVID],ROUNDDOWN((ROW(A20)+1)/2,0)),"")</f>
        <v/>
      </c>
      <c r="B28" s="410" t="str">
        <f>IF(TInspectieB[[#This Row],[UVID]]="","",VLOOKUP(TInspectieB[[#This Row],[UVID]],TInventB[],2,FALSE))</f>
        <v/>
      </c>
      <c r="C28" s="365" t="str">
        <f>IF(TInspectieB[[#This Row],[UVID]]="","",VLOOKUP(TInspectieB[[#This Row],[UVID]],TInventB[],11,FALSE))</f>
        <v/>
      </c>
      <c r="D28" s="411" t="str">
        <f>IF(TInspectieB[[#This Row],[UVID]]="","",VLOOKUP(TInspectieB[[#This Row],[UVID]],TInventB[],3,FALSE))</f>
        <v/>
      </c>
      <c r="E28" s="338" t="str">
        <f>IF(TInspectieB[[#This Row],[Omschrijving bouwdeel]]="","",IF(MOD(ROW()-2,2)=0,"O",IF(TRIM(TInspectieB[[#This Row],[Code Bouwdeeltype]])="312010","O","E")))</f>
        <v/>
      </c>
      <c r="F28" s="412"/>
      <c r="G28" s="413" t="str">
        <f>IF(ISBLANK(TInspectieB[[#This Row],[Soort gebrek]]),"",VLOOKUP(TInspectieB[[#This Row],[Soort gebrek]],TSoortGebrek[#Data],3,FALSE))</f>
        <v/>
      </c>
      <c r="H28" s="413" t="str">
        <f>IF(ISBLANK(TInspectieB[[#This Row],[Soort gebrek]]),"",VLOOKUP(TInspectieB[[#This Row],[Soort gebrek]],TSoortGebrek[#Data],2,FALSE))</f>
        <v/>
      </c>
      <c r="I28" s="413" t="str">
        <f>IF(TInspectieB[[#This Row],[Soort gebrek]]=0,"",VLOOKUP(TInspectieB[[#This Row],[Soort gebrek]],TSoortGebrek[],4,FALSE))</f>
        <v/>
      </c>
      <c r="J28" s="425"/>
      <c r="K28" s="415" t="str">
        <f>IF(TInspectieB[[#This Row],[Soort gebrek]]=0,"",VLOOKUP(TInspectieB[[#This Row],[Combi]],TPrio[#Data],2,FALSE))</f>
        <v/>
      </c>
      <c r="L28" s="339"/>
      <c r="M28" s="416" t="str">
        <f>IF(ISBLANK(TInspectieB[[#This Row],[Gebrek nr.]]),"",TInspectieB[[#This Row],[UVID]]&amp;"-"&amp;TInspectieB[[#This Row],[Gebrek nr.]])</f>
        <v/>
      </c>
      <c r="N28" s="417"/>
      <c r="O28" s="651"/>
      <c r="P28" s="206"/>
      <c r="Q28" s="193"/>
      <c r="R28" s="206"/>
      <c r="S28" s="206"/>
      <c r="T28" s="206"/>
      <c r="U28" s="206"/>
      <c r="V28" s="206"/>
      <c r="W28" s="419"/>
      <c r="X28" s="340"/>
      <c r="Y28" s="420"/>
      <c r="Z28" s="421" t="str">
        <f>IF(ISBLANK(TInspectieB[[#This Row],[Aantal]]),"",ROUND(TInspectieB[[#This Row],[Kengetal]]*TInspectieB[[#This Row],[Aantal]],-1))</f>
        <v/>
      </c>
      <c r="AA28" s="422" t="str">
        <f>IF(TInspectieB[[#This Row],[Vak-groep]]="","1",VLOOKUP(C28,$J$2:$K$7,2,FALSE))</f>
        <v>1</v>
      </c>
      <c r="AB28" s="423" t="str">
        <f>CONCATENATE(TInspectieB[[#This Row],[Soort gebrek]],TInspectieB[[#This Row],[Trede]])</f>
        <v>1</v>
      </c>
      <c r="AC28" s="413" t="e">
        <v>#N/A</v>
      </c>
      <c r="AD28" s="413" t="e">
        <v>#N/A</v>
      </c>
      <c r="AE28" s="424">
        <v>0</v>
      </c>
    </row>
    <row r="29" spans="1:31" ht="10.5" x14ac:dyDescent="0.25">
      <c r="A29" s="337" t="str" cm="1">
        <f t="array" ref="A29">IFERROR(INDEX(TInventB[UVID],ROUNDDOWN((ROW(A21)+1)/2,0)),"")</f>
        <v/>
      </c>
      <c r="B29" s="410" t="str">
        <f>IF(TInspectieB[[#This Row],[UVID]]="","",VLOOKUP(TInspectieB[[#This Row],[UVID]],TInventB[],2,FALSE))</f>
        <v/>
      </c>
      <c r="C29" s="365" t="str">
        <f>IF(TInspectieB[[#This Row],[UVID]]="","",VLOOKUP(TInspectieB[[#This Row],[UVID]],TInventB[],11,FALSE))</f>
        <v/>
      </c>
      <c r="D29" s="411" t="str">
        <f>IF(TInspectieB[[#This Row],[UVID]]="","",VLOOKUP(TInspectieB[[#This Row],[UVID]],TInventB[],3,FALSE))</f>
        <v/>
      </c>
      <c r="E29" s="338" t="str">
        <f>IF(TInspectieB[[#This Row],[Omschrijving bouwdeel]]="","",IF(MOD(ROW()-2,2)=0,"O",IF(TRIM(TInspectieB[[#This Row],[Code Bouwdeeltype]])="312010","O","E")))</f>
        <v/>
      </c>
      <c r="F29" s="412"/>
      <c r="G29" s="413" t="str">
        <f>IF(ISBLANK(TInspectieB[[#This Row],[Soort gebrek]]),"",VLOOKUP(TInspectieB[[#This Row],[Soort gebrek]],TSoortGebrek[#Data],3,FALSE))</f>
        <v/>
      </c>
      <c r="H29" s="413" t="str">
        <f>IF(ISBLANK(TInspectieB[[#This Row],[Soort gebrek]]),"",VLOOKUP(TInspectieB[[#This Row],[Soort gebrek]],TSoortGebrek[#Data],2,FALSE))</f>
        <v/>
      </c>
      <c r="I29" s="413" t="str">
        <f>IF(TInspectieB[[#This Row],[Soort gebrek]]=0,"",VLOOKUP(TInspectieB[[#This Row],[Soort gebrek]],TSoortGebrek[],4,FALSE))</f>
        <v/>
      </c>
      <c r="J29" s="425"/>
      <c r="K29" s="415" t="str">
        <f>IF(TInspectieB[[#This Row],[Soort gebrek]]=0,"",VLOOKUP(TInspectieB[[#This Row],[Combi]],TPrio[#Data],2,FALSE))</f>
        <v/>
      </c>
      <c r="L29" s="339"/>
      <c r="M29" s="416" t="str">
        <f>IF(ISBLANK(TInspectieB[[#This Row],[Gebrek nr.]]),"",TInspectieB[[#This Row],[UVID]]&amp;"-"&amp;TInspectieB[[#This Row],[Gebrek nr.]])</f>
        <v/>
      </c>
      <c r="N29" s="417"/>
      <c r="O29" s="651"/>
      <c r="P29" s="206"/>
      <c r="Q29" s="193"/>
      <c r="R29" s="206"/>
      <c r="S29" s="206"/>
      <c r="T29" s="206"/>
      <c r="U29" s="206"/>
      <c r="V29" s="206"/>
      <c r="W29" s="419"/>
      <c r="X29" s="340"/>
      <c r="Y29" s="420"/>
      <c r="Z29" s="421" t="str">
        <f>IF(ISBLANK(TInspectieB[[#This Row],[Aantal]]),"",ROUND(TInspectieB[[#This Row],[Kengetal]]*TInspectieB[[#This Row],[Aantal]],-1))</f>
        <v/>
      </c>
      <c r="AA29" s="422" t="str">
        <f>IF(TInspectieB[[#This Row],[Vak-groep]]="","1",VLOOKUP(C29,$J$2:$K$7,2,FALSE))</f>
        <v>1</v>
      </c>
      <c r="AB29" s="423" t="str">
        <f>CONCATENATE(TInspectieB[[#This Row],[Soort gebrek]],TInspectieB[[#This Row],[Trede]])</f>
        <v>1</v>
      </c>
      <c r="AC29" s="413" t="e">
        <v>#N/A</v>
      </c>
      <c r="AD29" s="413" t="e">
        <v>#N/A</v>
      </c>
      <c r="AE29" s="424">
        <v>0</v>
      </c>
    </row>
    <row r="30" spans="1:31" ht="10.5" x14ac:dyDescent="0.25">
      <c r="A30" s="337" t="str" cm="1">
        <f t="array" ref="A30">IFERROR(INDEX(TInventB[UVID],ROUNDDOWN((ROW(#REF!)+1)/2,0)),"")</f>
        <v/>
      </c>
      <c r="B30" s="410" t="str">
        <f>IF(TInspectieB[[#This Row],[UVID]]="","",VLOOKUP(TInspectieB[[#This Row],[UVID]],TInventB[],2,FALSE))</f>
        <v/>
      </c>
      <c r="C30" s="365" t="str">
        <f>IF(TInspectieB[[#This Row],[UVID]]="","",VLOOKUP(TInspectieB[[#This Row],[UVID]],TInventB[],11,FALSE))</f>
        <v/>
      </c>
      <c r="D30" s="411" t="str">
        <f>IF(TInspectieB[[#This Row],[UVID]]="","",VLOOKUP(TInspectieB[[#This Row],[UVID]],TInventB[],3,FALSE))</f>
        <v/>
      </c>
      <c r="E30" s="338" t="str">
        <f>IF(TInspectieB[[#This Row],[Omschrijving bouwdeel]]="","",IF(MOD(ROW()-2,2)=0,"O",IF(TRIM(TInspectieB[[#This Row],[Code Bouwdeeltype]])="312010","O","E")))</f>
        <v/>
      </c>
      <c r="F30" s="412"/>
      <c r="G30" s="413" t="str">
        <f>IF(ISBLANK(TInspectieB[[#This Row],[Soort gebrek]]),"",VLOOKUP(TInspectieB[[#This Row],[Soort gebrek]],TSoortGebrek[#Data],3,FALSE))</f>
        <v/>
      </c>
      <c r="H30" s="413" t="str">
        <f>IF(ISBLANK(TInspectieB[[#This Row],[Soort gebrek]]),"",VLOOKUP(TInspectieB[[#This Row],[Soort gebrek]],TSoortGebrek[#Data],2,FALSE))</f>
        <v/>
      </c>
      <c r="I30" s="413" t="str">
        <f>IF(TInspectieB[[#This Row],[Soort gebrek]]=0,"",VLOOKUP(TInspectieB[[#This Row],[Soort gebrek]],TSoortGebrek[],4,FALSE))</f>
        <v/>
      </c>
      <c r="J30" s="425"/>
      <c r="K30" s="415" t="str">
        <f>IF(TInspectieB[[#This Row],[Soort gebrek]]=0,"",VLOOKUP(TInspectieB[[#This Row],[Combi]],TPrio[#Data],2,FALSE))</f>
        <v/>
      </c>
      <c r="L30" s="339"/>
      <c r="M30" s="416" t="str">
        <f>IF(ISBLANK(TInspectieB[[#This Row],[Gebrek nr.]]),"",TInspectieB[[#This Row],[UVID]]&amp;"-"&amp;TInspectieB[[#This Row],[Gebrek nr.]])</f>
        <v/>
      </c>
      <c r="N30" s="417"/>
      <c r="O30" s="651"/>
      <c r="P30" s="206"/>
      <c r="Q30" s="193"/>
      <c r="R30" s="206"/>
      <c r="S30" s="206"/>
      <c r="T30" s="206"/>
      <c r="U30" s="206"/>
      <c r="V30" s="206"/>
      <c r="W30" s="419"/>
      <c r="X30" s="340"/>
      <c r="Y30" s="420"/>
      <c r="Z30" s="421" t="str">
        <f>IF(ISBLANK(TInspectieB[[#This Row],[Aantal]]),"",ROUND(TInspectieB[[#This Row],[Kengetal]]*TInspectieB[[#This Row],[Aantal]],-1))</f>
        <v/>
      </c>
      <c r="AA30" s="422" t="str">
        <f>IF(TInspectieB[[#This Row],[Vak-groep]]="","1",VLOOKUP(C30,$J$2:$K$7,2,FALSE))</f>
        <v>1</v>
      </c>
      <c r="AB30" s="423" t="str">
        <f>CONCATENATE(TInspectieB[[#This Row],[Soort gebrek]],TInspectieB[[#This Row],[Trede]])</f>
        <v>1</v>
      </c>
      <c r="AC30" s="413" t="e">
        <v>#N/A</v>
      </c>
      <c r="AD30" s="413" t="e">
        <v>#N/A</v>
      </c>
      <c r="AE30" s="424">
        <v>0</v>
      </c>
    </row>
    <row r="31" spans="1:31" ht="10.5" x14ac:dyDescent="0.25">
      <c r="A31" s="337" t="str" cm="1">
        <f t="array" ref="A31">IFERROR(INDEX(TInventB[UVID],ROUNDDOWN((ROW(A22)+1)/2,0)),"")</f>
        <v/>
      </c>
      <c r="B31" s="410" t="str">
        <f>IF(TInspectieB[[#This Row],[UVID]]="","",VLOOKUP(TInspectieB[[#This Row],[UVID]],TInventB[],2,FALSE))</f>
        <v/>
      </c>
      <c r="C31" s="365" t="str">
        <f>IF(TInspectieB[[#This Row],[UVID]]="","",VLOOKUP(TInspectieB[[#This Row],[UVID]],TInventB[],11,FALSE))</f>
        <v/>
      </c>
      <c r="D31" s="411" t="str">
        <f>IF(TInspectieB[[#This Row],[UVID]]="","",VLOOKUP(TInspectieB[[#This Row],[UVID]],TInventB[],3,FALSE))</f>
        <v/>
      </c>
      <c r="E31" s="338" t="str">
        <f>IF(TInspectieB[[#This Row],[Omschrijving bouwdeel]]="","",IF(MOD(ROW()-2,2)=0,"O",IF(TRIM(TInspectieB[[#This Row],[Code Bouwdeeltype]])="312010","O","E")))</f>
        <v/>
      </c>
      <c r="F31" s="412"/>
      <c r="G31" s="413" t="str">
        <f>IF(ISBLANK(TInspectieB[[#This Row],[Soort gebrek]]),"",VLOOKUP(TInspectieB[[#This Row],[Soort gebrek]],TSoortGebrek[#Data],3,FALSE))</f>
        <v/>
      </c>
      <c r="H31" s="413" t="str">
        <f>IF(ISBLANK(TInspectieB[[#This Row],[Soort gebrek]]),"",VLOOKUP(TInspectieB[[#This Row],[Soort gebrek]],TSoortGebrek[#Data],2,FALSE))</f>
        <v/>
      </c>
      <c r="I31" s="413" t="str">
        <f>IF(TInspectieB[[#This Row],[Soort gebrek]]=0,"",VLOOKUP(TInspectieB[[#This Row],[Soort gebrek]],TSoortGebrek[],4,FALSE))</f>
        <v/>
      </c>
      <c r="J31" s="425"/>
      <c r="K31" s="415" t="str">
        <f>IF(TInspectieB[[#This Row],[Soort gebrek]]=0,"",VLOOKUP(TInspectieB[[#This Row],[Combi]],TPrio[#Data],2,FALSE))</f>
        <v/>
      </c>
      <c r="L31" s="339"/>
      <c r="M31" s="416" t="str">
        <f>IF(ISBLANK(TInspectieB[[#This Row],[Gebrek nr.]]),"",TInspectieB[[#This Row],[UVID]]&amp;"-"&amp;TInspectieB[[#This Row],[Gebrek nr.]])</f>
        <v/>
      </c>
      <c r="N31" s="417"/>
      <c r="O31" s="651"/>
      <c r="P31" s="206"/>
      <c r="Q31" s="193"/>
      <c r="R31" s="206"/>
      <c r="S31" s="206"/>
      <c r="T31" s="206"/>
      <c r="U31" s="206"/>
      <c r="V31" s="206"/>
      <c r="W31" s="419"/>
      <c r="X31" s="340"/>
      <c r="Y31" s="420"/>
      <c r="Z31" s="421" t="str">
        <f>IF(ISBLANK(TInspectieB[[#This Row],[Aantal]]),"",ROUND(TInspectieB[[#This Row],[Kengetal]]*TInspectieB[[#This Row],[Aantal]],-1))</f>
        <v/>
      </c>
      <c r="AA31" s="422" t="str">
        <f>IF(TInspectieB[[#This Row],[Vak-groep]]="","1",VLOOKUP(C31,$J$2:$K$7,2,FALSE))</f>
        <v>1</v>
      </c>
      <c r="AB31" s="423" t="str">
        <f>CONCATENATE(TInspectieB[[#This Row],[Soort gebrek]],TInspectieB[[#This Row],[Trede]])</f>
        <v>1</v>
      </c>
      <c r="AC31" s="413" t="e">
        <v>#N/A</v>
      </c>
      <c r="AD31" s="413" t="e">
        <v>#N/A</v>
      </c>
      <c r="AE31" s="424">
        <v>0</v>
      </c>
    </row>
    <row r="32" spans="1:31" ht="10.5" x14ac:dyDescent="0.25">
      <c r="A32" s="337" t="str" cm="1">
        <f t="array" ref="A32">IFERROR(INDEX(TInventB[UVID],ROUNDDOWN((ROW(A23)+1)/2,0)),"")</f>
        <v/>
      </c>
      <c r="B32" s="410" t="str">
        <f>IF(TInspectieB[[#This Row],[UVID]]="","",VLOOKUP(TInspectieB[[#This Row],[UVID]],TInventB[],2,FALSE))</f>
        <v/>
      </c>
      <c r="C32" s="365" t="str">
        <f>IF(TInspectieB[[#This Row],[UVID]]="","",VLOOKUP(TInspectieB[[#This Row],[UVID]],TInventB[],11,FALSE))</f>
        <v/>
      </c>
      <c r="D32" s="411" t="str">
        <f>IF(TInspectieB[[#This Row],[UVID]]="","",VLOOKUP(TInspectieB[[#This Row],[UVID]],TInventB[],3,FALSE))</f>
        <v/>
      </c>
      <c r="E32" s="338" t="str">
        <f>IF(TInspectieB[[#This Row],[Omschrijving bouwdeel]]="","",IF(MOD(ROW()-2,2)=0,"O",IF(TRIM(TInspectieB[[#This Row],[Code Bouwdeeltype]])="312010","O","E")))</f>
        <v/>
      </c>
      <c r="F32" s="412"/>
      <c r="G32" s="413" t="str">
        <f>IF(ISBLANK(TInspectieB[[#This Row],[Soort gebrek]]),"",VLOOKUP(TInspectieB[[#This Row],[Soort gebrek]],TSoortGebrek[#Data],3,FALSE))</f>
        <v/>
      </c>
      <c r="H32" s="413" t="str">
        <f>IF(ISBLANK(TInspectieB[[#This Row],[Soort gebrek]]),"",VLOOKUP(TInspectieB[[#This Row],[Soort gebrek]],TSoortGebrek[#Data],2,FALSE))</f>
        <v/>
      </c>
      <c r="I32" s="413" t="str">
        <f>IF(TInspectieB[[#This Row],[Soort gebrek]]=0,"",VLOOKUP(TInspectieB[[#This Row],[Soort gebrek]],TSoortGebrek[],4,FALSE))</f>
        <v/>
      </c>
      <c r="J32" s="425"/>
      <c r="K32" s="415" t="str">
        <f>IF(TInspectieB[[#This Row],[Soort gebrek]]=0,"",VLOOKUP(TInspectieB[[#This Row],[Combi]],TPrio[#Data],2,FALSE))</f>
        <v/>
      </c>
      <c r="L32" s="339"/>
      <c r="M32" s="416" t="str">
        <f>IF(ISBLANK(TInspectieB[[#This Row],[Gebrek nr.]]),"",TInspectieB[[#This Row],[UVID]]&amp;"-"&amp;TInspectieB[[#This Row],[Gebrek nr.]])</f>
        <v/>
      </c>
      <c r="N32" s="417"/>
      <c r="O32" s="651"/>
      <c r="P32" s="206"/>
      <c r="Q32" s="193"/>
      <c r="R32" s="206"/>
      <c r="S32" s="206"/>
      <c r="T32" s="206"/>
      <c r="U32" s="206"/>
      <c r="V32" s="206"/>
      <c r="W32" s="419"/>
      <c r="X32" s="340"/>
      <c r="Y32" s="420"/>
      <c r="Z32" s="421" t="str">
        <f>IF(ISBLANK(TInspectieB[[#This Row],[Aantal]]),"",ROUND(TInspectieB[[#This Row],[Kengetal]]*TInspectieB[[#This Row],[Aantal]],-1))</f>
        <v/>
      </c>
      <c r="AA32" s="422" t="str">
        <f>IF(TInspectieB[[#This Row],[Vak-groep]]="","1",VLOOKUP(C32,$J$2:$K$7,2,FALSE))</f>
        <v>1</v>
      </c>
      <c r="AB32" s="423" t="str">
        <f>CONCATENATE(TInspectieB[[#This Row],[Soort gebrek]],TInspectieB[[#This Row],[Trede]])</f>
        <v>1</v>
      </c>
      <c r="AC32" s="413" t="e">
        <v>#N/A</v>
      </c>
      <c r="AD32" s="413" t="e">
        <v>#N/A</v>
      </c>
      <c r="AE32" s="424">
        <v>0</v>
      </c>
    </row>
    <row r="33" spans="1:31" ht="10.5" x14ac:dyDescent="0.25">
      <c r="A33" s="337" t="str" cm="1">
        <f t="array" ref="A33">IFERROR(INDEX(TInventB[UVID],ROUNDDOWN((ROW(A24)+1)/2,0)),"")</f>
        <v/>
      </c>
      <c r="B33" s="410" t="str">
        <f>IF(TInspectieB[[#This Row],[UVID]]="","",VLOOKUP(TInspectieB[[#This Row],[UVID]],TInventB[],2,FALSE))</f>
        <v/>
      </c>
      <c r="C33" s="365" t="str">
        <f>IF(TInspectieB[[#This Row],[UVID]]="","",VLOOKUP(TInspectieB[[#This Row],[UVID]],TInventB[],11,FALSE))</f>
        <v/>
      </c>
      <c r="D33" s="411" t="str">
        <f>IF(TInspectieB[[#This Row],[UVID]]="","",VLOOKUP(TInspectieB[[#This Row],[UVID]],TInventB[],3,FALSE))</f>
        <v/>
      </c>
      <c r="E33" s="338" t="str">
        <f>IF(TInspectieB[[#This Row],[Omschrijving bouwdeel]]="","",IF(MOD(ROW()-2,2)=0,"O",IF(TRIM(TInspectieB[[#This Row],[Code Bouwdeeltype]])="312010","O","E")))</f>
        <v/>
      </c>
      <c r="F33" s="412"/>
      <c r="G33" s="413" t="str">
        <f>IF(ISBLANK(TInspectieB[[#This Row],[Soort gebrek]]),"",VLOOKUP(TInspectieB[[#This Row],[Soort gebrek]],TSoortGebrek[#Data],3,FALSE))</f>
        <v/>
      </c>
      <c r="H33" s="413" t="str">
        <f>IF(ISBLANK(TInspectieB[[#This Row],[Soort gebrek]]),"",VLOOKUP(TInspectieB[[#This Row],[Soort gebrek]],TSoortGebrek[#Data],2,FALSE))</f>
        <v/>
      </c>
      <c r="I33" s="413" t="str">
        <f>IF(TInspectieB[[#This Row],[Soort gebrek]]=0,"",VLOOKUP(TInspectieB[[#This Row],[Soort gebrek]],TSoortGebrek[],4,FALSE))</f>
        <v/>
      </c>
      <c r="J33" s="425"/>
      <c r="K33" s="415" t="str">
        <f>IF(TInspectieB[[#This Row],[Soort gebrek]]=0,"",VLOOKUP(TInspectieB[[#This Row],[Combi]],TPrio[#Data],2,FALSE))</f>
        <v/>
      </c>
      <c r="L33" s="339"/>
      <c r="M33" s="416" t="str">
        <f>IF(ISBLANK(TInspectieB[[#This Row],[Gebrek nr.]]),"",TInspectieB[[#This Row],[UVID]]&amp;"-"&amp;TInspectieB[[#This Row],[Gebrek nr.]])</f>
        <v/>
      </c>
      <c r="N33" s="417"/>
      <c r="O33" s="651"/>
      <c r="P33" s="206"/>
      <c r="Q33" s="193"/>
      <c r="R33" s="206"/>
      <c r="S33" s="206"/>
      <c r="T33" s="206"/>
      <c r="U33" s="206"/>
      <c r="V33" s="206"/>
      <c r="W33" s="419"/>
      <c r="X33" s="340"/>
      <c r="Y33" s="420"/>
      <c r="Z33" s="421" t="str">
        <f>IF(ISBLANK(TInspectieB[[#This Row],[Aantal]]),"",ROUND(TInspectieB[[#This Row],[Kengetal]]*TInspectieB[[#This Row],[Aantal]],-1))</f>
        <v/>
      </c>
      <c r="AA33" s="422" t="str">
        <f>IF(TInspectieB[[#This Row],[Vak-groep]]="","1",VLOOKUP(C33,$J$2:$K$7,2,FALSE))</f>
        <v>1</v>
      </c>
      <c r="AB33" s="423" t="str">
        <f>CONCATENATE(TInspectieB[[#This Row],[Soort gebrek]],TInspectieB[[#This Row],[Trede]])</f>
        <v>1</v>
      </c>
      <c r="AC33" s="413" t="e">
        <v>#N/A</v>
      </c>
      <c r="AD33" s="413" t="e">
        <v>#N/A</v>
      </c>
      <c r="AE33" s="424">
        <v>0</v>
      </c>
    </row>
    <row r="34" spans="1:31" ht="10.5" x14ac:dyDescent="0.25">
      <c r="A34" s="337" t="str" cm="1">
        <f t="array" ref="A34">IFERROR(INDEX(TInventB[UVID],ROUNDDOWN((ROW(A25)+1)/2,0)),"")</f>
        <v/>
      </c>
      <c r="B34" s="410" t="str">
        <f>IF(TInspectieB[[#This Row],[UVID]]="","",VLOOKUP(TInspectieB[[#This Row],[UVID]],TInventB[],2,FALSE))</f>
        <v/>
      </c>
      <c r="C34" s="365" t="str">
        <f>IF(TInspectieB[[#This Row],[UVID]]="","",VLOOKUP(TInspectieB[[#This Row],[UVID]],TInventB[],11,FALSE))</f>
        <v/>
      </c>
      <c r="D34" s="411" t="str">
        <f>IF(TInspectieB[[#This Row],[UVID]]="","",VLOOKUP(TInspectieB[[#This Row],[UVID]],TInventB[],3,FALSE))</f>
        <v/>
      </c>
      <c r="E34" s="338" t="str">
        <f>IF(TInspectieB[[#This Row],[Omschrijving bouwdeel]]="","",IF(MOD(ROW()-2,2)=0,"O",IF(TRIM(TInspectieB[[#This Row],[Code Bouwdeeltype]])="312010","O","E")))</f>
        <v/>
      </c>
      <c r="F34" s="412"/>
      <c r="G34" s="413" t="str">
        <f>IF(ISBLANK(TInspectieB[[#This Row],[Soort gebrek]]),"",VLOOKUP(TInspectieB[[#This Row],[Soort gebrek]],TSoortGebrek[#Data],3,FALSE))</f>
        <v/>
      </c>
      <c r="H34" s="413" t="str">
        <f>IF(ISBLANK(TInspectieB[[#This Row],[Soort gebrek]]),"",VLOOKUP(TInspectieB[[#This Row],[Soort gebrek]],TSoortGebrek[#Data],2,FALSE))</f>
        <v/>
      </c>
      <c r="I34" s="413" t="str">
        <f>IF(TInspectieB[[#This Row],[Soort gebrek]]=0,"",VLOOKUP(TInspectieB[[#This Row],[Soort gebrek]],TSoortGebrek[],4,FALSE))</f>
        <v/>
      </c>
      <c r="J34" s="425"/>
      <c r="K34" s="415" t="str">
        <f>IF(TInspectieB[[#This Row],[Soort gebrek]]=0,"",VLOOKUP(TInspectieB[[#This Row],[Combi]],TPrio[#Data],2,FALSE))</f>
        <v/>
      </c>
      <c r="L34" s="339"/>
      <c r="M34" s="416" t="str">
        <f>IF(ISBLANK(TInspectieB[[#This Row],[Gebrek nr.]]),"",TInspectieB[[#This Row],[UVID]]&amp;"-"&amp;TInspectieB[[#This Row],[Gebrek nr.]])</f>
        <v/>
      </c>
      <c r="N34" s="417"/>
      <c r="O34" s="651"/>
      <c r="P34" s="206"/>
      <c r="Q34" s="193"/>
      <c r="R34" s="206"/>
      <c r="S34" s="206"/>
      <c r="T34" s="206"/>
      <c r="U34" s="206"/>
      <c r="V34" s="206"/>
      <c r="W34" s="419"/>
      <c r="X34" s="340"/>
      <c r="Y34" s="420"/>
      <c r="Z34" s="421" t="str">
        <f>IF(ISBLANK(TInspectieB[[#This Row],[Aantal]]),"",ROUND(TInspectieB[[#This Row],[Kengetal]]*TInspectieB[[#This Row],[Aantal]],-1))</f>
        <v/>
      </c>
      <c r="AA34" s="422" t="str">
        <f>IF(TInspectieB[[#This Row],[Vak-groep]]="","1",VLOOKUP(C34,$J$2:$K$7,2,FALSE))</f>
        <v>1</v>
      </c>
      <c r="AB34" s="423" t="str">
        <f>CONCATENATE(TInspectieB[[#This Row],[Soort gebrek]],TInspectieB[[#This Row],[Trede]])</f>
        <v>1</v>
      </c>
      <c r="AC34" s="413" t="e">
        <v>#N/A</v>
      </c>
      <c r="AD34" s="413" t="e">
        <v>#N/A</v>
      </c>
      <c r="AE34" s="424">
        <v>0</v>
      </c>
    </row>
    <row r="35" spans="1:31" ht="10.5" x14ac:dyDescent="0.25">
      <c r="A35" s="337" t="str" cm="1">
        <f t="array" ref="A35">IFERROR(INDEX(TInventB[UVID],ROUNDDOWN((ROW(A26)+1)/2,0)),"")</f>
        <v/>
      </c>
      <c r="B35" s="410" t="str">
        <f>IF(TInspectieB[[#This Row],[UVID]]="","",VLOOKUP(TInspectieB[[#This Row],[UVID]],TInventB[],2,FALSE))</f>
        <v/>
      </c>
      <c r="C35" s="365" t="str">
        <f>IF(TInspectieB[[#This Row],[UVID]]="","",VLOOKUP(TInspectieB[[#This Row],[UVID]],TInventB[],11,FALSE))</f>
        <v/>
      </c>
      <c r="D35" s="411" t="str">
        <f>IF(TInspectieB[[#This Row],[UVID]]="","",VLOOKUP(TInspectieB[[#This Row],[UVID]],TInventB[],3,FALSE))</f>
        <v/>
      </c>
      <c r="E35" s="338" t="str">
        <f>IF(TInspectieB[[#This Row],[Omschrijving bouwdeel]]="","",IF(MOD(ROW()-2,2)=0,"O",IF(TRIM(TInspectieB[[#This Row],[Code Bouwdeeltype]])="312010","O","E")))</f>
        <v/>
      </c>
      <c r="F35" s="412"/>
      <c r="G35" s="413" t="str">
        <f>IF(ISBLANK(TInspectieB[[#This Row],[Soort gebrek]]),"",VLOOKUP(TInspectieB[[#This Row],[Soort gebrek]],TSoortGebrek[#Data],3,FALSE))</f>
        <v/>
      </c>
      <c r="H35" s="413" t="str">
        <f>IF(ISBLANK(TInspectieB[[#This Row],[Soort gebrek]]),"",VLOOKUP(TInspectieB[[#This Row],[Soort gebrek]],TSoortGebrek[#Data],2,FALSE))</f>
        <v/>
      </c>
      <c r="I35" s="413" t="str">
        <f>IF(TInspectieB[[#This Row],[Soort gebrek]]=0,"",VLOOKUP(TInspectieB[[#This Row],[Soort gebrek]],TSoortGebrek[],4,FALSE))</f>
        <v/>
      </c>
      <c r="J35" s="425"/>
      <c r="K35" s="415" t="str">
        <f>IF(TInspectieB[[#This Row],[Soort gebrek]]=0,"",VLOOKUP(TInspectieB[[#This Row],[Combi]],TPrio[#Data],2,FALSE))</f>
        <v/>
      </c>
      <c r="L35" s="339"/>
      <c r="M35" s="416" t="str">
        <f>IF(ISBLANK(TInspectieB[[#This Row],[Gebrek nr.]]),"",TInspectieB[[#This Row],[UVID]]&amp;"-"&amp;TInspectieB[[#This Row],[Gebrek nr.]])</f>
        <v/>
      </c>
      <c r="N35" s="417"/>
      <c r="O35" s="651"/>
      <c r="P35" s="206"/>
      <c r="Q35" s="193"/>
      <c r="R35" s="206"/>
      <c r="S35" s="206"/>
      <c r="T35" s="206"/>
      <c r="U35" s="206"/>
      <c r="V35" s="206"/>
      <c r="W35" s="419"/>
      <c r="X35" s="340"/>
      <c r="Y35" s="420"/>
      <c r="Z35" s="421" t="str">
        <f>IF(ISBLANK(TInspectieB[[#This Row],[Aantal]]),"",ROUND(TInspectieB[[#This Row],[Kengetal]]*TInspectieB[[#This Row],[Aantal]],-1))</f>
        <v/>
      </c>
      <c r="AA35" s="422" t="str">
        <f>IF(TInspectieB[[#This Row],[Vak-groep]]="","1",VLOOKUP(C35,$J$2:$K$7,2,FALSE))</f>
        <v>1</v>
      </c>
      <c r="AB35" s="423" t="str">
        <f>CONCATENATE(TInspectieB[[#This Row],[Soort gebrek]],TInspectieB[[#This Row],[Trede]])</f>
        <v>1</v>
      </c>
      <c r="AC35" s="413" t="e">
        <v>#N/A</v>
      </c>
      <c r="AD35" s="413" t="e">
        <v>#N/A</v>
      </c>
      <c r="AE35" s="424">
        <v>0</v>
      </c>
    </row>
    <row r="36" spans="1:31" ht="10.5" x14ac:dyDescent="0.25">
      <c r="A36" s="337" t="str" cm="1">
        <f t="array" ref="A36">IFERROR(INDEX(TInventB[UVID],ROUNDDOWN((ROW(A27)+1)/2,0)),"")</f>
        <v/>
      </c>
      <c r="B36" s="410" t="str">
        <f>IF(TInspectieB[[#This Row],[UVID]]="","",VLOOKUP(TInspectieB[[#This Row],[UVID]],TInventB[],2,FALSE))</f>
        <v/>
      </c>
      <c r="C36" s="365" t="str">
        <f>IF(TInspectieB[[#This Row],[UVID]]="","",VLOOKUP(TInspectieB[[#This Row],[UVID]],TInventB[],11,FALSE))</f>
        <v/>
      </c>
      <c r="D36" s="411" t="str">
        <f>IF(TInspectieB[[#This Row],[UVID]]="","",VLOOKUP(TInspectieB[[#This Row],[UVID]],TInventB[],3,FALSE))</f>
        <v/>
      </c>
      <c r="E36" s="338" t="str">
        <f>IF(TInspectieB[[#This Row],[Omschrijving bouwdeel]]="","",IF(MOD(ROW()-2,2)=0,"O",IF(TRIM(TInspectieB[[#This Row],[Code Bouwdeeltype]])="312010","O","E")))</f>
        <v/>
      </c>
      <c r="F36" s="412"/>
      <c r="G36" s="413" t="str">
        <f>IF(ISBLANK(TInspectieB[[#This Row],[Soort gebrek]]),"",VLOOKUP(TInspectieB[[#This Row],[Soort gebrek]],TSoortGebrek[#Data],3,FALSE))</f>
        <v/>
      </c>
      <c r="H36" s="413" t="str">
        <f>IF(ISBLANK(TInspectieB[[#This Row],[Soort gebrek]]),"",VLOOKUP(TInspectieB[[#This Row],[Soort gebrek]],TSoortGebrek[#Data],2,FALSE))</f>
        <v/>
      </c>
      <c r="I36" s="413" t="str">
        <f>IF(TInspectieB[[#This Row],[Soort gebrek]]=0,"",VLOOKUP(TInspectieB[[#This Row],[Soort gebrek]],TSoortGebrek[],4,FALSE))</f>
        <v/>
      </c>
      <c r="J36" s="425"/>
      <c r="K36" s="415" t="str">
        <f>IF(TInspectieB[[#This Row],[Soort gebrek]]=0,"",VLOOKUP(TInspectieB[[#This Row],[Combi]],TPrio[#Data],2,FALSE))</f>
        <v/>
      </c>
      <c r="L36" s="339"/>
      <c r="M36" s="416" t="str">
        <f>IF(ISBLANK(TInspectieB[[#This Row],[Gebrek nr.]]),"",TInspectieB[[#This Row],[UVID]]&amp;"-"&amp;TInspectieB[[#This Row],[Gebrek nr.]])</f>
        <v/>
      </c>
      <c r="N36" s="417"/>
      <c r="O36" s="651"/>
      <c r="P36" s="206"/>
      <c r="Q36" s="193"/>
      <c r="R36" s="206"/>
      <c r="S36" s="206"/>
      <c r="T36" s="206"/>
      <c r="U36" s="206"/>
      <c r="V36" s="206"/>
      <c r="W36" s="419"/>
      <c r="X36" s="340"/>
      <c r="Y36" s="420"/>
      <c r="Z36" s="421" t="str">
        <f>IF(ISBLANK(TInspectieB[[#This Row],[Aantal]]),"",ROUND(TInspectieB[[#This Row],[Kengetal]]*TInspectieB[[#This Row],[Aantal]],-1))</f>
        <v/>
      </c>
      <c r="AA36" s="422" t="str">
        <f>IF(TInspectieB[[#This Row],[Vak-groep]]="","1",VLOOKUP(C36,$J$2:$K$7,2,FALSE))</f>
        <v>1</v>
      </c>
      <c r="AB36" s="423" t="str">
        <f>CONCATENATE(TInspectieB[[#This Row],[Soort gebrek]],TInspectieB[[#This Row],[Trede]])</f>
        <v>1</v>
      </c>
      <c r="AC36" s="413" t="e">
        <v>#N/A</v>
      </c>
      <c r="AD36" s="413" t="e">
        <v>#N/A</v>
      </c>
      <c r="AE36" s="424">
        <v>0</v>
      </c>
    </row>
    <row r="37" spans="1:31" ht="10.5" x14ac:dyDescent="0.25">
      <c r="A37" s="337" t="str" cm="1">
        <f t="array" ref="A37">IFERROR(INDEX(TInventB[UVID],ROUNDDOWN((ROW(A28)+1)/2,0)),"")</f>
        <v/>
      </c>
      <c r="B37" s="410" t="str">
        <f>IF(TInspectieB[[#This Row],[UVID]]="","",VLOOKUP(TInspectieB[[#This Row],[UVID]],TInventB[],2,FALSE))</f>
        <v/>
      </c>
      <c r="C37" s="365" t="str">
        <f>IF(TInspectieB[[#This Row],[UVID]]="","",VLOOKUP(TInspectieB[[#This Row],[UVID]],TInventB[],11,FALSE))</f>
        <v/>
      </c>
      <c r="D37" s="411" t="str">
        <f>IF(TInspectieB[[#This Row],[UVID]]="","",VLOOKUP(TInspectieB[[#This Row],[UVID]],TInventB[],3,FALSE))</f>
        <v/>
      </c>
      <c r="E37" s="338" t="str">
        <f>IF(TInspectieB[[#This Row],[Omschrijving bouwdeel]]="","",IF(MOD(ROW()-2,2)=0,"O",IF(TRIM(TInspectieB[[#This Row],[Code Bouwdeeltype]])="312010","O","E")))</f>
        <v/>
      </c>
      <c r="F37" s="412"/>
      <c r="G37" s="413" t="str">
        <f>IF(ISBLANK(TInspectieB[[#This Row],[Soort gebrek]]),"",VLOOKUP(TInspectieB[[#This Row],[Soort gebrek]],TSoortGebrek[#Data],3,FALSE))</f>
        <v/>
      </c>
      <c r="H37" s="413" t="str">
        <f>IF(ISBLANK(TInspectieB[[#This Row],[Soort gebrek]]),"",VLOOKUP(TInspectieB[[#This Row],[Soort gebrek]],TSoortGebrek[#Data],2,FALSE))</f>
        <v/>
      </c>
      <c r="I37" s="413" t="str">
        <f>IF(TInspectieB[[#This Row],[Soort gebrek]]=0,"",VLOOKUP(TInspectieB[[#This Row],[Soort gebrek]],TSoortGebrek[],4,FALSE))</f>
        <v/>
      </c>
      <c r="J37" s="425"/>
      <c r="K37" s="415" t="str">
        <f>IF(TInspectieB[[#This Row],[Soort gebrek]]=0,"",VLOOKUP(TInspectieB[[#This Row],[Combi]],TPrio[#Data],2,FALSE))</f>
        <v/>
      </c>
      <c r="L37" s="339"/>
      <c r="M37" s="416" t="str">
        <f>IF(ISBLANK(TInspectieB[[#This Row],[Gebrek nr.]]),"",TInspectieB[[#This Row],[UVID]]&amp;"-"&amp;TInspectieB[[#This Row],[Gebrek nr.]])</f>
        <v/>
      </c>
      <c r="N37" s="417"/>
      <c r="O37" s="651"/>
      <c r="P37" s="206"/>
      <c r="Q37" s="193"/>
      <c r="R37" s="206"/>
      <c r="S37" s="206"/>
      <c r="T37" s="206"/>
      <c r="U37" s="206"/>
      <c r="V37" s="206"/>
      <c r="W37" s="419"/>
      <c r="X37" s="340"/>
      <c r="Y37" s="420"/>
      <c r="Z37" s="421" t="str">
        <f>IF(ISBLANK(TInspectieB[[#This Row],[Aantal]]),"",ROUND(TInspectieB[[#This Row],[Kengetal]]*TInspectieB[[#This Row],[Aantal]],-1))</f>
        <v/>
      </c>
      <c r="AA37" s="422" t="str">
        <f>IF(TInspectieB[[#This Row],[Vak-groep]]="","1",VLOOKUP(C37,$J$2:$K$7,2,FALSE))</f>
        <v>1</v>
      </c>
      <c r="AB37" s="423" t="str">
        <f>CONCATENATE(TInspectieB[[#This Row],[Soort gebrek]],TInspectieB[[#This Row],[Trede]])</f>
        <v>1</v>
      </c>
      <c r="AC37" s="413" t="e">
        <v>#N/A</v>
      </c>
      <c r="AD37" s="413" t="e">
        <v>#N/A</v>
      </c>
      <c r="AE37" s="424">
        <v>0</v>
      </c>
    </row>
    <row r="38" spans="1:31" ht="10.5" x14ac:dyDescent="0.25">
      <c r="A38" s="337" t="str" cm="1">
        <f t="array" ref="A38">IFERROR(INDEX(TInventB[UVID],ROUNDDOWN((ROW(A29)+1)/2,0)),"")</f>
        <v/>
      </c>
      <c r="B38" s="410" t="str">
        <f>IF(TInspectieB[[#This Row],[UVID]]="","",VLOOKUP(TInspectieB[[#This Row],[UVID]],TInventB[],2,FALSE))</f>
        <v/>
      </c>
      <c r="C38" s="365" t="str">
        <f>IF(TInspectieB[[#This Row],[UVID]]="","",VLOOKUP(TInspectieB[[#This Row],[UVID]],TInventB[],11,FALSE))</f>
        <v/>
      </c>
      <c r="D38" s="411" t="str">
        <f>IF(TInspectieB[[#This Row],[UVID]]="","",VLOOKUP(TInspectieB[[#This Row],[UVID]],TInventB[],3,FALSE))</f>
        <v/>
      </c>
      <c r="E38" s="338" t="str">
        <f>IF(TInspectieB[[#This Row],[Omschrijving bouwdeel]]="","",IF(MOD(ROW()-2,2)=0,"O",IF(TRIM(TInspectieB[[#This Row],[Code Bouwdeeltype]])="312010","O","E")))</f>
        <v/>
      </c>
      <c r="F38" s="412"/>
      <c r="G38" s="413" t="str">
        <f>IF(ISBLANK(TInspectieB[[#This Row],[Soort gebrek]]),"",VLOOKUP(TInspectieB[[#This Row],[Soort gebrek]],TSoortGebrek[#Data],3,FALSE))</f>
        <v/>
      </c>
      <c r="H38" s="413" t="str">
        <f>IF(ISBLANK(TInspectieB[[#This Row],[Soort gebrek]]),"",VLOOKUP(TInspectieB[[#This Row],[Soort gebrek]],TSoortGebrek[#Data],2,FALSE))</f>
        <v/>
      </c>
      <c r="I38" s="413" t="str">
        <f>IF(TInspectieB[[#This Row],[Soort gebrek]]=0,"",VLOOKUP(TInspectieB[[#This Row],[Soort gebrek]],TSoortGebrek[],4,FALSE))</f>
        <v/>
      </c>
      <c r="J38" s="425"/>
      <c r="K38" s="415" t="str">
        <f>IF(TInspectieB[[#This Row],[Soort gebrek]]=0,"",VLOOKUP(TInspectieB[[#This Row],[Combi]],TPrio[#Data],2,FALSE))</f>
        <v/>
      </c>
      <c r="L38" s="339"/>
      <c r="M38" s="416" t="str">
        <f>IF(ISBLANK(TInspectieB[[#This Row],[Gebrek nr.]]),"",TInspectieB[[#This Row],[UVID]]&amp;"-"&amp;TInspectieB[[#This Row],[Gebrek nr.]])</f>
        <v/>
      </c>
      <c r="N38" s="417"/>
      <c r="O38" s="651"/>
      <c r="P38" s="206"/>
      <c r="Q38" s="193"/>
      <c r="R38" s="206"/>
      <c r="S38" s="206"/>
      <c r="T38" s="206"/>
      <c r="U38" s="206"/>
      <c r="V38" s="206"/>
      <c r="W38" s="419"/>
      <c r="X38" s="340"/>
      <c r="Y38" s="420"/>
      <c r="Z38" s="421" t="str">
        <f>IF(ISBLANK(TInspectieB[[#This Row],[Aantal]]),"",ROUND(TInspectieB[[#This Row],[Kengetal]]*TInspectieB[[#This Row],[Aantal]],-1))</f>
        <v/>
      </c>
      <c r="AA38" s="422" t="str">
        <f>IF(TInspectieB[[#This Row],[Vak-groep]]="","1",VLOOKUP(C38,$J$2:$K$7,2,FALSE))</f>
        <v>1</v>
      </c>
      <c r="AB38" s="423" t="str">
        <f>CONCATENATE(TInspectieB[[#This Row],[Soort gebrek]],TInspectieB[[#This Row],[Trede]])</f>
        <v>1</v>
      </c>
      <c r="AC38" s="413" t="e">
        <v>#N/A</v>
      </c>
      <c r="AD38" s="413" t="e">
        <v>#N/A</v>
      </c>
      <c r="AE38" s="424">
        <v>0</v>
      </c>
    </row>
    <row r="39" spans="1:31" ht="10.5" x14ac:dyDescent="0.25">
      <c r="A39" s="337" t="str" cm="1">
        <f t="array" ref="A39">IFERROR(INDEX(TInventB[UVID],ROUNDDOWN((ROW(A30)+1)/2,0)),"")</f>
        <v/>
      </c>
      <c r="B39" s="410" t="str">
        <f>IF(TInspectieB[[#This Row],[UVID]]="","",VLOOKUP(TInspectieB[[#This Row],[UVID]],TInventB[],2,FALSE))</f>
        <v/>
      </c>
      <c r="C39" s="365" t="str">
        <f>IF(TInspectieB[[#This Row],[UVID]]="","",VLOOKUP(TInspectieB[[#This Row],[UVID]],TInventB[],11,FALSE))</f>
        <v/>
      </c>
      <c r="D39" s="411" t="str">
        <f>IF(TInspectieB[[#This Row],[UVID]]="","",VLOOKUP(TInspectieB[[#This Row],[UVID]],TInventB[],3,FALSE))</f>
        <v/>
      </c>
      <c r="E39" s="338" t="str">
        <f>IF(TInspectieB[[#This Row],[Omschrijving bouwdeel]]="","",IF(MOD(ROW()-2,2)=0,"O",IF(TRIM(TInspectieB[[#This Row],[Code Bouwdeeltype]])="312010","O","E")))</f>
        <v/>
      </c>
      <c r="F39" s="412"/>
      <c r="G39" s="413" t="str">
        <f>IF(ISBLANK(TInspectieB[[#This Row],[Soort gebrek]]),"",VLOOKUP(TInspectieB[[#This Row],[Soort gebrek]],TSoortGebrek[#Data],3,FALSE))</f>
        <v/>
      </c>
      <c r="H39" s="413" t="str">
        <f>IF(ISBLANK(TInspectieB[[#This Row],[Soort gebrek]]),"",VLOOKUP(TInspectieB[[#This Row],[Soort gebrek]],TSoortGebrek[#Data],2,FALSE))</f>
        <v/>
      </c>
      <c r="I39" s="413" t="str">
        <f>IF(TInspectieB[[#This Row],[Soort gebrek]]=0,"",VLOOKUP(TInspectieB[[#This Row],[Soort gebrek]],TSoortGebrek[],4,FALSE))</f>
        <v/>
      </c>
      <c r="J39" s="425"/>
      <c r="K39" s="415" t="str">
        <f>IF(TInspectieB[[#This Row],[Soort gebrek]]=0,"",VLOOKUP(TInspectieB[[#This Row],[Combi]],TPrio[#Data],2,FALSE))</f>
        <v/>
      </c>
      <c r="L39" s="339"/>
      <c r="M39" s="416" t="str">
        <f>IF(ISBLANK(TInspectieB[[#This Row],[Gebrek nr.]]),"",TInspectieB[[#This Row],[UVID]]&amp;"-"&amp;TInspectieB[[#This Row],[Gebrek nr.]])</f>
        <v/>
      </c>
      <c r="N39" s="417"/>
      <c r="O39" s="651"/>
      <c r="P39" s="206"/>
      <c r="Q39" s="193"/>
      <c r="R39" s="206"/>
      <c r="S39" s="206"/>
      <c r="T39" s="206"/>
      <c r="U39" s="206"/>
      <c r="V39" s="206"/>
      <c r="W39" s="419"/>
      <c r="X39" s="340"/>
      <c r="Y39" s="420"/>
      <c r="Z39" s="421" t="str">
        <f>IF(ISBLANK(TInspectieB[[#This Row],[Aantal]]),"",ROUND(TInspectieB[[#This Row],[Kengetal]]*TInspectieB[[#This Row],[Aantal]],-1))</f>
        <v/>
      </c>
      <c r="AA39" s="422" t="str">
        <f>IF(TInspectieB[[#This Row],[Vak-groep]]="","1",VLOOKUP(C39,$J$2:$K$7,2,FALSE))</f>
        <v>1</v>
      </c>
      <c r="AB39" s="423" t="str">
        <f>CONCATENATE(TInspectieB[[#This Row],[Soort gebrek]],TInspectieB[[#This Row],[Trede]])</f>
        <v>1</v>
      </c>
      <c r="AC39" s="413" t="e">
        <v>#N/A</v>
      </c>
      <c r="AD39" s="413" t="e">
        <v>#N/A</v>
      </c>
      <c r="AE39" s="424">
        <v>0</v>
      </c>
    </row>
    <row r="40" spans="1:31" ht="10.5" x14ac:dyDescent="0.25">
      <c r="A40" s="337" t="str" cm="1">
        <f t="array" ref="A40">IFERROR(INDEX(TInventB[UVID],ROUNDDOWN((ROW(A31)+1)/2,0)),"")</f>
        <v/>
      </c>
      <c r="B40" s="410" t="str">
        <f>IF(TInspectieB[[#This Row],[UVID]]="","",VLOOKUP(TInspectieB[[#This Row],[UVID]],TInventB[],2,FALSE))</f>
        <v/>
      </c>
      <c r="C40" s="365" t="str">
        <f>IF(TInspectieB[[#This Row],[UVID]]="","",VLOOKUP(TInspectieB[[#This Row],[UVID]],TInventB[],11,FALSE))</f>
        <v/>
      </c>
      <c r="D40" s="411" t="str">
        <f>IF(TInspectieB[[#This Row],[UVID]]="","",VLOOKUP(TInspectieB[[#This Row],[UVID]],TInventB[],3,FALSE))</f>
        <v/>
      </c>
      <c r="E40" s="338" t="str">
        <f>IF(TInspectieB[[#This Row],[Omschrijving bouwdeel]]="","",IF(MOD(ROW()-2,2)=0,"O",IF(TRIM(TInspectieB[[#This Row],[Code Bouwdeeltype]])="312010","O","E")))</f>
        <v/>
      </c>
      <c r="F40" s="412"/>
      <c r="G40" s="413" t="str">
        <f>IF(ISBLANK(TInspectieB[[#This Row],[Soort gebrek]]),"",VLOOKUP(TInspectieB[[#This Row],[Soort gebrek]],TSoortGebrek[#Data],3,FALSE))</f>
        <v/>
      </c>
      <c r="H40" s="413" t="str">
        <f>IF(ISBLANK(TInspectieB[[#This Row],[Soort gebrek]]),"",VLOOKUP(TInspectieB[[#This Row],[Soort gebrek]],TSoortGebrek[#Data],2,FALSE))</f>
        <v/>
      </c>
      <c r="I40" s="413" t="str">
        <f>IF(TInspectieB[[#This Row],[Soort gebrek]]=0,"",VLOOKUP(TInspectieB[[#This Row],[Soort gebrek]],TSoortGebrek[],4,FALSE))</f>
        <v/>
      </c>
      <c r="J40" s="425"/>
      <c r="K40" s="415" t="str">
        <f>IF(TInspectieB[[#This Row],[Soort gebrek]]=0,"",VLOOKUP(TInspectieB[[#This Row],[Combi]],TPrio[#Data],2,FALSE))</f>
        <v/>
      </c>
      <c r="L40" s="339"/>
      <c r="M40" s="416" t="str">
        <f>IF(ISBLANK(TInspectieB[[#This Row],[Gebrek nr.]]),"",TInspectieB[[#This Row],[UVID]]&amp;"-"&amp;TInspectieB[[#This Row],[Gebrek nr.]])</f>
        <v/>
      </c>
      <c r="N40" s="417"/>
      <c r="O40" s="651"/>
      <c r="P40" s="206"/>
      <c r="Q40" s="193"/>
      <c r="R40" s="206"/>
      <c r="S40" s="206"/>
      <c r="T40" s="206"/>
      <c r="U40" s="206"/>
      <c r="V40" s="206"/>
      <c r="W40" s="419"/>
      <c r="X40" s="340"/>
      <c r="Y40" s="420"/>
      <c r="Z40" s="421" t="str">
        <f>IF(ISBLANK(TInspectieB[[#This Row],[Aantal]]),"",ROUND(TInspectieB[[#This Row],[Kengetal]]*TInspectieB[[#This Row],[Aantal]],-1))</f>
        <v/>
      </c>
      <c r="AA40" s="422" t="str">
        <f>IF(TInspectieB[[#This Row],[Vak-groep]]="","1",VLOOKUP(C40,$J$2:$K$7,2,FALSE))</f>
        <v>1</v>
      </c>
      <c r="AB40" s="423" t="str">
        <f>CONCATENATE(TInspectieB[[#This Row],[Soort gebrek]],TInspectieB[[#This Row],[Trede]])</f>
        <v>1</v>
      </c>
      <c r="AC40" s="413" t="e">
        <v>#N/A</v>
      </c>
      <c r="AD40" s="413" t="e">
        <v>#N/A</v>
      </c>
      <c r="AE40" s="424">
        <v>0</v>
      </c>
    </row>
    <row r="41" spans="1:31" ht="10.5" x14ac:dyDescent="0.25">
      <c r="A41" s="337" t="str" cm="1">
        <f t="array" ref="A41">IFERROR(INDEX(TInventB[UVID],ROUNDDOWN((ROW(A32)+1)/2,0)),"")</f>
        <v/>
      </c>
      <c r="B41" s="410" t="str">
        <f>IF(TInspectieB[[#This Row],[UVID]]="","",VLOOKUP(TInspectieB[[#This Row],[UVID]],TInventB[],2,FALSE))</f>
        <v/>
      </c>
      <c r="C41" s="365" t="str">
        <f>IF(TInspectieB[[#This Row],[UVID]]="","",VLOOKUP(TInspectieB[[#This Row],[UVID]],TInventB[],11,FALSE))</f>
        <v/>
      </c>
      <c r="D41" s="411" t="str">
        <f>IF(TInspectieB[[#This Row],[UVID]]="","",VLOOKUP(TInspectieB[[#This Row],[UVID]],TInventB[],3,FALSE))</f>
        <v/>
      </c>
      <c r="E41" s="338" t="str">
        <f>IF(TInspectieB[[#This Row],[Omschrijving bouwdeel]]="","",IF(MOD(ROW()-2,2)=0,"O",IF(TRIM(TInspectieB[[#This Row],[Code Bouwdeeltype]])="312010","O","E")))</f>
        <v/>
      </c>
      <c r="F41" s="412"/>
      <c r="G41" s="413" t="str">
        <f>IF(ISBLANK(TInspectieB[[#This Row],[Soort gebrek]]),"",VLOOKUP(TInspectieB[[#This Row],[Soort gebrek]],TSoortGebrek[#Data],3,FALSE))</f>
        <v/>
      </c>
      <c r="H41" s="413" t="str">
        <f>IF(ISBLANK(TInspectieB[[#This Row],[Soort gebrek]]),"",VLOOKUP(TInspectieB[[#This Row],[Soort gebrek]],TSoortGebrek[#Data],2,FALSE))</f>
        <v/>
      </c>
      <c r="I41" s="413" t="str">
        <f>IF(TInspectieB[[#This Row],[Soort gebrek]]=0,"",VLOOKUP(TInspectieB[[#This Row],[Soort gebrek]],TSoortGebrek[],4,FALSE))</f>
        <v/>
      </c>
      <c r="J41" s="425"/>
      <c r="K41" s="415" t="str">
        <f>IF(TInspectieB[[#This Row],[Soort gebrek]]=0,"",VLOOKUP(TInspectieB[[#This Row],[Combi]],TPrio[#Data],2,FALSE))</f>
        <v/>
      </c>
      <c r="L41" s="339"/>
      <c r="M41" s="416" t="str">
        <f>IF(ISBLANK(TInspectieB[[#This Row],[Gebrek nr.]]),"",TInspectieB[[#This Row],[UVID]]&amp;"-"&amp;TInspectieB[[#This Row],[Gebrek nr.]])</f>
        <v/>
      </c>
      <c r="N41" s="417"/>
      <c r="O41" s="651"/>
      <c r="P41" s="206"/>
      <c r="Q41" s="193"/>
      <c r="R41" s="206"/>
      <c r="S41" s="206"/>
      <c r="T41" s="206"/>
      <c r="U41" s="206"/>
      <c r="V41" s="206"/>
      <c r="W41" s="419"/>
      <c r="X41" s="340"/>
      <c r="Y41" s="420"/>
      <c r="Z41" s="421" t="str">
        <f>IF(ISBLANK(TInspectieB[[#This Row],[Aantal]]),"",ROUND(TInspectieB[[#This Row],[Kengetal]]*TInspectieB[[#This Row],[Aantal]],-1))</f>
        <v/>
      </c>
      <c r="AA41" s="422" t="str">
        <f>IF(TInspectieB[[#This Row],[Vak-groep]]="","1",VLOOKUP(C41,$J$2:$K$7,2,FALSE))</f>
        <v>1</v>
      </c>
      <c r="AB41" s="423" t="str">
        <f>CONCATENATE(TInspectieB[[#This Row],[Soort gebrek]],TInspectieB[[#This Row],[Trede]])</f>
        <v>1</v>
      </c>
      <c r="AC41" s="413" t="e">
        <v>#N/A</v>
      </c>
      <c r="AD41" s="413" t="e">
        <v>#N/A</v>
      </c>
      <c r="AE41" s="424">
        <v>0</v>
      </c>
    </row>
    <row r="42" spans="1:31" ht="10.5" x14ac:dyDescent="0.25">
      <c r="A42" s="337" t="str" cm="1">
        <f t="array" ref="A42">IFERROR(INDEX(TInventB[UVID],ROUNDDOWN((ROW(A33)+1)/2,0)),"")</f>
        <v/>
      </c>
      <c r="B42" s="410" t="str">
        <f>IF(TInspectieB[[#This Row],[UVID]]="","",VLOOKUP(TInspectieB[[#This Row],[UVID]],TInventB[],2,FALSE))</f>
        <v/>
      </c>
      <c r="C42" s="365" t="str">
        <f>IF(TInspectieB[[#This Row],[UVID]]="","",VLOOKUP(TInspectieB[[#This Row],[UVID]],TInventB[],11,FALSE))</f>
        <v/>
      </c>
      <c r="D42" s="411" t="str">
        <f>IF(TInspectieB[[#This Row],[UVID]]="","",VLOOKUP(TInspectieB[[#This Row],[UVID]],TInventB[],3,FALSE))</f>
        <v/>
      </c>
      <c r="E42" s="338" t="str">
        <f>IF(TInspectieB[[#This Row],[Omschrijving bouwdeel]]="","",IF(MOD(ROW()-2,2)=0,"O",IF(TRIM(TInspectieB[[#This Row],[Code Bouwdeeltype]])="312010","O","E")))</f>
        <v/>
      </c>
      <c r="F42" s="412"/>
      <c r="G42" s="413" t="str">
        <f>IF(ISBLANK(TInspectieB[[#This Row],[Soort gebrek]]),"",VLOOKUP(TInspectieB[[#This Row],[Soort gebrek]],TSoortGebrek[#Data],3,FALSE))</f>
        <v/>
      </c>
      <c r="H42" s="413" t="str">
        <f>IF(ISBLANK(TInspectieB[[#This Row],[Soort gebrek]]),"",VLOOKUP(TInspectieB[[#This Row],[Soort gebrek]],TSoortGebrek[#Data],2,FALSE))</f>
        <v/>
      </c>
      <c r="I42" s="413" t="str">
        <f>IF(TInspectieB[[#This Row],[Soort gebrek]]=0,"",VLOOKUP(TInspectieB[[#This Row],[Soort gebrek]],TSoortGebrek[],4,FALSE))</f>
        <v/>
      </c>
      <c r="J42" s="425"/>
      <c r="K42" s="415" t="str">
        <f>IF(TInspectieB[[#This Row],[Soort gebrek]]=0,"",VLOOKUP(TInspectieB[[#This Row],[Combi]],TPrio[#Data],2,FALSE))</f>
        <v/>
      </c>
      <c r="L42" s="339"/>
      <c r="M42" s="416" t="str">
        <f>IF(ISBLANK(TInspectieB[[#This Row],[Gebrek nr.]]),"",TInspectieB[[#This Row],[UVID]]&amp;"-"&amp;TInspectieB[[#This Row],[Gebrek nr.]])</f>
        <v/>
      </c>
      <c r="N42" s="417"/>
      <c r="O42" s="651"/>
      <c r="P42" s="206"/>
      <c r="Q42" s="193"/>
      <c r="R42" s="206"/>
      <c r="S42" s="206"/>
      <c r="T42" s="206"/>
      <c r="U42" s="206"/>
      <c r="V42" s="206"/>
      <c r="W42" s="419"/>
      <c r="X42" s="340"/>
      <c r="Y42" s="420"/>
      <c r="Z42" s="421" t="str">
        <f>IF(ISBLANK(TInspectieB[[#This Row],[Aantal]]),"",ROUND(TInspectieB[[#This Row],[Kengetal]]*TInspectieB[[#This Row],[Aantal]],-1))</f>
        <v/>
      </c>
      <c r="AA42" s="422" t="str">
        <f>IF(TInspectieB[[#This Row],[Vak-groep]]="","1",VLOOKUP(C42,$J$2:$K$7,2,FALSE))</f>
        <v>1</v>
      </c>
      <c r="AB42" s="423" t="str">
        <f>CONCATENATE(TInspectieB[[#This Row],[Soort gebrek]],TInspectieB[[#This Row],[Trede]])</f>
        <v>1</v>
      </c>
      <c r="AC42" s="413" t="e">
        <v>#N/A</v>
      </c>
      <c r="AD42" s="413" t="e">
        <v>#N/A</v>
      </c>
      <c r="AE42" s="424">
        <v>0</v>
      </c>
    </row>
    <row r="43" spans="1:31" ht="10.5" x14ac:dyDescent="0.25">
      <c r="A43" s="337" t="str" cm="1">
        <f t="array" ref="A43">IFERROR(INDEX(TInventB[UVID],ROUNDDOWN((ROW(A34)+1)/2,0)),"")</f>
        <v/>
      </c>
      <c r="B43" s="410" t="str">
        <f>IF(TInspectieB[[#This Row],[UVID]]="","",VLOOKUP(TInspectieB[[#This Row],[UVID]],TInventB[],2,FALSE))</f>
        <v/>
      </c>
      <c r="C43" s="365" t="str">
        <f>IF(TInspectieB[[#This Row],[UVID]]="","",VLOOKUP(TInspectieB[[#This Row],[UVID]],TInventB[],11,FALSE))</f>
        <v/>
      </c>
      <c r="D43" s="411" t="str">
        <f>IF(TInspectieB[[#This Row],[UVID]]="","",VLOOKUP(TInspectieB[[#This Row],[UVID]],TInventB[],3,FALSE))</f>
        <v/>
      </c>
      <c r="E43" s="338" t="str">
        <f>IF(TInspectieB[[#This Row],[Omschrijving bouwdeel]]="","",IF(MOD(ROW()-2,2)=0,"O",IF(TRIM(TInspectieB[[#This Row],[Code Bouwdeeltype]])="312010","O","E")))</f>
        <v/>
      </c>
      <c r="F43" s="412"/>
      <c r="G43" s="413" t="str">
        <f>IF(ISBLANK(TInspectieB[[#This Row],[Soort gebrek]]),"",VLOOKUP(TInspectieB[[#This Row],[Soort gebrek]],TSoortGebrek[#Data],3,FALSE))</f>
        <v/>
      </c>
      <c r="H43" s="413" t="str">
        <f>IF(ISBLANK(TInspectieB[[#This Row],[Soort gebrek]]),"",VLOOKUP(TInspectieB[[#This Row],[Soort gebrek]],TSoortGebrek[#Data],2,FALSE))</f>
        <v/>
      </c>
      <c r="I43" s="413" t="str">
        <f>IF(TInspectieB[[#This Row],[Soort gebrek]]=0,"",VLOOKUP(TInspectieB[[#This Row],[Soort gebrek]],TSoortGebrek[],4,FALSE))</f>
        <v/>
      </c>
      <c r="J43" s="425"/>
      <c r="K43" s="415" t="str">
        <f>IF(TInspectieB[[#This Row],[Soort gebrek]]=0,"",VLOOKUP(TInspectieB[[#This Row],[Combi]],TPrio[#Data],2,FALSE))</f>
        <v/>
      </c>
      <c r="L43" s="339"/>
      <c r="M43" s="416" t="str">
        <f>IF(ISBLANK(TInspectieB[[#This Row],[Gebrek nr.]]),"",TInspectieB[[#This Row],[UVID]]&amp;"-"&amp;TInspectieB[[#This Row],[Gebrek nr.]])</f>
        <v/>
      </c>
      <c r="N43" s="417"/>
      <c r="O43" s="651"/>
      <c r="P43" s="206"/>
      <c r="Q43" s="193"/>
      <c r="R43" s="206"/>
      <c r="S43" s="206"/>
      <c r="T43" s="206"/>
      <c r="U43" s="206"/>
      <c r="V43" s="206"/>
      <c r="W43" s="419"/>
      <c r="X43" s="340"/>
      <c r="Y43" s="420"/>
      <c r="Z43" s="421" t="str">
        <f>IF(ISBLANK(TInspectieB[[#This Row],[Aantal]]),"",ROUND(TInspectieB[[#This Row],[Kengetal]]*TInspectieB[[#This Row],[Aantal]],-1))</f>
        <v/>
      </c>
      <c r="AA43" s="422" t="str">
        <f>IF(TInspectieB[[#This Row],[Vak-groep]]="","1",VLOOKUP(C43,$J$2:$K$7,2,FALSE))</f>
        <v>1</v>
      </c>
      <c r="AB43" s="423" t="str">
        <f>CONCATENATE(TInspectieB[[#This Row],[Soort gebrek]],TInspectieB[[#This Row],[Trede]])</f>
        <v>1</v>
      </c>
      <c r="AC43" s="413" t="e">
        <v>#N/A</v>
      </c>
      <c r="AD43" s="413" t="e">
        <v>#N/A</v>
      </c>
      <c r="AE43" s="424">
        <v>0</v>
      </c>
    </row>
    <row r="44" spans="1:31" ht="10.5" x14ac:dyDescent="0.25">
      <c r="A44" s="337" t="str" cm="1">
        <f t="array" ref="A44">IFERROR(INDEX(TInventB[UVID],ROUNDDOWN((ROW(A35)+1)/2,0)),"")</f>
        <v/>
      </c>
      <c r="B44" s="410" t="str">
        <f>IF(TInspectieB[[#This Row],[UVID]]="","",VLOOKUP(TInspectieB[[#This Row],[UVID]],TInventB[],2,FALSE))</f>
        <v/>
      </c>
      <c r="C44" s="365" t="str">
        <f>IF(TInspectieB[[#This Row],[UVID]]="","",VLOOKUP(TInspectieB[[#This Row],[UVID]],TInventB[],11,FALSE))</f>
        <v/>
      </c>
      <c r="D44" s="411" t="str">
        <f>IF(TInspectieB[[#This Row],[UVID]]="","",VLOOKUP(TInspectieB[[#This Row],[UVID]],TInventB[],3,FALSE))</f>
        <v/>
      </c>
      <c r="E44" s="338" t="str">
        <f>IF(TInspectieB[[#This Row],[Omschrijving bouwdeel]]="","",IF(MOD(ROW()-2,2)=0,"O",IF(TRIM(TInspectieB[[#This Row],[Code Bouwdeeltype]])="312010","O","E")))</f>
        <v/>
      </c>
      <c r="F44" s="412"/>
      <c r="G44" s="413" t="str">
        <f>IF(ISBLANK(TInspectieB[[#This Row],[Soort gebrek]]),"",VLOOKUP(TInspectieB[[#This Row],[Soort gebrek]],TSoortGebrek[#Data],3,FALSE))</f>
        <v/>
      </c>
      <c r="H44" s="413" t="str">
        <f>IF(ISBLANK(TInspectieB[[#This Row],[Soort gebrek]]),"",VLOOKUP(TInspectieB[[#This Row],[Soort gebrek]],TSoortGebrek[#Data],2,FALSE))</f>
        <v/>
      </c>
      <c r="I44" s="413" t="str">
        <f>IF(TInspectieB[[#This Row],[Soort gebrek]]=0,"",VLOOKUP(TInspectieB[[#This Row],[Soort gebrek]],TSoortGebrek[],4,FALSE))</f>
        <v/>
      </c>
      <c r="J44" s="425"/>
      <c r="K44" s="415" t="str">
        <f>IF(TInspectieB[[#This Row],[Soort gebrek]]=0,"",VLOOKUP(TInspectieB[[#This Row],[Combi]],TPrio[#Data],2,FALSE))</f>
        <v/>
      </c>
      <c r="L44" s="339"/>
      <c r="M44" s="416" t="str">
        <f>IF(ISBLANK(TInspectieB[[#This Row],[Gebrek nr.]]),"",TInspectieB[[#This Row],[UVID]]&amp;"-"&amp;TInspectieB[[#This Row],[Gebrek nr.]])</f>
        <v/>
      </c>
      <c r="N44" s="417"/>
      <c r="O44" s="651"/>
      <c r="P44" s="206"/>
      <c r="Q44" s="193"/>
      <c r="R44" s="206"/>
      <c r="S44" s="206"/>
      <c r="T44" s="206"/>
      <c r="U44" s="206"/>
      <c r="V44" s="206"/>
      <c r="W44" s="419"/>
      <c r="X44" s="340"/>
      <c r="Y44" s="420"/>
      <c r="Z44" s="421" t="str">
        <f>IF(ISBLANK(TInspectieB[[#This Row],[Aantal]]),"",ROUND(TInspectieB[[#This Row],[Kengetal]]*TInspectieB[[#This Row],[Aantal]],-1))</f>
        <v/>
      </c>
      <c r="AA44" s="422" t="str">
        <f>IF(TInspectieB[[#This Row],[Vak-groep]]="","1",VLOOKUP(C44,$J$2:$K$7,2,FALSE))</f>
        <v>1</v>
      </c>
      <c r="AB44" s="423" t="str">
        <f>CONCATENATE(TInspectieB[[#This Row],[Soort gebrek]],TInspectieB[[#This Row],[Trede]])</f>
        <v>1</v>
      </c>
      <c r="AC44" s="413" t="e">
        <v>#N/A</v>
      </c>
      <c r="AD44" s="413" t="e">
        <v>#N/A</v>
      </c>
      <c r="AE44" s="424">
        <v>0</v>
      </c>
    </row>
    <row r="45" spans="1:31" ht="10.5" x14ac:dyDescent="0.25">
      <c r="A45" s="337" t="str" cm="1">
        <f t="array" ref="A45">IFERROR(INDEX(TInventB[UVID],ROUNDDOWN((ROW(A36)+1)/2,0)),"")</f>
        <v/>
      </c>
      <c r="B45" s="410" t="str">
        <f>IF(TInspectieB[[#This Row],[UVID]]="","",VLOOKUP(TInspectieB[[#This Row],[UVID]],TInventB[],2,FALSE))</f>
        <v/>
      </c>
      <c r="C45" s="365" t="str">
        <f>IF(TInspectieB[[#This Row],[UVID]]="","",VLOOKUP(TInspectieB[[#This Row],[UVID]],TInventB[],11,FALSE))</f>
        <v/>
      </c>
      <c r="D45" s="411" t="str">
        <f>IF(TInspectieB[[#This Row],[UVID]]="","",VLOOKUP(TInspectieB[[#This Row],[UVID]],TInventB[],3,FALSE))</f>
        <v/>
      </c>
      <c r="E45" s="338" t="str">
        <f>IF(TInspectieB[[#This Row],[Omschrijving bouwdeel]]="","",IF(MOD(ROW()-2,2)=0,"O",IF(TRIM(TInspectieB[[#This Row],[Code Bouwdeeltype]])="312010","O","E")))</f>
        <v/>
      </c>
      <c r="F45" s="412"/>
      <c r="G45" s="413" t="str">
        <f>IF(ISBLANK(TInspectieB[[#This Row],[Soort gebrek]]),"",VLOOKUP(TInspectieB[[#This Row],[Soort gebrek]],TSoortGebrek[#Data],3,FALSE))</f>
        <v/>
      </c>
      <c r="H45" s="413" t="str">
        <f>IF(ISBLANK(TInspectieB[[#This Row],[Soort gebrek]]),"",VLOOKUP(TInspectieB[[#This Row],[Soort gebrek]],TSoortGebrek[#Data],2,FALSE))</f>
        <v/>
      </c>
      <c r="I45" s="413" t="str">
        <f>IF(TInspectieB[[#This Row],[Soort gebrek]]=0,"",VLOOKUP(TInspectieB[[#This Row],[Soort gebrek]],TSoortGebrek[],4,FALSE))</f>
        <v/>
      </c>
      <c r="J45" s="425"/>
      <c r="K45" s="415" t="str">
        <f>IF(TInspectieB[[#This Row],[Soort gebrek]]=0,"",VLOOKUP(TInspectieB[[#This Row],[Combi]],TPrio[#Data],2,FALSE))</f>
        <v/>
      </c>
      <c r="L45" s="339"/>
      <c r="M45" s="416" t="str">
        <f>IF(ISBLANK(TInspectieB[[#This Row],[Gebrek nr.]]),"",TInspectieB[[#This Row],[UVID]]&amp;"-"&amp;TInspectieB[[#This Row],[Gebrek nr.]])</f>
        <v/>
      </c>
      <c r="N45" s="417"/>
      <c r="O45" s="651"/>
      <c r="P45" s="206"/>
      <c r="Q45" s="193"/>
      <c r="R45" s="206"/>
      <c r="S45" s="206"/>
      <c r="T45" s="206"/>
      <c r="U45" s="206"/>
      <c r="V45" s="206"/>
      <c r="W45" s="419"/>
      <c r="X45" s="340"/>
      <c r="Y45" s="420"/>
      <c r="Z45" s="421" t="str">
        <f>IF(ISBLANK(TInspectieB[[#This Row],[Aantal]]),"",ROUND(TInspectieB[[#This Row],[Kengetal]]*TInspectieB[[#This Row],[Aantal]],-1))</f>
        <v/>
      </c>
      <c r="AA45" s="422" t="str">
        <f>IF(TInspectieB[[#This Row],[Vak-groep]]="","1",VLOOKUP(C45,$J$2:$K$7,2,FALSE))</f>
        <v>1</v>
      </c>
      <c r="AB45" s="423" t="str">
        <f>CONCATENATE(TInspectieB[[#This Row],[Soort gebrek]],TInspectieB[[#This Row],[Trede]])</f>
        <v>1</v>
      </c>
      <c r="AC45" s="413" t="e">
        <v>#N/A</v>
      </c>
      <c r="AD45" s="413" t="e">
        <v>#N/A</v>
      </c>
      <c r="AE45" s="424">
        <v>0</v>
      </c>
    </row>
    <row r="46" spans="1:31" ht="10.5" x14ac:dyDescent="0.25">
      <c r="A46" s="337" t="str" cm="1">
        <f t="array" ref="A46">IFERROR(INDEX(TInventB[UVID],ROUNDDOWN((ROW(A37)+1)/2,0)),"")</f>
        <v/>
      </c>
      <c r="B46" s="410" t="str">
        <f>IF(TInspectieB[[#This Row],[UVID]]="","",VLOOKUP(TInspectieB[[#This Row],[UVID]],TInventB[],2,FALSE))</f>
        <v/>
      </c>
      <c r="C46" s="365" t="str">
        <f>IF(TInspectieB[[#This Row],[UVID]]="","",VLOOKUP(TInspectieB[[#This Row],[UVID]],TInventB[],11,FALSE))</f>
        <v/>
      </c>
      <c r="D46" s="411" t="str">
        <f>IF(TInspectieB[[#This Row],[UVID]]="","",VLOOKUP(TInspectieB[[#This Row],[UVID]],TInventB[],3,FALSE))</f>
        <v/>
      </c>
      <c r="E46" s="338" t="str">
        <f>IF(TInspectieB[[#This Row],[Omschrijving bouwdeel]]="","",IF(MOD(ROW()-2,2)=0,"O",IF(TRIM(TInspectieB[[#This Row],[Code Bouwdeeltype]])="312010","O","E")))</f>
        <v/>
      </c>
      <c r="F46" s="412"/>
      <c r="G46" s="413" t="str">
        <f>IF(ISBLANK(TInspectieB[[#This Row],[Soort gebrek]]),"",VLOOKUP(TInspectieB[[#This Row],[Soort gebrek]],TSoortGebrek[#Data],3,FALSE))</f>
        <v/>
      </c>
      <c r="H46" s="413" t="str">
        <f>IF(ISBLANK(TInspectieB[[#This Row],[Soort gebrek]]),"",VLOOKUP(TInspectieB[[#This Row],[Soort gebrek]],TSoortGebrek[#Data],2,FALSE))</f>
        <v/>
      </c>
      <c r="I46" s="413" t="str">
        <f>IF(TInspectieB[[#This Row],[Soort gebrek]]=0,"",VLOOKUP(TInspectieB[[#This Row],[Soort gebrek]],TSoortGebrek[],4,FALSE))</f>
        <v/>
      </c>
      <c r="J46" s="425"/>
      <c r="K46" s="415" t="str">
        <f>IF(TInspectieB[[#This Row],[Soort gebrek]]=0,"",VLOOKUP(TInspectieB[[#This Row],[Combi]],TPrio[#Data],2,FALSE))</f>
        <v/>
      </c>
      <c r="L46" s="339"/>
      <c r="M46" s="416" t="str">
        <f>IF(ISBLANK(TInspectieB[[#This Row],[Gebrek nr.]]),"",TInspectieB[[#This Row],[UVID]]&amp;"-"&amp;TInspectieB[[#This Row],[Gebrek nr.]])</f>
        <v/>
      </c>
      <c r="N46" s="417"/>
      <c r="O46" s="651"/>
      <c r="P46" s="206"/>
      <c r="Q46" s="193"/>
      <c r="R46" s="206"/>
      <c r="S46" s="206"/>
      <c r="T46" s="206"/>
      <c r="U46" s="206"/>
      <c r="V46" s="206"/>
      <c r="W46" s="419"/>
      <c r="X46" s="340"/>
      <c r="Y46" s="420"/>
      <c r="Z46" s="421" t="str">
        <f>IF(ISBLANK(TInspectieB[[#This Row],[Aantal]]),"",ROUND(TInspectieB[[#This Row],[Kengetal]]*TInspectieB[[#This Row],[Aantal]],-1))</f>
        <v/>
      </c>
      <c r="AA46" s="422" t="str">
        <f>IF(TInspectieB[[#This Row],[Vak-groep]]="","1",VLOOKUP(C46,$J$2:$K$7,2,FALSE))</f>
        <v>1</v>
      </c>
      <c r="AB46" s="423" t="str">
        <f>CONCATENATE(TInspectieB[[#This Row],[Soort gebrek]],TInspectieB[[#This Row],[Trede]])</f>
        <v>1</v>
      </c>
      <c r="AC46" s="413" t="e">
        <v>#N/A</v>
      </c>
      <c r="AD46" s="413" t="e">
        <v>#N/A</v>
      </c>
      <c r="AE46" s="424">
        <v>0</v>
      </c>
    </row>
    <row r="47" spans="1:31" ht="10.5" x14ac:dyDescent="0.25">
      <c r="A47" s="337" t="str" cm="1">
        <f t="array" ref="A47">IFERROR(INDEX(TInventB[UVID],ROUNDDOWN((ROW(A38)+1)/2,0)),"")</f>
        <v/>
      </c>
      <c r="B47" s="410" t="str">
        <f>IF(TInspectieB[[#This Row],[UVID]]="","",VLOOKUP(TInspectieB[[#This Row],[UVID]],TInventB[],2,FALSE))</f>
        <v/>
      </c>
      <c r="C47" s="365" t="str">
        <f>IF(TInspectieB[[#This Row],[UVID]]="","",VLOOKUP(TInspectieB[[#This Row],[UVID]],TInventB[],11,FALSE))</f>
        <v/>
      </c>
      <c r="D47" s="411" t="str">
        <f>IF(TInspectieB[[#This Row],[UVID]]="","",VLOOKUP(TInspectieB[[#This Row],[UVID]],TInventB[],3,FALSE))</f>
        <v/>
      </c>
      <c r="E47" s="338" t="str">
        <f>IF(TInspectieB[[#This Row],[Omschrijving bouwdeel]]="","",IF(MOD(ROW()-2,2)=0,"O",IF(TRIM(TInspectieB[[#This Row],[Code Bouwdeeltype]])="312010","O","E")))</f>
        <v/>
      </c>
      <c r="F47" s="412"/>
      <c r="G47" s="413" t="str">
        <f>IF(ISBLANK(TInspectieB[[#This Row],[Soort gebrek]]),"",VLOOKUP(TInspectieB[[#This Row],[Soort gebrek]],TSoortGebrek[#Data],3,FALSE))</f>
        <v/>
      </c>
      <c r="H47" s="413" t="str">
        <f>IF(ISBLANK(TInspectieB[[#This Row],[Soort gebrek]]),"",VLOOKUP(TInspectieB[[#This Row],[Soort gebrek]],TSoortGebrek[#Data],2,FALSE))</f>
        <v/>
      </c>
      <c r="I47" s="413" t="str">
        <f>IF(TInspectieB[[#This Row],[Soort gebrek]]=0,"",VLOOKUP(TInspectieB[[#This Row],[Soort gebrek]],TSoortGebrek[],4,FALSE))</f>
        <v/>
      </c>
      <c r="J47" s="425"/>
      <c r="K47" s="415" t="str">
        <f>IF(TInspectieB[[#This Row],[Soort gebrek]]=0,"",VLOOKUP(TInspectieB[[#This Row],[Combi]],TPrio[#Data],2,FALSE))</f>
        <v/>
      </c>
      <c r="L47" s="339"/>
      <c r="M47" s="416" t="str">
        <f>IF(ISBLANK(TInspectieB[[#This Row],[Gebrek nr.]]),"",TInspectieB[[#This Row],[UVID]]&amp;"-"&amp;TInspectieB[[#This Row],[Gebrek nr.]])</f>
        <v/>
      </c>
      <c r="N47" s="417"/>
      <c r="O47" s="651"/>
      <c r="P47" s="206"/>
      <c r="Q47" s="193"/>
      <c r="R47" s="206"/>
      <c r="S47" s="206"/>
      <c r="T47" s="206"/>
      <c r="U47" s="206"/>
      <c r="V47" s="206"/>
      <c r="W47" s="419"/>
      <c r="X47" s="340"/>
      <c r="Y47" s="420"/>
      <c r="Z47" s="421" t="str">
        <f>IF(ISBLANK(TInspectieB[[#This Row],[Aantal]]),"",ROUND(TInspectieB[[#This Row],[Kengetal]]*TInspectieB[[#This Row],[Aantal]],-1))</f>
        <v/>
      </c>
      <c r="AA47" s="422" t="str">
        <f>IF(TInspectieB[[#This Row],[Vak-groep]]="","1",VLOOKUP(C47,$J$2:$K$7,2,FALSE))</f>
        <v>1</v>
      </c>
      <c r="AB47" s="423" t="str">
        <f>CONCATENATE(TInspectieB[[#This Row],[Soort gebrek]],TInspectieB[[#This Row],[Trede]])</f>
        <v>1</v>
      </c>
      <c r="AC47" s="413" t="e">
        <v>#N/A</v>
      </c>
      <c r="AD47" s="413" t="e">
        <v>#N/A</v>
      </c>
      <c r="AE47" s="424">
        <v>0</v>
      </c>
    </row>
    <row r="48" spans="1:31" ht="10.5" x14ac:dyDescent="0.25">
      <c r="A48" s="337" t="str" cm="1">
        <f t="array" ref="A48">IFERROR(INDEX(TInventB[UVID],ROUNDDOWN((ROW(A39)+1)/2,0)),"")</f>
        <v/>
      </c>
      <c r="B48" s="410" t="str">
        <f>IF(TInspectieB[[#This Row],[UVID]]="","",VLOOKUP(TInspectieB[[#This Row],[UVID]],TInventB[],2,FALSE))</f>
        <v/>
      </c>
      <c r="C48" s="365" t="str">
        <f>IF(TInspectieB[[#This Row],[UVID]]="","",VLOOKUP(TInspectieB[[#This Row],[UVID]],TInventB[],11,FALSE))</f>
        <v/>
      </c>
      <c r="D48" s="411" t="str">
        <f>IF(TInspectieB[[#This Row],[UVID]]="","",VLOOKUP(TInspectieB[[#This Row],[UVID]],TInventB[],3,FALSE))</f>
        <v/>
      </c>
      <c r="E48" s="338" t="str">
        <f>IF(TInspectieB[[#This Row],[Omschrijving bouwdeel]]="","",IF(MOD(ROW()-2,2)=0,"O",IF(TRIM(TInspectieB[[#This Row],[Code Bouwdeeltype]])="312010","O","E")))</f>
        <v/>
      </c>
      <c r="F48" s="412"/>
      <c r="G48" s="413" t="str">
        <f>IF(ISBLANK(TInspectieB[[#This Row],[Soort gebrek]]),"",VLOOKUP(TInspectieB[[#This Row],[Soort gebrek]],TSoortGebrek[#Data],3,FALSE))</f>
        <v/>
      </c>
      <c r="H48" s="413" t="str">
        <f>IF(ISBLANK(TInspectieB[[#This Row],[Soort gebrek]]),"",VLOOKUP(TInspectieB[[#This Row],[Soort gebrek]],TSoortGebrek[#Data],2,FALSE))</f>
        <v/>
      </c>
      <c r="I48" s="413" t="str">
        <f>IF(TInspectieB[[#This Row],[Soort gebrek]]=0,"",VLOOKUP(TInspectieB[[#This Row],[Soort gebrek]],TSoortGebrek[],4,FALSE))</f>
        <v/>
      </c>
      <c r="J48" s="425"/>
      <c r="K48" s="415" t="str">
        <f>IF(TInspectieB[[#This Row],[Soort gebrek]]=0,"",VLOOKUP(TInspectieB[[#This Row],[Combi]],TPrio[#Data],2,FALSE))</f>
        <v/>
      </c>
      <c r="L48" s="339"/>
      <c r="M48" s="416" t="str">
        <f>IF(ISBLANK(TInspectieB[[#This Row],[Gebrek nr.]]),"",TInspectieB[[#This Row],[UVID]]&amp;"-"&amp;TInspectieB[[#This Row],[Gebrek nr.]])</f>
        <v/>
      </c>
      <c r="N48" s="417"/>
      <c r="O48" s="651"/>
      <c r="P48" s="206"/>
      <c r="Q48" s="193"/>
      <c r="R48" s="206"/>
      <c r="S48" s="206"/>
      <c r="T48" s="206"/>
      <c r="U48" s="206"/>
      <c r="V48" s="206"/>
      <c r="W48" s="419"/>
      <c r="X48" s="340"/>
      <c r="Y48" s="420"/>
      <c r="Z48" s="421" t="str">
        <f>IF(ISBLANK(TInspectieB[[#This Row],[Aantal]]),"",ROUND(TInspectieB[[#This Row],[Kengetal]]*TInspectieB[[#This Row],[Aantal]],-1))</f>
        <v/>
      </c>
      <c r="AA48" s="422" t="str">
        <f>IF(TInspectieB[[#This Row],[Vak-groep]]="","1",VLOOKUP(C48,$J$2:$K$7,2,FALSE))</f>
        <v>1</v>
      </c>
      <c r="AB48" s="423" t="str">
        <f>CONCATENATE(TInspectieB[[#This Row],[Soort gebrek]],TInspectieB[[#This Row],[Trede]])</f>
        <v>1</v>
      </c>
      <c r="AC48" s="413" t="e">
        <v>#N/A</v>
      </c>
      <c r="AD48" s="413" t="e">
        <v>#N/A</v>
      </c>
      <c r="AE48" s="424">
        <v>0</v>
      </c>
    </row>
    <row r="49" spans="1:31" ht="10.5" x14ac:dyDescent="0.25">
      <c r="A49" s="337" t="str" cm="1">
        <f t="array" ref="A49">IFERROR(INDEX(TInventB[UVID],ROUNDDOWN((ROW(A40)+1)/2,0)),"")</f>
        <v/>
      </c>
      <c r="B49" s="410" t="str">
        <f>IF(TInspectieB[[#This Row],[UVID]]="","",VLOOKUP(TInspectieB[[#This Row],[UVID]],TInventB[],2,FALSE))</f>
        <v/>
      </c>
      <c r="C49" s="365" t="str">
        <f>IF(TInspectieB[[#This Row],[UVID]]="","",VLOOKUP(TInspectieB[[#This Row],[UVID]],TInventB[],11,FALSE))</f>
        <v/>
      </c>
      <c r="D49" s="411" t="str">
        <f>IF(TInspectieB[[#This Row],[UVID]]="","",VLOOKUP(TInspectieB[[#This Row],[UVID]],TInventB[],3,FALSE))</f>
        <v/>
      </c>
      <c r="E49" s="338" t="str">
        <f>IF(TInspectieB[[#This Row],[Omschrijving bouwdeel]]="","",IF(MOD(ROW()-2,2)=0,"O",IF(TRIM(TInspectieB[[#This Row],[Code Bouwdeeltype]])="312010","O","E")))</f>
        <v/>
      </c>
      <c r="F49" s="412"/>
      <c r="G49" s="413" t="str">
        <f>IF(ISBLANK(TInspectieB[[#This Row],[Soort gebrek]]),"",VLOOKUP(TInspectieB[[#This Row],[Soort gebrek]],TSoortGebrek[#Data],3,FALSE))</f>
        <v/>
      </c>
      <c r="H49" s="413" t="str">
        <f>IF(ISBLANK(TInspectieB[[#This Row],[Soort gebrek]]),"",VLOOKUP(TInspectieB[[#This Row],[Soort gebrek]],TSoortGebrek[#Data],2,FALSE))</f>
        <v/>
      </c>
      <c r="I49" s="413" t="str">
        <f>IF(TInspectieB[[#This Row],[Soort gebrek]]=0,"",VLOOKUP(TInspectieB[[#This Row],[Soort gebrek]],TSoortGebrek[],4,FALSE))</f>
        <v/>
      </c>
      <c r="J49" s="425"/>
      <c r="K49" s="415" t="str">
        <f>IF(TInspectieB[[#This Row],[Soort gebrek]]=0,"",VLOOKUP(TInspectieB[[#This Row],[Combi]],TPrio[#Data],2,FALSE))</f>
        <v/>
      </c>
      <c r="L49" s="339"/>
      <c r="M49" s="416" t="str">
        <f>IF(ISBLANK(TInspectieB[[#This Row],[Gebrek nr.]]),"",TInspectieB[[#This Row],[UVID]]&amp;"-"&amp;TInspectieB[[#This Row],[Gebrek nr.]])</f>
        <v/>
      </c>
      <c r="N49" s="417"/>
      <c r="O49" s="651"/>
      <c r="P49" s="206"/>
      <c r="Q49" s="193"/>
      <c r="R49" s="206"/>
      <c r="S49" s="206"/>
      <c r="T49" s="206"/>
      <c r="U49" s="206"/>
      <c r="V49" s="206"/>
      <c r="W49" s="419"/>
      <c r="X49" s="340"/>
      <c r="Y49" s="420"/>
      <c r="Z49" s="421" t="str">
        <f>IF(ISBLANK(TInspectieB[[#This Row],[Aantal]]),"",ROUND(TInspectieB[[#This Row],[Kengetal]]*TInspectieB[[#This Row],[Aantal]],-1))</f>
        <v/>
      </c>
      <c r="AA49" s="422" t="str">
        <f>IF(TInspectieB[[#This Row],[Vak-groep]]="","1",VLOOKUP(C49,$J$2:$K$7,2,FALSE))</f>
        <v>1</v>
      </c>
      <c r="AB49" s="423" t="str">
        <f>CONCATENATE(TInspectieB[[#This Row],[Soort gebrek]],TInspectieB[[#This Row],[Trede]])</f>
        <v>1</v>
      </c>
      <c r="AC49" s="413" t="e">
        <v>#N/A</v>
      </c>
      <c r="AD49" s="413" t="e">
        <v>#N/A</v>
      </c>
      <c r="AE49" s="424">
        <v>0</v>
      </c>
    </row>
    <row r="50" spans="1:31" ht="10.5" x14ac:dyDescent="0.25">
      <c r="A50" s="337" t="str" cm="1">
        <f t="array" ref="A50">IFERROR(INDEX(TInventB[UVID],ROUNDDOWN((ROW(A41)+1)/2,0)),"")</f>
        <v/>
      </c>
      <c r="B50" s="410" t="str">
        <f>IF(TInspectieB[[#This Row],[UVID]]="","",VLOOKUP(TInspectieB[[#This Row],[UVID]],TInventB[],2,FALSE))</f>
        <v/>
      </c>
      <c r="C50" s="365" t="str">
        <f>IF(TInspectieB[[#This Row],[UVID]]="","",VLOOKUP(TInspectieB[[#This Row],[UVID]],TInventB[],11,FALSE))</f>
        <v/>
      </c>
      <c r="D50" s="411" t="str">
        <f>IF(TInspectieB[[#This Row],[UVID]]="","",VLOOKUP(TInspectieB[[#This Row],[UVID]],TInventB[],3,FALSE))</f>
        <v/>
      </c>
      <c r="E50" s="338" t="str">
        <f>IF(TInspectieB[[#This Row],[Omschrijving bouwdeel]]="","",IF(MOD(ROW()-2,2)=0,"O",IF(TRIM(TInspectieB[[#This Row],[Code Bouwdeeltype]])="312010","O","E")))</f>
        <v/>
      </c>
      <c r="F50" s="412"/>
      <c r="G50" s="413" t="str">
        <f>IF(ISBLANK(TInspectieB[[#This Row],[Soort gebrek]]),"",VLOOKUP(TInspectieB[[#This Row],[Soort gebrek]],TSoortGebrek[#Data],3,FALSE))</f>
        <v/>
      </c>
      <c r="H50" s="413" t="str">
        <f>IF(ISBLANK(TInspectieB[[#This Row],[Soort gebrek]]),"",VLOOKUP(TInspectieB[[#This Row],[Soort gebrek]],TSoortGebrek[#Data],2,FALSE))</f>
        <v/>
      </c>
      <c r="I50" s="413" t="str">
        <f>IF(TInspectieB[[#This Row],[Soort gebrek]]=0,"",VLOOKUP(TInspectieB[[#This Row],[Soort gebrek]],TSoortGebrek[],4,FALSE))</f>
        <v/>
      </c>
      <c r="J50" s="425"/>
      <c r="K50" s="415" t="str">
        <f>IF(TInspectieB[[#This Row],[Soort gebrek]]=0,"",VLOOKUP(TInspectieB[[#This Row],[Combi]],TPrio[#Data],2,FALSE))</f>
        <v/>
      </c>
      <c r="L50" s="339"/>
      <c r="M50" s="416" t="str">
        <f>IF(ISBLANK(TInspectieB[[#This Row],[Gebrek nr.]]),"",TInspectieB[[#This Row],[UVID]]&amp;"-"&amp;TInspectieB[[#This Row],[Gebrek nr.]])</f>
        <v/>
      </c>
      <c r="N50" s="417"/>
      <c r="O50" s="651"/>
      <c r="P50" s="206"/>
      <c r="Q50" s="193"/>
      <c r="R50" s="206"/>
      <c r="S50" s="206"/>
      <c r="T50" s="206"/>
      <c r="U50" s="206"/>
      <c r="V50" s="206"/>
      <c r="W50" s="419"/>
      <c r="X50" s="340"/>
      <c r="Y50" s="420"/>
      <c r="Z50" s="421" t="str">
        <f>IF(ISBLANK(TInspectieB[[#This Row],[Aantal]]),"",ROUND(TInspectieB[[#This Row],[Kengetal]]*TInspectieB[[#This Row],[Aantal]],-1))</f>
        <v/>
      </c>
      <c r="AA50" s="422" t="str">
        <f>IF(TInspectieB[[#This Row],[Vak-groep]]="","1",VLOOKUP(C50,$J$2:$K$7,2,FALSE))</f>
        <v>1</v>
      </c>
      <c r="AB50" s="423" t="str">
        <f>CONCATENATE(TInspectieB[[#This Row],[Soort gebrek]],TInspectieB[[#This Row],[Trede]])</f>
        <v>1</v>
      </c>
      <c r="AC50" s="413" t="e">
        <v>#N/A</v>
      </c>
      <c r="AD50" s="413" t="e">
        <v>#N/A</v>
      </c>
      <c r="AE50" s="424">
        <v>0</v>
      </c>
    </row>
    <row r="51" spans="1:31" ht="10.5" x14ac:dyDescent="0.25">
      <c r="A51" s="337" t="str" cm="1">
        <f t="array" ref="A51">IFERROR(INDEX(TInventB[UVID],ROUNDDOWN((ROW(A42)+1)/2,0)),"")</f>
        <v/>
      </c>
      <c r="B51" s="410" t="str">
        <f>IF(TInspectieB[[#This Row],[UVID]]="","",VLOOKUP(TInspectieB[[#This Row],[UVID]],TInventB[],2,FALSE))</f>
        <v/>
      </c>
      <c r="C51" s="365" t="str">
        <f>IF(TInspectieB[[#This Row],[UVID]]="","",VLOOKUP(TInspectieB[[#This Row],[UVID]],TInventB[],11,FALSE))</f>
        <v/>
      </c>
      <c r="D51" s="411" t="str">
        <f>IF(TInspectieB[[#This Row],[UVID]]="","",VLOOKUP(TInspectieB[[#This Row],[UVID]],TInventB[],3,FALSE))</f>
        <v/>
      </c>
      <c r="E51" s="338" t="str">
        <f>IF(TInspectieB[[#This Row],[Omschrijving bouwdeel]]="","",IF(MOD(ROW()-2,2)=0,"O",IF(TRIM(TInspectieB[[#This Row],[Code Bouwdeeltype]])="312010","O","E")))</f>
        <v/>
      </c>
      <c r="F51" s="412"/>
      <c r="G51" s="413" t="str">
        <f>IF(ISBLANK(TInspectieB[[#This Row],[Soort gebrek]]),"",VLOOKUP(TInspectieB[[#This Row],[Soort gebrek]],TSoortGebrek[#Data],3,FALSE))</f>
        <v/>
      </c>
      <c r="H51" s="413" t="str">
        <f>IF(ISBLANK(TInspectieB[[#This Row],[Soort gebrek]]),"",VLOOKUP(TInspectieB[[#This Row],[Soort gebrek]],TSoortGebrek[#Data],2,FALSE))</f>
        <v/>
      </c>
      <c r="I51" s="413" t="str">
        <f>IF(TInspectieB[[#This Row],[Soort gebrek]]=0,"",VLOOKUP(TInspectieB[[#This Row],[Soort gebrek]],TSoortGebrek[],4,FALSE))</f>
        <v/>
      </c>
      <c r="J51" s="425"/>
      <c r="K51" s="415" t="str">
        <f>IF(TInspectieB[[#This Row],[Soort gebrek]]=0,"",VLOOKUP(TInspectieB[[#This Row],[Combi]],TPrio[#Data],2,FALSE))</f>
        <v/>
      </c>
      <c r="L51" s="339"/>
      <c r="M51" s="416" t="str">
        <f>IF(ISBLANK(TInspectieB[[#This Row],[Gebrek nr.]]),"",TInspectieB[[#This Row],[UVID]]&amp;"-"&amp;TInspectieB[[#This Row],[Gebrek nr.]])</f>
        <v/>
      </c>
      <c r="N51" s="417"/>
      <c r="O51" s="651"/>
      <c r="P51" s="206"/>
      <c r="Q51" s="193"/>
      <c r="R51" s="206"/>
      <c r="S51" s="206"/>
      <c r="T51" s="206"/>
      <c r="U51" s="206"/>
      <c r="V51" s="206"/>
      <c r="W51" s="419"/>
      <c r="X51" s="340"/>
      <c r="Y51" s="420"/>
      <c r="Z51" s="421" t="str">
        <f>IF(ISBLANK(TInspectieB[[#This Row],[Aantal]]),"",ROUND(TInspectieB[[#This Row],[Kengetal]]*TInspectieB[[#This Row],[Aantal]],-1))</f>
        <v/>
      </c>
      <c r="AA51" s="422" t="str">
        <f>IF(TInspectieB[[#This Row],[Vak-groep]]="","1",VLOOKUP(C51,$J$2:$K$7,2,FALSE))</f>
        <v>1</v>
      </c>
      <c r="AB51" s="423" t="str">
        <f>CONCATENATE(TInspectieB[[#This Row],[Soort gebrek]],TInspectieB[[#This Row],[Trede]])</f>
        <v>1</v>
      </c>
      <c r="AC51" s="413" t="e">
        <v>#N/A</v>
      </c>
      <c r="AD51" s="413" t="e">
        <v>#N/A</v>
      </c>
      <c r="AE51" s="424">
        <v>0</v>
      </c>
    </row>
    <row r="52" spans="1:31" ht="10.5" x14ac:dyDescent="0.25">
      <c r="A52" s="337" t="str" cm="1">
        <f t="array" ref="A52">IFERROR(INDEX(TInventB[UVID],ROUNDDOWN((ROW(A43)+1)/2,0)),"")</f>
        <v/>
      </c>
      <c r="B52" s="410" t="str">
        <f>IF(TInspectieB[[#This Row],[UVID]]="","",VLOOKUP(TInspectieB[[#This Row],[UVID]],TInventB[],2,FALSE))</f>
        <v/>
      </c>
      <c r="C52" s="365" t="str">
        <f>IF(TInspectieB[[#This Row],[UVID]]="","",VLOOKUP(TInspectieB[[#This Row],[UVID]],TInventB[],11,FALSE))</f>
        <v/>
      </c>
      <c r="D52" s="411" t="str">
        <f>IF(TInspectieB[[#This Row],[UVID]]="","",VLOOKUP(TInspectieB[[#This Row],[UVID]],TInventB[],3,FALSE))</f>
        <v/>
      </c>
      <c r="E52" s="338" t="str">
        <f>IF(TInspectieB[[#This Row],[Omschrijving bouwdeel]]="","",IF(MOD(ROW()-2,2)=0,"O",IF(TRIM(TInspectieB[[#This Row],[Code Bouwdeeltype]])="312010","O","E")))</f>
        <v/>
      </c>
      <c r="F52" s="412"/>
      <c r="G52" s="413" t="str">
        <f>IF(ISBLANK(TInspectieB[[#This Row],[Soort gebrek]]),"",VLOOKUP(TInspectieB[[#This Row],[Soort gebrek]],TSoortGebrek[#Data],3,FALSE))</f>
        <v/>
      </c>
      <c r="H52" s="413" t="str">
        <f>IF(ISBLANK(TInspectieB[[#This Row],[Soort gebrek]]),"",VLOOKUP(TInspectieB[[#This Row],[Soort gebrek]],TSoortGebrek[#Data],2,FALSE))</f>
        <v/>
      </c>
      <c r="I52" s="413" t="str">
        <f>IF(TInspectieB[[#This Row],[Soort gebrek]]=0,"",VLOOKUP(TInspectieB[[#This Row],[Soort gebrek]],TSoortGebrek[],4,FALSE))</f>
        <v/>
      </c>
      <c r="J52" s="425"/>
      <c r="K52" s="415" t="str">
        <f>IF(TInspectieB[[#This Row],[Soort gebrek]]=0,"",VLOOKUP(TInspectieB[[#This Row],[Combi]],TPrio[#Data],2,FALSE))</f>
        <v/>
      </c>
      <c r="L52" s="339"/>
      <c r="M52" s="416" t="str">
        <f>IF(ISBLANK(TInspectieB[[#This Row],[Gebrek nr.]]),"",TInspectieB[[#This Row],[UVID]]&amp;"-"&amp;TInspectieB[[#This Row],[Gebrek nr.]])</f>
        <v/>
      </c>
      <c r="N52" s="417"/>
      <c r="O52" s="651"/>
      <c r="P52" s="206"/>
      <c r="Q52" s="193"/>
      <c r="R52" s="206"/>
      <c r="S52" s="206"/>
      <c r="T52" s="206"/>
      <c r="U52" s="206"/>
      <c r="V52" s="206"/>
      <c r="W52" s="419"/>
      <c r="X52" s="340"/>
      <c r="Y52" s="420"/>
      <c r="Z52" s="421" t="str">
        <f>IF(ISBLANK(TInspectieB[[#This Row],[Aantal]]),"",ROUND(TInspectieB[[#This Row],[Kengetal]]*TInspectieB[[#This Row],[Aantal]],-1))</f>
        <v/>
      </c>
      <c r="AA52" s="422" t="str">
        <f>IF(TInspectieB[[#This Row],[Vak-groep]]="","1",VLOOKUP(C52,$J$2:$K$7,2,FALSE))</f>
        <v>1</v>
      </c>
      <c r="AB52" s="423" t="str">
        <f>CONCATENATE(TInspectieB[[#This Row],[Soort gebrek]],TInspectieB[[#This Row],[Trede]])</f>
        <v>1</v>
      </c>
      <c r="AC52" s="413" t="e">
        <v>#N/A</v>
      </c>
      <c r="AD52" s="413" t="e">
        <v>#N/A</v>
      </c>
      <c r="AE52" s="424">
        <v>0</v>
      </c>
    </row>
    <row r="53" spans="1:31" ht="10.5" x14ac:dyDescent="0.25">
      <c r="A53" s="337" t="str" cm="1">
        <f t="array" ref="A53">IFERROR(INDEX(TInventB[UVID],ROUNDDOWN((ROW(A44)+1)/2,0)),"")</f>
        <v/>
      </c>
      <c r="B53" s="410" t="str">
        <f>IF(TInspectieB[[#This Row],[UVID]]="","",VLOOKUP(TInspectieB[[#This Row],[UVID]],TInventB[],2,FALSE))</f>
        <v/>
      </c>
      <c r="C53" s="365" t="str">
        <f>IF(TInspectieB[[#This Row],[UVID]]="","",VLOOKUP(TInspectieB[[#This Row],[UVID]],TInventB[],11,FALSE))</f>
        <v/>
      </c>
      <c r="D53" s="411" t="str">
        <f>IF(TInspectieB[[#This Row],[UVID]]="","",VLOOKUP(TInspectieB[[#This Row],[UVID]],TInventB[],3,FALSE))</f>
        <v/>
      </c>
      <c r="E53" s="338" t="str">
        <f>IF(TInspectieB[[#This Row],[Omschrijving bouwdeel]]="","",IF(MOD(ROW()-2,2)=0,"O",IF(TRIM(TInspectieB[[#This Row],[Code Bouwdeeltype]])="312010","O","E")))</f>
        <v/>
      </c>
      <c r="F53" s="412"/>
      <c r="G53" s="413" t="str">
        <f>IF(ISBLANK(TInspectieB[[#This Row],[Soort gebrek]]),"",VLOOKUP(TInspectieB[[#This Row],[Soort gebrek]],TSoortGebrek[#Data],3,FALSE))</f>
        <v/>
      </c>
      <c r="H53" s="413" t="str">
        <f>IF(ISBLANK(TInspectieB[[#This Row],[Soort gebrek]]),"",VLOOKUP(TInspectieB[[#This Row],[Soort gebrek]],TSoortGebrek[#Data],2,FALSE))</f>
        <v/>
      </c>
      <c r="I53" s="413" t="str">
        <f>IF(TInspectieB[[#This Row],[Soort gebrek]]=0,"",VLOOKUP(TInspectieB[[#This Row],[Soort gebrek]],TSoortGebrek[],4,FALSE))</f>
        <v/>
      </c>
      <c r="J53" s="425"/>
      <c r="K53" s="415" t="str">
        <f>IF(TInspectieB[[#This Row],[Soort gebrek]]=0,"",VLOOKUP(TInspectieB[[#This Row],[Combi]],TPrio[#Data],2,FALSE))</f>
        <v/>
      </c>
      <c r="L53" s="339"/>
      <c r="M53" s="416" t="str">
        <f>IF(ISBLANK(TInspectieB[[#This Row],[Gebrek nr.]]),"",TInspectieB[[#This Row],[UVID]]&amp;"-"&amp;TInspectieB[[#This Row],[Gebrek nr.]])</f>
        <v/>
      </c>
      <c r="N53" s="417"/>
      <c r="O53" s="651"/>
      <c r="P53" s="206"/>
      <c r="Q53" s="193"/>
      <c r="R53" s="206"/>
      <c r="S53" s="206"/>
      <c r="T53" s="206"/>
      <c r="U53" s="206"/>
      <c r="V53" s="206"/>
      <c r="W53" s="419"/>
      <c r="X53" s="340"/>
      <c r="Y53" s="420"/>
      <c r="Z53" s="421" t="str">
        <f>IF(ISBLANK(TInspectieB[[#This Row],[Aantal]]),"",ROUND(TInspectieB[[#This Row],[Kengetal]]*TInspectieB[[#This Row],[Aantal]],-1))</f>
        <v/>
      </c>
      <c r="AA53" s="422" t="str">
        <f>IF(TInspectieB[[#This Row],[Vak-groep]]="","1",VLOOKUP(C53,$J$2:$K$7,2,FALSE))</f>
        <v>1</v>
      </c>
      <c r="AB53" s="423" t="str">
        <f>CONCATENATE(TInspectieB[[#This Row],[Soort gebrek]],TInspectieB[[#This Row],[Trede]])</f>
        <v>1</v>
      </c>
      <c r="AC53" s="413" t="e">
        <v>#N/A</v>
      </c>
      <c r="AD53" s="413" t="e">
        <v>#N/A</v>
      </c>
      <c r="AE53" s="424">
        <v>0</v>
      </c>
    </row>
    <row r="54" spans="1:31" ht="10.5" x14ac:dyDescent="0.25">
      <c r="A54" s="337" t="str" cm="1">
        <f t="array" ref="A54">IFERROR(INDEX(TInventB[UVID],ROUNDDOWN((ROW(A45)+1)/2,0)),"")</f>
        <v/>
      </c>
      <c r="B54" s="410" t="str">
        <f>IF(TInspectieB[[#This Row],[UVID]]="","",VLOOKUP(TInspectieB[[#This Row],[UVID]],TInventB[],2,FALSE))</f>
        <v/>
      </c>
      <c r="C54" s="365" t="str">
        <f>IF(TInspectieB[[#This Row],[UVID]]="","",VLOOKUP(TInspectieB[[#This Row],[UVID]],TInventB[],11,FALSE))</f>
        <v/>
      </c>
      <c r="D54" s="411" t="str">
        <f>IF(TInspectieB[[#This Row],[UVID]]="","",VLOOKUP(TInspectieB[[#This Row],[UVID]],TInventB[],3,FALSE))</f>
        <v/>
      </c>
      <c r="E54" s="338" t="str">
        <f>IF(TInspectieB[[#This Row],[Omschrijving bouwdeel]]="","",IF(MOD(ROW()-2,2)=0,"O",IF(TRIM(TInspectieB[[#This Row],[Code Bouwdeeltype]])="312010","O","E")))</f>
        <v/>
      </c>
      <c r="F54" s="412"/>
      <c r="G54" s="413" t="str">
        <f>IF(ISBLANK(TInspectieB[[#This Row],[Soort gebrek]]),"",VLOOKUP(TInspectieB[[#This Row],[Soort gebrek]],TSoortGebrek[#Data],3,FALSE))</f>
        <v/>
      </c>
      <c r="H54" s="413" t="str">
        <f>IF(ISBLANK(TInspectieB[[#This Row],[Soort gebrek]]),"",VLOOKUP(TInspectieB[[#This Row],[Soort gebrek]],TSoortGebrek[#Data],2,FALSE))</f>
        <v/>
      </c>
      <c r="I54" s="413" t="str">
        <f>IF(TInspectieB[[#This Row],[Soort gebrek]]=0,"",VLOOKUP(TInspectieB[[#This Row],[Soort gebrek]],TSoortGebrek[],4,FALSE))</f>
        <v/>
      </c>
      <c r="J54" s="425"/>
      <c r="K54" s="415" t="str">
        <f>IF(TInspectieB[[#This Row],[Soort gebrek]]=0,"",VLOOKUP(TInspectieB[[#This Row],[Combi]],TPrio[#Data],2,FALSE))</f>
        <v/>
      </c>
      <c r="L54" s="339"/>
      <c r="M54" s="416" t="str">
        <f>IF(ISBLANK(TInspectieB[[#This Row],[Gebrek nr.]]),"",TInspectieB[[#This Row],[UVID]]&amp;"-"&amp;TInspectieB[[#This Row],[Gebrek nr.]])</f>
        <v/>
      </c>
      <c r="N54" s="417"/>
      <c r="O54" s="651"/>
      <c r="P54" s="206"/>
      <c r="Q54" s="193"/>
      <c r="R54" s="206"/>
      <c r="S54" s="206"/>
      <c r="T54" s="206"/>
      <c r="U54" s="206"/>
      <c r="V54" s="206"/>
      <c r="W54" s="419"/>
      <c r="X54" s="340"/>
      <c r="Y54" s="420"/>
      <c r="Z54" s="421" t="str">
        <f>IF(ISBLANK(TInspectieB[[#This Row],[Aantal]]),"",ROUND(TInspectieB[[#This Row],[Kengetal]]*TInspectieB[[#This Row],[Aantal]],-1))</f>
        <v/>
      </c>
      <c r="AA54" s="422" t="str">
        <f>IF(TInspectieB[[#This Row],[Vak-groep]]="","1",VLOOKUP(C54,$J$2:$K$7,2,FALSE))</f>
        <v>1</v>
      </c>
      <c r="AB54" s="423" t="str">
        <f>CONCATENATE(TInspectieB[[#This Row],[Soort gebrek]],TInspectieB[[#This Row],[Trede]])</f>
        <v>1</v>
      </c>
      <c r="AC54" s="413" t="e">
        <v>#N/A</v>
      </c>
      <c r="AD54" s="413" t="e">
        <v>#N/A</v>
      </c>
      <c r="AE54" s="424">
        <v>0</v>
      </c>
    </row>
    <row r="55" spans="1:31" ht="10.5" x14ac:dyDescent="0.25">
      <c r="A55" s="337" t="str" cm="1">
        <f t="array" ref="A55">IFERROR(INDEX(TInventB[UVID],ROUNDDOWN((ROW(A46)+1)/2,0)),"")</f>
        <v/>
      </c>
      <c r="B55" s="410" t="str">
        <f>IF(TInspectieB[[#This Row],[UVID]]="","",VLOOKUP(TInspectieB[[#This Row],[UVID]],TInventB[],2,FALSE))</f>
        <v/>
      </c>
      <c r="C55" s="365" t="str">
        <f>IF(TInspectieB[[#This Row],[UVID]]="","",VLOOKUP(TInspectieB[[#This Row],[UVID]],TInventB[],11,FALSE))</f>
        <v/>
      </c>
      <c r="D55" s="411" t="str">
        <f>IF(TInspectieB[[#This Row],[UVID]]="","",VLOOKUP(TInspectieB[[#This Row],[UVID]],TInventB[],3,FALSE))</f>
        <v/>
      </c>
      <c r="E55" s="338" t="str">
        <f>IF(TInspectieB[[#This Row],[Omschrijving bouwdeel]]="","",IF(MOD(ROW()-2,2)=0,"O",IF(TRIM(TInspectieB[[#This Row],[Code Bouwdeeltype]])="312010","O","E")))</f>
        <v/>
      </c>
      <c r="F55" s="412"/>
      <c r="G55" s="413" t="str">
        <f>IF(ISBLANK(TInspectieB[[#This Row],[Soort gebrek]]),"",VLOOKUP(TInspectieB[[#This Row],[Soort gebrek]],TSoortGebrek[#Data],3,FALSE))</f>
        <v/>
      </c>
      <c r="H55" s="413" t="str">
        <f>IF(ISBLANK(TInspectieB[[#This Row],[Soort gebrek]]),"",VLOOKUP(TInspectieB[[#This Row],[Soort gebrek]],TSoortGebrek[#Data],2,FALSE))</f>
        <v/>
      </c>
      <c r="I55" s="413" t="str">
        <f>IF(TInspectieB[[#This Row],[Soort gebrek]]=0,"",VLOOKUP(TInspectieB[[#This Row],[Soort gebrek]],TSoortGebrek[],4,FALSE))</f>
        <v/>
      </c>
      <c r="J55" s="425"/>
      <c r="K55" s="415" t="str">
        <f>IF(TInspectieB[[#This Row],[Soort gebrek]]=0,"",VLOOKUP(TInspectieB[[#This Row],[Combi]],TPrio[#Data],2,FALSE))</f>
        <v/>
      </c>
      <c r="L55" s="339"/>
      <c r="M55" s="416" t="str">
        <f>IF(ISBLANK(TInspectieB[[#This Row],[Gebrek nr.]]),"",TInspectieB[[#This Row],[UVID]]&amp;"-"&amp;TInspectieB[[#This Row],[Gebrek nr.]])</f>
        <v/>
      </c>
      <c r="N55" s="417"/>
      <c r="O55" s="651"/>
      <c r="P55" s="206"/>
      <c r="Q55" s="193"/>
      <c r="R55" s="206"/>
      <c r="S55" s="206"/>
      <c r="T55" s="206"/>
      <c r="U55" s="206"/>
      <c r="V55" s="206"/>
      <c r="W55" s="419"/>
      <c r="X55" s="340"/>
      <c r="Y55" s="420"/>
      <c r="Z55" s="421" t="str">
        <f>IF(ISBLANK(TInspectieB[[#This Row],[Aantal]]),"",ROUND(TInspectieB[[#This Row],[Kengetal]]*TInspectieB[[#This Row],[Aantal]],-1))</f>
        <v/>
      </c>
      <c r="AA55" s="422" t="str">
        <f>IF(TInspectieB[[#This Row],[Vak-groep]]="","1",VLOOKUP(C55,$J$2:$K$7,2,FALSE))</f>
        <v>1</v>
      </c>
      <c r="AB55" s="423" t="str">
        <f>CONCATENATE(TInspectieB[[#This Row],[Soort gebrek]],TInspectieB[[#This Row],[Trede]])</f>
        <v>1</v>
      </c>
      <c r="AC55" s="413" t="e">
        <v>#N/A</v>
      </c>
      <c r="AD55" s="413" t="e">
        <v>#N/A</v>
      </c>
      <c r="AE55" s="424">
        <v>0</v>
      </c>
    </row>
    <row r="56" spans="1:31" ht="10.5" x14ac:dyDescent="0.25">
      <c r="A56" s="337" t="str" cm="1">
        <f t="array" ref="A56">IFERROR(INDEX(TInventB[UVID],ROUNDDOWN((ROW(A47)+1)/2,0)),"")</f>
        <v/>
      </c>
      <c r="B56" s="410" t="str">
        <f>IF(TInspectieB[[#This Row],[UVID]]="","",VLOOKUP(TInspectieB[[#This Row],[UVID]],TInventB[],2,FALSE))</f>
        <v/>
      </c>
      <c r="C56" s="365" t="str">
        <f>IF(TInspectieB[[#This Row],[UVID]]="","",VLOOKUP(TInspectieB[[#This Row],[UVID]],TInventB[],11,FALSE))</f>
        <v/>
      </c>
      <c r="D56" s="411" t="str">
        <f>IF(TInspectieB[[#This Row],[UVID]]="","",VLOOKUP(TInspectieB[[#This Row],[UVID]],TInventB[],3,FALSE))</f>
        <v/>
      </c>
      <c r="E56" s="338" t="str">
        <f>IF(TInspectieB[[#This Row],[Omschrijving bouwdeel]]="","",IF(MOD(ROW()-2,2)=0,"O",IF(TRIM(TInspectieB[[#This Row],[Code Bouwdeeltype]])="312010","O","E")))</f>
        <v/>
      </c>
      <c r="F56" s="412"/>
      <c r="G56" s="413" t="str">
        <f>IF(ISBLANK(TInspectieB[[#This Row],[Soort gebrek]]),"",VLOOKUP(TInspectieB[[#This Row],[Soort gebrek]],TSoortGebrek[#Data],3,FALSE))</f>
        <v/>
      </c>
      <c r="H56" s="413" t="str">
        <f>IF(ISBLANK(TInspectieB[[#This Row],[Soort gebrek]]),"",VLOOKUP(TInspectieB[[#This Row],[Soort gebrek]],TSoortGebrek[#Data],2,FALSE))</f>
        <v/>
      </c>
      <c r="I56" s="413" t="str">
        <f>IF(TInspectieB[[#This Row],[Soort gebrek]]=0,"",VLOOKUP(TInspectieB[[#This Row],[Soort gebrek]],TSoortGebrek[],4,FALSE))</f>
        <v/>
      </c>
      <c r="J56" s="425"/>
      <c r="K56" s="415" t="str">
        <f>IF(TInspectieB[[#This Row],[Soort gebrek]]=0,"",VLOOKUP(TInspectieB[[#This Row],[Combi]],TPrio[#Data],2,FALSE))</f>
        <v/>
      </c>
      <c r="L56" s="339"/>
      <c r="M56" s="416" t="str">
        <f>IF(ISBLANK(TInspectieB[[#This Row],[Gebrek nr.]]),"",TInspectieB[[#This Row],[UVID]]&amp;"-"&amp;TInspectieB[[#This Row],[Gebrek nr.]])</f>
        <v/>
      </c>
      <c r="N56" s="417"/>
      <c r="O56" s="651"/>
      <c r="P56" s="206"/>
      <c r="Q56" s="193"/>
      <c r="R56" s="206"/>
      <c r="S56" s="206"/>
      <c r="T56" s="206"/>
      <c r="U56" s="206"/>
      <c r="V56" s="206"/>
      <c r="W56" s="419"/>
      <c r="X56" s="340"/>
      <c r="Y56" s="420"/>
      <c r="Z56" s="421" t="str">
        <f>IF(ISBLANK(TInspectieB[[#This Row],[Aantal]]),"",ROUND(TInspectieB[[#This Row],[Kengetal]]*TInspectieB[[#This Row],[Aantal]],-1))</f>
        <v/>
      </c>
      <c r="AA56" s="422" t="str">
        <f>IF(TInspectieB[[#This Row],[Vak-groep]]="","1",VLOOKUP(C56,$J$2:$K$7,2,FALSE))</f>
        <v>1</v>
      </c>
      <c r="AB56" s="423" t="str">
        <f>CONCATENATE(TInspectieB[[#This Row],[Soort gebrek]],TInspectieB[[#This Row],[Trede]])</f>
        <v>1</v>
      </c>
      <c r="AC56" s="413" t="e">
        <v>#N/A</v>
      </c>
      <c r="AD56" s="413" t="e">
        <v>#N/A</v>
      </c>
      <c r="AE56" s="424">
        <v>0</v>
      </c>
    </row>
    <row r="57" spans="1:31" ht="10.5" x14ac:dyDescent="0.25">
      <c r="A57" s="337" t="str" cm="1">
        <f t="array" ref="A57">IFERROR(INDEX(TInventB[UVID],ROUNDDOWN((ROW(A48)+1)/2,0)),"")</f>
        <v/>
      </c>
      <c r="B57" s="410" t="str">
        <f>IF(TInspectieB[[#This Row],[UVID]]="","",VLOOKUP(TInspectieB[[#This Row],[UVID]],TInventB[],2,FALSE))</f>
        <v/>
      </c>
      <c r="C57" s="365" t="str">
        <f>IF(TInspectieB[[#This Row],[UVID]]="","",VLOOKUP(TInspectieB[[#This Row],[UVID]],TInventB[],11,FALSE))</f>
        <v/>
      </c>
      <c r="D57" s="411" t="str">
        <f>IF(TInspectieB[[#This Row],[UVID]]="","",VLOOKUP(TInspectieB[[#This Row],[UVID]],TInventB[],3,FALSE))</f>
        <v/>
      </c>
      <c r="E57" s="338" t="str">
        <f>IF(TInspectieB[[#This Row],[Omschrijving bouwdeel]]="","",IF(MOD(ROW()-2,2)=0,"O",IF(TRIM(TInspectieB[[#This Row],[Code Bouwdeeltype]])="312010","O","E")))</f>
        <v/>
      </c>
      <c r="F57" s="412"/>
      <c r="G57" s="413" t="str">
        <f>IF(ISBLANK(TInspectieB[[#This Row],[Soort gebrek]]),"",VLOOKUP(TInspectieB[[#This Row],[Soort gebrek]],TSoortGebrek[#Data],3,FALSE))</f>
        <v/>
      </c>
      <c r="H57" s="413" t="str">
        <f>IF(ISBLANK(TInspectieB[[#This Row],[Soort gebrek]]),"",VLOOKUP(TInspectieB[[#This Row],[Soort gebrek]],TSoortGebrek[#Data],2,FALSE))</f>
        <v/>
      </c>
      <c r="I57" s="413" t="str">
        <f>IF(TInspectieB[[#This Row],[Soort gebrek]]=0,"",VLOOKUP(TInspectieB[[#This Row],[Soort gebrek]],TSoortGebrek[],4,FALSE))</f>
        <v/>
      </c>
      <c r="J57" s="425"/>
      <c r="K57" s="415" t="str">
        <f>IF(TInspectieB[[#This Row],[Soort gebrek]]=0,"",VLOOKUP(TInspectieB[[#This Row],[Combi]],TPrio[#Data],2,FALSE))</f>
        <v/>
      </c>
      <c r="L57" s="339"/>
      <c r="M57" s="416" t="str">
        <f>IF(ISBLANK(TInspectieB[[#This Row],[Gebrek nr.]]),"",TInspectieB[[#This Row],[UVID]]&amp;"-"&amp;TInspectieB[[#This Row],[Gebrek nr.]])</f>
        <v/>
      </c>
      <c r="N57" s="417"/>
      <c r="O57" s="651"/>
      <c r="P57" s="206"/>
      <c r="Q57" s="193"/>
      <c r="R57" s="206"/>
      <c r="S57" s="206"/>
      <c r="T57" s="206"/>
      <c r="U57" s="206"/>
      <c r="V57" s="206"/>
      <c r="W57" s="419"/>
      <c r="X57" s="340"/>
      <c r="Y57" s="420"/>
      <c r="Z57" s="421" t="str">
        <f>IF(ISBLANK(TInspectieB[[#This Row],[Aantal]]),"",ROUND(TInspectieB[[#This Row],[Kengetal]]*TInspectieB[[#This Row],[Aantal]],-1))</f>
        <v/>
      </c>
      <c r="AA57" s="422" t="str">
        <f>IF(TInspectieB[[#This Row],[Vak-groep]]="","1",VLOOKUP(C57,$J$2:$K$7,2,FALSE))</f>
        <v>1</v>
      </c>
      <c r="AB57" s="423" t="str">
        <f>CONCATENATE(TInspectieB[[#This Row],[Soort gebrek]],TInspectieB[[#This Row],[Trede]])</f>
        <v>1</v>
      </c>
      <c r="AC57" s="413" t="e">
        <v>#N/A</v>
      </c>
      <c r="AD57" s="413" t="e">
        <v>#N/A</v>
      </c>
      <c r="AE57" s="424">
        <v>0</v>
      </c>
    </row>
    <row r="58" spans="1:31" ht="10.5" x14ac:dyDescent="0.25">
      <c r="A58" s="337" t="str" cm="1">
        <f t="array" ref="A58">IFERROR(INDEX(TInventB[UVID],ROUNDDOWN((ROW(A49)+1)/2,0)),"")</f>
        <v/>
      </c>
      <c r="B58" s="410" t="str">
        <f>IF(TInspectieB[[#This Row],[UVID]]="","",VLOOKUP(TInspectieB[[#This Row],[UVID]],TInventB[],2,FALSE))</f>
        <v/>
      </c>
      <c r="C58" s="365" t="str">
        <f>IF(TInspectieB[[#This Row],[UVID]]="","",VLOOKUP(TInspectieB[[#This Row],[UVID]],TInventB[],11,FALSE))</f>
        <v/>
      </c>
      <c r="D58" s="411" t="str">
        <f>IF(TInspectieB[[#This Row],[UVID]]="","",VLOOKUP(TInspectieB[[#This Row],[UVID]],TInventB[],3,FALSE))</f>
        <v/>
      </c>
      <c r="E58" s="338" t="str">
        <f>IF(TInspectieB[[#This Row],[Omschrijving bouwdeel]]="","",IF(MOD(ROW()-2,2)=0,"O",IF(TRIM(TInspectieB[[#This Row],[Code Bouwdeeltype]])="312010","O","E")))</f>
        <v/>
      </c>
      <c r="F58" s="412"/>
      <c r="G58" s="413" t="str">
        <f>IF(ISBLANK(TInspectieB[[#This Row],[Soort gebrek]]),"",VLOOKUP(TInspectieB[[#This Row],[Soort gebrek]],TSoortGebrek[#Data],3,FALSE))</f>
        <v/>
      </c>
      <c r="H58" s="413" t="str">
        <f>IF(ISBLANK(TInspectieB[[#This Row],[Soort gebrek]]),"",VLOOKUP(TInspectieB[[#This Row],[Soort gebrek]],TSoortGebrek[#Data],2,FALSE))</f>
        <v/>
      </c>
      <c r="I58" s="413" t="str">
        <f>IF(TInspectieB[[#This Row],[Soort gebrek]]=0,"",VLOOKUP(TInspectieB[[#This Row],[Soort gebrek]],TSoortGebrek[],4,FALSE))</f>
        <v/>
      </c>
      <c r="J58" s="425"/>
      <c r="K58" s="415" t="str">
        <f>IF(TInspectieB[[#This Row],[Soort gebrek]]=0,"",VLOOKUP(TInspectieB[[#This Row],[Combi]],TPrio[#Data],2,FALSE))</f>
        <v/>
      </c>
      <c r="L58" s="339"/>
      <c r="M58" s="416" t="str">
        <f>IF(ISBLANK(TInspectieB[[#This Row],[Gebrek nr.]]),"",TInspectieB[[#This Row],[UVID]]&amp;"-"&amp;TInspectieB[[#This Row],[Gebrek nr.]])</f>
        <v/>
      </c>
      <c r="N58" s="417"/>
      <c r="O58" s="651"/>
      <c r="P58" s="497"/>
      <c r="Q58" s="193"/>
      <c r="R58" s="206"/>
      <c r="S58" s="206"/>
      <c r="T58" s="206"/>
      <c r="U58" s="206"/>
      <c r="V58" s="206"/>
      <c r="W58" s="419"/>
      <c r="X58" s="340"/>
      <c r="Y58" s="420"/>
      <c r="Z58" s="421" t="str">
        <f>IF(ISBLANK(TInspectieB[[#This Row],[Aantal]]),"",ROUND(TInspectieB[[#This Row],[Kengetal]]*TInspectieB[[#This Row],[Aantal]],-1))</f>
        <v/>
      </c>
      <c r="AA58" s="422" t="str">
        <f>IF(TInspectieB[[#This Row],[Vak-groep]]="","1",VLOOKUP(C58,$J$2:$K$7,2,FALSE))</f>
        <v>1</v>
      </c>
      <c r="AB58" s="423" t="str">
        <f>CONCATENATE(TInspectieB[[#This Row],[Soort gebrek]],TInspectieB[[#This Row],[Trede]])</f>
        <v>1</v>
      </c>
      <c r="AC58" s="413" t="e">
        <v>#N/A</v>
      </c>
      <c r="AD58" s="413" t="e">
        <v>#N/A</v>
      </c>
      <c r="AE58" s="424">
        <v>0</v>
      </c>
    </row>
    <row r="59" spans="1:31" ht="10.5" x14ac:dyDescent="0.25">
      <c r="A59" s="337" t="str" cm="1">
        <f t="array" ref="A59">IFERROR(INDEX(TInventB[UVID],ROUNDDOWN((ROW(A50)+1)/2,0)),"")</f>
        <v/>
      </c>
      <c r="B59" s="410" t="str">
        <f>IF(TInspectieB[[#This Row],[UVID]]="","",VLOOKUP(TInspectieB[[#This Row],[UVID]],TInventB[],2,FALSE))</f>
        <v/>
      </c>
      <c r="C59" s="365" t="str">
        <f>IF(TInspectieB[[#This Row],[UVID]]="","",VLOOKUP(TInspectieB[[#This Row],[UVID]],TInventB[],11,FALSE))</f>
        <v/>
      </c>
      <c r="D59" s="411" t="str">
        <f>IF(TInspectieB[[#This Row],[UVID]]="","",VLOOKUP(TInspectieB[[#This Row],[UVID]],TInventB[],3,FALSE))</f>
        <v/>
      </c>
      <c r="E59" s="338" t="str">
        <f>IF(TInspectieB[[#This Row],[Omschrijving bouwdeel]]="","",IF(MOD(ROW()-2,2)=0,"O",IF(TRIM(TInspectieB[[#This Row],[Code Bouwdeeltype]])="312010","O","E")))</f>
        <v/>
      </c>
      <c r="F59" s="412"/>
      <c r="G59" s="413" t="str">
        <f>IF(ISBLANK(TInspectieB[[#This Row],[Soort gebrek]]),"",VLOOKUP(TInspectieB[[#This Row],[Soort gebrek]],TSoortGebrek[#Data],3,FALSE))</f>
        <v/>
      </c>
      <c r="H59" s="413" t="str">
        <f>IF(ISBLANK(TInspectieB[[#This Row],[Soort gebrek]]),"",VLOOKUP(TInspectieB[[#This Row],[Soort gebrek]],TSoortGebrek[#Data],2,FALSE))</f>
        <v/>
      </c>
      <c r="I59" s="413" t="str">
        <f>IF(TInspectieB[[#This Row],[Soort gebrek]]=0,"",VLOOKUP(TInspectieB[[#This Row],[Soort gebrek]],TSoortGebrek[],4,FALSE))</f>
        <v/>
      </c>
      <c r="J59" s="425"/>
      <c r="K59" s="415" t="str">
        <f>IF(TInspectieB[[#This Row],[Soort gebrek]]=0,"",VLOOKUP(TInspectieB[[#This Row],[Combi]],TPrio[#Data],2,FALSE))</f>
        <v/>
      </c>
      <c r="L59" s="339"/>
      <c r="M59" s="416" t="str">
        <f>IF(ISBLANK(TInspectieB[[#This Row],[Gebrek nr.]]),"",TInspectieB[[#This Row],[UVID]]&amp;"-"&amp;TInspectieB[[#This Row],[Gebrek nr.]])</f>
        <v/>
      </c>
      <c r="N59" s="417"/>
      <c r="O59" s="651"/>
      <c r="P59" s="206"/>
      <c r="Q59" s="193"/>
      <c r="R59" s="206"/>
      <c r="S59" s="206"/>
      <c r="T59" s="206"/>
      <c r="U59" s="206"/>
      <c r="V59" s="206"/>
      <c r="W59" s="419"/>
      <c r="X59" s="340"/>
      <c r="Y59" s="420"/>
      <c r="Z59" s="421" t="str">
        <f>IF(ISBLANK(TInspectieB[[#This Row],[Aantal]]),"",ROUND(TInspectieB[[#This Row],[Kengetal]]*TInspectieB[[#This Row],[Aantal]],-1))</f>
        <v/>
      </c>
      <c r="AA59" s="422" t="str">
        <f>IF(TInspectieB[[#This Row],[Vak-groep]]="","1",VLOOKUP(C59,$J$2:$K$7,2,FALSE))</f>
        <v>1</v>
      </c>
      <c r="AB59" s="423" t="str">
        <f>CONCATENATE(TInspectieB[[#This Row],[Soort gebrek]],TInspectieB[[#This Row],[Trede]])</f>
        <v>1</v>
      </c>
      <c r="AC59" s="413" t="e">
        <v>#N/A</v>
      </c>
      <c r="AD59" s="413" t="e">
        <v>#N/A</v>
      </c>
      <c r="AE59" s="424">
        <v>0</v>
      </c>
    </row>
    <row r="60" spans="1:31" ht="10.5" x14ac:dyDescent="0.25">
      <c r="A60" s="337" t="str" cm="1">
        <f t="array" ref="A60">IFERROR(INDEX(TInventB[UVID],ROUNDDOWN((ROW(A51)+1)/2,0)),"")</f>
        <v/>
      </c>
      <c r="B60" s="410" t="str">
        <f>IF(TInspectieB[[#This Row],[UVID]]="","",VLOOKUP(TInspectieB[[#This Row],[UVID]],TInventB[],2,FALSE))</f>
        <v/>
      </c>
      <c r="C60" s="365" t="str">
        <f>IF(TInspectieB[[#This Row],[UVID]]="","",VLOOKUP(TInspectieB[[#This Row],[UVID]],TInventB[],11,FALSE))</f>
        <v/>
      </c>
      <c r="D60" s="411" t="str">
        <f>IF(TInspectieB[[#This Row],[UVID]]="","",VLOOKUP(TInspectieB[[#This Row],[UVID]],TInventB[],3,FALSE))</f>
        <v/>
      </c>
      <c r="E60" s="338" t="str">
        <f>IF(TInspectieB[[#This Row],[Omschrijving bouwdeel]]="","",IF(MOD(ROW()-2,2)=0,"O",IF(TRIM(TInspectieB[[#This Row],[Code Bouwdeeltype]])="312010","O","E")))</f>
        <v/>
      </c>
      <c r="F60" s="412"/>
      <c r="G60" s="413" t="str">
        <f>IF(ISBLANK(TInspectieB[[#This Row],[Soort gebrek]]),"",VLOOKUP(TInspectieB[[#This Row],[Soort gebrek]],TSoortGebrek[#Data],3,FALSE))</f>
        <v/>
      </c>
      <c r="H60" s="413" t="str">
        <f>IF(ISBLANK(TInspectieB[[#This Row],[Soort gebrek]]),"",VLOOKUP(TInspectieB[[#This Row],[Soort gebrek]],TSoortGebrek[#Data],2,FALSE))</f>
        <v/>
      </c>
      <c r="I60" s="413" t="str">
        <f>IF(TInspectieB[[#This Row],[Soort gebrek]]=0,"",VLOOKUP(TInspectieB[[#This Row],[Soort gebrek]],TSoortGebrek[],4,FALSE))</f>
        <v/>
      </c>
      <c r="J60" s="425"/>
      <c r="K60" s="415" t="str">
        <f>IF(TInspectieB[[#This Row],[Soort gebrek]]=0,"",VLOOKUP(TInspectieB[[#This Row],[Combi]],TPrio[#Data],2,FALSE))</f>
        <v/>
      </c>
      <c r="L60" s="339"/>
      <c r="M60" s="416" t="str">
        <f>IF(ISBLANK(TInspectieB[[#This Row],[Gebrek nr.]]),"",TInspectieB[[#This Row],[UVID]]&amp;"-"&amp;TInspectieB[[#This Row],[Gebrek nr.]])</f>
        <v/>
      </c>
      <c r="N60" s="417"/>
      <c r="O60" s="651"/>
      <c r="P60" s="206"/>
      <c r="Q60" s="193"/>
      <c r="R60" s="206"/>
      <c r="S60" s="206"/>
      <c r="T60" s="206"/>
      <c r="U60" s="206"/>
      <c r="V60" s="206"/>
      <c r="W60" s="419"/>
      <c r="X60" s="340"/>
      <c r="Y60" s="420"/>
      <c r="Z60" s="421" t="str">
        <f>IF(ISBLANK(TInspectieB[[#This Row],[Aantal]]),"",ROUND(TInspectieB[[#This Row],[Kengetal]]*TInspectieB[[#This Row],[Aantal]],-1))</f>
        <v/>
      </c>
      <c r="AA60" s="422" t="str">
        <f>IF(TInspectieB[[#This Row],[Vak-groep]]="","1",VLOOKUP(C60,$J$2:$K$7,2,FALSE))</f>
        <v>1</v>
      </c>
      <c r="AB60" s="423" t="str">
        <f>CONCATENATE(TInspectieB[[#This Row],[Soort gebrek]],TInspectieB[[#This Row],[Trede]])</f>
        <v>1</v>
      </c>
      <c r="AC60" s="413" t="e">
        <v>#N/A</v>
      </c>
      <c r="AD60" s="413" t="e">
        <v>#N/A</v>
      </c>
      <c r="AE60" s="424">
        <v>0</v>
      </c>
    </row>
    <row r="61" spans="1:31" ht="10.5" x14ac:dyDescent="0.25">
      <c r="A61" s="337" t="str" cm="1">
        <f t="array" ref="A61">IFERROR(INDEX(TInventB[UVID],ROUNDDOWN((ROW(A52)+1)/2,0)),"")</f>
        <v/>
      </c>
      <c r="B61" s="410" t="str">
        <f>IF(TInspectieB[[#This Row],[UVID]]="","",VLOOKUP(TInspectieB[[#This Row],[UVID]],TInventB[],2,FALSE))</f>
        <v/>
      </c>
      <c r="C61" s="365" t="str">
        <f>IF(TInspectieB[[#This Row],[UVID]]="","",VLOOKUP(TInspectieB[[#This Row],[UVID]],TInventB[],11,FALSE))</f>
        <v/>
      </c>
      <c r="D61" s="411" t="str">
        <f>IF(TInspectieB[[#This Row],[UVID]]="","",VLOOKUP(TInspectieB[[#This Row],[UVID]],TInventB[],3,FALSE))</f>
        <v/>
      </c>
      <c r="E61" s="338" t="str">
        <f>IF(TInspectieB[[#This Row],[Omschrijving bouwdeel]]="","",IF(MOD(ROW()-2,2)=0,"O",IF(TRIM(TInspectieB[[#This Row],[Code Bouwdeeltype]])="312010","O","E")))</f>
        <v/>
      </c>
      <c r="F61" s="412"/>
      <c r="G61" s="413" t="str">
        <f>IF(ISBLANK(TInspectieB[[#This Row],[Soort gebrek]]),"",VLOOKUP(TInspectieB[[#This Row],[Soort gebrek]],TSoortGebrek[#Data],3,FALSE))</f>
        <v/>
      </c>
      <c r="H61" s="413" t="str">
        <f>IF(ISBLANK(TInspectieB[[#This Row],[Soort gebrek]]),"",VLOOKUP(TInspectieB[[#This Row],[Soort gebrek]],TSoortGebrek[#Data],2,FALSE))</f>
        <v/>
      </c>
      <c r="I61" s="413" t="str">
        <f>IF(TInspectieB[[#This Row],[Soort gebrek]]=0,"",VLOOKUP(TInspectieB[[#This Row],[Soort gebrek]],TSoortGebrek[],4,FALSE))</f>
        <v/>
      </c>
      <c r="J61" s="425"/>
      <c r="K61" s="415" t="str">
        <f>IF(TInspectieB[[#This Row],[Soort gebrek]]=0,"",VLOOKUP(TInspectieB[[#This Row],[Combi]],TPrio[#Data],2,FALSE))</f>
        <v/>
      </c>
      <c r="L61" s="339"/>
      <c r="M61" s="416" t="str">
        <f>IF(ISBLANK(TInspectieB[[#This Row],[Gebrek nr.]]),"",TInspectieB[[#This Row],[UVID]]&amp;"-"&amp;TInspectieB[[#This Row],[Gebrek nr.]])</f>
        <v/>
      </c>
      <c r="N61" s="417"/>
      <c r="O61" s="651"/>
      <c r="P61" s="206"/>
      <c r="Q61" s="193"/>
      <c r="R61" s="206"/>
      <c r="S61" s="206"/>
      <c r="T61" s="206"/>
      <c r="U61" s="206"/>
      <c r="V61" s="206"/>
      <c r="W61" s="419"/>
      <c r="X61" s="340"/>
      <c r="Y61" s="420"/>
      <c r="Z61" s="421" t="str">
        <f>IF(ISBLANK(TInspectieB[[#This Row],[Aantal]]),"",ROUND(TInspectieB[[#This Row],[Kengetal]]*TInspectieB[[#This Row],[Aantal]],-1))</f>
        <v/>
      </c>
      <c r="AA61" s="422" t="str">
        <f>IF(TInspectieB[[#This Row],[Vak-groep]]="","1",VLOOKUP(C61,$J$2:$K$7,2,FALSE))</f>
        <v>1</v>
      </c>
      <c r="AB61" s="423" t="str">
        <f>CONCATENATE(TInspectieB[[#This Row],[Soort gebrek]],TInspectieB[[#This Row],[Trede]])</f>
        <v>1</v>
      </c>
      <c r="AC61" s="413" t="e">
        <v>#N/A</v>
      </c>
      <c r="AD61" s="413" t="e">
        <v>#N/A</v>
      </c>
      <c r="AE61" s="424">
        <v>0</v>
      </c>
    </row>
    <row r="62" spans="1:31" ht="10.5" x14ac:dyDescent="0.25">
      <c r="A62" s="337" t="str" cm="1">
        <f t="array" ref="A62">IFERROR(INDEX(TInventB[UVID],ROUNDDOWN((ROW(A53)+1)/2,0)),"")</f>
        <v/>
      </c>
      <c r="B62" s="410" t="str">
        <f>IF(TInspectieB[[#This Row],[UVID]]="","",VLOOKUP(TInspectieB[[#This Row],[UVID]],TInventB[],2,FALSE))</f>
        <v/>
      </c>
      <c r="C62" s="365" t="str">
        <f>IF(TInspectieB[[#This Row],[UVID]]="","",VLOOKUP(TInspectieB[[#This Row],[UVID]],TInventB[],11,FALSE))</f>
        <v/>
      </c>
      <c r="D62" s="411" t="str">
        <f>IF(TInspectieB[[#This Row],[UVID]]="","",VLOOKUP(TInspectieB[[#This Row],[UVID]],TInventB[],3,FALSE))</f>
        <v/>
      </c>
      <c r="E62" s="338" t="str">
        <f>IF(TInspectieB[[#This Row],[Omschrijving bouwdeel]]="","",IF(MOD(ROW()-2,2)=0,"O",IF(TRIM(TInspectieB[[#This Row],[Code Bouwdeeltype]])="312010","O","E")))</f>
        <v/>
      </c>
      <c r="F62" s="412"/>
      <c r="G62" s="413" t="str">
        <f>IF(ISBLANK(TInspectieB[[#This Row],[Soort gebrek]]),"",VLOOKUP(TInspectieB[[#This Row],[Soort gebrek]],TSoortGebrek[#Data],3,FALSE))</f>
        <v/>
      </c>
      <c r="H62" s="413" t="str">
        <f>IF(ISBLANK(TInspectieB[[#This Row],[Soort gebrek]]),"",VLOOKUP(TInspectieB[[#This Row],[Soort gebrek]],TSoortGebrek[#Data],2,FALSE))</f>
        <v/>
      </c>
      <c r="I62" s="413" t="str">
        <f>IF(TInspectieB[[#This Row],[Soort gebrek]]=0,"",VLOOKUP(TInspectieB[[#This Row],[Soort gebrek]],TSoortGebrek[],4,FALSE))</f>
        <v/>
      </c>
      <c r="J62" s="425"/>
      <c r="K62" s="415" t="str">
        <f>IF(TInspectieB[[#This Row],[Soort gebrek]]=0,"",VLOOKUP(TInspectieB[[#This Row],[Combi]],TPrio[#Data],2,FALSE))</f>
        <v/>
      </c>
      <c r="L62" s="339"/>
      <c r="M62" s="416" t="str">
        <f>IF(ISBLANK(TInspectieB[[#This Row],[Gebrek nr.]]),"",TInspectieB[[#This Row],[UVID]]&amp;"-"&amp;TInspectieB[[#This Row],[Gebrek nr.]])</f>
        <v/>
      </c>
      <c r="N62" s="417"/>
      <c r="O62" s="651"/>
      <c r="P62" s="206"/>
      <c r="Q62" s="193"/>
      <c r="R62" s="206"/>
      <c r="S62" s="206"/>
      <c r="T62" s="206"/>
      <c r="U62" s="206"/>
      <c r="V62" s="206"/>
      <c r="W62" s="419"/>
      <c r="X62" s="340"/>
      <c r="Y62" s="420"/>
      <c r="Z62" s="421" t="str">
        <f>IF(ISBLANK(TInspectieB[[#This Row],[Aantal]]),"",ROUND(TInspectieB[[#This Row],[Kengetal]]*TInspectieB[[#This Row],[Aantal]],-1))</f>
        <v/>
      </c>
      <c r="AA62" s="422" t="str">
        <f>IF(TInspectieB[[#This Row],[Vak-groep]]="","1",VLOOKUP(C62,$J$2:$K$7,2,FALSE))</f>
        <v>1</v>
      </c>
      <c r="AB62" s="423" t="str">
        <f>CONCATENATE(TInspectieB[[#This Row],[Soort gebrek]],TInspectieB[[#This Row],[Trede]])</f>
        <v>1</v>
      </c>
      <c r="AC62" s="413" t="e">
        <v>#N/A</v>
      </c>
      <c r="AD62" s="413" t="e">
        <v>#N/A</v>
      </c>
      <c r="AE62" s="424">
        <v>0</v>
      </c>
    </row>
    <row r="63" spans="1:31" ht="10.5" x14ac:dyDescent="0.25">
      <c r="A63" s="337" t="str" cm="1">
        <f t="array" ref="A63">IFERROR(INDEX(TInventB[UVID],ROUNDDOWN((ROW(A54)+1)/2,0)),"")</f>
        <v/>
      </c>
      <c r="B63" s="410" t="str">
        <f>IF(TInspectieB[[#This Row],[UVID]]="","",VLOOKUP(TInspectieB[[#This Row],[UVID]],TInventB[],2,FALSE))</f>
        <v/>
      </c>
      <c r="C63" s="365" t="str">
        <f>IF(TInspectieB[[#This Row],[UVID]]="","",VLOOKUP(TInspectieB[[#This Row],[UVID]],TInventB[],11,FALSE))</f>
        <v/>
      </c>
      <c r="D63" s="411" t="str">
        <f>IF(TInspectieB[[#This Row],[UVID]]="","",VLOOKUP(TInspectieB[[#This Row],[UVID]],TInventB[],3,FALSE))</f>
        <v/>
      </c>
      <c r="E63" s="338" t="str">
        <f>IF(TInspectieB[[#This Row],[Omschrijving bouwdeel]]="","",IF(MOD(ROW()-2,2)=0,"O",IF(TRIM(TInspectieB[[#This Row],[Code Bouwdeeltype]])="312010","O","E")))</f>
        <v/>
      </c>
      <c r="F63" s="412"/>
      <c r="G63" s="413" t="str">
        <f>IF(ISBLANK(TInspectieB[[#This Row],[Soort gebrek]]),"",VLOOKUP(TInspectieB[[#This Row],[Soort gebrek]],TSoortGebrek[#Data],3,FALSE))</f>
        <v/>
      </c>
      <c r="H63" s="413" t="str">
        <f>IF(ISBLANK(TInspectieB[[#This Row],[Soort gebrek]]),"",VLOOKUP(TInspectieB[[#This Row],[Soort gebrek]],TSoortGebrek[#Data],2,FALSE))</f>
        <v/>
      </c>
      <c r="I63" s="413" t="str">
        <f>IF(TInspectieB[[#This Row],[Soort gebrek]]=0,"",VLOOKUP(TInspectieB[[#This Row],[Soort gebrek]],TSoortGebrek[],4,FALSE))</f>
        <v/>
      </c>
      <c r="J63" s="425"/>
      <c r="K63" s="415" t="str">
        <f>IF(TInspectieB[[#This Row],[Soort gebrek]]=0,"",VLOOKUP(TInspectieB[[#This Row],[Combi]],TPrio[#Data],2,FALSE))</f>
        <v/>
      </c>
      <c r="L63" s="339"/>
      <c r="M63" s="416" t="str">
        <f>IF(ISBLANK(TInspectieB[[#This Row],[Gebrek nr.]]),"",TInspectieB[[#This Row],[UVID]]&amp;"-"&amp;TInspectieB[[#This Row],[Gebrek nr.]])</f>
        <v/>
      </c>
      <c r="N63" s="417"/>
      <c r="O63" s="651"/>
      <c r="P63" s="206"/>
      <c r="Q63" s="193"/>
      <c r="R63" s="206"/>
      <c r="S63" s="206"/>
      <c r="T63" s="206"/>
      <c r="U63" s="206"/>
      <c r="V63" s="206"/>
      <c r="W63" s="419"/>
      <c r="X63" s="340"/>
      <c r="Y63" s="420"/>
      <c r="Z63" s="421" t="str">
        <f>IF(ISBLANK(TInspectieB[[#This Row],[Aantal]]),"",ROUND(TInspectieB[[#This Row],[Kengetal]]*TInspectieB[[#This Row],[Aantal]],-1))</f>
        <v/>
      </c>
      <c r="AA63" s="422" t="str">
        <f>IF(TInspectieB[[#This Row],[Vak-groep]]="","1",VLOOKUP(C63,$J$2:$K$7,2,FALSE))</f>
        <v>1</v>
      </c>
      <c r="AB63" s="423" t="str">
        <f>CONCATENATE(TInspectieB[[#This Row],[Soort gebrek]],TInspectieB[[#This Row],[Trede]])</f>
        <v>1</v>
      </c>
      <c r="AC63" s="413" t="e">
        <v>#N/A</v>
      </c>
      <c r="AD63" s="413" t="e">
        <v>#N/A</v>
      </c>
      <c r="AE63" s="424">
        <v>0</v>
      </c>
    </row>
    <row r="64" spans="1:31" ht="10.5" x14ac:dyDescent="0.25">
      <c r="A64" s="337" t="str" cm="1">
        <f t="array" ref="A64">IFERROR(INDEX(TInventB[UVID],ROUNDDOWN((ROW(A55)+1)/2,0)),"")</f>
        <v/>
      </c>
      <c r="B64" s="410" t="str">
        <f>IF(TInspectieB[[#This Row],[UVID]]="","",VLOOKUP(TInspectieB[[#This Row],[UVID]],TInventB[],2,FALSE))</f>
        <v/>
      </c>
      <c r="C64" s="365" t="str">
        <f>IF(TInspectieB[[#This Row],[UVID]]="","",VLOOKUP(TInspectieB[[#This Row],[UVID]],TInventB[],11,FALSE))</f>
        <v/>
      </c>
      <c r="D64" s="411" t="str">
        <f>IF(TInspectieB[[#This Row],[UVID]]="","",VLOOKUP(TInspectieB[[#This Row],[UVID]],TInventB[],3,FALSE))</f>
        <v/>
      </c>
      <c r="E64" s="338" t="str">
        <f>IF(TInspectieB[[#This Row],[Omschrijving bouwdeel]]="","",IF(MOD(ROW()-2,2)=0,"O",IF(TRIM(TInspectieB[[#This Row],[Code Bouwdeeltype]])="312010","O","E")))</f>
        <v/>
      </c>
      <c r="F64" s="412"/>
      <c r="G64" s="413" t="str">
        <f>IF(ISBLANK(TInspectieB[[#This Row],[Soort gebrek]]),"",VLOOKUP(TInspectieB[[#This Row],[Soort gebrek]],TSoortGebrek[#Data],3,FALSE))</f>
        <v/>
      </c>
      <c r="H64" s="413" t="str">
        <f>IF(ISBLANK(TInspectieB[[#This Row],[Soort gebrek]]),"",VLOOKUP(TInspectieB[[#This Row],[Soort gebrek]],TSoortGebrek[#Data],2,FALSE))</f>
        <v/>
      </c>
      <c r="I64" s="413" t="str">
        <f>IF(TInspectieB[[#This Row],[Soort gebrek]]=0,"",VLOOKUP(TInspectieB[[#This Row],[Soort gebrek]],TSoortGebrek[],4,FALSE))</f>
        <v/>
      </c>
      <c r="J64" s="425"/>
      <c r="K64" s="415" t="str">
        <f>IF(TInspectieB[[#This Row],[Soort gebrek]]=0,"",VLOOKUP(TInspectieB[[#This Row],[Combi]],TPrio[#Data],2,FALSE))</f>
        <v/>
      </c>
      <c r="L64" s="339"/>
      <c r="M64" s="416" t="str">
        <f>IF(ISBLANK(TInspectieB[[#This Row],[Gebrek nr.]]),"",TInspectieB[[#This Row],[UVID]]&amp;"-"&amp;TInspectieB[[#This Row],[Gebrek nr.]])</f>
        <v/>
      </c>
      <c r="N64" s="417"/>
      <c r="O64" s="651"/>
      <c r="P64" s="206"/>
      <c r="Q64" s="193"/>
      <c r="R64" s="206"/>
      <c r="S64" s="206"/>
      <c r="T64" s="206"/>
      <c r="U64" s="206"/>
      <c r="V64" s="206"/>
      <c r="W64" s="419"/>
      <c r="X64" s="340"/>
      <c r="Y64" s="420"/>
      <c r="Z64" s="421" t="str">
        <f>IF(ISBLANK(TInspectieB[[#This Row],[Aantal]]),"",ROUND(TInspectieB[[#This Row],[Kengetal]]*TInspectieB[[#This Row],[Aantal]],-1))</f>
        <v/>
      </c>
      <c r="AA64" s="422" t="str">
        <f>IF(TInspectieB[[#This Row],[Vak-groep]]="","1",VLOOKUP(C64,$J$2:$K$7,2,FALSE))</f>
        <v>1</v>
      </c>
      <c r="AB64" s="423" t="str">
        <f>CONCATENATE(TInspectieB[[#This Row],[Soort gebrek]],TInspectieB[[#This Row],[Trede]])</f>
        <v>1</v>
      </c>
      <c r="AC64" s="413" t="e">
        <v>#N/A</v>
      </c>
      <c r="AD64" s="413" t="e">
        <v>#N/A</v>
      </c>
      <c r="AE64" s="424">
        <v>0</v>
      </c>
    </row>
    <row r="65" spans="1:31" ht="10.5" x14ac:dyDescent="0.25">
      <c r="A65" s="337" t="str" cm="1">
        <f t="array" ref="A65">IFERROR(INDEX(TInventB[UVID],ROUNDDOWN((ROW(A56)+1)/2,0)),"")</f>
        <v/>
      </c>
      <c r="B65" s="410" t="str">
        <f>IF(TInspectieB[[#This Row],[UVID]]="","",VLOOKUP(TInspectieB[[#This Row],[UVID]],TInventB[],2,FALSE))</f>
        <v/>
      </c>
      <c r="C65" s="365" t="str">
        <f>IF(TInspectieB[[#This Row],[UVID]]="","",VLOOKUP(TInspectieB[[#This Row],[UVID]],TInventB[],11,FALSE))</f>
        <v/>
      </c>
      <c r="D65" s="411" t="str">
        <f>IF(TInspectieB[[#This Row],[UVID]]="","",VLOOKUP(TInspectieB[[#This Row],[UVID]],TInventB[],3,FALSE))</f>
        <v/>
      </c>
      <c r="E65" s="338" t="str">
        <f>IF(TInspectieB[[#This Row],[Omschrijving bouwdeel]]="","",IF(MOD(ROW()-2,2)=0,"O",IF(TRIM(TInspectieB[[#This Row],[Code Bouwdeeltype]])="312010","O","E")))</f>
        <v/>
      </c>
      <c r="F65" s="412"/>
      <c r="G65" s="413" t="str">
        <f>IF(ISBLANK(TInspectieB[[#This Row],[Soort gebrek]]),"",VLOOKUP(TInspectieB[[#This Row],[Soort gebrek]],TSoortGebrek[#Data],3,FALSE))</f>
        <v/>
      </c>
      <c r="H65" s="413" t="str">
        <f>IF(ISBLANK(TInspectieB[[#This Row],[Soort gebrek]]),"",VLOOKUP(TInspectieB[[#This Row],[Soort gebrek]],TSoortGebrek[#Data],2,FALSE))</f>
        <v/>
      </c>
      <c r="I65" s="413" t="str">
        <f>IF(TInspectieB[[#This Row],[Soort gebrek]]=0,"",VLOOKUP(TInspectieB[[#This Row],[Soort gebrek]],TSoortGebrek[],4,FALSE))</f>
        <v/>
      </c>
      <c r="J65" s="425"/>
      <c r="K65" s="415" t="str">
        <f>IF(TInspectieB[[#This Row],[Soort gebrek]]=0,"",VLOOKUP(TInspectieB[[#This Row],[Combi]],TPrio[#Data],2,FALSE))</f>
        <v/>
      </c>
      <c r="L65" s="339"/>
      <c r="M65" s="416" t="str">
        <f>IF(ISBLANK(TInspectieB[[#This Row],[Gebrek nr.]]),"",TInspectieB[[#This Row],[UVID]]&amp;"-"&amp;TInspectieB[[#This Row],[Gebrek nr.]])</f>
        <v/>
      </c>
      <c r="N65" s="417"/>
      <c r="O65" s="651"/>
      <c r="P65" s="206"/>
      <c r="Q65" s="193"/>
      <c r="R65" s="206"/>
      <c r="S65" s="206"/>
      <c r="T65" s="206"/>
      <c r="U65" s="206"/>
      <c r="V65" s="206"/>
      <c r="W65" s="419"/>
      <c r="X65" s="340"/>
      <c r="Y65" s="420"/>
      <c r="Z65" s="421" t="str">
        <f>IF(ISBLANK(TInspectieB[[#This Row],[Aantal]]),"",ROUND(TInspectieB[[#This Row],[Kengetal]]*TInspectieB[[#This Row],[Aantal]],-1))</f>
        <v/>
      </c>
      <c r="AA65" s="422" t="str">
        <f>IF(TInspectieB[[#This Row],[Vak-groep]]="","1",VLOOKUP(C65,$J$2:$K$7,2,FALSE))</f>
        <v>1</v>
      </c>
      <c r="AB65" s="423" t="str">
        <f>CONCATENATE(TInspectieB[[#This Row],[Soort gebrek]],TInspectieB[[#This Row],[Trede]])</f>
        <v>1</v>
      </c>
      <c r="AC65" s="413" t="e">
        <v>#N/A</v>
      </c>
      <c r="AD65" s="413" t="e">
        <v>#N/A</v>
      </c>
      <c r="AE65" s="424">
        <v>0</v>
      </c>
    </row>
    <row r="66" spans="1:31" ht="10.5" x14ac:dyDescent="0.25">
      <c r="A66" s="337" t="str" cm="1">
        <f t="array" ref="A66">IFERROR(INDEX(TInventB[UVID],ROUNDDOWN((ROW(A57)+1)/2,0)),"")</f>
        <v/>
      </c>
      <c r="B66" s="410" t="str">
        <f>IF(TInspectieB[[#This Row],[UVID]]="","",VLOOKUP(TInspectieB[[#This Row],[UVID]],TInventB[],2,FALSE))</f>
        <v/>
      </c>
      <c r="C66" s="365" t="str">
        <f>IF(TInspectieB[[#This Row],[UVID]]="","",VLOOKUP(TInspectieB[[#This Row],[UVID]],TInventB[],11,FALSE))</f>
        <v/>
      </c>
      <c r="D66" s="411" t="str">
        <f>IF(TInspectieB[[#This Row],[UVID]]="","",VLOOKUP(TInspectieB[[#This Row],[UVID]],TInventB[],3,FALSE))</f>
        <v/>
      </c>
      <c r="E66" s="338" t="str">
        <f>IF(TInspectieB[[#This Row],[Omschrijving bouwdeel]]="","",IF(MOD(ROW()-2,2)=0,"O",IF(TRIM(TInspectieB[[#This Row],[Code Bouwdeeltype]])="312010","O","E")))</f>
        <v/>
      </c>
      <c r="F66" s="412"/>
      <c r="G66" s="413" t="str">
        <f>IF(ISBLANK(TInspectieB[[#This Row],[Soort gebrek]]),"",VLOOKUP(TInspectieB[[#This Row],[Soort gebrek]],TSoortGebrek[#Data],3,FALSE))</f>
        <v/>
      </c>
      <c r="H66" s="413" t="str">
        <f>IF(ISBLANK(TInspectieB[[#This Row],[Soort gebrek]]),"",VLOOKUP(TInspectieB[[#This Row],[Soort gebrek]],TSoortGebrek[#Data],2,FALSE))</f>
        <v/>
      </c>
      <c r="I66" s="413" t="str">
        <f>IF(TInspectieB[[#This Row],[Soort gebrek]]=0,"",VLOOKUP(TInspectieB[[#This Row],[Soort gebrek]],TSoortGebrek[],4,FALSE))</f>
        <v/>
      </c>
      <c r="J66" s="425"/>
      <c r="K66" s="415" t="str">
        <f>IF(TInspectieB[[#This Row],[Soort gebrek]]=0,"",VLOOKUP(TInspectieB[[#This Row],[Combi]],TPrio[#Data],2,FALSE))</f>
        <v/>
      </c>
      <c r="L66" s="339"/>
      <c r="M66" s="416" t="str">
        <f>IF(ISBLANK(TInspectieB[[#This Row],[Gebrek nr.]]),"",TInspectieB[[#This Row],[UVID]]&amp;"-"&amp;TInspectieB[[#This Row],[Gebrek nr.]])</f>
        <v/>
      </c>
      <c r="N66" s="417"/>
      <c r="O66" s="651"/>
      <c r="P66" s="206"/>
      <c r="Q66" s="193"/>
      <c r="R66" s="206"/>
      <c r="S66" s="206"/>
      <c r="T66" s="206"/>
      <c r="U66" s="206"/>
      <c r="V66" s="206"/>
      <c r="W66" s="419"/>
      <c r="X66" s="340"/>
      <c r="Y66" s="420"/>
      <c r="Z66" s="421" t="str">
        <f>IF(ISBLANK(TInspectieB[[#This Row],[Aantal]]),"",ROUND(TInspectieB[[#This Row],[Kengetal]]*TInspectieB[[#This Row],[Aantal]],-1))</f>
        <v/>
      </c>
      <c r="AA66" s="422" t="str">
        <f>IF(TInspectieB[[#This Row],[Vak-groep]]="","1",VLOOKUP(C66,$J$2:$K$7,2,FALSE))</f>
        <v>1</v>
      </c>
      <c r="AB66" s="423" t="str">
        <f>CONCATENATE(TInspectieB[[#This Row],[Soort gebrek]],TInspectieB[[#This Row],[Trede]])</f>
        <v>1</v>
      </c>
      <c r="AC66" s="413" t="e">
        <v>#N/A</v>
      </c>
      <c r="AD66" s="413" t="e">
        <v>#N/A</v>
      </c>
      <c r="AE66" s="424">
        <v>0</v>
      </c>
    </row>
    <row r="67" spans="1:31" ht="10.5" x14ac:dyDescent="0.25">
      <c r="A67" s="337" t="str" cm="1">
        <f t="array" ref="A67">IFERROR(INDEX(TInventB[UVID],ROUNDDOWN((ROW(A58)+1)/2,0)),"")</f>
        <v/>
      </c>
      <c r="B67" s="410" t="str">
        <f>IF(TInspectieB[[#This Row],[UVID]]="","",VLOOKUP(TInspectieB[[#This Row],[UVID]],TInventB[],2,FALSE))</f>
        <v/>
      </c>
      <c r="C67" s="365" t="str">
        <f>IF(TInspectieB[[#This Row],[UVID]]="","",VLOOKUP(TInspectieB[[#This Row],[UVID]],TInventB[],11,FALSE))</f>
        <v/>
      </c>
      <c r="D67" s="411" t="str">
        <f>IF(TInspectieB[[#This Row],[UVID]]="","",VLOOKUP(TInspectieB[[#This Row],[UVID]],TInventB[],3,FALSE))</f>
        <v/>
      </c>
      <c r="E67" s="338" t="str">
        <f>IF(TInspectieB[[#This Row],[Omschrijving bouwdeel]]="","",IF(MOD(ROW()-2,2)=0,"O",IF(TRIM(TInspectieB[[#This Row],[Code Bouwdeeltype]])="312010","O","E")))</f>
        <v/>
      </c>
      <c r="F67" s="412"/>
      <c r="G67" s="413" t="str">
        <f>IF(ISBLANK(TInspectieB[[#This Row],[Soort gebrek]]),"",VLOOKUP(TInspectieB[[#This Row],[Soort gebrek]],TSoortGebrek[#Data],3,FALSE))</f>
        <v/>
      </c>
      <c r="H67" s="413" t="str">
        <f>IF(ISBLANK(TInspectieB[[#This Row],[Soort gebrek]]),"",VLOOKUP(TInspectieB[[#This Row],[Soort gebrek]],TSoortGebrek[#Data],2,FALSE))</f>
        <v/>
      </c>
      <c r="I67" s="413" t="str">
        <f>IF(TInspectieB[[#This Row],[Soort gebrek]]=0,"",VLOOKUP(TInspectieB[[#This Row],[Soort gebrek]],TSoortGebrek[],4,FALSE))</f>
        <v/>
      </c>
      <c r="J67" s="425"/>
      <c r="K67" s="415" t="str">
        <f>IF(TInspectieB[[#This Row],[Soort gebrek]]=0,"",VLOOKUP(TInspectieB[[#This Row],[Combi]],TPrio[#Data],2,FALSE))</f>
        <v/>
      </c>
      <c r="L67" s="339"/>
      <c r="M67" s="416" t="str">
        <f>IF(ISBLANK(TInspectieB[[#This Row],[Gebrek nr.]]),"",TInspectieB[[#This Row],[UVID]]&amp;"-"&amp;TInspectieB[[#This Row],[Gebrek nr.]])</f>
        <v/>
      </c>
      <c r="N67" s="417"/>
      <c r="O67" s="651"/>
      <c r="P67" s="206"/>
      <c r="Q67" s="193"/>
      <c r="R67" s="206"/>
      <c r="S67" s="206"/>
      <c r="T67" s="206"/>
      <c r="U67" s="206"/>
      <c r="V67" s="206"/>
      <c r="W67" s="419"/>
      <c r="X67" s="340"/>
      <c r="Y67" s="420"/>
      <c r="Z67" s="421" t="str">
        <f>IF(ISBLANK(TInspectieB[[#This Row],[Aantal]]),"",ROUND(TInspectieB[[#This Row],[Kengetal]]*TInspectieB[[#This Row],[Aantal]],-1))</f>
        <v/>
      </c>
      <c r="AA67" s="422" t="str">
        <f>IF(TInspectieB[[#This Row],[Vak-groep]]="","1",VLOOKUP(C67,$J$2:$K$7,2,FALSE))</f>
        <v>1</v>
      </c>
      <c r="AB67" s="423" t="str">
        <f>CONCATENATE(TInspectieB[[#This Row],[Soort gebrek]],TInspectieB[[#This Row],[Trede]])</f>
        <v>1</v>
      </c>
      <c r="AC67" s="413" t="e">
        <v>#N/A</v>
      </c>
      <c r="AD67" s="413" t="e">
        <v>#N/A</v>
      </c>
      <c r="AE67" s="424">
        <v>0</v>
      </c>
    </row>
    <row r="68" spans="1:31" ht="10.5" x14ac:dyDescent="0.25">
      <c r="A68" s="337" t="str" cm="1">
        <f t="array" ref="A68">IFERROR(INDEX(TInventB[UVID],ROUNDDOWN((ROW(A59)+1)/2,0)),"")</f>
        <v/>
      </c>
      <c r="B68" s="410" t="str">
        <f>IF(TInspectieB[[#This Row],[UVID]]="","",VLOOKUP(TInspectieB[[#This Row],[UVID]],TInventB[],2,FALSE))</f>
        <v/>
      </c>
      <c r="C68" s="365" t="str">
        <f>IF(TInspectieB[[#This Row],[UVID]]="","",VLOOKUP(TInspectieB[[#This Row],[UVID]],TInventB[],11,FALSE))</f>
        <v/>
      </c>
      <c r="D68" s="411" t="str">
        <f>IF(TInspectieB[[#This Row],[UVID]]="","",VLOOKUP(TInspectieB[[#This Row],[UVID]],TInventB[],3,FALSE))</f>
        <v/>
      </c>
      <c r="E68" s="338" t="str">
        <f>IF(TInspectieB[[#This Row],[Omschrijving bouwdeel]]="","",IF(MOD(ROW()-2,2)=0,"O",IF(TRIM(TInspectieB[[#This Row],[Code Bouwdeeltype]])="312010","O","E")))</f>
        <v/>
      </c>
      <c r="F68" s="412"/>
      <c r="G68" s="413" t="str">
        <f>IF(ISBLANK(TInspectieB[[#This Row],[Soort gebrek]]),"",VLOOKUP(TInspectieB[[#This Row],[Soort gebrek]],TSoortGebrek[#Data],3,FALSE))</f>
        <v/>
      </c>
      <c r="H68" s="413" t="str">
        <f>IF(ISBLANK(TInspectieB[[#This Row],[Soort gebrek]]),"",VLOOKUP(TInspectieB[[#This Row],[Soort gebrek]],TSoortGebrek[#Data],2,FALSE))</f>
        <v/>
      </c>
      <c r="I68" s="413" t="str">
        <f>IF(TInspectieB[[#This Row],[Soort gebrek]]=0,"",VLOOKUP(TInspectieB[[#This Row],[Soort gebrek]],TSoortGebrek[],4,FALSE))</f>
        <v/>
      </c>
      <c r="J68" s="425"/>
      <c r="K68" s="415" t="str">
        <f>IF(TInspectieB[[#This Row],[Soort gebrek]]=0,"",VLOOKUP(TInspectieB[[#This Row],[Combi]],TPrio[#Data],2,FALSE))</f>
        <v/>
      </c>
      <c r="L68" s="339"/>
      <c r="M68" s="416" t="str">
        <f>IF(ISBLANK(TInspectieB[[#This Row],[Gebrek nr.]]),"",TInspectieB[[#This Row],[UVID]]&amp;"-"&amp;TInspectieB[[#This Row],[Gebrek nr.]])</f>
        <v/>
      </c>
      <c r="N68" s="417"/>
      <c r="O68" s="651"/>
      <c r="P68" s="206"/>
      <c r="Q68" s="193"/>
      <c r="R68" s="206"/>
      <c r="S68" s="206"/>
      <c r="T68" s="206"/>
      <c r="U68" s="206"/>
      <c r="V68" s="206"/>
      <c r="W68" s="419"/>
      <c r="X68" s="340"/>
      <c r="Y68" s="420"/>
      <c r="Z68" s="421" t="str">
        <f>IF(ISBLANK(TInspectieB[[#This Row],[Aantal]]),"",ROUND(TInspectieB[[#This Row],[Kengetal]]*TInspectieB[[#This Row],[Aantal]],-1))</f>
        <v/>
      </c>
      <c r="AA68" s="422" t="str">
        <f>IF(TInspectieB[[#This Row],[Vak-groep]]="","1",VLOOKUP(C68,$J$2:$K$7,2,FALSE))</f>
        <v>1</v>
      </c>
      <c r="AB68" s="423" t="str">
        <f>CONCATENATE(TInspectieB[[#This Row],[Soort gebrek]],TInspectieB[[#This Row],[Trede]])</f>
        <v>1</v>
      </c>
      <c r="AC68" s="413" t="e">
        <v>#N/A</v>
      </c>
      <c r="AD68" s="413" t="e">
        <v>#N/A</v>
      </c>
      <c r="AE68" s="424">
        <v>0</v>
      </c>
    </row>
    <row r="69" spans="1:31" ht="10.5" x14ac:dyDescent="0.25">
      <c r="A69" s="337" t="str" cm="1">
        <f t="array" ref="A69">IFERROR(INDEX(TInventB[UVID],ROUNDDOWN((ROW(A60)+1)/2,0)),"")</f>
        <v/>
      </c>
      <c r="B69" s="410" t="str">
        <f>IF(TInspectieB[[#This Row],[UVID]]="","",VLOOKUP(TInspectieB[[#This Row],[UVID]],TInventB[],2,FALSE))</f>
        <v/>
      </c>
      <c r="C69" s="365" t="str">
        <f>IF(TInspectieB[[#This Row],[UVID]]="","",VLOOKUP(TInspectieB[[#This Row],[UVID]],TInventB[],11,FALSE))</f>
        <v/>
      </c>
      <c r="D69" s="411" t="str">
        <f>IF(TInspectieB[[#This Row],[UVID]]="","",VLOOKUP(TInspectieB[[#This Row],[UVID]],TInventB[],3,FALSE))</f>
        <v/>
      </c>
      <c r="E69" s="338" t="str">
        <f>IF(TInspectieB[[#This Row],[Omschrijving bouwdeel]]="","",IF(MOD(ROW()-2,2)=0,"O",IF(TRIM(TInspectieB[[#This Row],[Code Bouwdeeltype]])="312010","O","E")))</f>
        <v/>
      </c>
      <c r="F69" s="412"/>
      <c r="G69" s="413" t="str">
        <f>IF(ISBLANK(TInspectieB[[#This Row],[Soort gebrek]]),"",VLOOKUP(TInspectieB[[#This Row],[Soort gebrek]],TSoortGebrek[#Data],3,FALSE))</f>
        <v/>
      </c>
      <c r="H69" s="413" t="str">
        <f>IF(ISBLANK(TInspectieB[[#This Row],[Soort gebrek]]),"",VLOOKUP(TInspectieB[[#This Row],[Soort gebrek]],TSoortGebrek[#Data],2,FALSE))</f>
        <v/>
      </c>
      <c r="I69" s="413" t="str">
        <f>IF(TInspectieB[[#This Row],[Soort gebrek]]=0,"",VLOOKUP(TInspectieB[[#This Row],[Soort gebrek]],TSoortGebrek[],4,FALSE))</f>
        <v/>
      </c>
      <c r="J69" s="425"/>
      <c r="K69" s="415" t="str">
        <f>IF(TInspectieB[[#This Row],[Soort gebrek]]=0,"",VLOOKUP(TInspectieB[[#This Row],[Combi]],TPrio[#Data],2,FALSE))</f>
        <v/>
      </c>
      <c r="L69" s="339"/>
      <c r="M69" s="416" t="str">
        <f>IF(ISBLANK(TInspectieB[[#This Row],[Gebrek nr.]]),"",TInspectieB[[#This Row],[UVID]]&amp;"-"&amp;TInspectieB[[#This Row],[Gebrek nr.]])</f>
        <v/>
      </c>
      <c r="N69" s="417"/>
      <c r="O69" s="651"/>
      <c r="P69" s="206"/>
      <c r="Q69" s="193"/>
      <c r="R69" s="206"/>
      <c r="S69" s="206"/>
      <c r="T69" s="206"/>
      <c r="U69" s="206"/>
      <c r="V69" s="206"/>
      <c r="W69" s="419"/>
      <c r="X69" s="340"/>
      <c r="Y69" s="420"/>
      <c r="Z69" s="421" t="str">
        <f>IF(ISBLANK(TInspectieB[[#This Row],[Aantal]]),"",ROUND(TInspectieB[[#This Row],[Kengetal]]*TInspectieB[[#This Row],[Aantal]],-1))</f>
        <v/>
      </c>
      <c r="AA69" s="422" t="str">
        <f>IF(TInspectieB[[#This Row],[Vak-groep]]="","1",VLOOKUP(C69,$J$2:$K$7,2,FALSE))</f>
        <v>1</v>
      </c>
      <c r="AB69" s="423" t="str">
        <f>CONCATENATE(TInspectieB[[#This Row],[Soort gebrek]],TInspectieB[[#This Row],[Trede]])</f>
        <v>1</v>
      </c>
      <c r="AC69" s="413" t="e">
        <v>#N/A</v>
      </c>
      <c r="AD69" s="413" t="e">
        <v>#N/A</v>
      </c>
      <c r="AE69" s="424">
        <v>0</v>
      </c>
    </row>
    <row r="70" spans="1:31" ht="10.5" x14ac:dyDescent="0.25">
      <c r="A70" s="337" t="str" cm="1">
        <f t="array" ref="A70">IFERROR(INDEX(TInventB[UVID],ROUNDDOWN((ROW(A61)+1)/2,0)),"")</f>
        <v/>
      </c>
      <c r="B70" s="410" t="str">
        <f>IF(TInspectieB[[#This Row],[UVID]]="","",VLOOKUP(TInspectieB[[#This Row],[UVID]],TInventB[],2,FALSE))</f>
        <v/>
      </c>
      <c r="C70" s="365" t="str">
        <f>IF(TInspectieB[[#This Row],[UVID]]="","",VLOOKUP(TInspectieB[[#This Row],[UVID]],TInventB[],11,FALSE))</f>
        <v/>
      </c>
      <c r="D70" s="411" t="str">
        <f>IF(TInspectieB[[#This Row],[UVID]]="","",VLOOKUP(TInspectieB[[#This Row],[UVID]],TInventB[],3,FALSE))</f>
        <v/>
      </c>
      <c r="E70" s="338" t="str">
        <f>IF(TInspectieB[[#This Row],[Omschrijving bouwdeel]]="","",IF(MOD(ROW()-2,2)=0,"O",IF(TRIM(TInspectieB[[#This Row],[Code Bouwdeeltype]])="312010","O","E")))</f>
        <v/>
      </c>
      <c r="F70" s="412"/>
      <c r="G70" s="413" t="str">
        <f>IF(ISBLANK(TInspectieB[[#This Row],[Soort gebrek]]),"",VLOOKUP(TInspectieB[[#This Row],[Soort gebrek]],TSoortGebrek[#Data],3,FALSE))</f>
        <v/>
      </c>
      <c r="H70" s="413" t="str">
        <f>IF(ISBLANK(TInspectieB[[#This Row],[Soort gebrek]]),"",VLOOKUP(TInspectieB[[#This Row],[Soort gebrek]],TSoortGebrek[#Data],2,FALSE))</f>
        <v/>
      </c>
      <c r="I70" s="413" t="str">
        <f>IF(TInspectieB[[#This Row],[Soort gebrek]]=0,"",VLOOKUP(TInspectieB[[#This Row],[Soort gebrek]],TSoortGebrek[],4,FALSE))</f>
        <v/>
      </c>
      <c r="J70" s="425"/>
      <c r="K70" s="415" t="str">
        <f>IF(TInspectieB[[#This Row],[Soort gebrek]]=0,"",VLOOKUP(TInspectieB[[#This Row],[Combi]],TPrio[#Data],2,FALSE))</f>
        <v/>
      </c>
      <c r="L70" s="339"/>
      <c r="M70" s="416" t="str">
        <f>IF(ISBLANK(TInspectieB[[#This Row],[Gebrek nr.]]),"",TInspectieB[[#This Row],[UVID]]&amp;"-"&amp;TInspectieB[[#This Row],[Gebrek nr.]])</f>
        <v/>
      </c>
      <c r="N70" s="417"/>
      <c r="O70" s="651"/>
      <c r="P70" s="206"/>
      <c r="Q70" s="193"/>
      <c r="R70" s="206"/>
      <c r="S70" s="206"/>
      <c r="T70" s="206"/>
      <c r="U70" s="206"/>
      <c r="V70" s="206"/>
      <c r="W70" s="419"/>
      <c r="X70" s="340"/>
      <c r="Y70" s="420"/>
      <c r="Z70" s="421" t="str">
        <f>IF(ISBLANK(TInspectieB[[#This Row],[Aantal]]),"",ROUND(TInspectieB[[#This Row],[Kengetal]]*TInspectieB[[#This Row],[Aantal]],-1))</f>
        <v/>
      </c>
      <c r="AA70" s="422" t="str">
        <f>IF(TInspectieB[[#This Row],[Vak-groep]]="","1",VLOOKUP(C70,$J$2:$K$7,2,FALSE))</f>
        <v>1</v>
      </c>
      <c r="AB70" s="423" t="str">
        <f>CONCATENATE(TInspectieB[[#This Row],[Soort gebrek]],TInspectieB[[#This Row],[Trede]])</f>
        <v>1</v>
      </c>
      <c r="AC70" s="413" t="e">
        <v>#N/A</v>
      </c>
      <c r="AD70" s="413" t="e">
        <v>#N/A</v>
      </c>
      <c r="AE70" s="424">
        <v>0</v>
      </c>
    </row>
    <row r="71" spans="1:31" ht="10.5" x14ac:dyDescent="0.25">
      <c r="A71" s="337" t="str" cm="1">
        <f t="array" ref="A71">IFERROR(INDEX(TInventB[UVID],ROUNDDOWN((ROW(A62)+1)/2,0)),"")</f>
        <v/>
      </c>
      <c r="B71" s="410" t="str">
        <f>IF(TInspectieB[[#This Row],[UVID]]="","",VLOOKUP(TInspectieB[[#This Row],[UVID]],TInventB[],2,FALSE))</f>
        <v/>
      </c>
      <c r="C71" s="365" t="str">
        <f>IF(TInspectieB[[#This Row],[UVID]]="","",VLOOKUP(TInspectieB[[#This Row],[UVID]],TInventB[],11,FALSE))</f>
        <v/>
      </c>
      <c r="D71" s="411" t="str">
        <f>IF(TInspectieB[[#This Row],[UVID]]="","",VLOOKUP(TInspectieB[[#This Row],[UVID]],TInventB[],3,FALSE))</f>
        <v/>
      </c>
      <c r="E71" s="338" t="str">
        <f>IF(TInspectieB[[#This Row],[Omschrijving bouwdeel]]="","",IF(MOD(ROW()-2,2)=0,"O",IF(TRIM(TInspectieB[[#This Row],[Code Bouwdeeltype]])="312010","O","E")))</f>
        <v/>
      </c>
      <c r="F71" s="412"/>
      <c r="G71" s="413" t="str">
        <f>IF(ISBLANK(TInspectieB[[#This Row],[Soort gebrek]]),"",VLOOKUP(TInspectieB[[#This Row],[Soort gebrek]],TSoortGebrek[#Data],3,FALSE))</f>
        <v/>
      </c>
      <c r="H71" s="413" t="str">
        <f>IF(ISBLANK(TInspectieB[[#This Row],[Soort gebrek]]),"",VLOOKUP(TInspectieB[[#This Row],[Soort gebrek]],TSoortGebrek[#Data],2,FALSE))</f>
        <v/>
      </c>
      <c r="I71" s="413" t="str">
        <f>IF(TInspectieB[[#This Row],[Soort gebrek]]=0,"",VLOOKUP(TInspectieB[[#This Row],[Soort gebrek]],TSoortGebrek[],4,FALSE))</f>
        <v/>
      </c>
      <c r="J71" s="425"/>
      <c r="K71" s="415" t="str">
        <f>IF(TInspectieB[[#This Row],[Soort gebrek]]=0,"",VLOOKUP(TInspectieB[[#This Row],[Combi]],TPrio[#Data],2,FALSE))</f>
        <v/>
      </c>
      <c r="L71" s="339"/>
      <c r="M71" s="416" t="str">
        <f>IF(ISBLANK(TInspectieB[[#This Row],[Gebrek nr.]]),"",TInspectieB[[#This Row],[UVID]]&amp;"-"&amp;TInspectieB[[#This Row],[Gebrek nr.]])</f>
        <v/>
      </c>
      <c r="N71" s="417"/>
      <c r="O71" s="651"/>
      <c r="P71" s="206"/>
      <c r="Q71" s="193"/>
      <c r="R71" s="206"/>
      <c r="S71" s="206"/>
      <c r="T71" s="206"/>
      <c r="U71" s="206"/>
      <c r="V71" s="206"/>
      <c r="W71" s="419"/>
      <c r="X71" s="340"/>
      <c r="Y71" s="420"/>
      <c r="Z71" s="421" t="str">
        <f>IF(ISBLANK(TInspectieB[[#This Row],[Aantal]]),"",ROUND(TInspectieB[[#This Row],[Kengetal]]*TInspectieB[[#This Row],[Aantal]],-1))</f>
        <v/>
      </c>
      <c r="AA71" s="422" t="str">
        <f>IF(TInspectieB[[#This Row],[Vak-groep]]="","1",VLOOKUP(C71,$J$2:$K$7,2,FALSE))</f>
        <v>1</v>
      </c>
      <c r="AB71" s="423" t="str">
        <f>CONCATENATE(TInspectieB[[#This Row],[Soort gebrek]],TInspectieB[[#This Row],[Trede]])</f>
        <v>1</v>
      </c>
      <c r="AC71" s="413" t="e">
        <v>#N/A</v>
      </c>
      <c r="AD71" s="413" t="e">
        <v>#N/A</v>
      </c>
      <c r="AE71" s="424">
        <v>0</v>
      </c>
    </row>
    <row r="72" spans="1:31" ht="10.5" x14ac:dyDescent="0.25">
      <c r="A72" s="337" t="str" cm="1">
        <f t="array" ref="A72">IFERROR(INDEX(TInventB[UVID],ROUNDDOWN((ROW(A63)+1)/2,0)),"")</f>
        <v/>
      </c>
      <c r="B72" s="410" t="str">
        <f>IF(TInspectieB[[#This Row],[UVID]]="","",VLOOKUP(TInspectieB[[#This Row],[UVID]],TInventB[],2,FALSE))</f>
        <v/>
      </c>
      <c r="C72" s="365" t="str">
        <f>IF(TInspectieB[[#This Row],[UVID]]="","",VLOOKUP(TInspectieB[[#This Row],[UVID]],TInventB[],11,FALSE))</f>
        <v/>
      </c>
      <c r="D72" s="411" t="str">
        <f>IF(TInspectieB[[#This Row],[UVID]]="","",VLOOKUP(TInspectieB[[#This Row],[UVID]],TInventB[],3,FALSE))</f>
        <v/>
      </c>
      <c r="E72" s="338" t="str">
        <f>IF(TInspectieB[[#This Row],[Omschrijving bouwdeel]]="","",IF(MOD(ROW()-2,2)=0,"O",IF(TRIM(TInspectieB[[#This Row],[Code Bouwdeeltype]])="312010","O","E")))</f>
        <v/>
      </c>
      <c r="F72" s="412"/>
      <c r="G72" s="413" t="str">
        <f>IF(ISBLANK(TInspectieB[[#This Row],[Soort gebrek]]),"",VLOOKUP(TInspectieB[[#This Row],[Soort gebrek]],TSoortGebrek[#Data],3,FALSE))</f>
        <v/>
      </c>
      <c r="H72" s="413" t="str">
        <f>IF(ISBLANK(TInspectieB[[#This Row],[Soort gebrek]]),"",VLOOKUP(TInspectieB[[#This Row],[Soort gebrek]],TSoortGebrek[#Data],2,FALSE))</f>
        <v/>
      </c>
      <c r="I72" s="413" t="str">
        <f>IF(TInspectieB[[#This Row],[Soort gebrek]]=0,"",VLOOKUP(TInspectieB[[#This Row],[Soort gebrek]],TSoortGebrek[],4,FALSE))</f>
        <v/>
      </c>
      <c r="J72" s="425"/>
      <c r="K72" s="415" t="str">
        <f>IF(TInspectieB[[#This Row],[Soort gebrek]]=0,"",VLOOKUP(TInspectieB[[#This Row],[Combi]],TPrio[#Data],2,FALSE))</f>
        <v/>
      </c>
      <c r="L72" s="339"/>
      <c r="M72" s="416" t="str">
        <f>IF(ISBLANK(TInspectieB[[#This Row],[Gebrek nr.]]),"",TInspectieB[[#This Row],[UVID]]&amp;"-"&amp;TInspectieB[[#This Row],[Gebrek nr.]])</f>
        <v/>
      </c>
      <c r="N72" s="417"/>
      <c r="O72" s="651"/>
      <c r="P72" s="206"/>
      <c r="Q72" s="193"/>
      <c r="R72" s="206"/>
      <c r="S72" s="206"/>
      <c r="T72" s="206"/>
      <c r="U72" s="206"/>
      <c r="V72" s="206"/>
      <c r="W72" s="419"/>
      <c r="X72" s="340"/>
      <c r="Y72" s="420"/>
      <c r="Z72" s="421" t="str">
        <f>IF(ISBLANK(TInspectieB[[#This Row],[Aantal]]),"",ROUND(TInspectieB[[#This Row],[Kengetal]]*TInspectieB[[#This Row],[Aantal]],-1))</f>
        <v/>
      </c>
      <c r="AA72" s="422" t="str">
        <f>IF(TInspectieB[[#This Row],[Vak-groep]]="","1",VLOOKUP(C72,$J$2:$K$7,2,FALSE))</f>
        <v>1</v>
      </c>
      <c r="AB72" s="423" t="str">
        <f>CONCATENATE(TInspectieB[[#This Row],[Soort gebrek]],TInspectieB[[#This Row],[Trede]])</f>
        <v>1</v>
      </c>
      <c r="AC72" s="413" t="e">
        <v>#N/A</v>
      </c>
      <c r="AD72" s="413" t="e">
        <v>#N/A</v>
      </c>
      <c r="AE72" s="424">
        <v>0</v>
      </c>
    </row>
    <row r="73" spans="1:31" ht="10.5" x14ac:dyDescent="0.25">
      <c r="A73" s="337" t="str" cm="1">
        <f t="array" ref="A73">IFERROR(INDEX(TInventB[UVID],ROUNDDOWN((ROW(A64)+1)/2,0)),"")</f>
        <v/>
      </c>
      <c r="B73" s="410" t="str">
        <f>IF(TInspectieB[[#This Row],[UVID]]="","",VLOOKUP(TInspectieB[[#This Row],[UVID]],TInventB[],2,FALSE))</f>
        <v/>
      </c>
      <c r="C73" s="365" t="str">
        <f>IF(TInspectieB[[#This Row],[UVID]]="","",VLOOKUP(TInspectieB[[#This Row],[UVID]],TInventB[],11,FALSE))</f>
        <v/>
      </c>
      <c r="D73" s="411" t="str">
        <f>IF(TInspectieB[[#This Row],[UVID]]="","",VLOOKUP(TInspectieB[[#This Row],[UVID]],TInventB[],3,FALSE))</f>
        <v/>
      </c>
      <c r="E73" s="338" t="str">
        <f>IF(TInspectieB[[#This Row],[Omschrijving bouwdeel]]="","",IF(MOD(ROW()-2,2)=0,"O",IF(TRIM(TInspectieB[[#This Row],[Code Bouwdeeltype]])="312010","O","E")))</f>
        <v/>
      </c>
      <c r="F73" s="412"/>
      <c r="G73" s="413" t="str">
        <f>IF(ISBLANK(TInspectieB[[#This Row],[Soort gebrek]]),"",VLOOKUP(TInspectieB[[#This Row],[Soort gebrek]],TSoortGebrek[#Data],3,FALSE))</f>
        <v/>
      </c>
      <c r="H73" s="413" t="str">
        <f>IF(ISBLANK(TInspectieB[[#This Row],[Soort gebrek]]),"",VLOOKUP(TInspectieB[[#This Row],[Soort gebrek]],TSoortGebrek[#Data],2,FALSE))</f>
        <v/>
      </c>
      <c r="I73" s="413" t="str">
        <f>IF(TInspectieB[[#This Row],[Soort gebrek]]=0,"",VLOOKUP(TInspectieB[[#This Row],[Soort gebrek]],TSoortGebrek[],4,FALSE))</f>
        <v/>
      </c>
      <c r="J73" s="425"/>
      <c r="K73" s="415" t="str">
        <f>IF(TInspectieB[[#This Row],[Soort gebrek]]=0,"",VLOOKUP(TInspectieB[[#This Row],[Combi]],TPrio[#Data],2,FALSE))</f>
        <v/>
      </c>
      <c r="L73" s="339"/>
      <c r="M73" s="416" t="str">
        <f>IF(ISBLANK(TInspectieB[[#This Row],[Gebrek nr.]]),"",TInspectieB[[#This Row],[UVID]]&amp;"-"&amp;TInspectieB[[#This Row],[Gebrek nr.]])</f>
        <v/>
      </c>
      <c r="N73" s="417"/>
      <c r="O73" s="651"/>
      <c r="P73" s="206"/>
      <c r="Q73" s="193"/>
      <c r="R73" s="206"/>
      <c r="S73" s="206"/>
      <c r="T73" s="206"/>
      <c r="U73" s="206"/>
      <c r="V73" s="206"/>
      <c r="W73" s="419"/>
      <c r="X73" s="340"/>
      <c r="Y73" s="420"/>
      <c r="Z73" s="421" t="str">
        <f>IF(ISBLANK(TInspectieB[[#This Row],[Aantal]]),"",ROUND(TInspectieB[[#This Row],[Kengetal]]*TInspectieB[[#This Row],[Aantal]],-1))</f>
        <v/>
      </c>
      <c r="AA73" s="422" t="str">
        <f>IF(TInspectieB[[#This Row],[Vak-groep]]="","1",VLOOKUP(C73,$J$2:$K$7,2,FALSE))</f>
        <v>1</v>
      </c>
      <c r="AB73" s="423" t="str">
        <f>CONCATENATE(TInspectieB[[#This Row],[Soort gebrek]],TInspectieB[[#This Row],[Trede]])</f>
        <v>1</v>
      </c>
      <c r="AC73" s="413" t="e">
        <v>#N/A</v>
      </c>
      <c r="AD73" s="413" t="e">
        <v>#N/A</v>
      </c>
      <c r="AE73" s="424">
        <v>0</v>
      </c>
    </row>
    <row r="74" spans="1:31" ht="10.5" x14ac:dyDescent="0.25">
      <c r="A74" s="337" t="str" cm="1">
        <f t="array" ref="A74">IFERROR(INDEX(TInventB[UVID],ROUNDDOWN((ROW(A65)+1)/2,0)),"")</f>
        <v/>
      </c>
      <c r="B74" s="410" t="str">
        <f>IF(TInspectieB[[#This Row],[UVID]]="","",VLOOKUP(TInspectieB[[#This Row],[UVID]],TInventB[],2,FALSE))</f>
        <v/>
      </c>
      <c r="C74" s="365" t="str">
        <f>IF(TInspectieB[[#This Row],[UVID]]="","",VLOOKUP(TInspectieB[[#This Row],[UVID]],TInventB[],11,FALSE))</f>
        <v/>
      </c>
      <c r="D74" s="411" t="str">
        <f>IF(TInspectieB[[#This Row],[UVID]]="","",VLOOKUP(TInspectieB[[#This Row],[UVID]],TInventB[],3,FALSE))</f>
        <v/>
      </c>
      <c r="E74" s="338" t="str">
        <f>IF(TInspectieB[[#This Row],[Omschrijving bouwdeel]]="","",IF(MOD(ROW()-2,2)=0,"O",IF(TRIM(TInspectieB[[#This Row],[Code Bouwdeeltype]])="312010","O","E")))</f>
        <v/>
      </c>
      <c r="F74" s="412"/>
      <c r="G74" s="413" t="str">
        <f>IF(ISBLANK(TInspectieB[[#This Row],[Soort gebrek]]),"",VLOOKUP(TInspectieB[[#This Row],[Soort gebrek]],TSoortGebrek[#Data],3,FALSE))</f>
        <v/>
      </c>
      <c r="H74" s="413" t="str">
        <f>IF(ISBLANK(TInspectieB[[#This Row],[Soort gebrek]]),"",VLOOKUP(TInspectieB[[#This Row],[Soort gebrek]],TSoortGebrek[#Data],2,FALSE))</f>
        <v/>
      </c>
      <c r="I74" s="413" t="str">
        <f>IF(TInspectieB[[#This Row],[Soort gebrek]]=0,"",VLOOKUP(TInspectieB[[#This Row],[Soort gebrek]],TSoortGebrek[],4,FALSE))</f>
        <v/>
      </c>
      <c r="J74" s="425"/>
      <c r="K74" s="415" t="str">
        <f>IF(TInspectieB[[#This Row],[Soort gebrek]]=0,"",VLOOKUP(TInspectieB[[#This Row],[Combi]],TPrio[#Data],2,FALSE))</f>
        <v/>
      </c>
      <c r="L74" s="339"/>
      <c r="M74" s="416" t="str">
        <f>IF(ISBLANK(TInspectieB[[#This Row],[Gebrek nr.]]),"",TInspectieB[[#This Row],[UVID]]&amp;"-"&amp;TInspectieB[[#This Row],[Gebrek nr.]])</f>
        <v/>
      </c>
      <c r="N74" s="417"/>
      <c r="O74" s="651"/>
      <c r="P74" s="206"/>
      <c r="Q74" s="193"/>
      <c r="R74" s="206"/>
      <c r="S74" s="206"/>
      <c r="T74" s="206"/>
      <c r="U74" s="206"/>
      <c r="V74" s="206"/>
      <c r="W74" s="419"/>
      <c r="X74" s="340"/>
      <c r="Y74" s="420"/>
      <c r="Z74" s="421" t="str">
        <f>IF(ISBLANK(TInspectieB[[#This Row],[Aantal]]),"",ROUND(TInspectieB[[#This Row],[Kengetal]]*TInspectieB[[#This Row],[Aantal]],-1))</f>
        <v/>
      </c>
      <c r="AA74" s="422" t="str">
        <f>IF(TInspectieB[[#This Row],[Vak-groep]]="","1",VLOOKUP(C74,$J$2:$K$7,2,FALSE))</f>
        <v>1</v>
      </c>
      <c r="AB74" s="423" t="str">
        <f>CONCATENATE(TInspectieB[[#This Row],[Soort gebrek]],TInspectieB[[#This Row],[Trede]])</f>
        <v>1</v>
      </c>
      <c r="AC74" s="413" t="e">
        <v>#N/A</v>
      </c>
      <c r="AD74" s="413" t="e">
        <v>#N/A</v>
      </c>
      <c r="AE74" s="424">
        <v>0</v>
      </c>
    </row>
    <row r="75" spans="1:31" ht="10.5" x14ac:dyDescent="0.25">
      <c r="A75" s="337" t="str" cm="1">
        <f t="array" ref="A75">IFERROR(INDEX(TInventB[UVID],ROUNDDOWN((ROW(A66)+1)/2,0)),"")</f>
        <v/>
      </c>
      <c r="B75" s="410" t="str">
        <f>IF(TInspectieB[[#This Row],[UVID]]="","",VLOOKUP(TInspectieB[[#This Row],[UVID]],TInventB[],2,FALSE))</f>
        <v/>
      </c>
      <c r="C75" s="365" t="str">
        <f>IF(TInspectieB[[#This Row],[UVID]]="","",VLOOKUP(TInspectieB[[#This Row],[UVID]],TInventB[],11,FALSE))</f>
        <v/>
      </c>
      <c r="D75" s="411" t="str">
        <f>IF(TInspectieB[[#This Row],[UVID]]="","",VLOOKUP(TInspectieB[[#This Row],[UVID]],TInventB[],3,FALSE))</f>
        <v/>
      </c>
      <c r="E75" s="338" t="str">
        <f>IF(TInspectieB[[#This Row],[Omschrijving bouwdeel]]="","",IF(MOD(ROW()-2,2)=0,"O",IF(TRIM(TInspectieB[[#This Row],[Code Bouwdeeltype]])="312010","O","E")))</f>
        <v/>
      </c>
      <c r="F75" s="412"/>
      <c r="G75" s="413" t="str">
        <f>IF(ISBLANK(TInspectieB[[#This Row],[Soort gebrek]]),"",VLOOKUP(TInspectieB[[#This Row],[Soort gebrek]],TSoortGebrek[#Data],3,FALSE))</f>
        <v/>
      </c>
      <c r="H75" s="413" t="str">
        <f>IF(ISBLANK(TInspectieB[[#This Row],[Soort gebrek]]),"",VLOOKUP(TInspectieB[[#This Row],[Soort gebrek]],TSoortGebrek[#Data],2,FALSE))</f>
        <v/>
      </c>
      <c r="I75" s="413" t="str">
        <f>IF(TInspectieB[[#This Row],[Soort gebrek]]=0,"",VLOOKUP(TInspectieB[[#This Row],[Soort gebrek]],TSoortGebrek[],4,FALSE))</f>
        <v/>
      </c>
      <c r="J75" s="425"/>
      <c r="K75" s="415" t="str">
        <f>IF(TInspectieB[[#This Row],[Soort gebrek]]=0,"",VLOOKUP(TInspectieB[[#This Row],[Combi]],TPrio[#Data],2,FALSE))</f>
        <v/>
      </c>
      <c r="L75" s="339"/>
      <c r="M75" s="416" t="str">
        <f>IF(ISBLANK(TInspectieB[[#This Row],[Gebrek nr.]]),"",TInspectieB[[#This Row],[UVID]]&amp;"-"&amp;TInspectieB[[#This Row],[Gebrek nr.]])</f>
        <v/>
      </c>
      <c r="N75" s="417"/>
      <c r="O75" s="651"/>
      <c r="P75" s="206"/>
      <c r="Q75" s="193"/>
      <c r="R75" s="206"/>
      <c r="S75" s="206"/>
      <c r="T75" s="206"/>
      <c r="U75" s="206"/>
      <c r="V75" s="206"/>
      <c r="W75" s="419"/>
      <c r="X75" s="340"/>
      <c r="Y75" s="420"/>
      <c r="Z75" s="421" t="str">
        <f>IF(ISBLANK(TInspectieB[[#This Row],[Aantal]]),"",ROUND(TInspectieB[[#This Row],[Kengetal]]*TInspectieB[[#This Row],[Aantal]],-1))</f>
        <v/>
      </c>
      <c r="AA75" s="422" t="str">
        <f>IF(TInspectieB[[#This Row],[Vak-groep]]="","1",VLOOKUP(C75,$J$2:$K$7,2,FALSE))</f>
        <v>1</v>
      </c>
      <c r="AB75" s="423" t="str">
        <f>CONCATENATE(TInspectieB[[#This Row],[Soort gebrek]],TInspectieB[[#This Row],[Trede]])</f>
        <v>1</v>
      </c>
      <c r="AC75" s="413" t="e">
        <v>#N/A</v>
      </c>
      <c r="AD75" s="413" t="e">
        <v>#N/A</v>
      </c>
      <c r="AE75" s="424">
        <v>0</v>
      </c>
    </row>
    <row r="76" spans="1:31" ht="10.5" x14ac:dyDescent="0.25">
      <c r="A76" s="337" t="str" cm="1">
        <f t="array" ref="A76">IFERROR(INDEX(TInventB[UVID],ROUNDDOWN((ROW(A67)+1)/2,0)),"")</f>
        <v/>
      </c>
      <c r="B76" s="410" t="str">
        <f>IF(TInspectieB[[#This Row],[UVID]]="","",VLOOKUP(TInspectieB[[#This Row],[UVID]],TInventB[],2,FALSE))</f>
        <v/>
      </c>
      <c r="C76" s="365" t="str">
        <f>IF(TInspectieB[[#This Row],[UVID]]="","",VLOOKUP(TInspectieB[[#This Row],[UVID]],TInventB[],11,FALSE))</f>
        <v/>
      </c>
      <c r="D76" s="411" t="str">
        <f>IF(TInspectieB[[#This Row],[UVID]]="","",VLOOKUP(TInspectieB[[#This Row],[UVID]],TInventB[],3,FALSE))</f>
        <v/>
      </c>
      <c r="E76" s="338" t="str">
        <f>IF(TInspectieB[[#This Row],[Omschrijving bouwdeel]]="","",IF(MOD(ROW()-2,2)=0,"O",IF(TRIM(TInspectieB[[#This Row],[Code Bouwdeeltype]])="312010","O","E")))</f>
        <v/>
      </c>
      <c r="F76" s="412"/>
      <c r="G76" s="413" t="str">
        <f>IF(ISBLANK(TInspectieB[[#This Row],[Soort gebrek]]),"",VLOOKUP(TInspectieB[[#This Row],[Soort gebrek]],TSoortGebrek[#Data],3,FALSE))</f>
        <v/>
      </c>
      <c r="H76" s="413" t="str">
        <f>IF(ISBLANK(TInspectieB[[#This Row],[Soort gebrek]]),"",VLOOKUP(TInspectieB[[#This Row],[Soort gebrek]],TSoortGebrek[#Data],2,FALSE))</f>
        <v/>
      </c>
      <c r="I76" s="413" t="str">
        <f>IF(TInspectieB[[#This Row],[Soort gebrek]]=0,"",VLOOKUP(TInspectieB[[#This Row],[Soort gebrek]],TSoortGebrek[],4,FALSE))</f>
        <v/>
      </c>
      <c r="J76" s="425"/>
      <c r="K76" s="415" t="str">
        <f>IF(TInspectieB[[#This Row],[Soort gebrek]]=0,"",VLOOKUP(TInspectieB[[#This Row],[Combi]],TPrio[#Data],2,FALSE))</f>
        <v/>
      </c>
      <c r="L76" s="339"/>
      <c r="M76" s="416" t="str">
        <f>IF(ISBLANK(TInspectieB[[#This Row],[Gebrek nr.]]),"",TInspectieB[[#This Row],[UVID]]&amp;"-"&amp;TInspectieB[[#This Row],[Gebrek nr.]])</f>
        <v/>
      </c>
      <c r="N76" s="417"/>
      <c r="O76" s="651"/>
      <c r="P76" s="206"/>
      <c r="Q76" s="193"/>
      <c r="R76" s="206"/>
      <c r="S76" s="206"/>
      <c r="T76" s="206"/>
      <c r="U76" s="206"/>
      <c r="V76" s="206"/>
      <c r="W76" s="419"/>
      <c r="X76" s="340"/>
      <c r="Y76" s="420"/>
      <c r="Z76" s="421" t="str">
        <f>IF(ISBLANK(TInspectieB[[#This Row],[Aantal]]),"",ROUND(TInspectieB[[#This Row],[Kengetal]]*TInspectieB[[#This Row],[Aantal]],-1))</f>
        <v/>
      </c>
      <c r="AA76" s="422" t="str">
        <f>IF(TInspectieB[[#This Row],[Vak-groep]]="","1",VLOOKUP(C76,$J$2:$K$7,2,FALSE))</f>
        <v>1</v>
      </c>
      <c r="AB76" s="423" t="str">
        <f>CONCATENATE(TInspectieB[[#This Row],[Soort gebrek]],TInspectieB[[#This Row],[Trede]])</f>
        <v>1</v>
      </c>
      <c r="AC76" s="413" t="e">
        <v>#N/A</v>
      </c>
      <c r="AD76" s="413" t="e">
        <v>#N/A</v>
      </c>
      <c r="AE76" s="424">
        <v>0</v>
      </c>
    </row>
    <row r="77" spans="1:31" ht="10.5" x14ac:dyDescent="0.25">
      <c r="A77" s="337" t="str" cm="1">
        <f t="array" ref="A77">IFERROR(INDEX(TInventB[UVID],ROUNDDOWN((ROW(A68)+1)/2,0)),"")</f>
        <v/>
      </c>
      <c r="B77" s="410" t="str">
        <f>IF(TInspectieB[[#This Row],[UVID]]="","",VLOOKUP(TInspectieB[[#This Row],[UVID]],TInventB[],2,FALSE))</f>
        <v/>
      </c>
      <c r="C77" s="365" t="str">
        <f>IF(TInspectieB[[#This Row],[UVID]]="","",VLOOKUP(TInspectieB[[#This Row],[UVID]],TInventB[],11,FALSE))</f>
        <v/>
      </c>
      <c r="D77" s="411" t="str">
        <f>IF(TInspectieB[[#This Row],[UVID]]="","",VLOOKUP(TInspectieB[[#This Row],[UVID]],TInventB[],3,FALSE))</f>
        <v/>
      </c>
      <c r="E77" s="338" t="str">
        <f>IF(TInspectieB[[#This Row],[Omschrijving bouwdeel]]="","",IF(MOD(ROW()-2,2)=0,"O",IF(TRIM(TInspectieB[[#This Row],[Code Bouwdeeltype]])="312010","O","E")))</f>
        <v/>
      </c>
      <c r="F77" s="412"/>
      <c r="G77" s="413" t="str">
        <f>IF(ISBLANK(TInspectieB[[#This Row],[Soort gebrek]]),"",VLOOKUP(TInspectieB[[#This Row],[Soort gebrek]],TSoortGebrek[#Data],3,FALSE))</f>
        <v/>
      </c>
      <c r="H77" s="413" t="str">
        <f>IF(ISBLANK(TInspectieB[[#This Row],[Soort gebrek]]),"",VLOOKUP(TInspectieB[[#This Row],[Soort gebrek]],TSoortGebrek[#Data],2,FALSE))</f>
        <v/>
      </c>
      <c r="I77" s="413" t="str">
        <f>IF(TInspectieB[[#This Row],[Soort gebrek]]=0,"",VLOOKUP(TInspectieB[[#This Row],[Soort gebrek]],TSoortGebrek[],4,FALSE))</f>
        <v/>
      </c>
      <c r="J77" s="425"/>
      <c r="K77" s="415" t="str">
        <f>IF(TInspectieB[[#This Row],[Soort gebrek]]=0,"",VLOOKUP(TInspectieB[[#This Row],[Combi]],TPrio[#Data],2,FALSE))</f>
        <v/>
      </c>
      <c r="L77" s="339"/>
      <c r="M77" s="416" t="str">
        <f>IF(ISBLANK(TInspectieB[[#This Row],[Gebrek nr.]]),"",TInspectieB[[#This Row],[UVID]]&amp;"-"&amp;TInspectieB[[#This Row],[Gebrek nr.]])</f>
        <v/>
      </c>
      <c r="N77" s="417"/>
      <c r="O77" s="651"/>
      <c r="P77" s="206"/>
      <c r="Q77" s="193"/>
      <c r="R77" s="206"/>
      <c r="S77" s="206"/>
      <c r="T77" s="206"/>
      <c r="U77" s="206"/>
      <c r="V77" s="206"/>
      <c r="W77" s="419"/>
      <c r="X77" s="340"/>
      <c r="Y77" s="420"/>
      <c r="Z77" s="421" t="str">
        <f>IF(ISBLANK(TInspectieB[[#This Row],[Aantal]]),"",ROUND(TInspectieB[[#This Row],[Kengetal]]*TInspectieB[[#This Row],[Aantal]],-1))</f>
        <v/>
      </c>
      <c r="AA77" s="422" t="str">
        <f>IF(TInspectieB[[#This Row],[Vak-groep]]="","1",VLOOKUP(C77,$J$2:$K$7,2,FALSE))</f>
        <v>1</v>
      </c>
      <c r="AB77" s="423" t="str">
        <f>CONCATENATE(TInspectieB[[#This Row],[Soort gebrek]],TInspectieB[[#This Row],[Trede]])</f>
        <v>1</v>
      </c>
      <c r="AC77" s="413" t="e">
        <v>#N/A</v>
      </c>
      <c r="AD77" s="413" t="e">
        <v>#N/A</v>
      </c>
      <c r="AE77" s="424">
        <v>0</v>
      </c>
    </row>
    <row r="78" spans="1:31" ht="10.5" x14ac:dyDescent="0.25">
      <c r="A78" s="337" t="str" cm="1">
        <f t="array" ref="A78">IFERROR(INDEX(TInventB[UVID],ROUNDDOWN((ROW(A69)+1)/2,0)),"")</f>
        <v/>
      </c>
      <c r="B78" s="410" t="str">
        <f>IF(TInspectieB[[#This Row],[UVID]]="","",VLOOKUP(TInspectieB[[#This Row],[UVID]],TInventB[],2,FALSE))</f>
        <v/>
      </c>
      <c r="C78" s="365" t="str">
        <f>IF(TInspectieB[[#This Row],[UVID]]="","",VLOOKUP(TInspectieB[[#This Row],[UVID]],TInventB[],11,FALSE))</f>
        <v/>
      </c>
      <c r="D78" s="411" t="str">
        <f>IF(TInspectieB[[#This Row],[UVID]]="","",VLOOKUP(TInspectieB[[#This Row],[UVID]],TInventB[],3,FALSE))</f>
        <v/>
      </c>
      <c r="E78" s="338" t="str">
        <f>IF(TInspectieB[[#This Row],[Omschrijving bouwdeel]]="","",IF(MOD(ROW()-2,2)=0,"O",IF(TRIM(TInspectieB[[#This Row],[Code Bouwdeeltype]])="312010","O","E")))</f>
        <v/>
      </c>
      <c r="F78" s="412"/>
      <c r="G78" s="413" t="str">
        <f>IF(ISBLANK(TInspectieB[[#This Row],[Soort gebrek]]),"",VLOOKUP(TInspectieB[[#This Row],[Soort gebrek]],TSoortGebrek[#Data],3,FALSE))</f>
        <v/>
      </c>
      <c r="H78" s="413" t="str">
        <f>IF(ISBLANK(TInspectieB[[#This Row],[Soort gebrek]]),"",VLOOKUP(TInspectieB[[#This Row],[Soort gebrek]],TSoortGebrek[#Data],2,FALSE))</f>
        <v/>
      </c>
      <c r="I78" s="413" t="str">
        <f>IF(TInspectieB[[#This Row],[Soort gebrek]]=0,"",VLOOKUP(TInspectieB[[#This Row],[Soort gebrek]],TSoortGebrek[],4,FALSE))</f>
        <v/>
      </c>
      <c r="J78" s="425"/>
      <c r="K78" s="415" t="str">
        <f>IF(TInspectieB[[#This Row],[Soort gebrek]]=0,"",VLOOKUP(TInspectieB[[#This Row],[Combi]],TPrio[#Data],2,FALSE))</f>
        <v/>
      </c>
      <c r="L78" s="339"/>
      <c r="M78" s="416" t="str">
        <f>IF(ISBLANK(TInspectieB[[#This Row],[Gebrek nr.]]),"",TInspectieB[[#This Row],[UVID]]&amp;"-"&amp;TInspectieB[[#This Row],[Gebrek nr.]])</f>
        <v/>
      </c>
      <c r="N78" s="417"/>
      <c r="O78" s="651"/>
      <c r="P78" s="206"/>
      <c r="Q78" s="193"/>
      <c r="R78" s="206"/>
      <c r="S78" s="206"/>
      <c r="T78" s="206"/>
      <c r="U78" s="206"/>
      <c r="V78" s="206"/>
      <c r="W78" s="419"/>
      <c r="X78" s="340"/>
      <c r="Y78" s="420"/>
      <c r="Z78" s="421" t="str">
        <f>IF(ISBLANK(TInspectieB[[#This Row],[Aantal]]),"",ROUND(TInspectieB[[#This Row],[Kengetal]]*TInspectieB[[#This Row],[Aantal]],-1))</f>
        <v/>
      </c>
      <c r="AA78" s="422" t="str">
        <f>IF(TInspectieB[[#This Row],[Vak-groep]]="","1",VLOOKUP(C78,$J$2:$K$7,2,FALSE))</f>
        <v>1</v>
      </c>
      <c r="AB78" s="423" t="str">
        <f>CONCATENATE(TInspectieB[[#This Row],[Soort gebrek]],TInspectieB[[#This Row],[Trede]])</f>
        <v>1</v>
      </c>
      <c r="AC78" s="413" t="e">
        <v>#N/A</v>
      </c>
      <c r="AD78" s="413" t="e">
        <v>#N/A</v>
      </c>
      <c r="AE78" s="424">
        <v>0</v>
      </c>
    </row>
    <row r="79" spans="1:31" ht="10.5" x14ac:dyDescent="0.25">
      <c r="A79" s="337" t="str" cm="1">
        <f t="array" ref="A79">IFERROR(INDEX(TInventB[UVID],ROUNDDOWN((ROW(A70)+1)/2,0)),"")</f>
        <v/>
      </c>
      <c r="B79" s="410" t="str">
        <f>IF(TInspectieB[[#This Row],[UVID]]="","",VLOOKUP(TInspectieB[[#This Row],[UVID]],TInventB[],2,FALSE))</f>
        <v/>
      </c>
      <c r="C79" s="365" t="str">
        <f>IF(TInspectieB[[#This Row],[UVID]]="","",VLOOKUP(TInspectieB[[#This Row],[UVID]],TInventB[],11,FALSE))</f>
        <v/>
      </c>
      <c r="D79" s="411" t="str">
        <f>IF(TInspectieB[[#This Row],[UVID]]="","",VLOOKUP(TInspectieB[[#This Row],[UVID]],TInventB[],3,FALSE))</f>
        <v/>
      </c>
      <c r="E79" s="338" t="str">
        <f>IF(TInspectieB[[#This Row],[Omschrijving bouwdeel]]="","",IF(MOD(ROW()-2,2)=0,"O",IF(TRIM(TInspectieB[[#This Row],[Code Bouwdeeltype]])="312010","O","E")))</f>
        <v/>
      </c>
      <c r="F79" s="412"/>
      <c r="G79" s="413" t="str">
        <f>IF(ISBLANK(TInspectieB[[#This Row],[Soort gebrek]]),"",VLOOKUP(TInspectieB[[#This Row],[Soort gebrek]],TSoortGebrek[#Data],3,FALSE))</f>
        <v/>
      </c>
      <c r="H79" s="413" t="str">
        <f>IF(ISBLANK(TInspectieB[[#This Row],[Soort gebrek]]),"",VLOOKUP(TInspectieB[[#This Row],[Soort gebrek]],TSoortGebrek[#Data],2,FALSE))</f>
        <v/>
      </c>
      <c r="I79" s="413" t="str">
        <f>IF(TInspectieB[[#This Row],[Soort gebrek]]=0,"",VLOOKUP(TInspectieB[[#This Row],[Soort gebrek]],TSoortGebrek[],4,FALSE))</f>
        <v/>
      </c>
      <c r="J79" s="425"/>
      <c r="K79" s="415" t="str">
        <f>IF(TInspectieB[[#This Row],[Soort gebrek]]=0,"",VLOOKUP(TInspectieB[[#This Row],[Combi]],TPrio[#Data],2,FALSE))</f>
        <v/>
      </c>
      <c r="L79" s="339"/>
      <c r="M79" s="416" t="str">
        <f>IF(ISBLANK(TInspectieB[[#This Row],[Gebrek nr.]]),"",TInspectieB[[#This Row],[UVID]]&amp;"-"&amp;TInspectieB[[#This Row],[Gebrek nr.]])</f>
        <v/>
      </c>
      <c r="N79" s="417"/>
      <c r="O79" s="651"/>
      <c r="P79" s="206"/>
      <c r="Q79" s="193"/>
      <c r="R79" s="206"/>
      <c r="S79" s="206"/>
      <c r="T79" s="206"/>
      <c r="U79" s="206"/>
      <c r="V79" s="206"/>
      <c r="W79" s="419"/>
      <c r="X79" s="340"/>
      <c r="Y79" s="420"/>
      <c r="Z79" s="421" t="str">
        <f>IF(ISBLANK(TInspectieB[[#This Row],[Aantal]]),"",ROUND(TInspectieB[[#This Row],[Kengetal]]*TInspectieB[[#This Row],[Aantal]],-1))</f>
        <v/>
      </c>
      <c r="AA79" s="422" t="str">
        <f>IF(TInspectieB[[#This Row],[Vak-groep]]="","1",VLOOKUP(C79,$J$2:$K$7,2,FALSE))</f>
        <v>1</v>
      </c>
      <c r="AB79" s="423" t="str">
        <f>CONCATENATE(TInspectieB[[#This Row],[Soort gebrek]],TInspectieB[[#This Row],[Trede]])</f>
        <v>1</v>
      </c>
      <c r="AC79" s="413" t="e">
        <v>#N/A</v>
      </c>
      <c r="AD79" s="413" t="e">
        <v>#N/A</v>
      </c>
      <c r="AE79" s="424">
        <v>0</v>
      </c>
    </row>
    <row r="80" spans="1:31" ht="10.5" x14ac:dyDescent="0.25">
      <c r="A80" s="337" t="str" cm="1">
        <f t="array" ref="A80">IFERROR(INDEX(TInventB[UVID],ROUNDDOWN((ROW(A71)+1)/2,0)),"")</f>
        <v/>
      </c>
      <c r="B80" s="410" t="str">
        <f>IF(TInspectieB[[#This Row],[UVID]]="","",VLOOKUP(TInspectieB[[#This Row],[UVID]],TInventB[],2,FALSE))</f>
        <v/>
      </c>
      <c r="C80" s="365" t="str">
        <f>IF(TInspectieB[[#This Row],[UVID]]="","",VLOOKUP(TInspectieB[[#This Row],[UVID]],TInventB[],11,FALSE))</f>
        <v/>
      </c>
      <c r="D80" s="411" t="str">
        <f>IF(TInspectieB[[#This Row],[UVID]]="","",VLOOKUP(TInspectieB[[#This Row],[UVID]],TInventB[],3,FALSE))</f>
        <v/>
      </c>
      <c r="E80" s="338" t="str">
        <f>IF(TInspectieB[[#This Row],[Omschrijving bouwdeel]]="","",IF(MOD(ROW()-2,2)=0,"O",IF(TRIM(TInspectieB[[#This Row],[Code Bouwdeeltype]])="312010","O","E")))</f>
        <v/>
      </c>
      <c r="F80" s="412"/>
      <c r="G80" s="413" t="str">
        <f>IF(ISBLANK(TInspectieB[[#This Row],[Soort gebrek]]),"",VLOOKUP(TInspectieB[[#This Row],[Soort gebrek]],TSoortGebrek[#Data],3,FALSE))</f>
        <v/>
      </c>
      <c r="H80" s="413" t="str">
        <f>IF(ISBLANK(TInspectieB[[#This Row],[Soort gebrek]]),"",VLOOKUP(TInspectieB[[#This Row],[Soort gebrek]],TSoortGebrek[#Data],2,FALSE))</f>
        <v/>
      </c>
      <c r="I80" s="413" t="str">
        <f>IF(TInspectieB[[#This Row],[Soort gebrek]]=0,"",VLOOKUP(TInspectieB[[#This Row],[Soort gebrek]],TSoortGebrek[],4,FALSE))</f>
        <v/>
      </c>
      <c r="J80" s="425"/>
      <c r="K80" s="415" t="str">
        <f>IF(TInspectieB[[#This Row],[Soort gebrek]]=0,"",VLOOKUP(TInspectieB[[#This Row],[Combi]],TPrio[#Data],2,FALSE))</f>
        <v/>
      </c>
      <c r="L80" s="339"/>
      <c r="M80" s="416" t="str">
        <f>IF(ISBLANK(TInspectieB[[#This Row],[Gebrek nr.]]),"",TInspectieB[[#This Row],[UVID]]&amp;"-"&amp;TInspectieB[[#This Row],[Gebrek nr.]])</f>
        <v/>
      </c>
      <c r="N80" s="417"/>
      <c r="O80" s="651"/>
      <c r="P80" s="206"/>
      <c r="Q80" s="193"/>
      <c r="R80" s="206"/>
      <c r="S80" s="206"/>
      <c r="T80" s="206"/>
      <c r="U80" s="206"/>
      <c r="V80" s="206"/>
      <c r="W80" s="419"/>
      <c r="X80" s="340"/>
      <c r="Y80" s="420"/>
      <c r="Z80" s="421" t="str">
        <f>IF(ISBLANK(TInspectieB[[#This Row],[Aantal]]),"",ROUND(TInspectieB[[#This Row],[Kengetal]]*TInspectieB[[#This Row],[Aantal]],-1))</f>
        <v/>
      </c>
      <c r="AA80" s="422" t="str">
        <f>IF(TInspectieB[[#This Row],[Vak-groep]]="","1",VLOOKUP(C80,$J$2:$K$7,2,FALSE))</f>
        <v>1</v>
      </c>
      <c r="AB80" s="423" t="str">
        <f>CONCATENATE(TInspectieB[[#This Row],[Soort gebrek]],TInspectieB[[#This Row],[Trede]])</f>
        <v>1</v>
      </c>
      <c r="AC80" s="413" t="e">
        <v>#N/A</v>
      </c>
      <c r="AD80" s="413" t="e">
        <v>#N/A</v>
      </c>
      <c r="AE80" s="424">
        <v>0</v>
      </c>
    </row>
    <row r="81" spans="1:31" ht="10.5" x14ac:dyDescent="0.25">
      <c r="A81" s="337" t="str" cm="1">
        <f t="array" ref="A81">IFERROR(INDEX(TInventB[UVID],ROUNDDOWN((ROW(A72)+1)/2,0)),"")</f>
        <v/>
      </c>
      <c r="B81" s="410" t="str">
        <f>IF(TInspectieB[[#This Row],[UVID]]="","",VLOOKUP(TInspectieB[[#This Row],[UVID]],TInventB[],2,FALSE))</f>
        <v/>
      </c>
      <c r="C81" s="365" t="str">
        <f>IF(TInspectieB[[#This Row],[UVID]]="","",VLOOKUP(TInspectieB[[#This Row],[UVID]],TInventB[],11,FALSE))</f>
        <v/>
      </c>
      <c r="D81" s="411" t="str">
        <f>IF(TInspectieB[[#This Row],[UVID]]="","",VLOOKUP(TInspectieB[[#This Row],[UVID]],TInventB[],3,FALSE))</f>
        <v/>
      </c>
      <c r="E81" s="338" t="str">
        <f>IF(TInspectieB[[#This Row],[Omschrijving bouwdeel]]="","",IF(MOD(ROW()-2,2)=0,"O",IF(TRIM(TInspectieB[[#This Row],[Code Bouwdeeltype]])="312010","O","E")))</f>
        <v/>
      </c>
      <c r="F81" s="412"/>
      <c r="G81" s="413" t="str">
        <f>IF(ISBLANK(TInspectieB[[#This Row],[Soort gebrek]]),"",VLOOKUP(TInspectieB[[#This Row],[Soort gebrek]],TSoortGebrek[#Data],3,FALSE))</f>
        <v/>
      </c>
      <c r="H81" s="413" t="str">
        <f>IF(ISBLANK(TInspectieB[[#This Row],[Soort gebrek]]),"",VLOOKUP(TInspectieB[[#This Row],[Soort gebrek]],TSoortGebrek[#Data],2,FALSE))</f>
        <v/>
      </c>
      <c r="I81" s="413" t="str">
        <f>IF(TInspectieB[[#This Row],[Soort gebrek]]=0,"",VLOOKUP(TInspectieB[[#This Row],[Soort gebrek]],TSoortGebrek[],4,FALSE))</f>
        <v/>
      </c>
      <c r="J81" s="425"/>
      <c r="K81" s="415" t="str">
        <f>IF(TInspectieB[[#This Row],[Soort gebrek]]=0,"",VLOOKUP(TInspectieB[[#This Row],[Combi]],TPrio[#Data],2,FALSE))</f>
        <v/>
      </c>
      <c r="L81" s="339"/>
      <c r="M81" s="416" t="str">
        <f>IF(ISBLANK(TInspectieB[[#This Row],[Gebrek nr.]]),"",TInspectieB[[#This Row],[UVID]]&amp;"-"&amp;TInspectieB[[#This Row],[Gebrek nr.]])</f>
        <v/>
      </c>
      <c r="N81" s="417"/>
      <c r="O81" s="651"/>
      <c r="P81" s="206"/>
      <c r="Q81" s="193"/>
      <c r="R81" s="206"/>
      <c r="S81" s="206"/>
      <c r="T81" s="206"/>
      <c r="U81" s="206"/>
      <c r="V81" s="206"/>
      <c r="W81" s="419"/>
      <c r="X81" s="340"/>
      <c r="Y81" s="420"/>
      <c r="Z81" s="421" t="str">
        <f>IF(ISBLANK(TInspectieB[[#This Row],[Aantal]]),"",ROUND(TInspectieB[[#This Row],[Kengetal]]*TInspectieB[[#This Row],[Aantal]],-1))</f>
        <v/>
      </c>
      <c r="AA81" s="422" t="str">
        <f>IF(TInspectieB[[#This Row],[Vak-groep]]="","1",VLOOKUP(C81,$J$2:$K$7,2,FALSE))</f>
        <v>1</v>
      </c>
      <c r="AB81" s="423" t="str">
        <f>CONCATENATE(TInspectieB[[#This Row],[Soort gebrek]],TInspectieB[[#This Row],[Trede]])</f>
        <v>1</v>
      </c>
      <c r="AC81" s="413" t="e">
        <v>#N/A</v>
      </c>
      <c r="AD81" s="413" t="e">
        <v>#N/A</v>
      </c>
      <c r="AE81" s="424">
        <v>0</v>
      </c>
    </row>
    <row r="82" spans="1:31" ht="10.5" x14ac:dyDescent="0.25">
      <c r="A82" s="337" t="str" cm="1">
        <f t="array" ref="A82">IFERROR(INDEX(TInventB[UVID],ROUNDDOWN((ROW(A73)+1)/2,0)),"")</f>
        <v/>
      </c>
      <c r="B82" s="410" t="str">
        <f>IF(TInspectieB[[#This Row],[UVID]]="","",VLOOKUP(TInspectieB[[#This Row],[UVID]],TInventB[],2,FALSE))</f>
        <v/>
      </c>
      <c r="C82" s="365" t="str">
        <f>IF(TInspectieB[[#This Row],[UVID]]="","",VLOOKUP(TInspectieB[[#This Row],[UVID]],TInventB[],11,FALSE))</f>
        <v/>
      </c>
      <c r="D82" s="411" t="str">
        <f>IF(TInspectieB[[#This Row],[UVID]]="","",VLOOKUP(TInspectieB[[#This Row],[UVID]],TInventB[],3,FALSE))</f>
        <v/>
      </c>
      <c r="E82" s="338" t="str">
        <f>IF(TInspectieB[[#This Row],[Omschrijving bouwdeel]]="","",IF(MOD(ROW()-2,2)=0,"O",IF(TRIM(TInspectieB[[#This Row],[Code Bouwdeeltype]])="312010","O","E")))</f>
        <v/>
      </c>
      <c r="F82" s="412"/>
      <c r="G82" s="413" t="str">
        <f>IF(ISBLANK(TInspectieB[[#This Row],[Soort gebrek]]),"",VLOOKUP(TInspectieB[[#This Row],[Soort gebrek]],TSoortGebrek[#Data],3,FALSE))</f>
        <v/>
      </c>
      <c r="H82" s="413" t="str">
        <f>IF(ISBLANK(TInspectieB[[#This Row],[Soort gebrek]]),"",VLOOKUP(TInspectieB[[#This Row],[Soort gebrek]],TSoortGebrek[#Data],2,FALSE))</f>
        <v/>
      </c>
      <c r="I82" s="413" t="str">
        <f>IF(TInspectieB[[#This Row],[Soort gebrek]]=0,"",VLOOKUP(TInspectieB[[#This Row],[Soort gebrek]],TSoortGebrek[],4,FALSE))</f>
        <v/>
      </c>
      <c r="J82" s="425"/>
      <c r="K82" s="415" t="str">
        <f>IF(TInspectieB[[#This Row],[Soort gebrek]]=0,"",VLOOKUP(TInspectieB[[#This Row],[Combi]],TPrio[#Data],2,FALSE))</f>
        <v/>
      </c>
      <c r="L82" s="339"/>
      <c r="M82" s="416" t="str">
        <f>IF(ISBLANK(TInspectieB[[#This Row],[Gebrek nr.]]),"",TInspectieB[[#This Row],[UVID]]&amp;"-"&amp;TInspectieB[[#This Row],[Gebrek nr.]])</f>
        <v/>
      </c>
      <c r="N82" s="417"/>
      <c r="O82" s="651"/>
      <c r="P82" s="206"/>
      <c r="Q82" s="193"/>
      <c r="R82" s="206"/>
      <c r="S82" s="206"/>
      <c r="T82" s="206"/>
      <c r="U82" s="206"/>
      <c r="V82" s="206"/>
      <c r="W82" s="419"/>
      <c r="X82" s="340"/>
      <c r="Y82" s="420"/>
      <c r="Z82" s="421" t="str">
        <f>IF(ISBLANK(TInspectieB[[#This Row],[Aantal]]),"",ROUND(TInspectieB[[#This Row],[Kengetal]]*TInspectieB[[#This Row],[Aantal]],-1))</f>
        <v/>
      </c>
      <c r="AA82" s="422" t="str">
        <f>IF(TInspectieB[[#This Row],[Vak-groep]]="","1",VLOOKUP(C82,$J$2:$K$7,2,FALSE))</f>
        <v>1</v>
      </c>
      <c r="AB82" s="423" t="str">
        <f>CONCATENATE(TInspectieB[[#This Row],[Soort gebrek]],TInspectieB[[#This Row],[Trede]])</f>
        <v>1</v>
      </c>
      <c r="AC82" s="413" t="e">
        <v>#N/A</v>
      </c>
      <c r="AD82" s="413" t="e">
        <v>#N/A</v>
      </c>
      <c r="AE82" s="424">
        <v>0</v>
      </c>
    </row>
    <row r="83" spans="1:31" ht="10.5" x14ac:dyDescent="0.25">
      <c r="A83" s="337" t="str" cm="1">
        <f t="array" ref="A83">IFERROR(INDEX(TInventB[UVID],ROUNDDOWN((ROW(A74)+1)/2,0)),"")</f>
        <v/>
      </c>
      <c r="B83" s="410" t="str">
        <f>IF(TInspectieB[[#This Row],[UVID]]="","",VLOOKUP(TInspectieB[[#This Row],[UVID]],TInventB[],2,FALSE))</f>
        <v/>
      </c>
      <c r="C83" s="365" t="str">
        <f>IF(TInspectieB[[#This Row],[UVID]]="","",VLOOKUP(TInspectieB[[#This Row],[UVID]],TInventB[],11,FALSE))</f>
        <v/>
      </c>
      <c r="D83" s="411" t="str">
        <f>IF(TInspectieB[[#This Row],[UVID]]="","",VLOOKUP(TInspectieB[[#This Row],[UVID]],TInventB[],3,FALSE))</f>
        <v/>
      </c>
      <c r="E83" s="338" t="str">
        <f>IF(TInspectieB[[#This Row],[Omschrijving bouwdeel]]="","",IF(MOD(ROW()-2,2)=0,"O",IF(TRIM(TInspectieB[[#This Row],[Code Bouwdeeltype]])="312010","O","E")))</f>
        <v/>
      </c>
      <c r="F83" s="412"/>
      <c r="G83" s="413" t="str">
        <f>IF(ISBLANK(TInspectieB[[#This Row],[Soort gebrek]]),"",VLOOKUP(TInspectieB[[#This Row],[Soort gebrek]],TSoortGebrek[#Data],3,FALSE))</f>
        <v/>
      </c>
      <c r="H83" s="413" t="str">
        <f>IF(ISBLANK(TInspectieB[[#This Row],[Soort gebrek]]),"",VLOOKUP(TInspectieB[[#This Row],[Soort gebrek]],TSoortGebrek[#Data],2,FALSE))</f>
        <v/>
      </c>
      <c r="I83" s="413" t="str">
        <f>IF(TInspectieB[[#This Row],[Soort gebrek]]=0,"",VLOOKUP(TInspectieB[[#This Row],[Soort gebrek]],TSoortGebrek[],4,FALSE))</f>
        <v/>
      </c>
      <c r="J83" s="425"/>
      <c r="K83" s="415" t="str">
        <f>IF(TInspectieB[[#This Row],[Soort gebrek]]=0,"",VLOOKUP(TInspectieB[[#This Row],[Combi]],TPrio[#Data],2,FALSE))</f>
        <v/>
      </c>
      <c r="L83" s="339"/>
      <c r="M83" s="416" t="str">
        <f>IF(ISBLANK(TInspectieB[[#This Row],[Gebrek nr.]]),"",TInspectieB[[#This Row],[UVID]]&amp;"-"&amp;TInspectieB[[#This Row],[Gebrek nr.]])</f>
        <v/>
      </c>
      <c r="N83" s="417"/>
      <c r="O83" s="651"/>
      <c r="P83" s="206"/>
      <c r="Q83" s="193"/>
      <c r="R83" s="206"/>
      <c r="S83" s="206"/>
      <c r="T83" s="206"/>
      <c r="U83" s="206"/>
      <c r="V83" s="206"/>
      <c r="W83" s="419"/>
      <c r="X83" s="340"/>
      <c r="Y83" s="420"/>
      <c r="Z83" s="421" t="str">
        <f>IF(ISBLANK(TInspectieB[[#This Row],[Aantal]]),"",ROUND(TInspectieB[[#This Row],[Kengetal]]*TInspectieB[[#This Row],[Aantal]],-1))</f>
        <v/>
      </c>
      <c r="AA83" s="422" t="str">
        <f>IF(TInspectieB[[#This Row],[Vak-groep]]="","1",VLOOKUP(C83,$J$2:$K$7,2,FALSE))</f>
        <v>1</v>
      </c>
      <c r="AB83" s="423" t="str">
        <f>CONCATENATE(TInspectieB[[#This Row],[Soort gebrek]],TInspectieB[[#This Row],[Trede]])</f>
        <v>1</v>
      </c>
      <c r="AC83" s="413" t="e">
        <v>#N/A</v>
      </c>
      <c r="AD83" s="413" t="e">
        <v>#N/A</v>
      </c>
      <c r="AE83" s="424">
        <v>0</v>
      </c>
    </row>
    <row r="84" spans="1:31" ht="10.5" x14ac:dyDescent="0.25">
      <c r="A84" s="337" t="str" cm="1">
        <f t="array" ref="A84">IFERROR(INDEX(TInventB[UVID],ROUNDDOWN((ROW(A75)+1)/2,0)),"")</f>
        <v/>
      </c>
      <c r="B84" s="410" t="str">
        <f>IF(TInspectieB[[#This Row],[UVID]]="","",VLOOKUP(TInspectieB[[#This Row],[UVID]],TInventB[],2,FALSE))</f>
        <v/>
      </c>
      <c r="C84" s="365" t="str">
        <f>IF(TInspectieB[[#This Row],[UVID]]="","",VLOOKUP(TInspectieB[[#This Row],[UVID]],TInventB[],11,FALSE))</f>
        <v/>
      </c>
      <c r="D84" s="411" t="str">
        <f>IF(TInspectieB[[#This Row],[UVID]]="","",VLOOKUP(TInspectieB[[#This Row],[UVID]],TInventB[],3,FALSE))</f>
        <v/>
      </c>
      <c r="E84" s="338" t="str">
        <f>IF(TInspectieB[[#This Row],[Omschrijving bouwdeel]]="","",IF(MOD(ROW()-2,2)=0,"O",IF(TRIM(TInspectieB[[#This Row],[Code Bouwdeeltype]])="312010","O","E")))</f>
        <v/>
      </c>
      <c r="F84" s="412"/>
      <c r="G84" s="413" t="str">
        <f>IF(ISBLANK(TInspectieB[[#This Row],[Soort gebrek]]),"",VLOOKUP(TInspectieB[[#This Row],[Soort gebrek]],TSoortGebrek[#Data],3,FALSE))</f>
        <v/>
      </c>
      <c r="H84" s="413" t="str">
        <f>IF(ISBLANK(TInspectieB[[#This Row],[Soort gebrek]]),"",VLOOKUP(TInspectieB[[#This Row],[Soort gebrek]],TSoortGebrek[#Data],2,FALSE))</f>
        <v/>
      </c>
      <c r="I84" s="413" t="str">
        <f>IF(TInspectieB[[#This Row],[Soort gebrek]]=0,"",VLOOKUP(TInspectieB[[#This Row],[Soort gebrek]],TSoortGebrek[],4,FALSE))</f>
        <v/>
      </c>
      <c r="J84" s="425"/>
      <c r="K84" s="415" t="str">
        <f>IF(TInspectieB[[#This Row],[Soort gebrek]]=0,"",VLOOKUP(TInspectieB[[#This Row],[Combi]],TPrio[#Data],2,FALSE))</f>
        <v/>
      </c>
      <c r="L84" s="339"/>
      <c r="M84" s="416" t="str">
        <f>IF(ISBLANK(TInspectieB[[#This Row],[Gebrek nr.]]),"",TInspectieB[[#This Row],[UVID]]&amp;"-"&amp;TInspectieB[[#This Row],[Gebrek nr.]])</f>
        <v/>
      </c>
      <c r="N84" s="417"/>
      <c r="O84" s="651"/>
      <c r="P84" s="206"/>
      <c r="Q84" s="193"/>
      <c r="R84" s="206"/>
      <c r="S84" s="206"/>
      <c r="T84" s="206"/>
      <c r="U84" s="206"/>
      <c r="V84" s="206"/>
      <c r="W84" s="419"/>
      <c r="X84" s="340"/>
      <c r="Y84" s="420"/>
      <c r="Z84" s="421" t="str">
        <f>IF(ISBLANK(TInspectieB[[#This Row],[Aantal]]),"",ROUND(TInspectieB[[#This Row],[Kengetal]]*TInspectieB[[#This Row],[Aantal]],-1))</f>
        <v/>
      </c>
      <c r="AA84" s="422" t="str">
        <f>IF(TInspectieB[[#This Row],[Vak-groep]]="","1",VLOOKUP(C84,$J$2:$K$7,2,FALSE))</f>
        <v>1</v>
      </c>
      <c r="AB84" s="423" t="str">
        <f>CONCATENATE(TInspectieB[[#This Row],[Soort gebrek]],TInspectieB[[#This Row],[Trede]])</f>
        <v>1</v>
      </c>
      <c r="AC84" s="413" t="e">
        <v>#N/A</v>
      </c>
      <c r="AD84" s="413" t="e">
        <v>#N/A</v>
      </c>
      <c r="AE84" s="424">
        <v>0</v>
      </c>
    </row>
    <row r="85" spans="1:31" ht="10.5" x14ac:dyDescent="0.25">
      <c r="A85" s="337" t="str" cm="1">
        <f t="array" ref="A85">IFERROR(INDEX(TInventB[UVID],ROUNDDOWN((ROW(A76)+1)/2,0)),"")</f>
        <v/>
      </c>
      <c r="B85" s="410" t="str">
        <f>IF(TInspectieB[[#This Row],[UVID]]="","",VLOOKUP(TInspectieB[[#This Row],[UVID]],TInventB[],2,FALSE))</f>
        <v/>
      </c>
      <c r="C85" s="365" t="str">
        <f>IF(TInspectieB[[#This Row],[UVID]]="","",VLOOKUP(TInspectieB[[#This Row],[UVID]],TInventB[],11,FALSE))</f>
        <v/>
      </c>
      <c r="D85" s="411" t="str">
        <f>IF(TInspectieB[[#This Row],[UVID]]="","",VLOOKUP(TInspectieB[[#This Row],[UVID]],TInventB[],3,FALSE))</f>
        <v/>
      </c>
      <c r="E85" s="338" t="str">
        <f>IF(TInspectieB[[#This Row],[Omschrijving bouwdeel]]="","",IF(MOD(ROW()-2,2)=0,"O",IF(TRIM(TInspectieB[[#This Row],[Code Bouwdeeltype]])="312010","O","E")))</f>
        <v/>
      </c>
      <c r="F85" s="412"/>
      <c r="G85" s="413" t="str">
        <f>IF(ISBLANK(TInspectieB[[#This Row],[Soort gebrek]]),"",VLOOKUP(TInspectieB[[#This Row],[Soort gebrek]],TSoortGebrek[#Data],3,FALSE))</f>
        <v/>
      </c>
      <c r="H85" s="413" t="str">
        <f>IF(ISBLANK(TInspectieB[[#This Row],[Soort gebrek]]),"",VLOOKUP(TInspectieB[[#This Row],[Soort gebrek]],TSoortGebrek[#Data],2,FALSE))</f>
        <v/>
      </c>
      <c r="I85" s="413" t="str">
        <f>IF(TInspectieB[[#This Row],[Soort gebrek]]=0,"",VLOOKUP(TInspectieB[[#This Row],[Soort gebrek]],TSoortGebrek[],4,FALSE))</f>
        <v/>
      </c>
      <c r="J85" s="425"/>
      <c r="K85" s="415" t="str">
        <f>IF(TInspectieB[[#This Row],[Soort gebrek]]=0,"",VLOOKUP(TInspectieB[[#This Row],[Combi]],TPrio[#Data],2,FALSE))</f>
        <v/>
      </c>
      <c r="L85" s="339"/>
      <c r="M85" s="416" t="str">
        <f>IF(ISBLANK(TInspectieB[[#This Row],[Gebrek nr.]]),"",TInspectieB[[#This Row],[UVID]]&amp;"-"&amp;TInspectieB[[#This Row],[Gebrek nr.]])</f>
        <v/>
      </c>
      <c r="N85" s="417"/>
      <c r="O85" s="651"/>
      <c r="P85" s="206"/>
      <c r="Q85" s="193"/>
      <c r="R85" s="206"/>
      <c r="S85" s="206"/>
      <c r="T85" s="206"/>
      <c r="U85" s="206"/>
      <c r="V85" s="206"/>
      <c r="W85" s="419"/>
      <c r="X85" s="340"/>
      <c r="Y85" s="420"/>
      <c r="Z85" s="421" t="str">
        <f>IF(ISBLANK(TInspectieB[[#This Row],[Aantal]]),"",ROUND(TInspectieB[[#This Row],[Kengetal]]*TInspectieB[[#This Row],[Aantal]],-1))</f>
        <v/>
      </c>
      <c r="AA85" s="422" t="str">
        <f>IF(TInspectieB[[#This Row],[Vak-groep]]="","1",VLOOKUP(C85,$J$2:$K$7,2,FALSE))</f>
        <v>1</v>
      </c>
      <c r="AB85" s="423" t="str">
        <f>CONCATENATE(TInspectieB[[#This Row],[Soort gebrek]],TInspectieB[[#This Row],[Trede]])</f>
        <v>1</v>
      </c>
      <c r="AC85" s="413" t="e">
        <v>#N/A</v>
      </c>
      <c r="AD85" s="413" t="e">
        <v>#N/A</v>
      </c>
      <c r="AE85" s="424">
        <v>0</v>
      </c>
    </row>
    <row r="86" spans="1:31" ht="10.5" x14ac:dyDescent="0.25">
      <c r="A86" s="337" t="str" cm="1">
        <f t="array" ref="A86">IFERROR(INDEX(TInventB[UVID],ROUNDDOWN((ROW(A77)+1)/2,0)),"")</f>
        <v/>
      </c>
      <c r="B86" s="410" t="str">
        <f>IF(TInspectieB[[#This Row],[UVID]]="","",VLOOKUP(TInspectieB[[#This Row],[UVID]],TInventB[],2,FALSE))</f>
        <v/>
      </c>
      <c r="C86" s="365" t="str">
        <f>IF(TInspectieB[[#This Row],[UVID]]="","",VLOOKUP(TInspectieB[[#This Row],[UVID]],TInventB[],11,FALSE))</f>
        <v/>
      </c>
      <c r="D86" s="411" t="str">
        <f>IF(TInspectieB[[#This Row],[UVID]]="","",VLOOKUP(TInspectieB[[#This Row],[UVID]],TInventB[],3,FALSE))</f>
        <v/>
      </c>
      <c r="E86" s="338" t="str">
        <f>IF(TInspectieB[[#This Row],[Omschrijving bouwdeel]]="","",IF(MOD(ROW()-2,2)=0,"O",IF(TRIM(TInspectieB[[#This Row],[Code Bouwdeeltype]])="312010","O","E")))</f>
        <v/>
      </c>
      <c r="F86" s="412"/>
      <c r="G86" s="413" t="str">
        <f>IF(ISBLANK(TInspectieB[[#This Row],[Soort gebrek]]),"",VLOOKUP(TInspectieB[[#This Row],[Soort gebrek]],TSoortGebrek[#Data],3,FALSE))</f>
        <v/>
      </c>
      <c r="H86" s="413" t="str">
        <f>IF(ISBLANK(TInspectieB[[#This Row],[Soort gebrek]]),"",VLOOKUP(TInspectieB[[#This Row],[Soort gebrek]],TSoortGebrek[#Data],2,FALSE))</f>
        <v/>
      </c>
      <c r="I86" s="413" t="str">
        <f>IF(TInspectieB[[#This Row],[Soort gebrek]]=0,"",VLOOKUP(TInspectieB[[#This Row],[Soort gebrek]],TSoortGebrek[],4,FALSE))</f>
        <v/>
      </c>
      <c r="J86" s="425"/>
      <c r="K86" s="415" t="str">
        <f>IF(TInspectieB[[#This Row],[Soort gebrek]]=0,"",VLOOKUP(TInspectieB[[#This Row],[Combi]],TPrio[#Data],2,FALSE))</f>
        <v/>
      </c>
      <c r="L86" s="339"/>
      <c r="M86" s="416" t="str">
        <f>IF(ISBLANK(TInspectieB[[#This Row],[Gebrek nr.]]),"",TInspectieB[[#This Row],[UVID]]&amp;"-"&amp;TInspectieB[[#This Row],[Gebrek nr.]])</f>
        <v/>
      </c>
      <c r="N86" s="417"/>
      <c r="O86" s="651"/>
      <c r="P86" s="206"/>
      <c r="Q86" s="193"/>
      <c r="R86" s="206"/>
      <c r="S86" s="206"/>
      <c r="T86" s="206"/>
      <c r="U86" s="206"/>
      <c r="V86" s="206"/>
      <c r="W86" s="419"/>
      <c r="X86" s="340"/>
      <c r="Y86" s="420"/>
      <c r="Z86" s="421" t="str">
        <f>IF(ISBLANK(TInspectieB[[#This Row],[Aantal]]),"",ROUND(TInspectieB[[#This Row],[Kengetal]]*TInspectieB[[#This Row],[Aantal]],-1))</f>
        <v/>
      </c>
      <c r="AA86" s="422" t="str">
        <f>IF(TInspectieB[[#This Row],[Vak-groep]]="","1",VLOOKUP(C86,$J$2:$K$7,2,FALSE))</f>
        <v>1</v>
      </c>
      <c r="AB86" s="423" t="str">
        <f>CONCATENATE(TInspectieB[[#This Row],[Soort gebrek]],TInspectieB[[#This Row],[Trede]])</f>
        <v>1</v>
      </c>
      <c r="AC86" s="413" t="e">
        <v>#N/A</v>
      </c>
      <c r="AD86" s="413" t="e">
        <v>#N/A</v>
      </c>
      <c r="AE86" s="424">
        <v>0</v>
      </c>
    </row>
    <row r="87" spans="1:31" ht="10.5" x14ac:dyDescent="0.25">
      <c r="A87" s="337" t="str" cm="1">
        <f t="array" ref="A87">IFERROR(INDEX(TInventB[UVID],ROUNDDOWN((ROW(A78)+1)/2,0)),"")</f>
        <v/>
      </c>
      <c r="B87" s="410" t="str">
        <f>IF(TInspectieB[[#This Row],[UVID]]="","",VLOOKUP(TInspectieB[[#This Row],[UVID]],TInventB[],2,FALSE))</f>
        <v/>
      </c>
      <c r="C87" s="365" t="str">
        <f>IF(TInspectieB[[#This Row],[UVID]]="","",VLOOKUP(TInspectieB[[#This Row],[UVID]],TInventB[],11,FALSE))</f>
        <v/>
      </c>
      <c r="D87" s="411" t="str">
        <f>IF(TInspectieB[[#This Row],[UVID]]="","",VLOOKUP(TInspectieB[[#This Row],[UVID]],TInventB[],3,FALSE))</f>
        <v/>
      </c>
      <c r="E87" s="338" t="str">
        <f>IF(TInspectieB[[#This Row],[Omschrijving bouwdeel]]="","",IF(MOD(ROW()-2,2)=0,"O",IF(TRIM(TInspectieB[[#This Row],[Code Bouwdeeltype]])="312010","O","E")))</f>
        <v/>
      </c>
      <c r="F87" s="412"/>
      <c r="G87" s="413" t="str">
        <f>IF(ISBLANK(TInspectieB[[#This Row],[Soort gebrek]]),"",VLOOKUP(TInspectieB[[#This Row],[Soort gebrek]],TSoortGebrek[#Data],3,FALSE))</f>
        <v/>
      </c>
      <c r="H87" s="413" t="str">
        <f>IF(ISBLANK(TInspectieB[[#This Row],[Soort gebrek]]),"",VLOOKUP(TInspectieB[[#This Row],[Soort gebrek]],TSoortGebrek[#Data],2,FALSE))</f>
        <v/>
      </c>
      <c r="I87" s="413" t="str">
        <f>IF(TInspectieB[[#This Row],[Soort gebrek]]=0,"",VLOOKUP(TInspectieB[[#This Row],[Soort gebrek]],TSoortGebrek[],4,FALSE))</f>
        <v/>
      </c>
      <c r="J87" s="425"/>
      <c r="K87" s="415" t="str">
        <f>IF(TInspectieB[[#This Row],[Soort gebrek]]=0,"",VLOOKUP(TInspectieB[[#This Row],[Combi]],TPrio[#Data],2,FALSE))</f>
        <v/>
      </c>
      <c r="L87" s="339"/>
      <c r="M87" s="416" t="str">
        <f>IF(ISBLANK(TInspectieB[[#This Row],[Gebrek nr.]]),"",TInspectieB[[#This Row],[UVID]]&amp;"-"&amp;TInspectieB[[#This Row],[Gebrek nr.]])</f>
        <v/>
      </c>
      <c r="N87" s="417"/>
      <c r="O87" s="651"/>
      <c r="P87" s="206"/>
      <c r="Q87" s="193"/>
      <c r="R87" s="206"/>
      <c r="S87" s="206"/>
      <c r="T87" s="206"/>
      <c r="U87" s="206"/>
      <c r="V87" s="206"/>
      <c r="W87" s="419"/>
      <c r="X87" s="340"/>
      <c r="Y87" s="420"/>
      <c r="Z87" s="421" t="str">
        <f>IF(ISBLANK(TInspectieB[[#This Row],[Aantal]]),"",ROUND(TInspectieB[[#This Row],[Kengetal]]*TInspectieB[[#This Row],[Aantal]],-1))</f>
        <v/>
      </c>
      <c r="AA87" s="422" t="str">
        <f>IF(TInspectieB[[#This Row],[Vak-groep]]="","1",VLOOKUP(C87,$J$2:$K$7,2,FALSE))</f>
        <v>1</v>
      </c>
      <c r="AB87" s="423" t="str">
        <f>CONCATENATE(TInspectieB[[#This Row],[Soort gebrek]],TInspectieB[[#This Row],[Trede]])</f>
        <v>1</v>
      </c>
      <c r="AC87" s="413" t="e">
        <v>#N/A</v>
      </c>
      <c r="AD87" s="413" t="e">
        <v>#N/A</v>
      </c>
      <c r="AE87" s="424">
        <v>0</v>
      </c>
    </row>
    <row r="88" spans="1:31" ht="10.5" x14ac:dyDescent="0.25">
      <c r="A88" s="337" t="str" cm="1">
        <f t="array" ref="A88">IFERROR(INDEX(TInventB[UVID],ROUNDDOWN((ROW(A79)+1)/2,0)),"")</f>
        <v/>
      </c>
      <c r="B88" s="410" t="str">
        <f>IF(TInspectieB[[#This Row],[UVID]]="","",VLOOKUP(TInspectieB[[#This Row],[UVID]],TInventB[],2,FALSE))</f>
        <v/>
      </c>
      <c r="C88" s="365" t="str">
        <f>IF(TInspectieB[[#This Row],[UVID]]="","",VLOOKUP(TInspectieB[[#This Row],[UVID]],TInventB[],11,FALSE))</f>
        <v/>
      </c>
      <c r="D88" s="411" t="str">
        <f>IF(TInspectieB[[#This Row],[UVID]]="","",VLOOKUP(TInspectieB[[#This Row],[UVID]],TInventB[],3,FALSE))</f>
        <v/>
      </c>
      <c r="E88" s="338" t="str">
        <f>IF(TInspectieB[[#This Row],[Omschrijving bouwdeel]]="","",IF(MOD(ROW()-2,2)=0,"O",IF(TRIM(TInspectieB[[#This Row],[Code Bouwdeeltype]])="312010","O","E")))</f>
        <v/>
      </c>
      <c r="F88" s="412"/>
      <c r="G88" s="413" t="str">
        <f>IF(ISBLANK(TInspectieB[[#This Row],[Soort gebrek]]),"",VLOOKUP(TInspectieB[[#This Row],[Soort gebrek]],TSoortGebrek[#Data],3,FALSE))</f>
        <v/>
      </c>
      <c r="H88" s="413" t="str">
        <f>IF(ISBLANK(TInspectieB[[#This Row],[Soort gebrek]]),"",VLOOKUP(TInspectieB[[#This Row],[Soort gebrek]],TSoortGebrek[#Data],2,FALSE))</f>
        <v/>
      </c>
      <c r="I88" s="413" t="str">
        <f>IF(TInspectieB[[#This Row],[Soort gebrek]]=0,"",VLOOKUP(TInspectieB[[#This Row],[Soort gebrek]],TSoortGebrek[],4,FALSE))</f>
        <v/>
      </c>
      <c r="J88" s="425"/>
      <c r="K88" s="415" t="str">
        <f>IF(TInspectieB[[#This Row],[Soort gebrek]]=0,"",VLOOKUP(TInspectieB[[#This Row],[Combi]],TPrio[#Data],2,FALSE))</f>
        <v/>
      </c>
      <c r="L88" s="339"/>
      <c r="M88" s="416" t="str">
        <f>IF(ISBLANK(TInspectieB[[#This Row],[Gebrek nr.]]),"",TInspectieB[[#This Row],[UVID]]&amp;"-"&amp;TInspectieB[[#This Row],[Gebrek nr.]])</f>
        <v/>
      </c>
      <c r="N88" s="417"/>
      <c r="O88" s="651"/>
      <c r="P88" s="206"/>
      <c r="Q88" s="193"/>
      <c r="R88" s="206"/>
      <c r="S88" s="206"/>
      <c r="T88" s="206"/>
      <c r="U88" s="206"/>
      <c r="V88" s="206"/>
      <c r="W88" s="419"/>
      <c r="X88" s="340"/>
      <c r="Y88" s="420"/>
      <c r="Z88" s="421" t="str">
        <f>IF(ISBLANK(TInspectieB[[#This Row],[Aantal]]),"",ROUND(TInspectieB[[#This Row],[Kengetal]]*TInspectieB[[#This Row],[Aantal]],-1))</f>
        <v/>
      </c>
      <c r="AA88" s="422" t="str">
        <f>IF(TInspectieB[[#This Row],[Vak-groep]]="","1",VLOOKUP(C88,$J$2:$K$7,2,FALSE))</f>
        <v>1</v>
      </c>
      <c r="AB88" s="423" t="str">
        <f>CONCATENATE(TInspectieB[[#This Row],[Soort gebrek]],TInspectieB[[#This Row],[Trede]])</f>
        <v>1</v>
      </c>
      <c r="AC88" s="413" t="e">
        <v>#N/A</v>
      </c>
      <c r="AD88" s="413" t="e">
        <v>#N/A</v>
      </c>
      <c r="AE88" s="424">
        <v>0</v>
      </c>
    </row>
    <row r="89" spans="1:31" ht="10.5" x14ac:dyDescent="0.25">
      <c r="A89" s="337" t="str" cm="1">
        <f t="array" ref="A89">IFERROR(INDEX(TInventB[UVID],ROUNDDOWN((ROW(A80)+1)/2,0)),"")</f>
        <v/>
      </c>
      <c r="B89" s="410" t="str">
        <f>IF(TInspectieB[[#This Row],[UVID]]="","",VLOOKUP(TInspectieB[[#This Row],[UVID]],TInventB[],2,FALSE))</f>
        <v/>
      </c>
      <c r="C89" s="365" t="str">
        <f>IF(TInspectieB[[#This Row],[UVID]]="","",VLOOKUP(TInspectieB[[#This Row],[UVID]],TInventB[],11,FALSE))</f>
        <v/>
      </c>
      <c r="D89" s="411" t="str">
        <f>IF(TInspectieB[[#This Row],[UVID]]="","",VLOOKUP(TInspectieB[[#This Row],[UVID]],TInventB[],3,FALSE))</f>
        <v/>
      </c>
      <c r="E89" s="338" t="str">
        <f>IF(TInspectieB[[#This Row],[Omschrijving bouwdeel]]="","",IF(MOD(ROW()-2,2)=0,"O",IF(TRIM(TInspectieB[[#This Row],[Code Bouwdeeltype]])="312010","O","E")))</f>
        <v/>
      </c>
      <c r="F89" s="412"/>
      <c r="G89" s="413" t="str">
        <f>IF(ISBLANK(TInspectieB[[#This Row],[Soort gebrek]]),"",VLOOKUP(TInspectieB[[#This Row],[Soort gebrek]],TSoortGebrek[#Data],3,FALSE))</f>
        <v/>
      </c>
      <c r="H89" s="413" t="str">
        <f>IF(ISBLANK(TInspectieB[[#This Row],[Soort gebrek]]),"",VLOOKUP(TInspectieB[[#This Row],[Soort gebrek]],TSoortGebrek[#Data],2,FALSE))</f>
        <v/>
      </c>
      <c r="I89" s="413" t="str">
        <f>IF(TInspectieB[[#This Row],[Soort gebrek]]=0,"",VLOOKUP(TInspectieB[[#This Row],[Soort gebrek]],TSoortGebrek[],4,FALSE))</f>
        <v/>
      </c>
      <c r="J89" s="425"/>
      <c r="K89" s="415" t="str">
        <f>IF(TInspectieB[[#This Row],[Soort gebrek]]=0,"",VLOOKUP(TInspectieB[[#This Row],[Combi]],TPrio[#Data],2,FALSE))</f>
        <v/>
      </c>
      <c r="L89" s="339"/>
      <c r="M89" s="416" t="str">
        <f>IF(ISBLANK(TInspectieB[[#This Row],[Gebrek nr.]]),"",TInspectieB[[#This Row],[UVID]]&amp;"-"&amp;TInspectieB[[#This Row],[Gebrek nr.]])</f>
        <v/>
      </c>
      <c r="N89" s="417"/>
      <c r="O89" s="651"/>
      <c r="P89" s="206"/>
      <c r="Q89" s="193"/>
      <c r="R89" s="206"/>
      <c r="S89" s="206"/>
      <c r="T89" s="206"/>
      <c r="U89" s="206"/>
      <c r="V89" s="206"/>
      <c r="W89" s="419"/>
      <c r="X89" s="340"/>
      <c r="Y89" s="420"/>
      <c r="Z89" s="421" t="str">
        <f>IF(ISBLANK(TInspectieB[[#This Row],[Aantal]]),"",ROUND(TInspectieB[[#This Row],[Kengetal]]*TInspectieB[[#This Row],[Aantal]],-1))</f>
        <v/>
      </c>
      <c r="AA89" s="422" t="str">
        <f>IF(TInspectieB[[#This Row],[Vak-groep]]="","1",VLOOKUP(C89,$J$2:$K$7,2,FALSE))</f>
        <v>1</v>
      </c>
      <c r="AB89" s="423" t="str">
        <f>CONCATENATE(TInspectieB[[#This Row],[Soort gebrek]],TInspectieB[[#This Row],[Trede]])</f>
        <v>1</v>
      </c>
      <c r="AC89" s="413" t="e">
        <v>#N/A</v>
      </c>
      <c r="AD89" s="413" t="e">
        <v>#N/A</v>
      </c>
      <c r="AE89" s="424">
        <v>0</v>
      </c>
    </row>
    <row r="90" spans="1:31" ht="10.5" x14ac:dyDescent="0.25">
      <c r="A90" s="337" t="str" cm="1">
        <f t="array" ref="A90">IFERROR(INDEX(TInventB[UVID],ROUNDDOWN((ROW(A81)+1)/2,0)),"")</f>
        <v/>
      </c>
      <c r="B90" s="410" t="str">
        <f>IF(TInspectieB[[#This Row],[UVID]]="","",VLOOKUP(TInspectieB[[#This Row],[UVID]],TInventB[],2,FALSE))</f>
        <v/>
      </c>
      <c r="C90" s="365" t="str">
        <f>IF(TInspectieB[[#This Row],[UVID]]="","",VLOOKUP(TInspectieB[[#This Row],[UVID]],TInventB[],11,FALSE))</f>
        <v/>
      </c>
      <c r="D90" s="411" t="str">
        <f>IF(TInspectieB[[#This Row],[UVID]]="","",VLOOKUP(TInspectieB[[#This Row],[UVID]],TInventB[],3,FALSE))</f>
        <v/>
      </c>
      <c r="E90" s="338" t="str">
        <f>IF(TInspectieB[[#This Row],[Omschrijving bouwdeel]]="","",IF(MOD(ROW()-2,2)=0,"O",IF(TRIM(TInspectieB[[#This Row],[Code Bouwdeeltype]])="312010","O","E")))</f>
        <v/>
      </c>
      <c r="F90" s="412"/>
      <c r="G90" s="413" t="str">
        <f>IF(ISBLANK(TInspectieB[[#This Row],[Soort gebrek]]),"",VLOOKUP(TInspectieB[[#This Row],[Soort gebrek]],TSoortGebrek[#Data],3,FALSE))</f>
        <v/>
      </c>
      <c r="H90" s="413" t="str">
        <f>IF(ISBLANK(TInspectieB[[#This Row],[Soort gebrek]]),"",VLOOKUP(TInspectieB[[#This Row],[Soort gebrek]],TSoortGebrek[#Data],2,FALSE))</f>
        <v/>
      </c>
      <c r="I90" s="413" t="str">
        <f>IF(TInspectieB[[#This Row],[Soort gebrek]]=0,"",VLOOKUP(TInspectieB[[#This Row],[Soort gebrek]],TSoortGebrek[],4,FALSE))</f>
        <v/>
      </c>
      <c r="J90" s="425"/>
      <c r="K90" s="415" t="str">
        <f>IF(TInspectieB[[#This Row],[Soort gebrek]]=0,"",VLOOKUP(TInspectieB[[#This Row],[Combi]],TPrio[#Data],2,FALSE))</f>
        <v/>
      </c>
      <c r="L90" s="339"/>
      <c r="M90" s="416" t="str">
        <f>IF(ISBLANK(TInspectieB[[#This Row],[Gebrek nr.]]),"",TInspectieB[[#This Row],[UVID]]&amp;"-"&amp;TInspectieB[[#This Row],[Gebrek nr.]])</f>
        <v/>
      </c>
      <c r="N90" s="417"/>
      <c r="O90" s="651"/>
      <c r="P90" s="206"/>
      <c r="Q90" s="193"/>
      <c r="R90" s="206"/>
      <c r="S90" s="206"/>
      <c r="T90" s="206"/>
      <c r="U90" s="206"/>
      <c r="V90" s="206"/>
      <c r="W90" s="419"/>
      <c r="X90" s="340"/>
      <c r="Y90" s="420"/>
      <c r="Z90" s="421" t="str">
        <f>IF(ISBLANK(TInspectieB[[#This Row],[Aantal]]),"",ROUND(TInspectieB[[#This Row],[Kengetal]]*TInspectieB[[#This Row],[Aantal]],-1))</f>
        <v/>
      </c>
      <c r="AA90" s="422" t="str">
        <f>IF(TInspectieB[[#This Row],[Vak-groep]]="","1",VLOOKUP(C90,$J$2:$K$7,2,FALSE))</f>
        <v>1</v>
      </c>
      <c r="AB90" s="423" t="str">
        <f>CONCATENATE(TInspectieB[[#This Row],[Soort gebrek]],TInspectieB[[#This Row],[Trede]])</f>
        <v>1</v>
      </c>
      <c r="AC90" s="413" t="e">
        <v>#N/A</v>
      </c>
      <c r="AD90" s="413" t="e">
        <v>#N/A</v>
      </c>
      <c r="AE90" s="424">
        <v>0</v>
      </c>
    </row>
    <row r="91" spans="1:31" ht="10.5" x14ac:dyDescent="0.25">
      <c r="A91" s="337" t="str" cm="1">
        <f t="array" ref="A91">IFERROR(INDEX(TInventB[UVID],ROUNDDOWN((ROW(A82)+1)/2,0)),"")</f>
        <v/>
      </c>
      <c r="B91" s="410" t="str">
        <f>IF(TInspectieB[[#This Row],[UVID]]="","",VLOOKUP(TInspectieB[[#This Row],[UVID]],TInventB[],2,FALSE))</f>
        <v/>
      </c>
      <c r="C91" s="365" t="str">
        <f>IF(TInspectieB[[#This Row],[UVID]]="","",VLOOKUP(TInspectieB[[#This Row],[UVID]],TInventB[],11,FALSE))</f>
        <v/>
      </c>
      <c r="D91" s="411" t="str">
        <f>IF(TInspectieB[[#This Row],[UVID]]="","",VLOOKUP(TInspectieB[[#This Row],[UVID]],TInventB[],3,FALSE))</f>
        <v/>
      </c>
      <c r="E91" s="338" t="str">
        <f>IF(TInspectieB[[#This Row],[Omschrijving bouwdeel]]="","",IF(MOD(ROW()-2,2)=0,"O",IF(TRIM(TInspectieB[[#This Row],[Code Bouwdeeltype]])="312010","O","E")))</f>
        <v/>
      </c>
      <c r="F91" s="412"/>
      <c r="G91" s="413" t="str">
        <f>IF(ISBLANK(TInspectieB[[#This Row],[Soort gebrek]]),"",VLOOKUP(TInspectieB[[#This Row],[Soort gebrek]],TSoortGebrek[#Data],3,FALSE))</f>
        <v/>
      </c>
      <c r="H91" s="413" t="str">
        <f>IF(ISBLANK(TInspectieB[[#This Row],[Soort gebrek]]),"",VLOOKUP(TInspectieB[[#This Row],[Soort gebrek]],TSoortGebrek[#Data],2,FALSE))</f>
        <v/>
      </c>
      <c r="I91" s="413" t="str">
        <f>IF(TInspectieB[[#This Row],[Soort gebrek]]=0,"",VLOOKUP(TInspectieB[[#This Row],[Soort gebrek]],TSoortGebrek[],4,FALSE))</f>
        <v/>
      </c>
      <c r="J91" s="425"/>
      <c r="K91" s="415" t="str">
        <f>IF(TInspectieB[[#This Row],[Soort gebrek]]=0,"",VLOOKUP(TInspectieB[[#This Row],[Combi]],TPrio[#Data],2,FALSE))</f>
        <v/>
      </c>
      <c r="L91" s="339"/>
      <c r="M91" s="416" t="str">
        <f>IF(ISBLANK(TInspectieB[[#This Row],[Gebrek nr.]]),"",TInspectieB[[#This Row],[UVID]]&amp;"-"&amp;TInspectieB[[#This Row],[Gebrek nr.]])</f>
        <v/>
      </c>
      <c r="N91" s="417"/>
      <c r="O91" s="651"/>
      <c r="P91" s="206"/>
      <c r="Q91" s="193"/>
      <c r="R91" s="206"/>
      <c r="S91" s="206"/>
      <c r="T91" s="206"/>
      <c r="U91" s="206"/>
      <c r="V91" s="206"/>
      <c r="W91" s="419"/>
      <c r="X91" s="340"/>
      <c r="Y91" s="420"/>
      <c r="Z91" s="421" t="str">
        <f>IF(ISBLANK(TInspectieB[[#This Row],[Aantal]]),"",ROUND(TInspectieB[[#This Row],[Kengetal]]*TInspectieB[[#This Row],[Aantal]],-1))</f>
        <v/>
      </c>
      <c r="AA91" s="422" t="str">
        <f>IF(TInspectieB[[#This Row],[Vak-groep]]="","1",VLOOKUP(C91,$J$2:$K$7,2,FALSE))</f>
        <v>1</v>
      </c>
      <c r="AB91" s="423" t="str">
        <f>CONCATENATE(TInspectieB[[#This Row],[Soort gebrek]],TInspectieB[[#This Row],[Trede]])</f>
        <v>1</v>
      </c>
      <c r="AC91" s="413" t="e">
        <v>#N/A</v>
      </c>
      <c r="AD91" s="413" t="e">
        <v>#N/A</v>
      </c>
      <c r="AE91" s="424">
        <v>0</v>
      </c>
    </row>
    <row r="92" spans="1:31" ht="10.5" x14ac:dyDescent="0.25">
      <c r="A92" s="337" t="str" cm="1">
        <f t="array" ref="A92">IFERROR(INDEX(TInventB[UVID],ROUNDDOWN((ROW(A83)+1)/2,0)),"")</f>
        <v/>
      </c>
      <c r="B92" s="410" t="str">
        <f>IF(TInspectieB[[#This Row],[UVID]]="","",VLOOKUP(TInspectieB[[#This Row],[UVID]],TInventB[],2,FALSE))</f>
        <v/>
      </c>
      <c r="C92" s="365" t="str">
        <f>IF(TInspectieB[[#This Row],[UVID]]="","",VLOOKUP(TInspectieB[[#This Row],[UVID]],TInventB[],11,FALSE))</f>
        <v/>
      </c>
      <c r="D92" s="411" t="str">
        <f>IF(TInspectieB[[#This Row],[UVID]]="","",VLOOKUP(TInspectieB[[#This Row],[UVID]],TInventB[],3,FALSE))</f>
        <v/>
      </c>
      <c r="E92" s="338" t="str">
        <f>IF(TInspectieB[[#This Row],[Omschrijving bouwdeel]]="","",IF(MOD(ROW()-2,2)=0,"O",IF(TRIM(TInspectieB[[#This Row],[Code Bouwdeeltype]])="312010","O","E")))</f>
        <v/>
      </c>
      <c r="F92" s="412"/>
      <c r="G92" s="413" t="str">
        <f>IF(ISBLANK(TInspectieB[[#This Row],[Soort gebrek]]),"",VLOOKUP(TInspectieB[[#This Row],[Soort gebrek]],TSoortGebrek[#Data],3,FALSE))</f>
        <v/>
      </c>
      <c r="H92" s="413" t="str">
        <f>IF(ISBLANK(TInspectieB[[#This Row],[Soort gebrek]]),"",VLOOKUP(TInspectieB[[#This Row],[Soort gebrek]],TSoortGebrek[#Data],2,FALSE))</f>
        <v/>
      </c>
      <c r="I92" s="413" t="str">
        <f>IF(TInspectieB[[#This Row],[Soort gebrek]]=0,"",VLOOKUP(TInspectieB[[#This Row],[Soort gebrek]],TSoortGebrek[],4,FALSE))</f>
        <v/>
      </c>
      <c r="J92" s="425"/>
      <c r="K92" s="415" t="str">
        <f>IF(TInspectieB[[#This Row],[Soort gebrek]]=0,"",VLOOKUP(TInspectieB[[#This Row],[Combi]],TPrio[#Data],2,FALSE))</f>
        <v/>
      </c>
      <c r="L92" s="339"/>
      <c r="M92" s="416" t="str">
        <f>IF(ISBLANK(TInspectieB[[#This Row],[Gebrek nr.]]),"",TInspectieB[[#This Row],[UVID]]&amp;"-"&amp;TInspectieB[[#This Row],[Gebrek nr.]])</f>
        <v/>
      </c>
      <c r="N92" s="417"/>
      <c r="O92" s="651"/>
      <c r="P92" s="206"/>
      <c r="Q92" s="193"/>
      <c r="R92" s="206"/>
      <c r="S92" s="206"/>
      <c r="T92" s="206"/>
      <c r="U92" s="206"/>
      <c r="V92" s="206"/>
      <c r="W92" s="419"/>
      <c r="X92" s="340"/>
      <c r="Y92" s="420"/>
      <c r="Z92" s="421" t="str">
        <f>IF(ISBLANK(TInspectieB[[#This Row],[Aantal]]),"",ROUND(TInspectieB[[#This Row],[Kengetal]]*TInspectieB[[#This Row],[Aantal]],-1))</f>
        <v/>
      </c>
      <c r="AA92" s="422" t="str">
        <f>IF(TInspectieB[[#This Row],[Vak-groep]]="","1",VLOOKUP(C92,$J$2:$K$7,2,FALSE))</f>
        <v>1</v>
      </c>
      <c r="AB92" s="423" t="str">
        <f>CONCATENATE(TInspectieB[[#This Row],[Soort gebrek]],TInspectieB[[#This Row],[Trede]])</f>
        <v>1</v>
      </c>
      <c r="AC92" s="413" t="e">
        <v>#N/A</v>
      </c>
      <c r="AD92" s="413" t="e">
        <v>#N/A</v>
      </c>
      <c r="AE92" s="424">
        <v>0</v>
      </c>
    </row>
    <row r="93" spans="1:31" ht="10.5" x14ac:dyDescent="0.25">
      <c r="A93" s="337" t="str" cm="1">
        <f t="array" ref="A93">IFERROR(INDEX(TInventB[UVID],ROUNDDOWN((ROW(A84)+1)/2,0)),"")</f>
        <v/>
      </c>
      <c r="B93" s="410" t="str">
        <f>IF(TInspectieB[[#This Row],[UVID]]="","",VLOOKUP(TInspectieB[[#This Row],[UVID]],TInventB[],2,FALSE))</f>
        <v/>
      </c>
      <c r="C93" s="365" t="str">
        <f>IF(TInspectieB[[#This Row],[UVID]]="","",VLOOKUP(TInspectieB[[#This Row],[UVID]],TInventB[],11,FALSE))</f>
        <v/>
      </c>
      <c r="D93" s="411" t="str">
        <f>IF(TInspectieB[[#This Row],[UVID]]="","",VLOOKUP(TInspectieB[[#This Row],[UVID]],TInventB[],3,FALSE))</f>
        <v/>
      </c>
      <c r="E93" s="338" t="str">
        <f>IF(TInspectieB[[#This Row],[Omschrijving bouwdeel]]="","",IF(MOD(ROW()-2,2)=0,"O",IF(TRIM(TInspectieB[[#This Row],[Code Bouwdeeltype]])="312010","O","E")))</f>
        <v/>
      </c>
      <c r="F93" s="412"/>
      <c r="G93" s="413" t="str">
        <f>IF(ISBLANK(TInspectieB[[#This Row],[Soort gebrek]]),"",VLOOKUP(TInspectieB[[#This Row],[Soort gebrek]],TSoortGebrek[#Data],3,FALSE))</f>
        <v/>
      </c>
      <c r="H93" s="413" t="str">
        <f>IF(ISBLANK(TInspectieB[[#This Row],[Soort gebrek]]),"",VLOOKUP(TInspectieB[[#This Row],[Soort gebrek]],TSoortGebrek[#Data],2,FALSE))</f>
        <v/>
      </c>
      <c r="I93" s="413" t="str">
        <f>IF(TInspectieB[[#This Row],[Soort gebrek]]=0,"",VLOOKUP(TInspectieB[[#This Row],[Soort gebrek]],TSoortGebrek[],4,FALSE))</f>
        <v/>
      </c>
      <c r="J93" s="425"/>
      <c r="K93" s="415" t="str">
        <f>IF(TInspectieB[[#This Row],[Soort gebrek]]=0,"",VLOOKUP(TInspectieB[[#This Row],[Combi]],TPrio[#Data],2,FALSE))</f>
        <v/>
      </c>
      <c r="L93" s="339"/>
      <c r="M93" s="416" t="str">
        <f>IF(ISBLANK(TInspectieB[[#This Row],[Gebrek nr.]]),"",TInspectieB[[#This Row],[UVID]]&amp;"-"&amp;TInspectieB[[#This Row],[Gebrek nr.]])</f>
        <v/>
      </c>
      <c r="N93" s="417"/>
      <c r="O93" s="651"/>
      <c r="P93" s="206"/>
      <c r="Q93" s="193"/>
      <c r="R93" s="206"/>
      <c r="S93" s="206"/>
      <c r="T93" s="206"/>
      <c r="U93" s="206"/>
      <c r="V93" s="206"/>
      <c r="W93" s="419"/>
      <c r="X93" s="340"/>
      <c r="Y93" s="420"/>
      <c r="Z93" s="421" t="str">
        <f>IF(ISBLANK(TInspectieB[[#This Row],[Aantal]]),"",ROUND(TInspectieB[[#This Row],[Kengetal]]*TInspectieB[[#This Row],[Aantal]],-1))</f>
        <v/>
      </c>
      <c r="AA93" s="422" t="str">
        <f>IF(TInspectieB[[#This Row],[Vak-groep]]="","1",VLOOKUP(C93,$J$2:$K$7,2,FALSE))</f>
        <v>1</v>
      </c>
      <c r="AB93" s="423" t="str">
        <f>CONCATENATE(TInspectieB[[#This Row],[Soort gebrek]],TInspectieB[[#This Row],[Trede]])</f>
        <v>1</v>
      </c>
      <c r="AC93" s="413" t="e">
        <v>#N/A</v>
      </c>
      <c r="AD93" s="413" t="e">
        <v>#N/A</v>
      </c>
      <c r="AE93" s="424">
        <v>0</v>
      </c>
    </row>
    <row r="94" spans="1:31" ht="10.5" x14ac:dyDescent="0.25">
      <c r="A94" s="337" t="str" cm="1">
        <f t="array" ref="A94">IFERROR(INDEX(TInventB[UVID],ROUNDDOWN((ROW(A85)+1)/2,0)),"")</f>
        <v/>
      </c>
      <c r="B94" s="410" t="str">
        <f>IF(TInspectieB[[#This Row],[UVID]]="","",VLOOKUP(TInspectieB[[#This Row],[UVID]],TInventB[],2,FALSE))</f>
        <v/>
      </c>
      <c r="C94" s="365" t="str">
        <f>IF(TInspectieB[[#This Row],[UVID]]="","",VLOOKUP(TInspectieB[[#This Row],[UVID]],TInventB[],11,FALSE))</f>
        <v/>
      </c>
      <c r="D94" s="411" t="str">
        <f>IF(TInspectieB[[#This Row],[UVID]]="","",VLOOKUP(TInspectieB[[#This Row],[UVID]],TInventB[],3,FALSE))</f>
        <v/>
      </c>
      <c r="E94" s="338" t="str">
        <f>IF(TInspectieB[[#This Row],[Omschrijving bouwdeel]]="","",IF(MOD(ROW()-2,2)=0,"O",IF(TRIM(TInspectieB[[#This Row],[Code Bouwdeeltype]])="312010","O","E")))</f>
        <v/>
      </c>
      <c r="F94" s="412"/>
      <c r="G94" s="413" t="str">
        <f>IF(ISBLANK(TInspectieB[[#This Row],[Soort gebrek]]),"",VLOOKUP(TInspectieB[[#This Row],[Soort gebrek]],TSoortGebrek[#Data],3,FALSE))</f>
        <v/>
      </c>
      <c r="H94" s="413" t="str">
        <f>IF(ISBLANK(TInspectieB[[#This Row],[Soort gebrek]]),"",VLOOKUP(TInspectieB[[#This Row],[Soort gebrek]],TSoortGebrek[#Data],2,FALSE))</f>
        <v/>
      </c>
      <c r="I94" s="413" t="str">
        <f>IF(TInspectieB[[#This Row],[Soort gebrek]]=0,"",VLOOKUP(TInspectieB[[#This Row],[Soort gebrek]],TSoortGebrek[],4,FALSE))</f>
        <v/>
      </c>
      <c r="J94" s="425"/>
      <c r="K94" s="415" t="str">
        <f>IF(TInspectieB[[#This Row],[Soort gebrek]]=0,"",VLOOKUP(TInspectieB[[#This Row],[Combi]],TPrio[#Data],2,FALSE))</f>
        <v/>
      </c>
      <c r="L94" s="339"/>
      <c r="M94" s="416" t="str">
        <f>IF(ISBLANK(TInspectieB[[#This Row],[Gebrek nr.]]),"",TInspectieB[[#This Row],[UVID]]&amp;"-"&amp;TInspectieB[[#This Row],[Gebrek nr.]])</f>
        <v/>
      </c>
      <c r="N94" s="417"/>
      <c r="O94" s="651"/>
      <c r="P94" s="206"/>
      <c r="Q94" s="193"/>
      <c r="R94" s="206"/>
      <c r="S94" s="206"/>
      <c r="T94" s="206"/>
      <c r="U94" s="206"/>
      <c r="V94" s="206"/>
      <c r="W94" s="419"/>
      <c r="X94" s="340"/>
      <c r="Y94" s="420"/>
      <c r="Z94" s="421" t="str">
        <f>IF(ISBLANK(TInspectieB[[#This Row],[Aantal]]),"",ROUND(TInspectieB[[#This Row],[Kengetal]]*TInspectieB[[#This Row],[Aantal]],-1))</f>
        <v/>
      </c>
      <c r="AA94" s="422" t="str">
        <f>IF(TInspectieB[[#This Row],[Vak-groep]]="","1",VLOOKUP(C94,$J$2:$K$7,2,FALSE))</f>
        <v>1</v>
      </c>
      <c r="AB94" s="423" t="str">
        <f>CONCATENATE(TInspectieB[[#This Row],[Soort gebrek]],TInspectieB[[#This Row],[Trede]])</f>
        <v>1</v>
      </c>
      <c r="AC94" s="413" t="e">
        <v>#N/A</v>
      </c>
      <c r="AD94" s="413" t="e">
        <v>#N/A</v>
      </c>
      <c r="AE94" s="424">
        <v>0</v>
      </c>
    </row>
    <row r="95" spans="1:31" ht="10.5" x14ac:dyDescent="0.25">
      <c r="A95" s="337" t="str" cm="1">
        <f t="array" ref="A95">IFERROR(INDEX(TInventB[UVID],ROUNDDOWN((ROW(A86)+1)/2,0)),"")</f>
        <v/>
      </c>
      <c r="B95" s="410" t="str">
        <f>IF(TInspectieB[[#This Row],[UVID]]="","",VLOOKUP(TInspectieB[[#This Row],[UVID]],TInventB[],2,FALSE))</f>
        <v/>
      </c>
      <c r="C95" s="365" t="str">
        <f>IF(TInspectieB[[#This Row],[UVID]]="","",VLOOKUP(TInspectieB[[#This Row],[UVID]],TInventB[],11,FALSE))</f>
        <v/>
      </c>
      <c r="D95" s="411" t="str">
        <f>IF(TInspectieB[[#This Row],[UVID]]="","",VLOOKUP(TInspectieB[[#This Row],[UVID]],TInventB[],3,FALSE))</f>
        <v/>
      </c>
      <c r="E95" s="338" t="str">
        <f>IF(TInspectieB[[#This Row],[Omschrijving bouwdeel]]="","",IF(MOD(ROW()-2,2)=0,"O",IF(TRIM(TInspectieB[[#This Row],[Code Bouwdeeltype]])="312010","O","E")))</f>
        <v/>
      </c>
      <c r="F95" s="412"/>
      <c r="G95" s="413" t="str">
        <f>IF(ISBLANK(TInspectieB[[#This Row],[Soort gebrek]]),"",VLOOKUP(TInspectieB[[#This Row],[Soort gebrek]],TSoortGebrek[#Data],3,FALSE))</f>
        <v/>
      </c>
      <c r="H95" s="413" t="str">
        <f>IF(ISBLANK(TInspectieB[[#This Row],[Soort gebrek]]),"",VLOOKUP(TInspectieB[[#This Row],[Soort gebrek]],TSoortGebrek[#Data],2,FALSE))</f>
        <v/>
      </c>
      <c r="I95" s="413" t="str">
        <f>IF(TInspectieB[[#This Row],[Soort gebrek]]=0,"",VLOOKUP(TInspectieB[[#This Row],[Soort gebrek]],TSoortGebrek[],4,FALSE))</f>
        <v/>
      </c>
      <c r="J95" s="425"/>
      <c r="K95" s="415" t="str">
        <f>IF(TInspectieB[[#This Row],[Soort gebrek]]=0,"",VLOOKUP(TInspectieB[[#This Row],[Combi]],TPrio[#Data],2,FALSE))</f>
        <v/>
      </c>
      <c r="L95" s="339"/>
      <c r="M95" s="416" t="str">
        <f>IF(ISBLANK(TInspectieB[[#This Row],[Gebrek nr.]]),"",TInspectieB[[#This Row],[UVID]]&amp;"-"&amp;TInspectieB[[#This Row],[Gebrek nr.]])</f>
        <v/>
      </c>
      <c r="N95" s="417"/>
      <c r="O95" s="651"/>
      <c r="P95" s="206"/>
      <c r="Q95" s="193"/>
      <c r="R95" s="206"/>
      <c r="S95" s="206"/>
      <c r="T95" s="206"/>
      <c r="U95" s="206"/>
      <c r="V95" s="206"/>
      <c r="W95" s="419"/>
      <c r="X95" s="340"/>
      <c r="Y95" s="420"/>
      <c r="Z95" s="421" t="str">
        <f>IF(ISBLANK(TInspectieB[[#This Row],[Aantal]]),"",ROUND(TInspectieB[[#This Row],[Kengetal]]*TInspectieB[[#This Row],[Aantal]],-1))</f>
        <v/>
      </c>
      <c r="AA95" s="422" t="str">
        <f>IF(TInspectieB[[#This Row],[Vak-groep]]="","1",VLOOKUP(C95,$J$2:$K$7,2,FALSE))</f>
        <v>1</v>
      </c>
      <c r="AB95" s="423" t="str">
        <f>CONCATENATE(TInspectieB[[#This Row],[Soort gebrek]],TInspectieB[[#This Row],[Trede]])</f>
        <v>1</v>
      </c>
      <c r="AC95" s="413" t="e">
        <v>#N/A</v>
      </c>
      <c r="AD95" s="413" t="e">
        <v>#N/A</v>
      </c>
      <c r="AE95" s="424">
        <v>0</v>
      </c>
    </row>
    <row r="96" spans="1:31" ht="10.5" x14ac:dyDescent="0.25">
      <c r="A96" s="337" t="str" cm="1">
        <f t="array" ref="A96">IFERROR(INDEX(TInventB[UVID],ROUNDDOWN((ROW(A87)+1)/2,0)),"")</f>
        <v/>
      </c>
      <c r="B96" s="410" t="str">
        <f>IF(TInspectieB[[#This Row],[UVID]]="","",VLOOKUP(TInspectieB[[#This Row],[UVID]],TInventB[],2,FALSE))</f>
        <v/>
      </c>
      <c r="C96" s="365" t="str">
        <f>IF(TInspectieB[[#This Row],[UVID]]="","",VLOOKUP(TInspectieB[[#This Row],[UVID]],TInventB[],11,FALSE))</f>
        <v/>
      </c>
      <c r="D96" s="411" t="str">
        <f>IF(TInspectieB[[#This Row],[UVID]]="","",VLOOKUP(TInspectieB[[#This Row],[UVID]],TInventB[],3,FALSE))</f>
        <v/>
      </c>
      <c r="E96" s="338" t="str">
        <f>IF(TInspectieB[[#This Row],[Omschrijving bouwdeel]]="","",IF(MOD(ROW()-2,2)=0,"O",IF(TRIM(TInspectieB[[#This Row],[Code Bouwdeeltype]])="312010","O","E")))</f>
        <v/>
      </c>
      <c r="F96" s="412"/>
      <c r="G96" s="413" t="str">
        <f>IF(ISBLANK(TInspectieB[[#This Row],[Soort gebrek]]),"",VLOOKUP(TInspectieB[[#This Row],[Soort gebrek]],TSoortGebrek[#Data],3,FALSE))</f>
        <v/>
      </c>
      <c r="H96" s="413" t="str">
        <f>IF(ISBLANK(TInspectieB[[#This Row],[Soort gebrek]]),"",VLOOKUP(TInspectieB[[#This Row],[Soort gebrek]],TSoortGebrek[#Data],2,FALSE))</f>
        <v/>
      </c>
      <c r="I96" s="413" t="str">
        <f>IF(TInspectieB[[#This Row],[Soort gebrek]]=0,"",VLOOKUP(TInspectieB[[#This Row],[Soort gebrek]],TSoortGebrek[],4,FALSE))</f>
        <v/>
      </c>
      <c r="J96" s="425"/>
      <c r="K96" s="415" t="str">
        <f>IF(TInspectieB[[#This Row],[Soort gebrek]]=0,"",VLOOKUP(TInspectieB[[#This Row],[Combi]],TPrio[#Data],2,FALSE))</f>
        <v/>
      </c>
      <c r="L96" s="339"/>
      <c r="M96" s="416" t="str">
        <f>IF(ISBLANK(TInspectieB[[#This Row],[Gebrek nr.]]),"",TInspectieB[[#This Row],[UVID]]&amp;"-"&amp;TInspectieB[[#This Row],[Gebrek nr.]])</f>
        <v/>
      </c>
      <c r="N96" s="417"/>
      <c r="O96" s="651"/>
      <c r="P96" s="206"/>
      <c r="Q96" s="193"/>
      <c r="R96" s="206"/>
      <c r="S96" s="206"/>
      <c r="T96" s="206"/>
      <c r="U96" s="206"/>
      <c r="V96" s="206"/>
      <c r="W96" s="419"/>
      <c r="X96" s="340"/>
      <c r="Y96" s="420"/>
      <c r="Z96" s="421" t="str">
        <f>IF(ISBLANK(TInspectieB[[#This Row],[Aantal]]),"",ROUND(TInspectieB[[#This Row],[Kengetal]]*TInspectieB[[#This Row],[Aantal]],-1))</f>
        <v/>
      </c>
      <c r="AA96" s="422" t="str">
        <f>IF(TInspectieB[[#This Row],[Vak-groep]]="","1",VLOOKUP(C96,$J$2:$K$7,2,FALSE))</f>
        <v>1</v>
      </c>
      <c r="AB96" s="423" t="str">
        <f>CONCATENATE(TInspectieB[[#This Row],[Soort gebrek]],TInspectieB[[#This Row],[Trede]])</f>
        <v>1</v>
      </c>
      <c r="AC96" s="413" t="e">
        <v>#N/A</v>
      </c>
      <c r="AD96" s="413" t="e">
        <v>#N/A</v>
      </c>
      <c r="AE96" s="424">
        <v>0</v>
      </c>
    </row>
    <row r="97" spans="1:31" ht="10.5" x14ac:dyDescent="0.25">
      <c r="A97" s="337" t="str" cm="1">
        <f t="array" ref="A97">IFERROR(INDEX(TInventB[UVID],ROUNDDOWN((ROW(A88)+1)/2,0)),"")</f>
        <v/>
      </c>
      <c r="B97" s="410" t="str">
        <f>IF(TInspectieB[[#This Row],[UVID]]="","",VLOOKUP(TInspectieB[[#This Row],[UVID]],TInventB[],2,FALSE))</f>
        <v/>
      </c>
      <c r="C97" s="365" t="str">
        <f>IF(TInspectieB[[#This Row],[UVID]]="","",VLOOKUP(TInspectieB[[#This Row],[UVID]],TInventB[],11,FALSE))</f>
        <v/>
      </c>
      <c r="D97" s="411" t="str">
        <f>IF(TInspectieB[[#This Row],[UVID]]="","",VLOOKUP(TInspectieB[[#This Row],[UVID]],TInventB[],3,FALSE))</f>
        <v/>
      </c>
      <c r="E97" s="338" t="str">
        <f>IF(TInspectieB[[#This Row],[Omschrijving bouwdeel]]="","",IF(MOD(ROW()-2,2)=0,"O",IF(TRIM(TInspectieB[[#This Row],[Code Bouwdeeltype]])="312010","O","E")))</f>
        <v/>
      </c>
      <c r="F97" s="412"/>
      <c r="G97" s="413" t="str">
        <f>IF(ISBLANK(TInspectieB[[#This Row],[Soort gebrek]]),"",VLOOKUP(TInspectieB[[#This Row],[Soort gebrek]],TSoortGebrek[#Data],3,FALSE))</f>
        <v/>
      </c>
      <c r="H97" s="413" t="str">
        <f>IF(ISBLANK(TInspectieB[[#This Row],[Soort gebrek]]),"",VLOOKUP(TInspectieB[[#This Row],[Soort gebrek]],TSoortGebrek[#Data],2,FALSE))</f>
        <v/>
      </c>
      <c r="I97" s="413" t="str">
        <f>IF(TInspectieB[[#This Row],[Soort gebrek]]=0,"",VLOOKUP(TInspectieB[[#This Row],[Soort gebrek]],TSoortGebrek[],4,FALSE))</f>
        <v/>
      </c>
      <c r="J97" s="425"/>
      <c r="K97" s="415" t="str">
        <f>IF(TInspectieB[[#This Row],[Soort gebrek]]=0,"",VLOOKUP(TInspectieB[[#This Row],[Combi]],TPrio[#Data],2,FALSE))</f>
        <v/>
      </c>
      <c r="L97" s="339"/>
      <c r="M97" s="416" t="str">
        <f>IF(ISBLANK(TInspectieB[[#This Row],[Gebrek nr.]]),"",TInspectieB[[#This Row],[UVID]]&amp;"-"&amp;TInspectieB[[#This Row],[Gebrek nr.]])</f>
        <v/>
      </c>
      <c r="N97" s="417"/>
      <c r="O97" s="651"/>
      <c r="P97" s="206"/>
      <c r="Q97" s="193"/>
      <c r="R97" s="206"/>
      <c r="S97" s="206"/>
      <c r="T97" s="206"/>
      <c r="U97" s="206"/>
      <c r="V97" s="206"/>
      <c r="W97" s="419"/>
      <c r="X97" s="340"/>
      <c r="Y97" s="420"/>
      <c r="Z97" s="421" t="str">
        <f>IF(ISBLANK(TInspectieB[[#This Row],[Aantal]]),"",ROUND(TInspectieB[[#This Row],[Kengetal]]*TInspectieB[[#This Row],[Aantal]],-1))</f>
        <v/>
      </c>
      <c r="AA97" s="422" t="str">
        <f>IF(TInspectieB[[#This Row],[Vak-groep]]="","1",VLOOKUP(C97,$J$2:$K$7,2,FALSE))</f>
        <v>1</v>
      </c>
      <c r="AB97" s="423" t="str">
        <f>CONCATENATE(TInspectieB[[#This Row],[Soort gebrek]],TInspectieB[[#This Row],[Trede]])</f>
        <v>1</v>
      </c>
      <c r="AC97" s="413" t="e">
        <v>#N/A</v>
      </c>
      <c r="AD97" s="413" t="e">
        <v>#N/A</v>
      </c>
      <c r="AE97" s="424">
        <v>0</v>
      </c>
    </row>
    <row r="98" spans="1:31" ht="10.5" x14ac:dyDescent="0.25">
      <c r="A98" s="337" t="str" cm="1">
        <f t="array" ref="A98">IFERROR(INDEX(TInventB[UVID],ROUNDDOWN((ROW(A89)+1)/2,0)),"")</f>
        <v/>
      </c>
      <c r="B98" s="410" t="str">
        <f>IF(TInspectieB[[#This Row],[UVID]]="","",VLOOKUP(TInspectieB[[#This Row],[UVID]],TInventB[],2,FALSE))</f>
        <v/>
      </c>
      <c r="C98" s="365" t="str">
        <f>IF(TInspectieB[[#This Row],[UVID]]="","",VLOOKUP(TInspectieB[[#This Row],[UVID]],TInventB[],11,FALSE))</f>
        <v/>
      </c>
      <c r="D98" s="411" t="str">
        <f>IF(TInspectieB[[#This Row],[UVID]]="","",VLOOKUP(TInspectieB[[#This Row],[UVID]],TInventB[],3,FALSE))</f>
        <v/>
      </c>
      <c r="E98" s="338" t="str">
        <f>IF(TInspectieB[[#This Row],[Omschrijving bouwdeel]]="","",IF(MOD(ROW()-2,2)=0,"O",IF(TRIM(TInspectieB[[#This Row],[Code Bouwdeeltype]])="312010","O","E")))</f>
        <v/>
      </c>
      <c r="F98" s="412"/>
      <c r="G98" s="413" t="str">
        <f>IF(ISBLANK(TInspectieB[[#This Row],[Soort gebrek]]),"",VLOOKUP(TInspectieB[[#This Row],[Soort gebrek]],TSoortGebrek[#Data],3,FALSE))</f>
        <v/>
      </c>
      <c r="H98" s="413" t="str">
        <f>IF(ISBLANK(TInspectieB[[#This Row],[Soort gebrek]]),"",VLOOKUP(TInspectieB[[#This Row],[Soort gebrek]],TSoortGebrek[#Data],2,FALSE))</f>
        <v/>
      </c>
      <c r="I98" s="413" t="str">
        <f>IF(TInspectieB[[#This Row],[Soort gebrek]]=0,"",VLOOKUP(TInspectieB[[#This Row],[Soort gebrek]],TSoortGebrek[],4,FALSE))</f>
        <v/>
      </c>
      <c r="J98" s="425"/>
      <c r="K98" s="415" t="str">
        <f>IF(TInspectieB[[#This Row],[Soort gebrek]]=0,"",VLOOKUP(TInspectieB[[#This Row],[Combi]],TPrio[#Data],2,FALSE))</f>
        <v/>
      </c>
      <c r="L98" s="339"/>
      <c r="M98" s="416" t="str">
        <f>IF(ISBLANK(TInspectieB[[#This Row],[Gebrek nr.]]),"",TInspectieB[[#This Row],[UVID]]&amp;"-"&amp;TInspectieB[[#This Row],[Gebrek nr.]])</f>
        <v/>
      </c>
      <c r="N98" s="417"/>
      <c r="O98" s="651"/>
      <c r="P98" s="206"/>
      <c r="Q98" s="193"/>
      <c r="R98" s="206"/>
      <c r="S98" s="206"/>
      <c r="T98" s="206"/>
      <c r="U98" s="206"/>
      <c r="V98" s="206"/>
      <c r="W98" s="419"/>
      <c r="X98" s="340"/>
      <c r="Y98" s="420"/>
      <c r="Z98" s="421" t="str">
        <f>IF(ISBLANK(TInspectieB[[#This Row],[Aantal]]),"",ROUND(TInspectieB[[#This Row],[Kengetal]]*TInspectieB[[#This Row],[Aantal]],-1))</f>
        <v/>
      </c>
      <c r="AA98" s="422" t="str">
        <f>IF(TInspectieB[[#This Row],[Vak-groep]]="","1",VLOOKUP(C98,$J$2:$K$7,2,FALSE))</f>
        <v>1</v>
      </c>
      <c r="AB98" s="423" t="str">
        <f>CONCATENATE(TInspectieB[[#This Row],[Soort gebrek]],TInspectieB[[#This Row],[Trede]])</f>
        <v>1</v>
      </c>
      <c r="AC98" s="413" t="e">
        <v>#N/A</v>
      </c>
      <c r="AD98" s="413" t="e">
        <v>#N/A</v>
      </c>
      <c r="AE98" s="424">
        <v>0</v>
      </c>
    </row>
    <row r="99" spans="1:31" ht="10.5" x14ac:dyDescent="0.25">
      <c r="A99" s="337" t="str" cm="1">
        <f t="array" ref="A99">IFERROR(INDEX(TInventB[UVID],ROUNDDOWN((ROW(A90)+1)/2,0)),"")</f>
        <v/>
      </c>
      <c r="B99" s="410" t="str">
        <f>IF(TInspectieB[[#This Row],[UVID]]="","",VLOOKUP(TInspectieB[[#This Row],[UVID]],TInventB[],2,FALSE))</f>
        <v/>
      </c>
      <c r="C99" s="365" t="str">
        <f>IF(TInspectieB[[#This Row],[UVID]]="","",VLOOKUP(TInspectieB[[#This Row],[UVID]],TInventB[],11,FALSE))</f>
        <v/>
      </c>
      <c r="D99" s="411" t="str">
        <f>IF(TInspectieB[[#This Row],[UVID]]="","",VLOOKUP(TInspectieB[[#This Row],[UVID]],TInventB[],3,FALSE))</f>
        <v/>
      </c>
      <c r="E99" s="338" t="str">
        <f>IF(TInspectieB[[#This Row],[Omschrijving bouwdeel]]="","",IF(MOD(ROW()-2,2)=0,"O",IF(TRIM(TInspectieB[[#This Row],[Code Bouwdeeltype]])="312010","O","E")))</f>
        <v/>
      </c>
      <c r="F99" s="412"/>
      <c r="G99" s="413" t="str">
        <f>IF(ISBLANK(TInspectieB[[#This Row],[Soort gebrek]]),"",VLOOKUP(TInspectieB[[#This Row],[Soort gebrek]],TSoortGebrek[#Data],3,FALSE))</f>
        <v/>
      </c>
      <c r="H99" s="413" t="str">
        <f>IF(ISBLANK(TInspectieB[[#This Row],[Soort gebrek]]),"",VLOOKUP(TInspectieB[[#This Row],[Soort gebrek]],TSoortGebrek[#Data],2,FALSE))</f>
        <v/>
      </c>
      <c r="I99" s="413" t="str">
        <f>IF(TInspectieB[[#This Row],[Soort gebrek]]=0,"",VLOOKUP(TInspectieB[[#This Row],[Soort gebrek]],TSoortGebrek[],4,FALSE))</f>
        <v/>
      </c>
      <c r="J99" s="425"/>
      <c r="K99" s="415" t="str">
        <f>IF(TInspectieB[[#This Row],[Soort gebrek]]=0,"",VLOOKUP(TInspectieB[[#This Row],[Combi]],TPrio[#Data],2,FALSE))</f>
        <v/>
      </c>
      <c r="L99" s="339"/>
      <c r="M99" s="416" t="str">
        <f>IF(ISBLANK(TInspectieB[[#This Row],[Gebrek nr.]]),"",TInspectieB[[#This Row],[UVID]]&amp;"-"&amp;TInspectieB[[#This Row],[Gebrek nr.]])</f>
        <v/>
      </c>
      <c r="N99" s="417"/>
      <c r="O99" s="651"/>
      <c r="P99" s="206"/>
      <c r="Q99" s="193"/>
      <c r="R99" s="206"/>
      <c r="S99" s="206"/>
      <c r="T99" s="206"/>
      <c r="U99" s="206"/>
      <c r="V99" s="206"/>
      <c r="W99" s="419"/>
      <c r="X99" s="340"/>
      <c r="Y99" s="420"/>
      <c r="Z99" s="421" t="str">
        <f>IF(ISBLANK(TInspectieB[[#This Row],[Aantal]]),"",ROUND(TInspectieB[[#This Row],[Kengetal]]*TInspectieB[[#This Row],[Aantal]],-1))</f>
        <v/>
      </c>
      <c r="AA99" s="422" t="str">
        <f>IF(TInspectieB[[#This Row],[Vak-groep]]="","1",VLOOKUP(C99,$J$2:$K$7,2,FALSE))</f>
        <v>1</v>
      </c>
      <c r="AB99" s="423" t="str">
        <f>CONCATENATE(TInspectieB[[#This Row],[Soort gebrek]],TInspectieB[[#This Row],[Trede]])</f>
        <v>1</v>
      </c>
      <c r="AC99" s="413" t="e">
        <v>#N/A</v>
      </c>
      <c r="AD99" s="413" t="e">
        <v>#N/A</v>
      </c>
      <c r="AE99" s="424">
        <v>0</v>
      </c>
    </row>
    <row r="100" spans="1:31" ht="10.5" x14ac:dyDescent="0.25">
      <c r="A100" s="337" t="str" cm="1">
        <f t="array" ref="A100">IFERROR(INDEX(TInventB[UVID],ROUNDDOWN((ROW(A91)+1)/2,0)),"")</f>
        <v/>
      </c>
      <c r="B100" s="410" t="str">
        <f>IF(TInspectieB[[#This Row],[UVID]]="","",VLOOKUP(TInspectieB[[#This Row],[UVID]],TInventB[],2,FALSE))</f>
        <v/>
      </c>
      <c r="C100" s="365" t="str">
        <f>IF(TInspectieB[[#This Row],[UVID]]="","",VLOOKUP(TInspectieB[[#This Row],[UVID]],TInventB[],11,FALSE))</f>
        <v/>
      </c>
      <c r="D100" s="411" t="str">
        <f>IF(TInspectieB[[#This Row],[UVID]]="","",VLOOKUP(TInspectieB[[#This Row],[UVID]],TInventB[],3,FALSE))</f>
        <v/>
      </c>
      <c r="E100" s="338" t="str">
        <f>IF(TInspectieB[[#This Row],[Omschrijving bouwdeel]]="","",IF(MOD(ROW()-2,2)=0,"O",IF(TRIM(TInspectieB[[#This Row],[Code Bouwdeeltype]])="312010","O","E")))</f>
        <v/>
      </c>
      <c r="F100" s="412"/>
      <c r="G100" s="413" t="str">
        <f>IF(ISBLANK(TInspectieB[[#This Row],[Soort gebrek]]),"",VLOOKUP(TInspectieB[[#This Row],[Soort gebrek]],TSoortGebrek[#Data],3,FALSE))</f>
        <v/>
      </c>
      <c r="H100" s="413" t="str">
        <f>IF(ISBLANK(TInspectieB[[#This Row],[Soort gebrek]]),"",VLOOKUP(TInspectieB[[#This Row],[Soort gebrek]],TSoortGebrek[#Data],2,FALSE))</f>
        <v/>
      </c>
      <c r="I100" s="413" t="str">
        <f>IF(TInspectieB[[#This Row],[Soort gebrek]]=0,"",VLOOKUP(TInspectieB[[#This Row],[Soort gebrek]],TSoortGebrek[],4,FALSE))</f>
        <v/>
      </c>
      <c r="J100" s="425"/>
      <c r="K100" s="415" t="str">
        <f>IF(TInspectieB[[#This Row],[Soort gebrek]]=0,"",VLOOKUP(TInspectieB[[#This Row],[Combi]],TPrio[#Data],2,FALSE))</f>
        <v/>
      </c>
      <c r="L100" s="339"/>
      <c r="M100" s="416" t="str">
        <f>IF(ISBLANK(TInspectieB[[#This Row],[Gebrek nr.]]),"",TInspectieB[[#This Row],[UVID]]&amp;"-"&amp;TInspectieB[[#This Row],[Gebrek nr.]])</f>
        <v/>
      </c>
      <c r="N100" s="417"/>
      <c r="O100" s="651"/>
      <c r="P100" s="206"/>
      <c r="Q100" s="193"/>
      <c r="R100" s="206"/>
      <c r="S100" s="206"/>
      <c r="T100" s="206"/>
      <c r="U100" s="206"/>
      <c r="V100" s="206"/>
      <c r="W100" s="419"/>
      <c r="X100" s="340"/>
      <c r="Y100" s="420"/>
      <c r="Z100" s="421" t="str">
        <f>IF(ISBLANK(TInspectieB[[#This Row],[Aantal]]),"",ROUND(TInspectieB[[#This Row],[Kengetal]]*TInspectieB[[#This Row],[Aantal]],-1))</f>
        <v/>
      </c>
      <c r="AA100" s="422" t="str">
        <f>IF(TInspectieB[[#This Row],[Vak-groep]]="","1",VLOOKUP(C100,$J$2:$K$7,2,FALSE))</f>
        <v>1</v>
      </c>
      <c r="AB100" s="423" t="str">
        <f>CONCATENATE(TInspectieB[[#This Row],[Soort gebrek]],TInspectieB[[#This Row],[Trede]])</f>
        <v>1</v>
      </c>
      <c r="AC100" s="413" t="e">
        <v>#N/A</v>
      </c>
      <c r="AD100" s="413" t="e">
        <v>#N/A</v>
      </c>
      <c r="AE100" s="424">
        <v>0</v>
      </c>
    </row>
    <row r="101" spans="1:31" ht="10.5" x14ac:dyDescent="0.25">
      <c r="A101" s="337" t="str" cm="1">
        <f t="array" ref="A101">IFERROR(INDEX(TInventB[UVID],ROUNDDOWN((ROW(A92)+1)/2,0)),"")</f>
        <v/>
      </c>
      <c r="B101" s="410" t="str">
        <f>IF(TInspectieB[[#This Row],[UVID]]="","",VLOOKUP(TInspectieB[[#This Row],[UVID]],TInventB[],2,FALSE))</f>
        <v/>
      </c>
      <c r="C101" s="365" t="str">
        <f>IF(TInspectieB[[#This Row],[UVID]]="","",VLOOKUP(TInspectieB[[#This Row],[UVID]],TInventB[],11,FALSE))</f>
        <v/>
      </c>
      <c r="D101" s="411" t="str">
        <f>IF(TInspectieB[[#This Row],[UVID]]="","",VLOOKUP(TInspectieB[[#This Row],[UVID]],TInventB[],3,FALSE))</f>
        <v/>
      </c>
      <c r="E101" s="338" t="str">
        <f>IF(TInspectieB[[#This Row],[Omschrijving bouwdeel]]="","",IF(MOD(ROW()-2,2)=0,"O",IF(TRIM(TInspectieB[[#This Row],[Code Bouwdeeltype]])="312010","O","E")))</f>
        <v/>
      </c>
      <c r="F101" s="412"/>
      <c r="G101" s="413" t="str">
        <f>IF(ISBLANK(TInspectieB[[#This Row],[Soort gebrek]]),"",VLOOKUP(TInspectieB[[#This Row],[Soort gebrek]],TSoortGebrek[#Data],3,FALSE))</f>
        <v/>
      </c>
      <c r="H101" s="413" t="str">
        <f>IF(ISBLANK(TInspectieB[[#This Row],[Soort gebrek]]),"",VLOOKUP(TInspectieB[[#This Row],[Soort gebrek]],TSoortGebrek[#Data],2,FALSE))</f>
        <v/>
      </c>
      <c r="I101" s="413" t="str">
        <f>IF(TInspectieB[[#This Row],[Soort gebrek]]=0,"",VLOOKUP(TInspectieB[[#This Row],[Soort gebrek]],TSoortGebrek[],4,FALSE))</f>
        <v/>
      </c>
      <c r="J101" s="425"/>
      <c r="K101" s="415" t="str">
        <f>IF(TInspectieB[[#This Row],[Soort gebrek]]=0,"",VLOOKUP(TInspectieB[[#This Row],[Combi]],TPrio[#Data],2,FALSE))</f>
        <v/>
      </c>
      <c r="L101" s="339"/>
      <c r="M101" s="416" t="str">
        <f>IF(ISBLANK(TInspectieB[[#This Row],[Gebrek nr.]]),"",TInspectieB[[#This Row],[UVID]]&amp;"-"&amp;TInspectieB[[#This Row],[Gebrek nr.]])</f>
        <v/>
      </c>
      <c r="N101" s="417"/>
      <c r="O101" s="651"/>
      <c r="P101" s="206"/>
      <c r="Q101" s="193"/>
      <c r="R101" s="206"/>
      <c r="S101" s="206"/>
      <c r="T101" s="206"/>
      <c r="U101" s="206"/>
      <c r="V101" s="206"/>
      <c r="W101" s="419"/>
      <c r="X101" s="340"/>
      <c r="Y101" s="420"/>
      <c r="Z101" s="421" t="str">
        <f>IF(ISBLANK(TInspectieB[[#This Row],[Aantal]]),"",ROUND(TInspectieB[[#This Row],[Kengetal]]*TInspectieB[[#This Row],[Aantal]],-1))</f>
        <v/>
      </c>
      <c r="AA101" s="422" t="str">
        <f>IF(TInspectieB[[#This Row],[Vak-groep]]="","1",VLOOKUP(C101,$J$2:$K$7,2,FALSE))</f>
        <v>1</v>
      </c>
      <c r="AB101" s="423" t="str">
        <f>CONCATENATE(TInspectieB[[#This Row],[Soort gebrek]],TInspectieB[[#This Row],[Trede]])</f>
        <v>1</v>
      </c>
      <c r="AC101" s="413" t="e">
        <v>#N/A</v>
      </c>
      <c r="AD101" s="413" t="e">
        <v>#N/A</v>
      </c>
      <c r="AE101" s="424">
        <v>0</v>
      </c>
    </row>
    <row r="102" spans="1:31" ht="10.5" x14ac:dyDescent="0.25">
      <c r="A102" s="337" t="str" cm="1">
        <f t="array" ref="A102">IFERROR(INDEX(TInventB[UVID],ROUNDDOWN((ROW(A93)+1)/2,0)),"")</f>
        <v/>
      </c>
      <c r="B102" s="410" t="str">
        <f>IF(TInspectieB[[#This Row],[UVID]]="","",VLOOKUP(TInspectieB[[#This Row],[UVID]],TInventB[],2,FALSE))</f>
        <v/>
      </c>
      <c r="C102" s="365" t="str">
        <f>IF(TInspectieB[[#This Row],[UVID]]="","",VLOOKUP(TInspectieB[[#This Row],[UVID]],TInventB[],11,FALSE))</f>
        <v/>
      </c>
      <c r="D102" s="411" t="str">
        <f>IF(TInspectieB[[#This Row],[UVID]]="","",VLOOKUP(TInspectieB[[#This Row],[UVID]],TInventB[],3,FALSE))</f>
        <v/>
      </c>
      <c r="E102" s="338" t="str">
        <f>IF(TInspectieB[[#This Row],[Omschrijving bouwdeel]]="","",IF(MOD(ROW()-2,2)=0,"O",IF(TRIM(TInspectieB[[#This Row],[Code Bouwdeeltype]])="312010","O","E")))</f>
        <v/>
      </c>
      <c r="F102" s="412"/>
      <c r="G102" s="413" t="str">
        <f>IF(ISBLANK(TInspectieB[[#This Row],[Soort gebrek]]),"",VLOOKUP(TInspectieB[[#This Row],[Soort gebrek]],TSoortGebrek[#Data],3,FALSE))</f>
        <v/>
      </c>
      <c r="H102" s="413" t="str">
        <f>IF(ISBLANK(TInspectieB[[#This Row],[Soort gebrek]]),"",VLOOKUP(TInspectieB[[#This Row],[Soort gebrek]],TSoortGebrek[#Data],2,FALSE))</f>
        <v/>
      </c>
      <c r="I102" s="413" t="str">
        <f>IF(TInspectieB[[#This Row],[Soort gebrek]]=0,"",VLOOKUP(TInspectieB[[#This Row],[Soort gebrek]],TSoortGebrek[],4,FALSE))</f>
        <v/>
      </c>
      <c r="J102" s="425"/>
      <c r="K102" s="415" t="str">
        <f>IF(TInspectieB[[#This Row],[Soort gebrek]]=0,"",VLOOKUP(TInspectieB[[#This Row],[Combi]],TPrio[#Data],2,FALSE))</f>
        <v/>
      </c>
      <c r="L102" s="339"/>
      <c r="M102" s="416" t="str">
        <f>IF(ISBLANK(TInspectieB[[#This Row],[Gebrek nr.]]),"",TInspectieB[[#This Row],[UVID]]&amp;"-"&amp;TInspectieB[[#This Row],[Gebrek nr.]])</f>
        <v/>
      </c>
      <c r="N102" s="417"/>
      <c r="O102" s="651"/>
      <c r="P102" s="206"/>
      <c r="Q102" s="193"/>
      <c r="R102" s="206"/>
      <c r="S102" s="206"/>
      <c r="T102" s="206"/>
      <c r="U102" s="206"/>
      <c r="V102" s="206"/>
      <c r="W102" s="419"/>
      <c r="X102" s="340"/>
      <c r="Y102" s="420"/>
      <c r="Z102" s="421" t="str">
        <f>IF(ISBLANK(TInspectieB[[#This Row],[Aantal]]),"",ROUND(TInspectieB[[#This Row],[Kengetal]]*TInspectieB[[#This Row],[Aantal]],-1))</f>
        <v/>
      </c>
      <c r="AA102" s="422" t="str">
        <f>IF(TInspectieB[[#This Row],[Vak-groep]]="","1",VLOOKUP(C102,$J$2:$K$7,2,FALSE))</f>
        <v>1</v>
      </c>
      <c r="AB102" s="423" t="str">
        <f>CONCATENATE(TInspectieB[[#This Row],[Soort gebrek]],TInspectieB[[#This Row],[Trede]])</f>
        <v>1</v>
      </c>
      <c r="AC102" s="413" t="e">
        <v>#N/A</v>
      </c>
      <c r="AD102" s="413" t="e">
        <v>#N/A</v>
      </c>
      <c r="AE102" s="424">
        <v>0</v>
      </c>
    </row>
    <row r="103" spans="1:31" ht="10.5" x14ac:dyDescent="0.25">
      <c r="A103" s="337" t="str" cm="1">
        <f t="array" ref="A103">IFERROR(INDEX(TInventB[UVID],ROUNDDOWN((ROW(A94)+1)/2,0)),"")</f>
        <v/>
      </c>
      <c r="B103" s="410" t="str">
        <f>IF(TInspectieB[[#This Row],[UVID]]="","",VLOOKUP(TInspectieB[[#This Row],[UVID]],TInventB[],2,FALSE))</f>
        <v/>
      </c>
      <c r="C103" s="365" t="str">
        <f>IF(TInspectieB[[#This Row],[UVID]]="","",VLOOKUP(TInspectieB[[#This Row],[UVID]],TInventB[],11,FALSE))</f>
        <v/>
      </c>
      <c r="D103" s="411" t="str">
        <f>IF(TInspectieB[[#This Row],[UVID]]="","",VLOOKUP(TInspectieB[[#This Row],[UVID]],TInventB[],3,FALSE))</f>
        <v/>
      </c>
      <c r="E103" s="338" t="str">
        <f>IF(TInspectieB[[#This Row],[Omschrijving bouwdeel]]="","",IF(MOD(ROW()-2,2)=0,"O",IF(TRIM(TInspectieB[[#This Row],[Code Bouwdeeltype]])="312010","O","E")))</f>
        <v/>
      </c>
      <c r="F103" s="412"/>
      <c r="G103" s="413" t="str">
        <f>IF(ISBLANK(TInspectieB[[#This Row],[Soort gebrek]]),"",VLOOKUP(TInspectieB[[#This Row],[Soort gebrek]],TSoortGebrek[#Data],3,FALSE))</f>
        <v/>
      </c>
      <c r="H103" s="413" t="str">
        <f>IF(ISBLANK(TInspectieB[[#This Row],[Soort gebrek]]),"",VLOOKUP(TInspectieB[[#This Row],[Soort gebrek]],TSoortGebrek[#Data],2,FALSE))</f>
        <v/>
      </c>
      <c r="I103" s="413" t="str">
        <f>IF(TInspectieB[[#This Row],[Soort gebrek]]=0,"",VLOOKUP(TInspectieB[[#This Row],[Soort gebrek]],TSoortGebrek[],4,FALSE))</f>
        <v/>
      </c>
      <c r="J103" s="425"/>
      <c r="K103" s="415" t="str">
        <f>IF(TInspectieB[[#This Row],[Soort gebrek]]=0,"",VLOOKUP(TInspectieB[[#This Row],[Combi]],TPrio[#Data],2,FALSE))</f>
        <v/>
      </c>
      <c r="L103" s="339"/>
      <c r="M103" s="416" t="str">
        <f>IF(ISBLANK(TInspectieB[[#This Row],[Gebrek nr.]]),"",TInspectieB[[#This Row],[UVID]]&amp;"-"&amp;TInspectieB[[#This Row],[Gebrek nr.]])</f>
        <v/>
      </c>
      <c r="N103" s="417"/>
      <c r="O103" s="651"/>
      <c r="P103" s="206"/>
      <c r="Q103" s="193"/>
      <c r="R103" s="206"/>
      <c r="S103" s="206"/>
      <c r="T103" s="206"/>
      <c r="U103" s="206"/>
      <c r="V103" s="206"/>
      <c r="W103" s="419"/>
      <c r="X103" s="340"/>
      <c r="Y103" s="420"/>
      <c r="Z103" s="421" t="str">
        <f>IF(ISBLANK(TInspectieB[[#This Row],[Aantal]]),"",ROUND(TInspectieB[[#This Row],[Kengetal]]*TInspectieB[[#This Row],[Aantal]],-1))</f>
        <v/>
      </c>
      <c r="AA103" s="422" t="str">
        <f>IF(TInspectieB[[#This Row],[Vak-groep]]="","1",VLOOKUP(C103,$J$2:$K$7,2,FALSE))</f>
        <v>1</v>
      </c>
      <c r="AB103" s="423" t="str">
        <f>CONCATENATE(TInspectieB[[#This Row],[Soort gebrek]],TInspectieB[[#This Row],[Trede]])</f>
        <v>1</v>
      </c>
      <c r="AC103" s="413" t="e">
        <v>#N/A</v>
      </c>
      <c r="AD103" s="413" t="e">
        <v>#N/A</v>
      </c>
      <c r="AE103" s="424">
        <v>0</v>
      </c>
    </row>
    <row r="104" spans="1:31" ht="10.5" x14ac:dyDescent="0.25">
      <c r="A104" s="337" t="str" cm="1">
        <f t="array" ref="A104">IFERROR(INDEX(TInventB[UVID],ROUNDDOWN((ROW(A95)+1)/2,0)),"")</f>
        <v/>
      </c>
      <c r="B104" s="410" t="str">
        <f>IF(TInspectieB[[#This Row],[UVID]]="","",VLOOKUP(TInspectieB[[#This Row],[UVID]],TInventB[],2,FALSE))</f>
        <v/>
      </c>
      <c r="C104" s="365" t="str">
        <f>IF(TInspectieB[[#This Row],[UVID]]="","",VLOOKUP(TInspectieB[[#This Row],[UVID]],TInventB[],11,FALSE))</f>
        <v/>
      </c>
      <c r="D104" s="411" t="str">
        <f>IF(TInspectieB[[#This Row],[UVID]]="","",VLOOKUP(TInspectieB[[#This Row],[UVID]],TInventB[],3,FALSE))</f>
        <v/>
      </c>
      <c r="E104" s="338" t="str">
        <f>IF(TInspectieB[[#This Row],[Omschrijving bouwdeel]]="","",IF(MOD(ROW()-2,2)=0,"O",IF(TRIM(TInspectieB[[#This Row],[Code Bouwdeeltype]])="312010","O","E")))</f>
        <v/>
      </c>
      <c r="F104" s="412"/>
      <c r="G104" s="413" t="str">
        <f>IF(ISBLANK(TInspectieB[[#This Row],[Soort gebrek]]),"",VLOOKUP(TInspectieB[[#This Row],[Soort gebrek]],TSoortGebrek[#Data],3,FALSE))</f>
        <v/>
      </c>
      <c r="H104" s="413" t="str">
        <f>IF(ISBLANK(TInspectieB[[#This Row],[Soort gebrek]]),"",VLOOKUP(TInspectieB[[#This Row],[Soort gebrek]],TSoortGebrek[#Data],2,FALSE))</f>
        <v/>
      </c>
      <c r="I104" s="413" t="str">
        <f>IF(TInspectieB[[#This Row],[Soort gebrek]]=0,"",VLOOKUP(TInspectieB[[#This Row],[Soort gebrek]],TSoortGebrek[],4,FALSE))</f>
        <v/>
      </c>
      <c r="J104" s="425"/>
      <c r="K104" s="415" t="str">
        <f>IF(TInspectieB[[#This Row],[Soort gebrek]]=0,"",VLOOKUP(TInspectieB[[#This Row],[Combi]],TPrio[#Data],2,FALSE))</f>
        <v/>
      </c>
      <c r="L104" s="339"/>
      <c r="M104" s="416" t="str">
        <f>IF(ISBLANK(TInspectieB[[#This Row],[Gebrek nr.]]),"",TInspectieB[[#This Row],[UVID]]&amp;"-"&amp;TInspectieB[[#This Row],[Gebrek nr.]])</f>
        <v/>
      </c>
      <c r="N104" s="417"/>
      <c r="O104" s="651"/>
      <c r="P104" s="206"/>
      <c r="Q104" s="193"/>
      <c r="R104" s="206"/>
      <c r="S104" s="206"/>
      <c r="T104" s="206"/>
      <c r="U104" s="206"/>
      <c r="V104" s="206"/>
      <c r="W104" s="419"/>
      <c r="X104" s="340"/>
      <c r="Y104" s="420"/>
      <c r="Z104" s="421" t="str">
        <f>IF(ISBLANK(TInspectieB[[#This Row],[Aantal]]),"",ROUND(TInspectieB[[#This Row],[Kengetal]]*TInspectieB[[#This Row],[Aantal]],-1))</f>
        <v/>
      </c>
      <c r="AA104" s="422" t="str">
        <f>IF(TInspectieB[[#This Row],[Vak-groep]]="","1",VLOOKUP(C104,$J$2:$K$7,2,FALSE))</f>
        <v>1</v>
      </c>
      <c r="AB104" s="423" t="str">
        <f>CONCATENATE(TInspectieB[[#This Row],[Soort gebrek]],TInspectieB[[#This Row],[Trede]])</f>
        <v>1</v>
      </c>
      <c r="AC104" s="413" t="e">
        <v>#N/A</v>
      </c>
      <c r="AD104" s="413" t="e">
        <v>#N/A</v>
      </c>
      <c r="AE104" s="424">
        <v>0</v>
      </c>
    </row>
    <row r="105" spans="1:31" ht="10.5" x14ac:dyDescent="0.25">
      <c r="A105" s="337" t="str" cm="1">
        <f t="array" ref="A105">IFERROR(INDEX(TInventB[UVID],ROUNDDOWN((ROW(A96)+1)/2,0)),"")</f>
        <v/>
      </c>
      <c r="B105" s="410" t="str">
        <f>IF(TInspectieB[[#This Row],[UVID]]="","",VLOOKUP(TInspectieB[[#This Row],[UVID]],TInventB[],2,FALSE))</f>
        <v/>
      </c>
      <c r="C105" s="365" t="str">
        <f>IF(TInspectieB[[#This Row],[UVID]]="","",VLOOKUP(TInspectieB[[#This Row],[UVID]],TInventB[],11,FALSE))</f>
        <v/>
      </c>
      <c r="D105" s="411" t="str">
        <f>IF(TInspectieB[[#This Row],[UVID]]="","",VLOOKUP(TInspectieB[[#This Row],[UVID]],TInventB[],3,FALSE))</f>
        <v/>
      </c>
      <c r="E105" s="338" t="str">
        <f>IF(TInspectieB[[#This Row],[Omschrijving bouwdeel]]="","",IF(MOD(ROW()-2,2)=0,"O",IF(TRIM(TInspectieB[[#This Row],[Code Bouwdeeltype]])="312010","O","E")))</f>
        <v/>
      </c>
      <c r="F105" s="412"/>
      <c r="G105" s="413" t="str">
        <f>IF(ISBLANK(TInspectieB[[#This Row],[Soort gebrek]]),"",VLOOKUP(TInspectieB[[#This Row],[Soort gebrek]],TSoortGebrek[#Data],3,FALSE))</f>
        <v/>
      </c>
      <c r="H105" s="413" t="str">
        <f>IF(ISBLANK(TInspectieB[[#This Row],[Soort gebrek]]),"",VLOOKUP(TInspectieB[[#This Row],[Soort gebrek]],TSoortGebrek[#Data],2,FALSE))</f>
        <v/>
      </c>
      <c r="I105" s="413" t="str">
        <f>IF(TInspectieB[[#This Row],[Soort gebrek]]=0,"",VLOOKUP(TInspectieB[[#This Row],[Soort gebrek]],TSoortGebrek[],4,FALSE))</f>
        <v/>
      </c>
      <c r="J105" s="425"/>
      <c r="K105" s="415" t="str">
        <f>IF(TInspectieB[[#This Row],[Soort gebrek]]=0,"",VLOOKUP(TInspectieB[[#This Row],[Combi]],TPrio[#Data],2,FALSE))</f>
        <v/>
      </c>
      <c r="L105" s="339"/>
      <c r="M105" s="416" t="str">
        <f>IF(ISBLANK(TInspectieB[[#This Row],[Gebrek nr.]]),"",TInspectieB[[#This Row],[UVID]]&amp;"-"&amp;TInspectieB[[#This Row],[Gebrek nr.]])</f>
        <v/>
      </c>
      <c r="N105" s="417"/>
      <c r="O105" s="651"/>
      <c r="P105" s="206"/>
      <c r="Q105" s="193"/>
      <c r="R105" s="206"/>
      <c r="S105" s="206"/>
      <c r="T105" s="206"/>
      <c r="U105" s="206"/>
      <c r="V105" s="206"/>
      <c r="W105" s="419"/>
      <c r="X105" s="340"/>
      <c r="Y105" s="420"/>
      <c r="Z105" s="421" t="str">
        <f>IF(ISBLANK(TInspectieB[[#This Row],[Aantal]]),"",ROUND(TInspectieB[[#This Row],[Kengetal]]*TInspectieB[[#This Row],[Aantal]],-1))</f>
        <v/>
      </c>
      <c r="AA105" s="422" t="str">
        <f>IF(TInspectieB[[#This Row],[Vak-groep]]="","1",VLOOKUP(C105,$J$2:$K$7,2,FALSE))</f>
        <v>1</v>
      </c>
      <c r="AB105" s="423" t="str">
        <f>CONCATENATE(TInspectieB[[#This Row],[Soort gebrek]],TInspectieB[[#This Row],[Trede]])</f>
        <v>1</v>
      </c>
      <c r="AC105" s="413" t="e">
        <v>#N/A</v>
      </c>
      <c r="AD105" s="413" t="e">
        <v>#N/A</v>
      </c>
      <c r="AE105" s="424">
        <v>0</v>
      </c>
    </row>
    <row r="106" spans="1:31" ht="10.5" x14ac:dyDescent="0.25">
      <c r="A106" s="337" t="str" cm="1">
        <f t="array" ref="A106">IFERROR(INDEX(TInventB[UVID],ROUNDDOWN((ROW(A97)+1)/2,0)),"")</f>
        <v/>
      </c>
      <c r="B106" s="410" t="str">
        <f>IF(TInspectieB[[#This Row],[UVID]]="","",VLOOKUP(TInspectieB[[#This Row],[UVID]],TInventB[],2,FALSE))</f>
        <v/>
      </c>
      <c r="C106" s="365" t="str">
        <f>IF(TInspectieB[[#This Row],[UVID]]="","",VLOOKUP(TInspectieB[[#This Row],[UVID]],TInventB[],11,FALSE))</f>
        <v/>
      </c>
      <c r="D106" s="411" t="str">
        <f>IF(TInspectieB[[#This Row],[UVID]]="","",VLOOKUP(TInspectieB[[#This Row],[UVID]],TInventB[],3,FALSE))</f>
        <v/>
      </c>
      <c r="E106" s="338" t="str">
        <f>IF(TInspectieB[[#This Row],[Omschrijving bouwdeel]]="","",IF(MOD(ROW()-2,2)=0,"O",IF(TRIM(TInspectieB[[#This Row],[Code Bouwdeeltype]])="312010","O","E")))</f>
        <v/>
      </c>
      <c r="F106" s="412"/>
      <c r="G106" s="413" t="str">
        <f>IF(ISBLANK(TInspectieB[[#This Row],[Soort gebrek]]),"",VLOOKUP(TInspectieB[[#This Row],[Soort gebrek]],TSoortGebrek[#Data],3,FALSE))</f>
        <v/>
      </c>
      <c r="H106" s="413" t="str">
        <f>IF(ISBLANK(TInspectieB[[#This Row],[Soort gebrek]]),"",VLOOKUP(TInspectieB[[#This Row],[Soort gebrek]],TSoortGebrek[#Data],2,FALSE))</f>
        <v/>
      </c>
      <c r="I106" s="413" t="str">
        <f>IF(TInspectieB[[#This Row],[Soort gebrek]]=0,"",VLOOKUP(TInspectieB[[#This Row],[Soort gebrek]],TSoortGebrek[],4,FALSE))</f>
        <v/>
      </c>
      <c r="J106" s="425"/>
      <c r="K106" s="415" t="str">
        <f>IF(TInspectieB[[#This Row],[Soort gebrek]]=0,"",VLOOKUP(TInspectieB[[#This Row],[Combi]],TPrio[#Data],2,FALSE))</f>
        <v/>
      </c>
      <c r="L106" s="339"/>
      <c r="M106" s="416" t="str">
        <f>IF(ISBLANK(TInspectieB[[#This Row],[Gebrek nr.]]),"",TInspectieB[[#This Row],[UVID]]&amp;"-"&amp;TInspectieB[[#This Row],[Gebrek nr.]])</f>
        <v/>
      </c>
      <c r="N106" s="417"/>
      <c r="O106" s="651"/>
      <c r="P106" s="206"/>
      <c r="Q106" s="193"/>
      <c r="R106" s="206"/>
      <c r="S106" s="206"/>
      <c r="T106" s="206"/>
      <c r="U106" s="206"/>
      <c r="V106" s="206"/>
      <c r="W106" s="419"/>
      <c r="X106" s="340"/>
      <c r="Y106" s="420"/>
      <c r="Z106" s="421" t="str">
        <f>IF(ISBLANK(TInspectieB[[#This Row],[Aantal]]),"",ROUND(TInspectieB[[#This Row],[Kengetal]]*TInspectieB[[#This Row],[Aantal]],-1))</f>
        <v/>
      </c>
      <c r="AA106" s="422" t="str">
        <f>IF(TInspectieB[[#This Row],[Vak-groep]]="","1",VLOOKUP(C106,$J$2:$K$7,2,FALSE))</f>
        <v>1</v>
      </c>
      <c r="AB106" s="423" t="str">
        <f>CONCATENATE(TInspectieB[[#This Row],[Soort gebrek]],TInspectieB[[#This Row],[Trede]])</f>
        <v>1</v>
      </c>
      <c r="AC106" s="413" t="e">
        <v>#N/A</v>
      </c>
      <c r="AD106" s="413" t="e">
        <v>#N/A</v>
      </c>
      <c r="AE106" s="424">
        <v>0</v>
      </c>
    </row>
    <row r="107" spans="1:31" ht="10.5" x14ac:dyDescent="0.25">
      <c r="A107" s="337" t="str" cm="1">
        <f t="array" ref="A107">IFERROR(INDEX(TInventB[UVID],ROUNDDOWN((ROW(A98)+1)/2,0)),"")</f>
        <v/>
      </c>
      <c r="B107" s="410" t="str">
        <f>IF(TInspectieB[[#This Row],[UVID]]="","",VLOOKUP(TInspectieB[[#This Row],[UVID]],TInventB[],2,FALSE))</f>
        <v/>
      </c>
      <c r="C107" s="365" t="str">
        <f>IF(TInspectieB[[#This Row],[UVID]]="","",VLOOKUP(TInspectieB[[#This Row],[UVID]],TInventB[],11,FALSE))</f>
        <v/>
      </c>
      <c r="D107" s="411" t="str">
        <f>IF(TInspectieB[[#This Row],[UVID]]="","",VLOOKUP(TInspectieB[[#This Row],[UVID]],TInventB[],3,FALSE))</f>
        <v/>
      </c>
      <c r="E107" s="338" t="str">
        <f>IF(TInspectieB[[#This Row],[Omschrijving bouwdeel]]="","",IF(MOD(ROW()-2,2)=0,"O",IF(TRIM(TInspectieB[[#This Row],[Code Bouwdeeltype]])="312010","O","E")))</f>
        <v/>
      </c>
      <c r="F107" s="412"/>
      <c r="G107" s="413" t="str">
        <f>IF(ISBLANK(TInspectieB[[#This Row],[Soort gebrek]]),"",VLOOKUP(TInspectieB[[#This Row],[Soort gebrek]],TSoortGebrek[#Data],3,FALSE))</f>
        <v/>
      </c>
      <c r="H107" s="413" t="str">
        <f>IF(ISBLANK(TInspectieB[[#This Row],[Soort gebrek]]),"",VLOOKUP(TInspectieB[[#This Row],[Soort gebrek]],TSoortGebrek[#Data],2,FALSE))</f>
        <v/>
      </c>
      <c r="I107" s="413" t="str">
        <f>IF(TInspectieB[[#This Row],[Soort gebrek]]=0,"",VLOOKUP(TInspectieB[[#This Row],[Soort gebrek]],TSoortGebrek[],4,FALSE))</f>
        <v/>
      </c>
      <c r="J107" s="425"/>
      <c r="K107" s="415" t="str">
        <f>IF(TInspectieB[[#This Row],[Soort gebrek]]=0,"",VLOOKUP(TInspectieB[[#This Row],[Combi]],TPrio[#Data],2,FALSE))</f>
        <v/>
      </c>
      <c r="L107" s="339"/>
      <c r="M107" s="416" t="str">
        <f>IF(ISBLANK(TInspectieB[[#This Row],[Gebrek nr.]]),"",TInspectieB[[#This Row],[UVID]]&amp;"-"&amp;TInspectieB[[#This Row],[Gebrek nr.]])</f>
        <v/>
      </c>
      <c r="N107" s="417"/>
      <c r="O107" s="651"/>
      <c r="P107" s="206"/>
      <c r="Q107" s="193"/>
      <c r="R107" s="206"/>
      <c r="S107" s="206"/>
      <c r="T107" s="206"/>
      <c r="U107" s="206"/>
      <c r="V107" s="206"/>
      <c r="W107" s="419"/>
      <c r="X107" s="340"/>
      <c r="Y107" s="420"/>
      <c r="Z107" s="421" t="str">
        <f>IF(ISBLANK(TInspectieB[[#This Row],[Aantal]]),"",ROUND(TInspectieB[[#This Row],[Kengetal]]*TInspectieB[[#This Row],[Aantal]],-1))</f>
        <v/>
      </c>
      <c r="AA107" s="422" t="str">
        <f>IF(TInspectieB[[#This Row],[Vak-groep]]="","1",VLOOKUP(C107,$J$2:$K$7,2,FALSE))</f>
        <v>1</v>
      </c>
      <c r="AB107" s="423" t="str">
        <f>CONCATENATE(TInspectieB[[#This Row],[Soort gebrek]],TInspectieB[[#This Row],[Trede]])</f>
        <v>1</v>
      </c>
      <c r="AC107" s="413" t="e">
        <v>#N/A</v>
      </c>
      <c r="AD107" s="413" t="e">
        <v>#N/A</v>
      </c>
      <c r="AE107" s="424">
        <v>0</v>
      </c>
    </row>
    <row r="108" spans="1:31" ht="10.5" x14ac:dyDescent="0.25">
      <c r="A108" s="337" t="str" cm="1">
        <f t="array" ref="A108">IFERROR(INDEX(TInventB[UVID],ROUNDDOWN((ROW(A99)+1)/2,0)),"")</f>
        <v/>
      </c>
      <c r="B108" s="410" t="str">
        <f>IF(TInspectieB[[#This Row],[UVID]]="","",VLOOKUP(TInspectieB[[#This Row],[UVID]],TInventB[],2,FALSE))</f>
        <v/>
      </c>
      <c r="C108" s="365" t="str">
        <f>IF(TInspectieB[[#This Row],[UVID]]="","",VLOOKUP(TInspectieB[[#This Row],[UVID]],TInventB[],11,FALSE))</f>
        <v/>
      </c>
      <c r="D108" s="411" t="str">
        <f>IF(TInspectieB[[#This Row],[UVID]]="","",VLOOKUP(TInspectieB[[#This Row],[UVID]],TInventB[],3,FALSE))</f>
        <v/>
      </c>
      <c r="E108" s="338" t="str">
        <f>IF(TInspectieB[[#This Row],[Omschrijving bouwdeel]]="","",IF(MOD(ROW()-2,2)=0,"O",IF(TRIM(TInspectieB[[#This Row],[Code Bouwdeeltype]])="312010","O","E")))</f>
        <v/>
      </c>
      <c r="F108" s="412"/>
      <c r="G108" s="413" t="str">
        <f>IF(ISBLANK(TInspectieB[[#This Row],[Soort gebrek]]),"",VLOOKUP(TInspectieB[[#This Row],[Soort gebrek]],TSoortGebrek[#Data],3,FALSE))</f>
        <v/>
      </c>
      <c r="H108" s="413" t="str">
        <f>IF(ISBLANK(TInspectieB[[#This Row],[Soort gebrek]]),"",VLOOKUP(TInspectieB[[#This Row],[Soort gebrek]],TSoortGebrek[#Data],2,FALSE))</f>
        <v/>
      </c>
      <c r="I108" s="413" t="str">
        <f>IF(TInspectieB[[#This Row],[Soort gebrek]]=0,"",VLOOKUP(TInspectieB[[#This Row],[Soort gebrek]],TSoortGebrek[],4,FALSE))</f>
        <v/>
      </c>
      <c r="J108" s="425"/>
      <c r="K108" s="415" t="str">
        <f>IF(TInspectieB[[#This Row],[Soort gebrek]]=0,"",VLOOKUP(TInspectieB[[#This Row],[Combi]],TPrio[#Data],2,FALSE))</f>
        <v/>
      </c>
      <c r="L108" s="339"/>
      <c r="M108" s="416" t="str">
        <f>IF(ISBLANK(TInspectieB[[#This Row],[Gebrek nr.]]),"",TInspectieB[[#This Row],[UVID]]&amp;"-"&amp;TInspectieB[[#This Row],[Gebrek nr.]])</f>
        <v/>
      </c>
      <c r="N108" s="417"/>
      <c r="O108" s="651"/>
      <c r="P108" s="206"/>
      <c r="Q108" s="193"/>
      <c r="R108" s="206"/>
      <c r="S108" s="206"/>
      <c r="T108" s="206"/>
      <c r="U108" s="206"/>
      <c r="V108" s="206"/>
      <c r="W108" s="419"/>
      <c r="X108" s="340"/>
      <c r="Y108" s="420"/>
      <c r="Z108" s="421" t="str">
        <f>IF(ISBLANK(TInspectieB[[#This Row],[Aantal]]),"",ROUND(TInspectieB[[#This Row],[Kengetal]]*TInspectieB[[#This Row],[Aantal]],-1))</f>
        <v/>
      </c>
      <c r="AA108" s="422" t="str">
        <f>IF(TInspectieB[[#This Row],[Vak-groep]]="","1",VLOOKUP(C108,$J$2:$K$7,2,FALSE))</f>
        <v>1</v>
      </c>
      <c r="AB108" s="423" t="str">
        <f>CONCATENATE(TInspectieB[[#This Row],[Soort gebrek]],TInspectieB[[#This Row],[Trede]])</f>
        <v>1</v>
      </c>
      <c r="AC108" s="413" t="e">
        <v>#N/A</v>
      </c>
      <c r="AD108" s="413" t="e">
        <v>#N/A</v>
      </c>
      <c r="AE108" s="424">
        <v>0</v>
      </c>
    </row>
    <row r="109" spans="1:31" ht="10.5" x14ac:dyDescent="0.25">
      <c r="A109" s="337" t="str" cm="1">
        <f t="array" ref="A109">IFERROR(INDEX(TInventB[UVID],ROUNDDOWN((ROW(A100)+1)/2,0)),"")</f>
        <v/>
      </c>
      <c r="B109" s="410" t="str">
        <f>IF(TInspectieB[[#This Row],[UVID]]="","",VLOOKUP(TInspectieB[[#This Row],[UVID]],TInventB[],2,FALSE))</f>
        <v/>
      </c>
      <c r="C109" s="365" t="str">
        <f>IF(TInspectieB[[#This Row],[UVID]]="","",VLOOKUP(TInspectieB[[#This Row],[UVID]],TInventB[],11,FALSE))</f>
        <v/>
      </c>
      <c r="D109" s="411" t="str">
        <f>IF(TInspectieB[[#This Row],[UVID]]="","",VLOOKUP(TInspectieB[[#This Row],[UVID]],TInventB[],3,FALSE))</f>
        <v/>
      </c>
      <c r="E109" s="338" t="str">
        <f>IF(TInspectieB[[#This Row],[Omschrijving bouwdeel]]="","",IF(MOD(ROW()-2,2)=0,"O",IF(TRIM(TInspectieB[[#This Row],[Code Bouwdeeltype]])="312010","O","E")))</f>
        <v/>
      </c>
      <c r="F109" s="412"/>
      <c r="G109" s="413" t="str">
        <f>IF(ISBLANK(TInspectieB[[#This Row],[Soort gebrek]]),"",VLOOKUP(TInspectieB[[#This Row],[Soort gebrek]],TSoortGebrek[#Data],3,FALSE))</f>
        <v/>
      </c>
      <c r="H109" s="413" t="str">
        <f>IF(ISBLANK(TInspectieB[[#This Row],[Soort gebrek]]),"",VLOOKUP(TInspectieB[[#This Row],[Soort gebrek]],TSoortGebrek[#Data],2,FALSE))</f>
        <v/>
      </c>
      <c r="I109" s="413" t="str">
        <f>IF(TInspectieB[[#This Row],[Soort gebrek]]=0,"",VLOOKUP(TInspectieB[[#This Row],[Soort gebrek]],TSoortGebrek[],4,FALSE))</f>
        <v/>
      </c>
      <c r="J109" s="425"/>
      <c r="K109" s="415" t="str">
        <f>IF(TInspectieB[[#This Row],[Soort gebrek]]=0,"",VLOOKUP(TInspectieB[[#This Row],[Combi]],TPrio[#Data],2,FALSE))</f>
        <v/>
      </c>
      <c r="L109" s="339"/>
      <c r="M109" s="416" t="str">
        <f>IF(ISBLANK(TInspectieB[[#This Row],[Gebrek nr.]]),"",TInspectieB[[#This Row],[UVID]]&amp;"-"&amp;TInspectieB[[#This Row],[Gebrek nr.]])</f>
        <v/>
      </c>
      <c r="N109" s="417"/>
      <c r="O109" s="651"/>
      <c r="P109" s="206"/>
      <c r="Q109" s="193"/>
      <c r="R109" s="206"/>
      <c r="S109" s="206"/>
      <c r="T109" s="206"/>
      <c r="U109" s="206"/>
      <c r="V109" s="206"/>
      <c r="W109" s="419"/>
      <c r="X109" s="340"/>
      <c r="Y109" s="420"/>
      <c r="Z109" s="421" t="str">
        <f>IF(ISBLANK(TInspectieB[[#This Row],[Aantal]]),"",ROUND(TInspectieB[[#This Row],[Kengetal]]*TInspectieB[[#This Row],[Aantal]],-1))</f>
        <v/>
      </c>
      <c r="AA109" s="422" t="str">
        <f>IF(TInspectieB[[#This Row],[Vak-groep]]="","1",VLOOKUP(C109,$J$2:$K$7,2,FALSE))</f>
        <v>1</v>
      </c>
      <c r="AB109" s="423" t="str">
        <f>CONCATENATE(TInspectieB[[#This Row],[Soort gebrek]],TInspectieB[[#This Row],[Trede]])</f>
        <v>1</v>
      </c>
      <c r="AC109" s="413" t="e">
        <v>#N/A</v>
      </c>
      <c r="AD109" s="413" t="e">
        <v>#N/A</v>
      </c>
      <c r="AE109" s="424">
        <v>0</v>
      </c>
    </row>
    <row r="110" spans="1:31" ht="10.5" x14ac:dyDescent="0.25">
      <c r="A110" s="337" t="str" cm="1">
        <f t="array" ref="A110">IFERROR(INDEX(TInventB[UVID],ROUNDDOWN((ROW(A101)+1)/2,0)),"")</f>
        <v/>
      </c>
      <c r="B110" s="410" t="str">
        <f>IF(TInspectieB[[#This Row],[UVID]]="","",VLOOKUP(TInspectieB[[#This Row],[UVID]],TInventB[],2,FALSE))</f>
        <v/>
      </c>
      <c r="C110" s="365" t="str">
        <f>IF(TInspectieB[[#This Row],[UVID]]="","",VLOOKUP(TInspectieB[[#This Row],[UVID]],TInventB[],11,FALSE))</f>
        <v/>
      </c>
      <c r="D110" s="411" t="str">
        <f>IF(TInspectieB[[#This Row],[UVID]]="","",VLOOKUP(TInspectieB[[#This Row],[UVID]],TInventB[],3,FALSE))</f>
        <v/>
      </c>
      <c r="E110" s="338" t="str">
        <f>IF(TInspectieB[[#This Row],[Omschrijving bouwdeel]]="","",IF(MOD(ROW()-2,2)=0,"O",IF(TRIM(TInspectieB[[#This Row],[Code Bouwdeeltype]])="312010","O","E")))</f>
        <v/>
      </c>
      <c r="F110" s="412"/>
      <c r="G110" s="413" t="str">
        <f>IF(ISBLANK(TInspectieB[[#This Row],[Soort gebrek]]),"",VLOOKUP(TInspectieB[[#This Row],[Soort gebrek]],TSoortGebrek[#Data],3,FALSE))</f>
        <v/>
      </c>
      <c r="H110" s="413" t="str">
        <f>IF(ISBLANK(TInspectieB[[#This Row],[Soort gebrek]]),"",VLOOKUP(TInspectieB[[#This Row],[Soort gebrek]],TSoortGebrek[#Data],2,FALSE))</f>
        <v/>
      </c>
      <c r="I110" s="413" t="str">
        <f>IF(TInspectieB[[#This Row],[Soort gebrek]]=0,"",VLOOKUP(TInspectieB[[#This Row],[Soort gebrek]],TSoortGebrek[],4,FALSE))</f>
        <v/>
      </c>
      <c r="J110" s="425"/>
      <c r="K110" s="415" t="str">
        <f>IF(TInspectieB[[#This Row],[Soort gebrek]]=0,"",VLOOKUP(TInspectieB[[#This Row],[Combi]],TPrio[#Data],2,FALSE))</f>
        <v/>
      </c>
      <c r="L110" s="339"/>
      <c r="M110" s="416" t="str">
        <f>IF(ISBLANK(TInspectieB[[#This Row],[Gebrek nr.]]),"",TInspectieB[[#This Row],[UVID]]&amp;"-"&amp;TInspectieB[[#This Row],[Gebrek nr.]])</f>
        <v/>
      </c>
      <c r="N110" s="417"/>
      <c r="O110" s="651"/>
      <c r="P110" s="206"/>
      <c r="Q110" s="193"/>
      <c r="R110" s="206"/>
      <c r="S110" s="206"/>
      <c r="T110" s="206"/>
      <c r="U110" s="206"/>
      <c r="V110" s="206"/>
      <c r="W110" s="419"/>
      <c r="X110" s="340"/>
      <c r="Y110" s="420"/>
      <c r="Z110" s="421" t="str">
        <f>IF(ISBLANK(TInspectieB[[#This Row],[Aantal]]),"",ROUND(TInspectieB[[#This Row],[Kengetal]]*TInspectieB[[#This Row],[Aantal]],-1))</f>
        <v/>
      </c>
      <c r="AA110" s="422" t="str">
        <f>IF(TInspectieB[[#This Row],[Vak-groep]]="","1",VLOOKUP(C110,$J$2:$K$7,2,FALSE))</f>
        <v>1</v>
      </c>
      <c r="AB110" s="423" t="str">
        <f>CONCATENATE(TInspectieB[[#This Row],[Soort gebrek]],TInspectieB[[#This Row],[Trede]])</f>
        <v>1</v>
      </c>
      <c r="AC110" s="413" t="e">
        <v>#N/A</v>
      </c>
      <c r="AD110" s="413" t="e">
        <v>#N/A</v>
      </c>
      <c r="AE110" s="424">
        <v>0</v>
      </c>
    </row>
    <row r="111" spans="1:31" ht="10.5" x14ac:dyDescent="0.25">
      <c r="A111" s="337" t="str" cm="1">
        <f t="array" ref="A111">IFERROR(INDEX(TInventB[UVID],ROUNDDOWN((ROW(A102)+1)/2,0)),"")</f>
        <v/>
      </c>
      <c r="B111" s="410" t="str">
        <f>IF(TInspectieB[[#This Row],[UVID]]="","",VLOOKUP(TInspectieB[[#This Row],[UVID]],TInventB[],2,FALSE))</f>
        <v/>
      </c>
      <c r="C111" s="365" t="str">
        <f>IF(TInspectieB[[#This Row],[UVID]]="","",VLOOKUP(TInspectieB[[#This Row],[UVID]],TInventB[],11,FALSE))</f>
        <v/>
      </c>
      <c r="D111" s="411" t="str">
        <f>IF(TInspectieB[[#This Row],[UVID]]="","",VLOOKUP(TInspectieB[[#This Row],[UVID]],TInventB[],3,FALSE))</f>
        <v/>
      </c>
      <c r="E111" s="338" t="str">
        <f>IF(TInspectieB[[#This Row],[Omschrijving bouwdeel]]="","",IF(MOD(ROW()-2,2)=0,"O",IF(TRIM(TInspectieB[[#This Row],[Code Bouwdeeltype]])="312010","O","E")))</f>
        <v/>
      </c>
      <c r="F111" s="412"/>
      <c r="G111" s="413" t="str">
        <f>IF(ISBLANK(TInspectieB[[#This Row],[Soort gebrek]]),"",VLOOKUP(TInspectieB[[#This Row],[Soort gebrek]],TSoortGebrek[#Data],3,FALSE))</f>
        <v/>
      </c>
      <c r="H111" s="413" t="str">
        <f>IF(ISBLANK(TInspectieB[[#This Row],[Soort gebrek]]),"",VLOOKUP(TInspectieB[[#This Row],[Soort gebrek]],TSoortGebrek[#Data],2,FALSE))</f>
        <v/>
      </c>
      <c r="I111" s="413" t="str">
        <f>IF(TInspectieB[[#This Row],[Soort gebrek]]=0,"",VLOOKUP(TInspectieB[[#This Row],[Soort gebrek]],TSoortGebrek[],4,FALSE))</f>
        <v/>
      </c>
      <c r="J111" s="425"/>
      <c r="K111" s="415" t="str">
        <f>IF(TInspectieB[[#This Row],[Soort gebrek]]=0,"",VLOOKUP(TInspectieB[[#This Row],[Combi]],TPrio[#Data],2,FALSE))</f>
        <v/>
      </c>
      <c r="L111" s="339"/>
      <c r="M111" s="416" t="str">
        <f>IF(ISBLANK(TInspectieB[[#This Row],[Gebrek nr.]]),"",TInspectieB[[#This Row],[UVID]]&amp;"-"&amp;TInspectieB[[#This Row],[Gebrek nr.]])</f>
        <v/>
      </c>
      <c r="N111" s="417"/>
      <c r="O111" s="651"/>
      <c r="P111" s="206"/>
      <c r="Q111" s="193"/>
      <c r="R111" s="206"/>
      <c r="S111" s="206"/>
      <c r="T111" s="206"/>
      <c r="U111" s="206"/>
      <c r="V111" s="206"/>
      <c r="W111" s="419"/>
      <c r="X111" s="340"/>
      <c r="Y111" s="420"/>
      <c r="Z111" s="421" t="str">
        <f>IF(ISBLANK(TInspectieB[[#This Row],[Aantal]]),"",ROUND(TInspectieB[[#This Row],[Kengetal]]*TInspectieB[[#This Row],[Aantal]],-1))</f>
        <v/>
      </c>
      <c r="AA111" s="422" t="str">
        <f>IF(TInspectieB[[#This Row],[Vak-groep]]="","1",VLOOKUP(C111,$J$2:$K$7,2,FALSE))</f>
        <v>1</v>
      </c>
      <c r="AB111" s="423" t="str">
        <f>CONCATENATE(TInspectieB[[#This Row],[Soort gebrek]],TInspectieB[[#This Row],[Trede]])</f>
        <v>1</v>
      </c>
      <c r="AC111" s="413" t="e">
        <v>#N/A</v>
      </c>
      <c r="AD111" s="413" t="e">
        <v>#N/A</v>
      </c>
      <c r="AE111" s="424">
        <v>0</v>
      </c>
    </row>
    <row r="112" spans="1:31" ht="10.5" x14ac:dyDescent="0.25">
      <c r="A112" s="337" t="str" cm="1">
        <f t="array" ref="A112">IFERROR(INDEX(TInventB[UVID],ROUNDDOWN((ROW(A103)+1)/2,0)),"")</f>
        <v/>
      </c>
      <c r="B112" s="410" t="str">
        <f>IF(TInspectieB[[#This Row],[UVID]]="","",VLOOKUP(TInspectieB[[#This Row],[UVID]],TInventB[],2,FALSE))</f>
        <v/>
      </c>
      <c r="C112" s="365" t="str">
        <f>IF(TInspectieB[[#This Row],[UVID]]="","",VLOOKUP(TInspectieB[[#This Row],[UVID]],TInventB[],11,FALSE))</f>
        <v/>
      </c>
      <c r="D112" s="411" t="str">
        <f>IF(TInspectieB[[#This Row],[UVID]]="","",VLOOKUP(TInspectieB[[#This Row],[UVID]],TInventB[],3,FALSE))</f>
        <v/>
      </c>
      <c r="E112" s="338" t="str">
        <f>IF(TInspectieB[[#This Row],[Omschrijving bouwdeel]]="","",IF(MOD(ROW()-2,2)=0,"O",IF(TRIM(TInspectieB[[#This Row],[Code Bouwdeeltype]])="312010","O","E")))</f>
        <v/>
      </c>
      <c r="F112" s="412"/>
      <c r="G112" s="413" t="str">
        <f>IF(ISBLANK(TInspectieB[[#This Row],[Soort gebrek]]),"",VLOOKUP(TInspectieB[[#This Row],[Soort gebrek]],TSoortGebrek[#Data],3,FALSE))</f>
        <v/>
      </c>
      <c r="H112" s="413" t="str">
        <f>IF(ISBLANK(TInspectieB[[#This Row],[Soort gebrek]]),"",VLOOKUP(TInspectieB[[#This Row],[Soort gebrek]],TSoortGebrek[#Data],2,FALSE))</f>
        <v/>
      </c>
      <c r="I112" s="413" t="str">
        <f>IF(TInspectieB[[#This Row],[Soort gebrek]]=0,"",VLOOKUP(TInspectieB[[#This Row],[Soort gebrek]],TSoortGebrek[],4,FALSE))</f>
        <v/>
      </c>
      <c r="J112" s="425"/>
      <c r="K112" s="415" t="str">
        <f>IF(TInspectieB[[#This Row],[Soort gebrek]]=0,"",VLOOKUP(TInspectieB[[#This Row],[Combi]],TPrio[#Data],2,FALSE))</f>
        <v/>
      </c>
      <c r="L112" s="339"/>
      <c r="M112" s="416" t="str">
        <f>IF(ISBLANK(TInspectieB[[#This Row],[Gebrek nr.]]),"",TInspectieB[[#This Row],[UVID]]&amp;"-"&amp;TInspectieB[[#This Row],[Gebrek nr.]])</f>
        <v/>
      </c>
      <c r="N112" s="417"/>
      <c r="O112" s="651"/>
      <c r="P112" s="206"/>
      <c r="Q112" s="193"/>
      <c r="R112" s="206"/>
      <c r="S112" s="206"/>
      <c r="T112" s="206"/>
      <c r="U112" s="206"/>
      <c r="V112" s="206"/>
      <c r="W112" s="419"/>
      <c r="X112" s="340"/>
      <c r="Y112" s="420"/>
      <c r="Z112" s="421" t="str">
        <f>IF(ISBLANK(TInspectieB[[#This Row],[Aantal]]),"",ROUND(TInspectieB[[#This Row],[Kengetal]]*TInspectieB[[#This Row],[Aantal]],-1))</f>
        <v/>
      </c>
      <c r="AA112" s="422" t="str">
        <f>IF(TInspectieB[[#This Row],[Vak-groep]]="","1",VLOOKUP(C112,$J$2:$K$7,2,FALSE))</f>
        <v>1</v>
      </c>
      <c r="AB112" s="423" t="str">
        <f>CONCATENATE(TInspectieB[[#This Row],[Soort gebrek]],TInspectieB[[#This Row],[Trede]])</f>
        <v>1</v>
      </c>
      <c r="AC112" s="413" t="e">
        <v>#N/A</v>
      </c>
      <c r="AD112" s="413" t="e">
        <v>#N/A</v>
      </c>
      <c r="AE112" s="424">
        <v>0</v>
      </c>
    </row>
    <row r="113" spans="1:31" ht="10.5" x14ac:dyDescent="0.25">
      <c r="A113" s="337" t="str" cm="1">
        <f t="array" ref="A113">IFERROR(INDEX(TInventB[UVID],ROUNDDOWN((ROW(A104)+1)/2,0)),"")</f>
        <v/>
      </c>
      <c r="B113" s="410" t="str">
        <f>IF(TInspectieB[[#This Row],[UVID]]="","",VLOOKUP(TInspectieB[[#This Row],[UVID]],TInventB[],2,FALSE))</f>
        <v/>
      </c>
      <c r="C113" s="365" t="str">
        <f>IF(TInspectieB[[#This Row],[UVID]]="","",VLOOKUP(TInspectieB[[#This Row],[UVID]],TInventB[],11,FALSE))</f>
        <v/>
      </c>
      <c r="D113" s="411" t="str">
        <f>IF(TInspectieB[[#This Row],[UVID]]="","",VLOOKUP(TInspectieB[[#This Row],[UVID]],TInventB[],3,FALSE))</f>
        <v/>
      </c>
      <c r="E113" s="338" t="str">
        <f>IF(TInspectieB[[#This Row],[Omschrijving bouwdeel]]="","",IF(MOD(ROW()-2,2)=0,"O",IF(TRIM(TInspectieB[[#This Row],[Code Bouwdeeltype]])="312010","O","E")))</f>
        <v/>
      </c>
      <c r="F113" s="412"/>
      <c r="G113" s="413" t="str">
        <f>IF(ISBLANK(TInspectieB[[#This Row],[Soort gebrek]]),"",VLOOKUP(TInspectieB[[#This Row],[Soort gebrek]],TSoortGebrek[#Data],3,FALSE))</f>
        <v/>
      </c>
      <c r="H113" s="413" t="str">
        <f>IF(ISBLANK(TInspectieB[[#This Row],[Soort gebrek]]),"",VLOOKUP(TInspectieB[[#This Row],[Soort gebrek]],TSoortGebrek[#Data],2,FALSE))</f>
        <v/>
      </c>
      <c r="I113" s="413" t="str">
        <f>IF(TInspectieB[[#This Row],[Soort gebrek]]=0,"",VLOOKUP(TInspectieB[[#This Row],[Soort gebrek]],TSoortGebrek[],4,FALSE))</f>
        <v/>
      </c>
      <c r="J113" s="425"/>
      <c r="K113" s="415" t="str">
        <f>IF(TInspectieB[[#This Row],[Soort gebrek]]=0,"",VLOOKUP(TInspectieB[[#This Row],[Combi]],TPrio[#Data],2,FALSE))</f>
        <v/>
      </c>
      <c r="L113" s="339"/>
      <c r="M113" s="416" t="str">
        <f>IF(ISBLANK(TInspectieB[[#This Row],[Gebrek nr.]]),"",TInspectieB[[#This Row],[UVID]]&amp;"-"&amp;TInspectieB[[#This Row],[Gebrek nr.]])</f>
        <v/>
      </c>
      <c r="N113" s="417"/>
      <c r="O113" s="651"/>
      <c r="P113" s="206"/>
      <c r="Q113" s="193"/>
      <c r="R113" s="206"/>
      <c r="S113" s="206"/>
      <c r="T113" s="206"/>
      <c r="U113" s="206"/>
      <c r="V113" s="206"/>
      <c r="W113" s="419"/>
      <c r="X113" s="340"/>
      <c r="Y113" s="420"/>
      <c r="Z113" s="421" t="str">
        <f>IF(ISBLANK(TInspectieB[[#This Row],[Aantal]]),"",ROUND(TInspectieB[[#This Row],[Kengetal]]*TInspectieB[[#This Row],[Aantal]],-1))</f>
        <v/>
      </c>
      <c r="AA113" s="422" t="str">
        <f>IF(TInspectieB[[#This Row],[Vak-groep]]="","1",VLOOKUP(C113,$J$2:$K$7,2,FALSE))</f>
        <v>1</v>
      </c>
      <c r="AB113" s="423" t="str">
        <f>CONCATENATE(TInspectieB[[#This Row],[Soort gebrek]],TInspectieB[[#This Row],[Trede]])</f>
        <v>1</v>
      </c>
      <c r="AC113" s="413" t="e">
        <v>#N/A</v>
      </c>
      <c r="AD113" s="413" t="e">
        <v>#N/A</v>
      </c>
      <c r="AE113" s="424">
        <v>0</v>
      </c>
    </row>
    <row r="114" spans="1:31" ht="10.5" x14ac:dyDescent="0.25">
      <c r="A114" s="337" t="str" cm="1">
        <f t="array" ref="A114">IFERROR(INDEX(TInventB[UVID],ROUNDDOWN((ROW(A105)+1)/2,0)),"")</f>
        <v/>
      </c>
      <c r="B114" s="410" t="str">
        <f>IF(TInspectieB[[#This Row],[UVID]]="","",VLOOKUP(TInspectieB[[#This Row],[UVID]],TInventB[],2,FALSE))</f>
        <v/>
      </c>
      <c r="C114" s="365" t="str">
        <f>IF(TInspectieB[[#This Row],[UVID]]="","",VLOOKUP(TInspectieB[[#This Row],[UVID]],TInventB[],11,FALSE))</f>
        <v/>
      </c>
      <c r="D114" s="411" t="str">
        <f>IF(TInspectieB[[#This Row],[UVID]]="","",VLOOKUP(TInspectieB[[#This Row],[UVID]],TInventB[],3,FALSE))</f>
        <v/>
      </c>
      <c r="E114" s="338" t="str">
        <f>IF(TInspectieB[[#This Row],[Omschrijving bouwdeel]]="","",IF(MOD(ROW()-2,2)=0,"O",IF(TRIM(TInspectieB[[#This Row],[Code Bouwdeeltype]])="312010","O","E")))</f>
        <v/>
      </c>
      <c r="F114" s="412"/>
      <c r="G114" s="413" t="str">
        <f>IF(ISBLANK(TInspectieB[[#This Row],[Soort gebrek]]),"",VLOOKUP(TInspectieB[[#This Row],[Soort gebrek]],TSoortGebrek[#Data],3,FALSE))</f>
        <v/>
      </c>
      <c r="H114" s="413" t="str">
        <f>IF(ISBLANK(TInspectieB[[#This Row],[Soort gebrek]]),"",VLOOKUP(TInspectieB[[#This Row],[Soort gebrek]],TSoortGebrek[#Data],2,FALSE))</f>
        <v/>
      </c>
      <c r="I114" s="413" t="str">
        <f>IF(TInspectieB[[#This Row],[Soort gebrek]]=0,"",VLOOKUP(TInspectieB[[#This Row],[Soort gebrek]],TSoortGebrek[],4,FALSE))</f>
        <v/>
      </c>
      <c r="J114" s="425"/>
      <c r="K114" s="415" t="str">
        <f>IF(TInspectieB[[#This Row],[Soort gebrek]]=0,"",VLOOKUP(TInspectieB[[#This Row],[Combi]],TPrio[#Data],2,FALSE))</f>
        <v/>
      </c>
      <c r="L114" s="339"/>
      <c r="M114" s="416" t="str">
        <f>IF(ISBLANK(TInspectieB[[#This Row],[Gebrek nr.]]),"",TInspectieB[[#This Row],[UVID]]&amp;"-"&amp;TInspectieB[[#This Row],[Gebrek nr.]])</f>
        <v/>
      </c>
      <c r="N114" s="417"/>
      <c r="O114" s="651"/>
      <c r="P114" s="206"/>
      <c r="Q114" s="193"/>
      <c r="R114" s="206"/>
      <c r="S114" s="206"/>
      <c r="T114" s="206"/>
      <c r="U114" s="206"/>
      <c r="V114" s="206"/>
      <c r="W114" s="419"/>
      <c r="X114" s="340"/>
      <c r="Y114" s="420"/>
      <c r="Z114" s="421" t="str">
        <f>IF(ISBLANK(TInspectieB[[#This Row],[Aantal]]),"",ROUND(TInspectieB[[#This Row],[Kengetal]]*TInspectieB[[#This Row],[Aantal]],-1))</f>
        <v/>
      </c>
      <c r="AA114" s="422" t="str">
        <f>IF(TInspectieB[[#This Row],[Vak-groep]]="","1",VLOOKUP(C114,$J$2:$K$7,2,FALSE))</f>
        <v>1</v>
      </c>
      <c r="AB114" s="423" t="str">
        <f>CONCATENATE(TInspectieB[[#This Row],[Soort gebrek]],TInspectieB[[#This Row],[Trede]])</f>
        <v>1</v>
      </c>
      <c r="AC114" s="413" t="e">
        <v>#N/A</v>
      </c>
      <c r="AD114" s="413" t="e">
        <v>#N/A</v>
      </c>
      <c r="AE114" s="424">
        <v>0</v>
      </c>
    </row>
    <row r="115" spans="1:31" ht="10.5" x14ac:dyDescent="0.25">
      <c r="A115" s="337" t="str" cm="1">
        <f t="array" ref="A115">IFERROR(INDEX(TInventB[UVID],ROUNDDOWN((ROW(A106)+1)/2,0)),"")</f>
        <v/>
      </c>
      <c r="B115" s="410" t="str">
        <f>IF(TInspectieB[[#This Row],[UVID]]="","",VLOOKUP(TInspectieB[[#This Row],[UVID]],TInventB[],2,FALSE))</f>
        <v/>
      </c>
      <c r="C115" s="365" t="str">
        <f>IF(TInspectieB[[#This Row],[UVID]]="","",VLOOKUP(TInspectieB[[#This Row],[UVID]],TInventB[],11,FALSE))</f>
        <v/>
      </c>
      <c r="D115" s="411" t="str">
        <f>IF(TInspectieB[[#This Row],[UVID]]="","",VLOOKUP(TInspectieB[[#This Row],[UVID]],TInventB[],3,FALSE))</f>
        <v/>
      </c>
      <c r="E115" s="338" t="str">
        <f>IF(TInspectieB[[#This Row],[Omschrijving bouwdeel]]="","",IF(MOD(ROW()-2,2)=0,"O",IF(TRIM(TInspectieB[[#This Row],[Code Bouwdeeltype]])="312010","O","E")))</f>
        <v/>
      </c>
      <c r="F115" s="412"/>
      <c r="G115" s="413" t="str">
        <f>IF(ISBLANK(TInspectieB[[#This Row],[Soort gebrek]]),"",VLOOKUP(TInspectieB[[#This Row],[Soort gebrek]],TSoortGebrek[#Data],3,FALSE))</f>
        <v/>
      </c>
      <c r="H115" s="413" t="str">
        <f>IF(ISBLANK(TInspectieB[[#This Row],[Soort gebrek]]),"",VLOOKUP(TInspectieB[[#This Row],[Soort gebrek]],TSoortGebrek[#Data],2,FALSE))</f>
        <v/>
      </c>
      <c r="I115" s="413" t="str">
        <f>IF(TInspectieB[[#This Row],[Soort gebrek]]=0,"",VLOOKUP(TInspectieB[[#This Row],[Soort gebrek]],TSoortGebrek[],4,FALSE))</f>
        <v/>
      </c>
      <c r="J115" s="425"/>
      <c r="K115" s="415" t="str">
        <f>IF(TInspectieB[[#This Row],[Soort gebrek]]=0,"",VLOOKUP(TInspectieB[[#This Row],[Combi]],TPrio[#Data],2,FALSE))</f>
        <v/>
      </c>
      <c r="L115" s="339"/>
      <c r="M115" s="416" t="str">
        <f>IF(ISBLANK(TInspectieB[[#This Row],[Gebrek nr.]]),"",TInspectieB[[#This Row],[UVID]]&amp;"-"&amp;TInspectieB[[#This Row],[Gebrek nr.]])</f>
        <v/>
      </c>
      <c r="N115" s="417"/>
      <c r="O115" s="651"/>
      <c r="P115" s="206"/>
      <c r="Q115" s="193"/>
      <c r="R115" s="206"/>
      <c r="S115" s="206"/>
      <c r="T115" s="206"/>
      <c r="U115" s="206"/>
      <c r="V115" s="206"/>
      <c r="W115" s="419"/>
      <c r="X115" s="340"/>
      <c r="Y115" s="420"/>
      <c r="Z115" s="421" t="str">
        <f>IF(ISBLANK(TInspectieB[[#This Row],[Aantal]]),"",ROUND(TInspectieB[[#This Row],[Kengetal]]*TInspectieB[[#This Row],[Aantal]],-1))</f>
        <v/>
      </c>
      <c r="AA115" s="422" t="str">
        <f>IF(TInspectieB[[#This Row],[Vak-groep]]="","1",VLOOKUP(C115,$J$2:$K$7,2,FALSE))</f>
        <v>1</v>
      </c>
      <c r="AB115" s="423" t="str">
        <f>CONCATENATE(TInspectieB[[#This Row],[Soort gebrek]],TInspectieB[[#This Row],[Trede]])</f>
        <v>1</v>
      </c>
      <c r="AC115" s="413" t="e">
        <v>#N/A</v>
      </c>
      <c r="AD115" s="413" t="e">
        <v>#N/A</v>
      </c>
      <c r="AE115" s="424">
        <v>0</v>
      </c>
    </row>
    <row r="116" spans="1:31" ht="10.5" x14ac:dyDescent="0.25">
      <c r="A116" s="337" t="str" cm="1">
        <f t="array" ref="A116">IFERROR(INDEX(TInventB[UVID],ROUNDDOWN((ROW(A107)+1)/2,0)),"")</f>
        <v/>
      </c>
      <c r="B116" s="410" t="str">
        <f>IF(TInspectieB[[#This Row],[UVID]]="","",VLOOKUP(TInspectieB[[#This Row],[UVID]],TInventB[],2,FALSE))</f>
        <v/>
      </c>
      <c r="C116" s="365" t="str">
        <f>IF(TInspectieB[[#This Row],[UVID]]="","",VLOOKUP(TInspectieB[[#This Row],[UVID]],TInventB[],11,FALSE))</f>
        <v/>
      </c>
      <c r="D116" s="411" t="str">
        <f>IF(TInspectieB[[#This Row],[UVID]]="","",VLOOKUP(TInspectieB[[#This Row],[UVID]],TInventB[],3,FALSE))</f>
        <v/>
      </c>
      <c r="E116" s="338" t="str">
        <f>IF(TInspectieB[[#This Row],[Omschrijving bouwdeel]]="","",IF(MOD(ROW()-2,2)=0,"O",IF(TRIM(TInspectieB[[#This Row],[Code Bouwdeeltype]])="312010","O","E")))</f>
        <v/>
      </c>
      <c r="F116" s="412"/>
      <c r="G116" s="413" t="str">
        <f>IF(ISBLANK(TInspectieB[[#This Row],[Soort gebrek]]),"",VLOOKUP(TInspectieB[[#This Row],[Soort gebrek]],TSoortGebrek[#Data],3,FALSE))</f>
        <v/>
      </c>
      <c r="H116" s="413" t="str">
        <f>IF(ISBLANK(TInspectieB[[#This Row],[Soort gebrek]]),"",VLOOKUP(TInspectieB[[#This Row],[Soort gebrek]],TSoortGebrek[#Data],2,FALSE))</f>
        <v/>
      </c>
      <c r="I116" s="413" t="str">
        <f>IF(TInspectieB[[#This Row],[Soort gebrek]]=0,"",VLOOKUP(TInspectieB[[#This Row],[Soort gebrek]],TSoortGebrek[],4,FALSE))</f>
        <v/>
      </c>
      <c r="J116" s="425"/>
      <c r="K116" s="415" t="str">
        <f>IF(TInspectieB[[#This Row],[Soort gebrek]]=0,"",VLOOKUP(TInspectieB[[#This Row],[Combi]],TPrio[#Data],2,FALSE))</f>
        <v/>
      </c>
      <c r="L116" s="339"/>
      <c r="M116" s="416" t="str">
        <f>IF(ISBLANK(TInspectieB[[#This Row],[Gebrek nr.]]),"",TInspectieB[[#This Row],[UVID]]&amp;"-"&amp;TInspectieB[[#This Row],[Gebrek nr.]])</f>
        <v/>
      </c>
      <c r="N116" s="417"/>
      <c r="O116" s="651"/>
      <c r="P116" s="206"/>
      <c r="Q116" s="193"/>
      <c r="R116" s="206"/>
      <c r="S116" s="206"/>
      <c r="T116" s="206"/>
      <c r="U116" s="206"/>
      <c r="V116" s="206"/>
      <c r="W116" s="419"/>
      <c r="X116" s="340"/>
      <c r="Y116" s="420"/>
      <c r="Z116" s="421" t="str">
        <f>IF(ISBLANK(TInspectieB[[#This Row],[Aantal]]),"",ROUND(TInspectieB[[#This Row],[Kengetal]]*TInspectieB[[#This Row],[Aantal]],-1))</f>
        <v/>
      </c>
      <c r="AA116" s="422" t="str">
        <f>IF(TInspectieB[[#This Row],[Vak-groep]]="","1",VLOOKUP(C116,$J$2:$K$7,2,FALSE))</f>
        <v>1</v>
      </c>
      <c r="AB116" s="423" t="str">
        <f>CONCATENATE(TInspectieB[[#This Row],[Soort gebrek]],TInspectieB[[#This Row],[Trede]])</f>
        <v>1</v>
      </c>
      <c r="AC116" s="413" t="e">
        <v>#N/A</v>
      </c>
      <c r="AD116" s="413" t="e">
        <v>#N/A</v>
      </c>
      <c r="AE116" s="424">
        <v>0</v>
      </c>
    </row>
    <row r="117" spans="1:31" ht="10.5" x14ac:dyDescent="0.25">
      <c r="A117" s="337" t="str" cm="1">
        <f t="array" ref="A117">IFERROR(INDEX(TInventB[UVID],ROUNDDOWN((ROW(A108)+1)/2,0)),"")</f>
        <v/>
      </c>
      <c r="B117" s="410" t="str">
        <f>IF(TInspectieB[[#This Row],[UVID]]="","",VLOOKUP(TInspectieB[[#This Row],[UVID]],TInventB[],2,FALSE))</f>
        <v/>
      </c>
      <c r="C117" s="365" t="str">
        <f>IF(TInspectieB[[#This Row],[UVID]]="","",VLOOKUP(TInspectieB[[#This Row],[UVID]],TInventB[],11,FALSE))</f>
        <v/>
      </c>
      <c r="D117" s="411" t="str">
        <f>IF(TInspectieB[[#This Row],[UVID]]="","",VLOOKUP(TInspectieB[[#This Row],[UVID]],TInventB[],3,FALSE))</f>
        <v/>
      </c>
      <c r="E117" s="338" t="str">
        <f>IF(TInspectieB[[#This Row],[Omschrijving bouwdeel]]="","",IF(MOD(ROW()-2,2)=0,"O",IF(TRIM(TInspectieB[[#This Row],[Code Bouwdeeltype]])="312010","O","E")))</f>
        <v/>
      </c>
      <c r="F117" s="412"/>
      <c r="G117" s="413" t="str">
        <f>IF(ISBLANK(TInspectieB[[#This Row],[Soort gebrek]]),"",VLOOKUP(TInspectieB[[#This Row],[Soort gebrek]],TSoortGebrek[#Data],3,FALSE))</f>
        <v/>
      </c>
      <c r="H117" s="413" t="str">
        <f>IF(ISBLANK(TInspectieB[[#This Row],[Soort gebrek]]),"",VLOOKUP(TInspectieB[[#This Row],[Soort gebrek]],TSoortGebrek[#Data],2,FALSE))</f>
        <v/>
      </c>
      <c r="I117" s="413" t="str">
        <f>IF(TInspectieB[[#This Row],[Soort gebrek]]=0,"",VLOOKUP(TInspectieB[[#This Row],[Soort gebrek]],TSoortGebrek[],4,FALSE))</f>
        <v/>
      </c>
      <c r="J117" s="425"/>
      <c r="K117" s="415" t="str">
        <f>IF(TInspectieB[[#This Row],[Soort gebrek]]=0,"",VLOOKUP(TInspectieB[[#This Row],[Combi]],TPrio[#Data],2,FALSE))</f>
        <v/>
      </c>
      <c r="L117" s="339"/>
      <c r="M117" s="416" t="str">
        <f>IF(ISBLANK(TInspectieB[[#This Row],[Gebrek nr.]]),"",TInspectieB[[#This Row],[UVID]]&amp;"-"&amp;TInspectieB[[#This Row],[Gebrek nr.]])</f>
        <v/>
      </c>
      <c r="N117" s="417"/>
      <c r="O117" s="651"/>
      <c r="P117" s="206"/>
      <c r="Q117" s="193"/>
      <c r="R117" s="206"/>
      <c r="S117" s="206"/>
      <c r="T117" s="206"/>
      <c r="U117" s="206"/>
      <c r="V117" s="206"/>
      <c r="W117" s="419"/>
      <c r="X117" s="340"/>
      <c r="Y117" s="420"/>
      <c r="Z117" s="421" t="str">
        <f>IF(ISBLANK(TInspectieB[[#This Row],[Aantal]]),"",ROUND(TInspectieB[[#This Row],[Kengetal]]*TInspectieB[[#This Row],[Aantal]],-1))</f>
        <v/>
      </c>
      <c r="AA117" s="422" t="str">
        <f>IF(TInspectieB[[#This Row],[Vak-groep]]="","1",VLOOKUP(C117,$J$2:$K$7,2,FALSE))</f>
        <v>1</v>
      </c>
      <c r="AB117" s="423" t="str">
        <f>CONCATENATE(TInspectieB[[#This Row],[Soort gebrek]],TInspectieB[[#This Row],[Trede]])</f>
        <v>1</v>
      </c>
      <c r="AC117" s="413" t="e">
        <v>#N/A</v>
      </c>
      <c r="AD117" s="413" t="e">
        <v>#N/A</v>
      </c>
      <c r="AE117" s="424">
        <v>0</v>
      </c>
    </row>
    <row r="118" spans="1:31" ht="10.5" x14ac:dyDescent="0.25">
      <c r="A118" s="337" t="str" cm="1">
        <f t="array" ref="A118">IFERROR(INDEX(TInventB[UVID],ROUNDDOWN((ROW(A109)+1)/2,0)),"")</f>
        <v/>
      </c>
      <c r="B118" s="410" t="str">
        <f>IF(TInspectieB[[#This Row],[UVID]]="","",VLOOKUP(TInspectieB[[#This Row],[UVID]],TInventB[],2,FALSE))</f>
        <v/>
      </c>
      <c r="C118" s="365" t="str">
        <f>IF(TInspectieB[[#This Row],[UVID]]="","",VLOOKUP(TInspectieB[[#This Row],[UVID]],TInventB[],11,FALSE))</f>
        <v/>
      </c>
      <c r="D118" s="411" t="str">
        <f>IF(TInspectieB[[#This Row],[UVID]]="","",VLOOKUP(TInspectieB[[#This Row],[UVID]],TInventB[],3,FALSE))</f>
        <v/>
      </c>
      <c r="E118" s="338" t="str">
        <f>IF(TInspectieB[[#This Row],[Omschrijving bouwdeel]]="","",IF(MOD(ROW()-2,2)=0,"O",IF(TRIM(TInspectieB[[#This Row],[Code Bouwdeeltype]])="312010","O","E")))</f>
        <v/>
      </c>
      <c r="F118" s="412"/>
      <c r="G118" s="413" t="str">
        <f>IF(ISBLANK(TInspectieB[[#This Row],[Soort gebrek]]),"",VLOOKUP(TInspectieB[[#This Row],[Soort gebrek]],TSoortGebrek[#Data],3,FALSE))</f>
        <v/>
      </c>
      <c r="H118" s="413" t="str">
        <f>IF(ISBLANK(TInspectieB[[#This Row],[Soort gebrek]]),"",VLOOKUP(TInspectieB[[#This Row],[Soort gebrek]],TSoortGebrek[#Data],2,FALSE))</f>
        <v/>
      </c>
      <c r="I118" s="413" t="str">
        <f>IF(TInspectieB[[#This Row],[Soort gebrek]]=0,"",VLOOKUP(TInspectieB[[#This Row],[Soort gebrek]],TSoortGebrek[],4,FALSE))</f>
        <v/>
      </c>
      <c r="J118" s="425"/>
      <c r="K118" s="415" t="str">
        <f>IF(TInspectieB[[#This Row],[Soort gebrek]]=0,"",VLOOKUP(TInspectieB[[#This Row],[Combi]],TPrio[#Data],2,FALSE))</f>
        <v/>
      </c>
      <c r="L118" s="339"/>
      <c r="M118" s="416" t="str">
        <f>IF(ISBLANK(TInspectieB[[#This Row],[Gebrek nr.]]),"",TInspectieB[[#This Row],[UVID]]&amp;"-"&amp;TInspectieB[[#This Row],[Gebrek nr.]])</f>
        <v/>
      </c>
      <c r="N118" s="417"/>
      <c r="O118" s="651"/>
      <c r="P118" s="206"/>
      <c r="Q118" s="193"/>
      <c r="R118" s="206"/>
      <c r="S118" s="206"/>
      <c r="T118" s="206"/>
      <c r="U118" s="206"/>
      <c r="V118" s="206"/>
      <c r="W118" s="419"/>
      <c r="X118" s="340"/>
      <c r="Y118" s="420"/>
      <c r="Z118" s="421" t="str">
        <f>IF(ISBLANK(TInspectieB[[#This Row],[Aantal]]),"",ROUND(TInspectieB[[#This Row],[Kengetal]]*TInspectieB[[#This Row],[Aantal]],-1))</f>
        <v/>
      </c>
      <c r="AA118" s="422" t="str">
        <f>IF(TInspectieB[[#This Row],[Vak-groep]]="","1",VLOOKUP(C118,$J$2:$K$7,2,FALSE))</f>
        <v>1</v>
      </c>
      <c r="AB118" s="423" t="str">
        <f>CONCATENATE(TInspectieB[[#This Row],[Soort gebrek]],TInspectieB[[#This Row],[Trede]])</f>
        <v>1</v>
      </c>
      <c r="AC118" s="413" t="e">
        <v>#N/A</v>
      </c>
      <c r="AD118" s="413" t="e">
        <v>#N/A</v>
      </c>
      <c r="AE118" s="424">
        <v>0</v>
      </c>
    </row>
    <row r="119" spans="1:31" ht="10.5" x14ac:dyDescent="0.25">
      <c r="A119" s="337" t="str" cm="1">
        <f t="array" ref="A119">IFERROR(INDEX(TInventB[UVID],ROUNDDOWN((ROW(A110)+1)/2,0)),"")</f>
        <v/>
      </c>
      <c r="B119" s="410" t="str">
        <f>IF(TInspectieB[[#This Row],[UVID]]="","",VLOOKUP(TInspectieB[[#This Row],[UVID]],TInventB[],2,FALSE))</f>
        <v/>
      </c>
      <c r="C119" s="365" t="str">
        <f>IF(TInspectieB[[#This Row],[UVID]]="","",VLOOKUP(TInspectieB[[#This Row],[UVID]],TInventB[],11,FALSE))</f>
        <v/>
      </c>
      <c r="D119" s="411" t="str">
        <f>IF(TInspectieB[[#This Row],[UVID]]="","",VLOOKUP(TInspectieB[[#This Row],[UVID]],TInventB[],3,FALSE))</f>
        <v/>
      </c>
      <c r="E119" s="338" t="str">
        <f>IF(TInspectieB[[#This Row],[Omschrijving bouwdeel]]="","",IF(MOD(ROW()-2,2)=0,"O",IF(TRIM(TInspectieB[[#This Row],[Code Bouwdeeltype]])="312010","O","E")))</f>
        <v/>
      </c>
      <c r="F119" s="412"/>
      <c r="G119" s="413" t="str">
        <f>IF(ISBLANK(TInspectieB[[#This Row],[Soort gebrek]]),"",VLOOKUP(TInspectieB[[#This Row],[Soort gebrek]],TSoortGebrek[#Data],3,FALSE))</f>
        <v/>
      </c>
      <c r="H119" s="413" t="str">
        <f>IF(ISBLANK(TInspectieB[[#This Row],[Soort gebrek]]),"",VLOOKUP(TInspectieB[[#This Row],[Soort gebrek]],TSoortGebrek[#Data],2,FALSE))</f>
        <v/>
      </c>
      <c r="I119" s="413" t="str">
        <f>IF(TInspectieB[[#This Row],[Soort gebrek]]=0,"",VLOOKUP(TInspectieB[[#This Row],[Soort gebrek]],TSoortGebrek[],4,FALSE))</f>
        <v/>
      </c>
      <c r="J119" s="425"/>
      <c r="K119" s="415" t="str">
        <f>IF(TInspectieB[[#This Row],[Soort gebrek]]=0,"",VLOOKUP(TInspectieB[[#This Row],[Combi]],TPrio[#Data],2,FALSE))</f>
        <v/>
      </c>
      <c r="L119" s="339"/>
      <c r="M119" s="416" t="str">
        <f>IF(ISBLANK(TInspectieB[[#This Row],[Gebrek nr.]]),"",TInspectieB[[#This Row],[UVID]]&amp;"-"&amp;TInspectieB[[#This Row],[Gebrek nr.]])</f>
        <v/>
      </c>
      <c r="N119" s="417"/>
      <c r="O119" s="651"/>
      <c r="P119" s="206"/>
      <c r="Q119" s="193"/>
      <c r="R119" s="206"/>
      <c r="S119" s="206"/>
      <c r="T119" s="206"/>
      <c r="U119" s="206"/>
      <c r="V119" s="206"/>
      <c r="W119" s="419"/>
      <c r="X119" s="340"/>
      <c r="Y119" s="420"/>
      <c r="Z119" s="421" t="str">
        <f>IF(ISBLANK(TInspectieB[[#This Row],[Aantal]]),"",ROUND(TInspectieB[[#This Row],[Kengetal]]*TInspectieB[[#This Row],[Aantal]],-1))</f>
        <v/>
      </c>
      <c r="AA119" s="422" t="str">
        <f>IF(TInspectieB[[#This Row],[Vak-groep]]="","1",VLOOKUP(C119,$J$2:$K$7,2,FALSE))</f>
        <v>1</v>
      </c>
      <c r="AB119" s="423" t="str">
        <f>CONCATENATE(TInspectieB[[#This Row],[Soort gebrek]],TInspectieB[[#This Row],[Trede]])</f>
        <v>1</v>
      </c>
      <c r="AC119" s="413" t="e">
        <v>#N/A</v>
      </c>
      <c r="AD119" s="413" t="e">
        <v>#N/A</v>
      </c>
      <c r="AE119" s="424">
        <v>0</v>
      </c>
    </row>
    <row r="120" spans="1:31" ht="10.5" x14ac:dyDescent="0.25">
      <c r="A120" s="337" t="str" cm="1">
        <f t="array" ref="A120">IFERROR(INDEX(TInventB[UVID],ROUNDDOWN((ROW(A111)+1)/2,0)),"")</f>
        <v/>
      </c>
      <c r="B120" s="410" t="str">
        <f>IF(TInspectieB[[#This Row],[UVID]]="","",VLOOKUP(TInspectieB[[#This Row],[UVID]],TInventB[],2,FALSE))</f>
        <v/>
      </c>
      <c r="C120" s="365" t="str">
        <f>IF(TInspectieB[[#This Row],[UVID]]="","",VLOOKUP(TInspectieB[[#This Row],[UVID]],TInventB[],11,FALSE))</f>
        <v/>
      </c>
      <c r="D120" s="411" t="str">
        <f>IF(TInspectieB[[#This Row],[UVID]]="","",VLOOKUP(TInspectieB[[#This Row],[UVID]],TInventB[],3,FALSE))</f>
        <v/>
      </c>
      <c r="E120" s="338" t="str">
        <f>IF(TInspectieB[[#This Row],[Omschrijving bouwdeel]]="","",IF(MOD(ROW()-2,2)=0,"O",IF(TRIM(TInspectieB[[#This Row],[Code Bouwdeeltype]])="312010","O","E")))</f>
        <v/>
      </c>
      <c r="F120" s="412"/>
      <c r="G120" s="413" t="str">
        <f>IF(ISBLANK(TInspectieB[[#This Row],[Soort gebrek]]),"",VLOOKUP(TInspectieB[[#This Row],[Soort gebrek]],TSoortGebrek[#Data],3,FALSE))</f>
        <v/>
      </c>
      <c r="H120" s="413" t="str">
        <f>IF(ISBLANK(TInspectieB[[#This Row],[Soort gebrek]]),"",VLOOKUP(TInspectieB[[#This Row],[Soort gebrek]],TSoortGebrek[#Data],2,FALSE))</f>
        <v/>
      </c>
      <c r="I120" s="413" t="str">
        <f>IF(TInspectieB[[#This Row],[Soort gebrek]]=0,"",VLOOKUP(TInspectieB[[#This Row],[Soort gebrek]],TSoortGebrek[],4,FALSE))</f>
        <v/>
      </c>
      <c r="J120" s="425"/>
      <c r="K120" s="415" t="str">
        <f>IF(TInspectieB[[#This Row],[Soort gebrek]]=0,"",VLOOKUP(TInspectieB[[#This Row],[Combi]],TPrio[#Data],2,FALSE))</f>
        <v/>
      </c>
      <c r="L120" s="339"/>
      <c r="M120" s="416" t="str">
        <f>IF(ISBLANK(TInspectieB[[#This Row],[Gebrek nr.]]),"",TInspectieB[[#This Row],[UVID]]&amp;"-"&amp;TInspectieB[[#This Row],[Gebrek nr.]])</f>
        <v/>
      </c>
      <c r="N120" s="417"/>
      <c r="O120" s="651"/>
      <c r="P120" s="206"/>
      <c r="Q120" s="193"/>
      <c r="R120" s="206"/>
      <c r="S120" s="206"/>
      <c r="T120" s="206"/>
      <c r="U120" s="206"/>
      <c r="V120" s="206"/>
      <c r="W120" s="419"/>
      <c r="X120" s="340"/>
      <c r="Y120" s="420"/>
      <c r="Z120" s="421" t="str">
        <f>IF(ISBLANK(TInspectieB[[#This Row],[Aantal]]),"",ROUND(TInspectieB[[#This Row],[Kengetal]]*TInspectieB[[#This Row],[Aantal]],-1))</f>
        <v/>
      </c>
      <c r="AA120" s="422" t="str">
        <f>IF(TInspectieB[[#This Row],[Vak-groep]]="","1",VLOOKUP(C120,$J$2:$K$7,2,FALSE))</f>
        <v>1</v>
      </c>
      <c r="AB120" s="423" t="str">
        <f>CONCATENATE(TInspectieB[[#This Row],[Soort gebrek]],TInspectieB[[#This Row],[Trede]])</f>
        <v>1</v>
      </c>
      <c r="AC120" s="413" t="e">
        <v>#N/A</v>
      </c>
      <c r="AD120" s="413" t="e">
        <v>#N/A</v>
      </c>
      <c r="AE120" s="424">
        <v>0</v>
      </c>
    </row>
    <row r="121" spans="1:31" ht="10.5" x14ac:dyDescent="0.25">
      <c r="A121" s="337" t="str" cm="1">
        <f t="array" ref="A121">IFERROR(INDEX(TInventB[UVID],ROUNDDOWN((ROW(A112)+1)/2,0)),"")</f>
        <v/>
      </c>
      <c r="B121" s="410" t="str">
        <f>IF(TInspectieB[[#This Row],[UVID]]="","",VLOOKUP(TInspectieB[[#This Row],[UVID]],TInventB[],2,FALSE))</f>
        <v/>
      </c>
      <c r="C121" s="365" t="str">
        <f>IF(TInspectieB[[#This Row],[UVID]]="","",VLOOKUP(TInspectieB[[#This Row],[UVID]],TInventB[],11,FALSE))</f>
        <v/>
      </c>
      <c r="D121" s="411" t="str">
        <f>IF(TInspectieB[[#This Row],[UVID]]="","",VLOOKUP(TInspectieB[[#This Row],[UVID]],TInventB[],3,FALSE))</f>
        <v/>
      </c>
      <c r="E121" s="338" t="str">
        <f>IF(TInspectieB[[#This Row],[Omschrijving bouwdeel]]="","",IF(MOD(ROW()-2,2)=0,"O",IF(TRIM(TInspectieB[[#This Row],[Code Bouwdeeltype]])="312010","O","E")))</f>
        <v/>
      </c>
      <c r="F121" s="412"/>
      <c r="G121" s="413" t="str">
        <f>IF(ISBLANK(TInspectieB[[#This Row],[Soort gebrek]]),"",VLOOKUP(TInspectieB[[#This Row],[Soort gebrek]],TSoortGebrek[#Data],3,FALSE))</f>
        <v/>
      </c>
      <c r="H121" s="413" t="str">
        <f>IF(ISBLANK(TInspectieB[[#This Row],[Soort gebrek]]),"",VLOOKUP(TInspectieB[[#This Row],[Soort gebrek]],TSoortGebrek[#Data],2,FALSE))</f>
        <v/>
      </c>
      <c r="I121" s="413" t="str">
        <f>IF(TInspectieB[[#This Row],[Soort gebrek]]=0,"",VLOOKUP(TInspectieB[[#This Row],[Soort gebrek]],TSoortGebrek[],4,FALSE))</f>
        <v/>
      </c>
      <c r="J121" s="425"/>
      <c r="K121" s="415" t="str">
        <f>IF(TInspectieB[[#This Row],[Soort gebrek]]=0,"",VLOOKUP(TInspectieB[[#This Row],[Combi]],TPrio[#Data],2,FALSE))</f>
        <v/>
      </c>
      <c r="L121" s="339"/>
      <c r="M121" s="416" t="str">
        <f>IF(ISBLANK(TInspectieB[[#This Row],[Gebrek nr.]]),"",TInspectieB[[#This Row],[UVID]]&amp;"-"&amp;TInspectieB[[#This Row],[Gebrek nr.]])</f>
        <v/>
      </c>
      <c r="N121" s="417"/>
      <c r="O121" s="651"/>
      <c r="P121" s="206"/>
      <c r="Q121" s="193"/>
      <c r="R121" s="206"/>
      <c r="S121" s="206"/>
      <c r="T121" s="206"/>
      <c r="U121" s="206"/>
      <c r="V121" s="206"/>
      <c r="W121" s="419"/>
      <c r="X121" s="340"/>
      <c r="Y121" s="420"/>
      <c r="Z121" s="421" t="str">
        <f>IF(ISBLANK(TInspectieB[[#This Row],[Aantal]]),"",ROUND(TInspectieB[[#This Row],[Kengetal]]*TInspectieB[[#This Row],[Aantal]],-1))</f>
        <v/>
      </c>
      <c r="AA121" s="422" t="str">
        <f>IF(TInspectieB[[#This Row],[Vak-groep]]="","1",VLOOKUP(C121,$J$2:$K$7,2,FALSE))</f>
        <v>1</v>
      </c>
      <c r="AB121" s="423" t="str">
        <f>CONCATENATE(TInspectieB[[#This Row],[Soort gebrek]],TInspectieB[[#This Row],[Trede]])</f>
        <v>1</v>
      </c>
      <c r="AC121" s="413" t="e">
        <v>#N/A</v>
      </c>
      <c r="AD121" s="413" t="e">
        <v>#N/A</v>
      </c>
      <c r="AE121" s="424">
        <v>0</v>
      </c>
    </row>
    <row r="122" spans="1:31" ht="10.5" x14ac:dyDescent="0.25">
      <c r="A122" s="337" t="str" cm="1">
        <f t="array" ref="A122">IFERROR(INDEX(TInventB[UVID],ROUNDDOWN((ROW(A113)+1)/2,0)),"")</f>
        <v/>
      </c>
      <c r="B122" s="410" t="str">
        <f>IF(TInspectieB[[#This Row],[UVID]]="","",VLOOKUP(TInspectieB[[#This Row],[UVID]],TInventB[],2,FALSE))</f>
        <v/>
      </c>
      <c r="C122" s="365" t="str">
        <f>IF(TInspectieB[[#This Row],[UVID]]="","",VLOOKUP(TInspectieB[[#This Row],[UVID]],TInventB[],11,FALSE))</f>
        <v/>
      </c>
      <c r="D122" s="411" t="str">
        <f>IF(TInspectieB[[#This Row],[UVID]]="","",VLOOKUP(TInspectieB[[#This Row],[UVID]],TInventB[],3,FALSE))</f>
        <v/>
      </c>
      <c r="E122" s="338" t="str">
        <f>IF(TInspectieB[[#This Row],[Omschrijving bouwdeel]]="","",IF(MOD(ROW()-2,2)=0,"O",IF(TRIM(TInspectieB[[#This Row],[Code Bouwdeeltype]])="312010","O","E")))</f>
        <v/>
      </c>
      <c r="F122" s="412"/>
      <c r="G122" s="413" t="str">
        <f>IF(ISBLANK(TInspectieB[[#This Row],[Soort gebrek]]),"",VLOOKUP(TInspectieB[[#This Row],[Soort gebrek]],TSoortGebrek[#Data],3,FALSE))</f>
        <v/>
      </c>
      <c r="H122" s="413" t="str">
        <f>IF(ISBLANK(TInspectieB[[#This Row],[Soort gebrek]]),"",VLOOKUP(TInspectieB[[#This Row],[Soort gebrek]],TSoortGebrek[#Data],2,FALSE))</f>
        <v/>
      </c>
      <c r="I122" s="413" t="str">
        <f>IF(TInspectieB[[#This Row],[Soort gebrek]]=0,"",VLOOKUP(TInspectieB[[#This Row],[Soort gebrek]],TSoortGebrek[],4,FALSE))</f>
        <v/>
      </c>
      <c r="J122" s="425"/>
      <c r="K122" s="415" t="str">
        <f>IF(TInspectieB[[#This Row],[Soort gebrek]]=0,"",VLOOKUP(TInspectieB[[#This Row],[Combi]],TPrio[#Data],2,FALSE))</f>
        <v/>
      </c>
      <c r="L122" s="339"/>
      <c r="M122" s="416" t="str">
        <f>IF(ISBLANK(TInspectieB[[#This Row],[Gebrek nr.]]),"",TInspectieB[[#This Row],[UVID]]&amp;"-"&amp;TInspectieB[[#This Row],[Gebrek nr.]])</f>
        <v/>
      </c>
      <c r="N122" s="417"/>
      <c r="O122" s="651"/>
      <c r="P122" s="206"/>
      <c r="Q122" s="193"/>
      <c r="R122" s="206"/>
      <c r="S122" s="206"/>
      <c r="T122" s="206"/>
      <c r="U122" s="206"/>
      <c r="V122" s="206"/>
      <c r="W122" s="419"/>
      <c r="X122" s="340"/>
      <c r="Y122" s="420"/>
      <c r="Z122" s="421" t="str">
        <f>IF(ISBLANK(TInspectieB[[#This Row],[Aantal]]),"",ROUND(TInspectieB[[#This Row],[Kengetal]]*TInspectieB[[#This Row],[Aantal]],-1))</f>
        <v/>
      </c>
      <c r="AA122" s="422" t="str">
        <f>IF(TInspectieB[[#This Row],[Vak-groep]]="","1",VLOOKUP(C122,$J$2:$K$7,2,FALSE))</f>
        <v>1</v>
      </c>
      <c r="AB122" s="423" t="str">
        <f>CONCATENATE(TInspectieB[[#This Row],[Soort gebrek]],TInspectieB[[#This Row],[Trede]])</f>
        <v>1</v>
      </c>
      <c r="AC122" s="413" t="e">
        <v>#N/A</v>
      </c>
      <c r="AD122" s="413" t="e">
        <v>#N/A</v>
      </c>
      <c r="AE122" s="424">
        <v>0</v>
      </c>
    </row>
    <row r="123" spans="1:31" ht="10.5" x14ac:dyDescent="0.25">
      <c r="A123" s="337" t="str" cm="1">
        <f t="array" ref="A123">IFERROR(INDEX(TInventB[UVID],ROUNDDOWN((ROW(A114)+1)/2,0)),"")</f>
        <v/>
      </c>
      <c r="B123" s="410" t="str">
        <f>IF(TInspectieB[[#This Row],[UVID]]="","",VLOOKUP(TInspectieB[[#This Row],[UVID]],TInventB[],2,FALSE))</f>
        <v/>
      </c>
      <c r="C123" s="365" t="str">
        <f>IF(TInspectieB[[#This Row],[UVID]]="","",VLOOKUP(TInspectieB[[#This Row],[UVID]],TInventB[],11,FALSE))</f>
        <v/>
      </c>
      <c r="D123" s="411" t="str">
        <f>IF(TInspectieB[[#This Row],[UVID]]="","",VLOOKUP(TInspectieB[[#This Row],[UVID]],TInventB[],3,FALSE))</f>
        <v/>
      </c>
      <c r="E123" s="338" t="str">
        <f>IF(TInspectieB[[#This Row],[Omschrijving bouwdeel]]="","",IF(MOD(ROW()-2,2)=0,"O",IF(TRIM(TInspectieB[[#This Row],[Code Bouwdeeltype]])="312010","O","E")))</f>
        <v/>
      </c>
      <c r="F123" s="412"/>
      <c r="G123" s="413" t="str">
        <f>IF(ISBLANK(TInspectieB[[#This Row],[Soort gebrek]]),"",VLOOKUP(TInspectieB[[#This Row],[Soort gebrek]],TSoortGebrek[#Data],3,FALSE))</f>
        <v/>
      </c>
      <c r="H123" s="413" t="str">
        <f>IF(ISBLANK(TInspectieB[[#This Row],[Soort gebrek]]),"",VLOOKUP(TInspectieB[[#This Row],[Soort gebrek]],TSoortGebrek[#Data],2,FALSE))</f>
        <v/>
      </c>
      <c r="I123" s="413" t="str">
        <f>IF(TInspectieB[[#This Row],[Soort gebrek]]=0,"",VLOOKUP(TInspectieB[[#This Row],[Soort gebrek]],TSoortGebrek[],4,FALSE))</f>
        <v/>
      </c>
      <c r="J123" s="425"/>
      <c r="K123" s="415" t="str">
        <f>IF(TInspectieB[[#This Row],[Soort gebrek]]=0,"",VLOOKUP(TInspectieB[[#This Row],[Combi]],TPrio[#Data],2,FALSE))</f>
        <v/>
      </c>
      <c r="L123" s="339"/>
      <c r="M123" s="416" t="str">
        <f>IF(ISBLANK(TInspectieB[[#This Row],[Gebrek nr.]]),"",TInspectieB[[#This Row],[UVID]]&amp;"-"&amp;TInspectieB[[#This Row],[Gebrek nr.]])</f>
        <v/>
      </c>
      <c r="N123" s="417"/>
      <c r="O123" s="651"/>
      <c r="P123" s="206"/>
      <c r="Q123" s="193"/>
      <c r="R123" s="206"/>
      <c r="S123" s="206"/>
      <c r="T123" s="206"/>
      <c r="U123" s="206"/>
      <c r="V123" s="206"/>
      <c r="W123" s="419"/>
      <c r="X123" s="340"/>
      <c r="Y123" s="420"/>
      <c r="Z123" s="421" t="str">
        <f>IF(ISBLANK(TInspectieB[[#This Row],[Aantal]]),"",ROUND(TInspectieB[[#This Row],[Kengetal]]*TInspectieB[[#This Row],[Aantal]],-1))</f>
        <v/>
      </c>
      <c r="AA123" s="422" t="str">
        <f>IF(TInspectieB[[#This Row],[Vak-groep]]="","1",VLOOKUP(C123,$J$2:$K$7,2,FALSE))</f>
        <v>1</v>
      </c>
      <c r="AB123" s="423" t="str">
        <f>CONCATENATE(TInspectieB[[#This Row],[Soort gebrek]],TInspectieB[[#This Row],[Trede]])</f>
        <v>1</v>
      </c>
      <c r="AC123" s="413" t="e">
        <v>#N/A</v>
      </c>
      <c r="AD123" s="413" t="e">
        <v>#N/A</v>
      </c>
      <c r="AE123" s="424">
        <v>0</v>
      </c>
    </row>
    <row r="124" spans="1:31" ht="10.5" x14ac:dyDescent="0.25">
      <c r="A124" s="337" t="str" cm="1">
        <f t="array" ref="A124">IFERROR(INDEX(TInventB[UVID],ROUNDDOWN((ROW(A115)+1)/2,0)),"")</f>
        <v/>
      </c>
      <c r="B124" s="410" t="str">
        <f>IF(TInspectieB[[#This Row],[UVID]]="","",VLOOKUP(TInspectieB[[#This Row],[UVID]],TInventB[],2,FALSE))</f>
        <v/>
      </c>
      <c r="C124" s="365" t="str">
        <f>IF(TInspectieB[[#This Row],[UVID]]="","",VLOOKUP(TInspectieB[[#This Row],[UVID]],TInventB[],11,FALSE))</f>
        <v/>
      </c>
      <c r="D124" s="411" t="str">
        <f>IF(TInspectieB[[#This Row],[UVID]]="","",VLOOKUP(TInspectieB[[#This Row],[UVID]],TInventB[],3,FALSE))</f>
        <v/>
      </c>
      <c r="E124" s="338" t="str">
        <f>IF(TInspectieB[[#This Row],[Omschrijving bouwdeel]]="","",IF(MOD(ROW()-2,2)=0,"O",IF(TRIM(TInspectieB[[#This Row],[Code Bouwdeeltype]])="312010","O","E")))</f>
        <v/>
      </c>
      <c r="F124" s="412"/>
      <c r="G124" s="413" t="str">
        <f>IF(ISBLANK(TInspectieB[[#This Row],[Soort gebrek]]),"",VLOOKUP(TInspectieB[[#This Row],[Soort gebrek]],TSoortGebrek[#Data],3,FALSE))</f>
        <v/>
      </c>
      <c r="H124" s="413" t="str">
        <f>IF(ISBLANK(TInspectieB[[#This Row],[Soort gebrek]]),"",VLOOKUP(TInspectieB[[#This Row],[Soort gebrek]],TSoortGebrek[#Data],2,FALSE))</f>
        <v/>
      </c>
      <c r="I124" s="413" t="str">
        <f>IF(TInspectieB[[#This Row],[Soort gebrek]]=0,"",VLOOKUP(TInspectieB[[#This Row],[Soort gebrek]],TSoortGebrek[],4,FALSE))</f>
        <v/>
      </c>
      <c r="J124" s="425"/>
      <c r="K124" s="415" t="str">
        <f>IF(TInspectieB[[#This Row],[Soort gebrek]]=0,"",VLOOKUP(TInspectieB[[#This Row],[Combi]],TPrio[#Data],2,FALSE))</f>
        <v/>
      </c>
      <c r="L124" s="339"/>
      <c r="M124" s="416" t="str">
        <f>IF(ISBLANK(TInspectieB[[#This Row],[Gebrek nr.]]),"",TInspectieB[[#This Row],[UVID]]&amp;"-"&amp;TInspectieB[[#This Row],[Gebrek nr.]])</f>
        <v/>
      </c>
      <c r="N124" s="417"/>
      <c r="O124" s="651"/>
      <c r="P124" s="206"/>
      <c r="Q124" s="193"/>
      <c r="R124" s="206"/>
      <c r="S124" s="206"/>
      <c r="T124" s="206"/>
      <c r="U124" s="206"/>
      <c r="V124" s="206"/>
      <c r="W124" s="419"/>
      <c r="X124" s="340"/>
      <c r="Y124" s="420"/>
      <c r="Z124" s="421" t="str">
        <f>IF(ISBLANK(TInspectieB[[#This Row],[Aantal]]),"",ROUND(TInspectieB[[#This Row],[Kengetal]]*TInspectieB[[#This Row],[Aantal]],-1))</f>
        <v/>
      </c>
      <c r="AA124" s="422" t="str">
        <f>IF(TInspectieB[[#This Row],[Vak-groep]]="","1",VLOOKUP(C124,$J$2:$K$7,2,FALSE))</f>
        <v>1</v>
      </c>
      <c r="AB124" s="423" t="str">
        <f>CONCATENATE(TInspectieB[[#This Row],[Soort gebrek]],TInspectieB[[#This Row],[Trede]])</f>
        <v>1</v>
      </c>
      <c r="AC124" s="413" t="e">
        <v>#N/A</v>
      </c>
      <c r="AD124" s="413" t="e">
        <v>#N/A</v>
      </c>
      <c r="AE124" s="424">
        <v>0</v>
      </c>
    </row>
    <row r="125" spans="1:31" ht="10.5" x14ac:dyDescent="0.25">
      <c r="A125" s="337" t="str" cm="1">
        <f t="array" ref="A125">IFERROR(INDEX(TInventB[UVID],ROUNDDOWN((ROW(A116)+1)/2,0)),"")</f>
        <v/>
      </c>
      <c r="B125" s="410" t="str">
        <f>IF(TInspectieB[[#This Row],[UVID]]="","",VLOOKUP(TInspectieB[[#This Row],[UVID]],TInventB[],2,FALSE))</f>
        <v/>
      </c>
      <c r="C125" s="365" t="str">
        <f>IF(TInspectieB[[#This Row],[UVID]]="","",VLOOKUP(TInspectieB[[#This Row],[UVID]],TInventB[],11,FALSE))</f>
        <v/>
      </c>
      <c r="D125" s="411" t="str">
        <f>IF(TInspectieB[[#This Row],[UVID]]="","",VLOOKUP(TInspectieB[[#This Row],[UVID]],TInventB[],3,FALSE))</f>
        <v/>
      </c>
      <c r="E125" s="338" t="str">
        <f>IF(TInspectieB[[#This Row],[Omschrijving bouwdeel]]="","",IF(MOD(ROW()-2,2)=0,"O",IF(TRIM(TInspectieB[[#This Row],[Code Bouwdeeltype]])="312010","O","E")))</f>
        <v/>
      </c>
      <c r="F125" s="412"/>
      <c r="G125" s="413" t="str">
        <f>IF(ISBLANK(TInspectieB[[#This Row],[Soort gebrek]]),"",VLOOKUP(TInspectieB[[#This Row],[Soort gebrek]],TSoortGebrek[#Data],3,FALSE))</f>
        <v/>
      </c>
      <c r="H125" s="413" t="str">
        <f>IF(ISBLANK(TInspectieB[[#This Row],[Soort gebrek]]),"",VLOOKUP(TInspectieB[[#This Row],[Soort gebrek]],TSoortGebrek[#Data],2,FALSE))</f>
        <v/>
      </c>
      <c r="I125" s="413" t="str">
        <f>IF(TInspectieB[[#This Row],[Soort gebrek]]=0,"",VLOOKUP(TInspectieB[[#This Row],[Soort gebrek]],TSoortGebrek[],4,FALSE))</f>
        <v/>
      </c>
      <c r="J125" s="425"/>
      <c r="K125" s="415" t="str">
        <f>IF(TInspectieB[[#This Row],[Soort gebrek]]=0,"",VLOOKUP(TInspectieB[[#This Row],[Combi]],TPrio[#Data],2,FALSE))</f>
        <v/>
      </c>
      <c r="L125" s="339"/>
      <c r="M125" s="416" t="str">
        <f>IF(ISBLANK(TInspectieB[[#This Row],[Gebrek nr.]]),"",TInspectieB[[#This Row],[UVID]]&amp;"-"&amp;TInspectieB[[#This Row],[Gebrek nr.]])</f>
        <v/>
      </c>
      <c r="N125" s="417"/>
      <c r="O125" s="651"/>
      <c r="P125" s="206"/>
      <c r="Q125" s="193"/>
      <c r="R125" s="206"/>
      <c r="S125" s="206"/>
      <c r="T125" s="206"/>
      <c r="U125" s="206"/>
      <c r="V125" s="206"/>
      <c r="W125" s="419"/>
      <c r="X125" s="340"/>
      <c r="Y125" s="420"/>
      <c r="Z125" s="421" t="str">
        <f>IF(ISBLANK(TInspectieB[[#This Row],[Aantal]]),"",ROUND(TInspectieB[[#This Row],[Kengetal]]*TInspectieB[[#This Row],[Aantal]],-1))</f>
        <v/>
      </c>
      <c r="AA125" s="422" t="str">
        <f>IF(TInspectieB[[#This Row],[Vak-groep]]="","1",VLOOKUP(C125,$J$2:$K$7,2,FALSE))</f>
        <v>1</v>
      </c>
      <c r="AB125" s="423" t="str">
        <f>CONCATENATE(TInspectieB[[#This Row],[Soort gebrek]],TInspectieB[[#This Row],[Trede]])</f>
        <v>1</v>
      </c>
      <c r="AC125" s="413" t="e">
        <v>#N/A</v>
      </c>
      <c r="AD125" s="413" t="e">
        <v>#N/A</v>
      </c>
      <c r="AE125" s="424">
        <v>0</v>
      </c>
    </row>
    <row r="126" spans="1:31" ht="10.5" x14ac:dyDescent="0.25">
      <c r="A126" s="337" t="str" cm="1">
        <f t="array" ref="A126">IFERROR(INDEX(TInventB[UVID],ROUNDDOWN((ROW(A117)+1)/2,0)),"")</f>
        <v/>
      </c>
      <c r="B126" s="410" t="str">
        <f>IF(TInspectieB[[#This Row],[UVID]]="","",VLOOKUP(TInspectieB[[#This Row],[UVID]],TInventB[],2,FALSE))</f>
        <v/>
      </c>
      <c r="C126" s="365" t="str">
        <f>IF(TInspectieB[[#This Row],[UVID]]="","",VLOOKUP(TInspectieB[[#This Row],[UVID]],TInventB[],11,FALSE))</f>
        <v/>
      </c>
      <c r="D126" s="411" t="str">
        <f>IF(TInspectieB[[#This Row],[UVID]]="","",VLOOKUP(TInspectieB[[#This Row],[UVID]],TInventB[],3,FALSE))</f>
        <v/>
      </c>
      <c r="E126" s="338" t="str">
        <f>IF(TInspectieB[[#This Row],[Omschrijving bouwdeel]]="","",IF(MOD(ROW()-2,2)=0,"O",IF(TRIM(TInspectieB[[#This Row],[Code Bouwdeeltype]])="312010","O","E")))</f>
        <v/>
      </c>
      <c r="F126" s="412"/>
      <c r="G126" s="413" t="str">
        <f>IF(ISBLANK(TInspectieB[[#This Row],[Soort gebrek]]),"",VLOOKUP(TInspectieB[[#This Row],[Soort gebrek]],TSoortGebrek[#Data],3,FALSE))</f>
        <v/>
      </c>
      <c r="H126" s="413" t="str">
        <f>IF(ISBLANK(TInspectieB[[#This Row],[Soort gebrek]]),"",VLOOKUP(TInspectieB[[#This Row],[Soort gebrek]],TSoortGebrek[#Data],2,FALSE))</f>
        <v/>
      </c>
      <c r="I126" s="413" t="str">
        <f>IF(TInspectieB[[#This Row],[Soort gebrek]]=0,"",VLOOKUP(TInspectieB[[#This Row],[Soort gebrek]],TSoortGebrek[],4,FALSE))</f>
        <v/>
      </c>
      <c r="J126" s="425"/>
      <c r="K126" s="415" t="str">
        <f>IF(TInspectieB[[#This Row],[Soort gebrek]]=0,"",VLOOKUP(TInspectieB[[#This Row],[Combi]],TPrio[#Data],2,FALSE))</f>
        <v/>
      </c>
      <c r="L126" s="339"/>
      <c r="M126" s="416" t="str">
        <f>IF(ISBLANK(TInspectieB[[#This Row],[Gebrek nr.]]),"",TInspectieB[[#This Row],[UVID]]&amp;"-"&amp;TInspectieB[[#This Row],[Gebrek nr.]])</f>
        <v/>
      </c>
      <c r="N126" s="417"/>
      <c r="O126" s="651"/>
      <c r="P126" s="206"/>
      <c r="Q126" s="193"/>
      <c r="R126" s="206"/>
      <c r="S126" s="206"/>
      <c r="T126" s="206"/>
      <c r="U126" s="206"/>
      <c r="V126" s="206"/>
      <c r="W126" s="419"/>
      <c r="X126" s="340"/>
      <c r="Y126" s="420"/>
      <c r="Z126" s="421" t="str">
        <f>IF(ISBLANK(TInspectieB[[#This Row],[Aantal]]),"",ROUND(TInspectieB[[#This Row],[Kengetal]]*TInspectieB[[#This Row],[Aantal]],-1))</f>
        <v/>
      </c>
      <c r="AA126" s="422" t="str">
        <f>IF(TInspectieB[[#This Row],[Vak-groep]]="","1",VLOOKUP(C126,$J$2:$K$7,2,FALSE))</f>
        <v>1</v>
      </c>
      <c r="AB126" s="423" t="str">
        <f>CONCATENATE(TInspectieB[[#This Row],[Soort gebrek]],TInspectieB[[#This Row],[Trede]])</f>
        <v>1</v>
      </c>
      <c r="AC126" s="413" t="e">
        <v>#N/A</v>
      </c>
      <c r="AD126" s="413" t="e">
        <v>#N/A</v>
      </c>
      <c r="AE126" s="424">
        <v>0</v>
      </c>
    </row>
    <row r="127" spans="1:31" ht="10.5" x14ac:dyDescent="0.25">
      <c r="A127" s="337" t="str" cm="1">
        <f t="array" ref="A127">IFERROR(INDEX(TInventB[UVID],ROUNDDOWN((ROW(A118)+1)/2,0)),"")</f>
        <v/>
      </c>
      <c r="B127" s="410" t="str">
        <f>IF(TInspectieB[[#This Row],[UVID]]="","",VLOOKUP(TInspectieB[[#This Row],[UVID]],TInventB[],2,FALSE))</f>
        <v/>
      </c>
      <c r="C127" s="365" t="str">
        <f>IF(TInspectieB[[#This Row],[UVID]]="","",VLOOKUP(TInspectieB[[#This Row],[UVID]],TInventB[],11,FALSE))</f>
        <v/>
      </c>
      <c r="D127" s="411" t="str">
        <f>IF(TInspectieB[[#This Row],[UVID]]="","",VLOOKUP(TInspectieB[[#This Row],[UVID]],TInventB[],3,FALSE))</f>
        <v/>
      </c>
      <c r="E127" s="338" t="str">
        <f>IF(TInspectieB[[#This Row],[Omschrijving bouwdeel]]="","",IF(MOD(ROW()-2,2)=0,"O",IF(TRIM(TInspectieB[[#This Row],[Code Bouwdeeltype]])="312010","O","E")))</f>
        <v/>
      </c>
      <c r="F127" s="412"/>
      <c r="G127" s="413" t="str">
        <f>IF(ISBLANK(TInspectieB[[#This Row],[Soort gebrek]]),"",VLOOKUP(TInspectieB[[#This Row],[Soort gebrek]],TSoortGebrek[#Data],3,FALSE))</f>
        <v/>
      </c>
      <c r="H127" s="413" t="str">
        <f>IF(ISBLANK(TInspectieB[[#This Row],[Soort gebrek]]),"",VLOOKUP(TInspectieB[[#This Row],[Soort gebrek]],TSoortGebrek[#Data],2,FALSE))</f>
        <v/>
      </c>
      <c r="I127" s="413" t="str">
        <f>IF(TInspectieB[[#This Row],[Soort gebrek]]=0,"",VLOOKUP(TInspectieB[[#This Row],[Soort gebrek]],TSoortGebrek[],4,FALSE))</f>
        <v/>
      </c>
      <c r="J127" s="425"/>
      <c r="K127" s="415" t="str">
        <f>IF(TInspectieB[[#This Row],[Soort gebrek]]=0,"",VLOOKUP(TInspectieB[[#This Row],[Combi]],TPrio[#Data],2,FALSE))</f>
        <v/>
      </c>
      <c r="L127" s="339"/>
      <c r="M127" s="416" t="str">
        <f>IF(ISBLANK(TInspectieB[[#This Row],[Gebrek nr.]]),"",TInspectieB[[#This Row],[UVID]]&amp;"-"&amp;TInspectieB[[#This Row],[Gebrek nr.]])</f>
        <v/>
      </c>
      <c r="N127" s="417"/>
      <c r="O127" s="651"/>
      <c r="P127" s="206"/>
      <c r="Q127" s="193"/>
      <c r="R127" s="206"/>
      <c r="S127" s="206"/>
      <c r="T127" s="206"/>
      <c r="U127" s="206"/>
      <c r="V127" s="206"/>
      <c r="W127" s="419"/>
      <c r="X127" s="340"/>
      <c r="Y127" s="420"/>
      <c r="Z127" s="421" t="str">
        <f>IF(ISBLANK(TInspectieB[[#This Row],[Aantal]]),"",ROUND(TInspectieB[[#This Row],[Kengetal]]*TInspectieB[[#This Row],[Aantal]],-1))</f>
        <v/>
      </c>
      <c r="AA127" s="422" t="str">
        <f>IF(TInspectieB[[#This Row],[Vak-groep]]="","1",VLOOKUP(C127,$J$2:$K$7,2,FALSE))</f>
        <v>1</v>
      </c>
      <c r="AB127" s="423" t="str">
        <f>CONCATENATE(TInspectieB[[#This Row],[Soort gebrek]],TInspectieB[[#This Row],[Trede]])</f>
        <v>1</v>
      </c>
      <c r="AC127" s="413" t="e">
        <v>#N/A</v>
      </c>
      <c r="AD127" s="413" t="e">
        <v>#N/A</v>
      </c>
      <c r="AE127" s="424">
        <v>0</v>
      </c>
    </row>
    <row r="128" spans="1:31" ht="10.5" x14ac:dyDescent="0.25">
      <c r="A128" s="337" t="str" cm="1">
        <f t="array" ref="A128">IFERROR(INDEX(TInventB[UVID],ROUNDDOWN((ROW(A119)+1)/2,0)),"")</f>
        <v/>
      </c>
      <c r="B128" s="410" t="str">
        <f>IF(TInspectieB[[#This Row],[UVID]]="","",VLOOKUP(TInspectieB[[#This Row],[UVID]],TInventB[],2,FALSE))</f>
        <v/>
      </c>
      <c r="C128" s="365" t="str">
        <f>IF(TInspectieB[[#This Row],[UVID]]="","",VLOOKUP(TInspectieB[[#This Row],[UVID]],TInventB[],11,FALSE))</f>
        <v/>
      </c>
      <c r="D128" s="411" t="str">
        <f>IF(TInspectieB[[#This Row],[UVID]]="","",VLOOKUP(TInspectieB[[#This Row],[UVID]],TInventB[],3,FALSE))</f>
        <v/>
      </c>
      <c r="E128" s="338" t="str">
        <f>IF(TInspectieB[[#This Row],[Omschrijving bouwdeel]]="","",IF(MOD(ROW()-2,2)=0,"O",IF(TRIM(TInspectieB[[#This Row],[Code Bouwdeeltype]])="312010","O","E")))</f>
        <v/>
      </c>
      <c r="F128" s="412"/>
      <c r="G128" s="413" t="str">
        <f>IF(ISBLANK(TInspectieB[[#This Row],[Soort gebrek]]),"",VLOOKUP(TInspectieB[[#This Row],[Soort gebrek]],TSoortGebrek[#Data],3,FALSE))</f>
        <v/>
      </c>
      <c r="H128" s="413" t="str">
        <f>IF(ISBLANK(TInspectieB[[#This Row],[Soort gebrek]]),"",VLOOKUP(TInspectieB[[#This Row],[Soort gebrek]],TSoortGebrek[#Data],2,FALSE))</f>
        <v/>
      </c>
      <c r="I128" s="413" t="str">
        <f>IF(TInspectieB[[#This Row],[Soort gebrek]]=0,"",VLOOKUP(TInspectieB[[#This Row],[Soort gebrek]],TSoortGebrek[],4,FALSE))</f>
        <v/>
      </c>
      <c r="J128" s="425"/>
      <c r="K128" s="415" t="str">
        <f>IF(TInspectieB[[#This Row],[Soort gebrek]]=0,"",VLOOKUP(TInspectieB[[#This Row],[Combi]],TPrio[#Data],2,FALSE))</f>
        <v/>
      </c>
      <c r="L128" s="339"/>
      <c r="M128" s="416" t="str">
        <f>IF(ISBLANK(TInspectieB[[#This Row],[Gebrek nr.]]),"",TInspectieB[[#This Row],[UVID]]&amp;"-"&amp;TInspectieB[[#This Row],[Gebrek nr.]])</f>
        <v/>
      </c>
      <c r="N128" s="417"/>
      <c r="O128" s="651"/>
      <c r="P128" s="206"/>
      <c r="Q128" s="193"/>
      <c r="R128" s="206"/>
      <c r="S128" s="206"/>
      <c r="T128" s="206"/>
      <c r="U128" s="206"/>
      <c r="V128" s="206"/>
      <c r="W128" s="419"/>
      <c r="X128" s="340"/>
      <c r="Y128" s="420"/>
      <c r="Z128" s="421" t="str">
        <f>IF(ISBLANK(TInspectieB[[#This Row],[Aantal]]),"",ROUND(TInspectieB[[#This Row],[Kengetal]]*TInspectieB[[#This Row],[Aantal]],-1))</f>
        <v/>
      </c>
      <c r="AA128" s="422" t="str">
        <f>IF(TInspectieB[[#This Row],[Vak-groep]]="","1",VLOOKUP(C128,$J$2:$K$7,2,FALSE))</f>
        <v>1</v>
      </c>
      <c r="AB128" s="423" t="str">
        <f>CONCATENATE(TInspectieB[[#This Row],[Soort gebrek]],TInspectieB[[#This Row],[Trede]])</f>
        <v>1</v>
      </c>
      <c r="AC128" s="413" t="e">
        <v>#N/A</v>
      </c>
      <c r="AD128" s="413" t="e">
        <v>#N/A</v>
      </c>
      <c r="AE128" s="424">
        <v>0</v>
      </c>
    </row>
    <row r="129" spans="1:31" ht="10.5" x14ac:dyDescent="0.25">
      <c r="A129" s="337" t="str" cm="1">
        <f t="array" ref="A129">IFERROR(INDEX(TInventB[UVID],ROUNDDOWN((ROW(A120)+1)/2,0)),"")</f>
        <v/>
      </c>
      <c r="B129" s="410" t="str">
        <f>IF(TInspectieB[[#This Row],[UVID]]="","",VLOOKUP(TInspectieB[[#This Row],[UVID]],TInventB[],2,FALSE))</f>
        <v/>
      </c>
      <c r="C129" s="365" t="str">
        <f>IF(TInspectieB[[#This Row],[UVID]]="","",VLOOKUP(TInspectieB[[#This Row],[UVID]],TInventB[],11,FALSE))</f>
        <v/>
      </c>
      <c r="D129" s="411" t="str">
        <f>IF(TInspectieB[[#This Row],[UVID]]="","",VLOOKUP(TInspectieB[[#This Row],[UVID]],TInventB[],3,FALSE))</f>
        <v/>
      </c>
      <c r="E129" s="338" t="str">
        <f>IF(TInspectieB[[#This Row],[Omschrijving bouwdeel]]="","",IF(MOD(ROW()-2,2)=0,"O",IF(TRIM(TInspectieB[[#This Row],[Code Bouwdeeltype]])="312010","O","E")))</f>
        <v/>
      </c>
      <c r="F129" s="412"/>
      <c r="G129" s="413" t="str">
        <f>IF(ISBLANK(TInspectieB[[#This Row],[Soort gebrek]]),"",VLOOKUP(TInspectieB[[#This Row],[Soort gebrek]],TSoortGebrek[#Data],3,FALSE))</f>
        <v/>
      </c>
      <c r="H129" s="413" t="str">
        <f>IF(ISBLANK(TInspectieB[[#This Row],[Soort gebrek]]),"",VLOOKUP(TInspectieB[[#This Row],[Soort gebrek]],TSoortGebrek[#Data],2,FALSE))</f>
        <v/>
      </c>
      <c r="I129" s="413" t="str">
        <f>IF(TInspectieB[[#This Row],[Soort gebrek]]=0,"",VLOOKUP(TInspectieB[[#This Row],[Soort gebrek]],TSoortGebrek[],4,FALSE))</f>
        <v/>
      </c>
      <c r="J129" s="425"/>
      <c r="K129" s="415" t="str">
        <f>IF(TInspectieB[[#This Row],[Soort gebrek]]=0,"",VLOOKUP(TInspectieB[[#This Row],[Combi]],TPrio[#Data],2,FALSE))</f>
        <v/>
      </c>
      <c r="L129" s="339"/>
      <c r="M129" s="416" t="str">
        <f>IF(ISBLANK(TInspectieB[[#This Row],[Gebrek nr.]]),"",TInspectieB[[#This Row],[UVID]]&amp;"-"&amp;TInspectieB[[#This Row],[Gebrek nr.]])</f>
        <v/>
      </c>
      <c r="N129" s="417"/>
      <c r="O129" s="651"/>
      <c r="P129" s="206"/>
      <c r="Q129" s="193"/>
      <c r="R129" s="206"/>
      <c r="S129" s="206"/>
      <c r="T129" s="206"/>
      <c r="U129" s="206"/>
      <c r="V129" s="206"/>
      <c r="W129" s="419"/>
      <c r="X129" s="340"/>
      <c r="Y129" s="420"/>
      <c r="Z129" s="421" t="str">
        <f>IF(ISBLANK(TInspectieB[[#This Row],[Aantal]]),"",ROUND(TInspectieB[[#This Row],[Kengetal]]*TInspectieB[[#This Row],[Aantal]],-1))</f>
        <v/>
      </c>
      <c r="AA129" s="422" t="str">
        <f>IF(TInspectieB[[#This Row],[Vak-groep]]="","1",VLOOKUP(C129,$J$2:$K$7,2,FALSE))</f>
        <v>1</v>
      </c>
      <c r="AB129" s="423" t="str">
        <f>CONCATENATE(TInspectieB[[#This Row],[Soort gebrek]],TInspectieB[[#This Row],[Trede]])</f>
        <v>1</v>
      </c>
      <c r="AC129" s="413" t="e">
        <v>#N/A</v>
      </c>
      <c r="AD129" s="413" t="e">
        <v>#N/A</v>
      </c>
      <c r="AE129" s="424">
        <v>0</v>
      </c>
    </row>
    <row r="130" spans="1:31" ht="10.5" x14ac:dyDescent="0.25">
      <c r="A130" s="337" t="str" cm="1">
        <f t="array" ref="A130">IFERROR(INDEX(TInventB[UVID],ROUNDDOWN((ROW(A121)+1)/2,0)),"")</f>
        <v/>
      </c>
      <c r="B130" s="410" t="str">
        <f>IF(TInspectieB[[#This Row],[UVID]]="","",VLOOKUP(TInspectieB[[#This Row],[UVID]],TInventB[],2,FALSE))</f>
        <v/>
      </c>
      <c r="C130" s="365" t="str">
        <f>IF(TInspectieB[[#This Row],[UVID]]="","",VLOOKUP(TInspectieB[[#This Row],[UVID]],TInventB[],11,FALSE))</f>
        <v/>
      </c>
      <c r="D130" s="411" t="str">
        <f>IF(TInspectieB[[#This Row],[UVID]]="","",VLOOKUP(TInspectieB[[#This Row],[UVID]],TInventB[],3,FALSE))</f>
        <v/>
      </c>
      <c r="E130" s="338" t="str">
        <f>IF(TInspectieB[[#This Row],[Omschrijving bouwdeel]]="","",IF(MOD(ROW()-2,2)=0,"O",IF(TRIM(TInspectieB[[#This Row],[Code Bouwdeeltype]])="312010","O","E")))</f>
        <v/>
      </c>
      <c r="F130" s="412"/>
      <c r="G130" s="413" t="str">
        <f>IF(ISBLANK(TInspectieB[[#This Row],[Soort gebrek]]),"",VLOOKUP(TInspectieB[[#This Row],[Soort gebrek]],TSoortGebrek[#Data],3,FALSE))</f>
        <v/>
      </c>
      <c r="H130" s="413" t="str">
        <f>IF(ISBLANK(TInspectieB[[#This Row],[Soort gebrek]]),"",VLOOKUP(TInspectieB[[#This Row],[Soort gebrek]],TSoortGebrek[#Data],2,FALSE))</f>
        <v/>
      </c>
      <c r="I130" s="413" t="str">
        <f>IF(TInspectieB[[#This Row],[Soort gebrek]]=0,"",VLOOKUP(TInspectieB[[#This Row],[Soort gebrek]],TSoortGebrek[],4,FALSE))</f>
        <v/>
      </c>
      <c r="J130" s="425"/>
      <c r="K130" s="415" t="str">
        <f>IF(TInspectieB[[#This Row],[Soort gebrek]]=0,"",VLOOKUP(TInspectieB[[#This Row],[Combi]],TPrio[#Data],2,FALSE))</f>
        <v/>
      </c>
      <c r="L130" s="339"/>
      <c r="M130" s="416" t="str">
        <f>IF(ISBLANK(TInspectieB[[#This Row],[Gebrek nr.]]),"",TInspectieB[[#This Row],[UVID]]&amp;"-"&amp;TInspectieB[[#This Row],[Gebrek nr.]])</f>
        <v/>
      </c>
      <c r="N130" s="417"/>
      <c r="O130" s="651"/>
      <c r="P130" s="206"/>
      <c r="Q130" s="193"/>
      <c r="R130" s="206"/>
      <c r="S130" s="206"/>
      <c r="T130" s="206"/>
      <c r="U130" s="206"/>
      <c r="V130" s="206"/>
      <c r="W130" s="419"/>
      <c r="X130" s="340"/>
      <c r="Y130" s="420"/>
      <c r="Z130" s="421" t="str">
        <f>IF(ISBLANK(TInspectieB[[#This Row],[Aantal]]),"",ROUND(TInspectieB[[#This Row],[Kengetal]]*TInspectieB[[#This Row],[Aantal]],-1))</f>
        <v/>
      </c>
      <c r="AA130" s="422" t="str">
        <f>IF(TInspectieB[[#This Row],[Vak-groep]]="","1",VLOOKUP(C130,$J$2:$K$7,2,FALSE))</f>
        <v>1</v>
      </c>
      <c r="AB130" s="423" t="str">
        <f>CONCATENATE(TInspectieB[[#This Row],[Soort gebrek]],TInspectieB[[#This Row],[Trede]])</f>
        <v>1</v>
      </c>
      <c r="AC130" s="413" t="e">
        <v>#N/A</v>
      </c>
      <c r="AD130" s="413" t="e">
        <v>#N/A</v>
      </c>
      <c r="AE130" s="424">
        <v>0</v>
      </c>
    </row>
    <row r="131" spans="1:31" ht="10.5" x14ac:dyDescent="0.25">
      <c r="A131" s="337" t="str" cm="1">
        <f t="array" ref="A131">IFERROR(INDEX(TInventB[UVID],ROUNDDOWN((ROW(A122)+1)/2,0)),"")</f>
        <v/>
      </c>
      <c r="B131" s="410" t="str">
        <f>IF(TInspectieB[[#This Row],[UVID]]="","",VLOOKUP(TInspectieB[[#This Row],[UVID]],TInventB[],2,FALSE))</f>
        <v/>
      </c>
      <c r="C131" s="365" t="str">
        <f>IF(TInspectieB[[#This Row],[UVID]]="","",VLOOKUP(TInspectieB[[#This Row],[UVID]],TInventB[],11,FALSE))</f>
        <v/>
      </c>
      <c r="D131" s="411" t="str">
        <f>IF(TInspectieB[[#This Row],[UVID]]="","",VLOOKUP(TInspectieB[[#This Row],[UVID]],TInventB[],3,FALSE))</f>
        <v/>
      </c>
      <c r="E131" s="338" t="str">
        <f>IF(TInspectieB[[#This Row],[Omschrijving bouwdeel]]="","",IF(MOD(ROW()-2,2)=0,"O",IF(TRIM(TInspectieB[[#This Row],[Code Bouwdeeltype]])="312010","O","E")))</f>
        <v/>
      </c>
      <c r="F131" s="412"/>
      <c r="G131" s="413" t="str">
        <f>IF(ISBLANK(TInspectieB[[#This Row],[Soort gebrek]]),"",VLOOKUP(TInspectieB[[#This Row],[Soort gebrek]],TSoortGebrek[#Data],3,FALSE))</f>
        <v/>
      </c>
      <c r="H131" s="413" t="str">
        <f>IF(ISBLANK(TInspectieB[[#This Row],[Soort gebrek]]),"",VLOOKUP(TInspectieB[[#This Row],[Soort gebrek]],TSoortGebrek[#Data],2,FALSE))</f>
        <v/>
      </c>
      <c r="I131" s="413" t="str">
        <f>IF(TInspectieB[[#This Row],[Soort gebrek]]=0,"",VLOOKUP(TInspectieB[[#This Row],[Soort gebrek]],TSoortGebrek[],4,FALSE))</f>
        <v/>
      </c>
      <c r="J131" s="425"/>
      <c r="K131" s="415" t="str">
        <f>IF(TInspectieB[[#This Row],[Soort gebrek]]=0,"",VLOOKUP(TInspectieB[[#This Row],[Combi]],TPrio[#Data],2,FALSE))</f>
        <v/>
      </c>
      <c r="L131" s="339"/>
      <c r="M131" s="416" t="str">
        <f>IF(ISBLANK(TInspectieB[[#This Row],[Gebrek nr.]]),"",TInspectieB[[#This Row],[UVID]]&amp;"-"&amp;TInspectieB[[#This Row],[Gebrek nr.]])</f>
        <v/>
      </c>
      <c r="N131" s="417"/>
      <c r="O131" s="651"/>
      <c r="P131" s="206"/>
      <c r="Q131" s="193"/>
      <c r="R131" s="206"/>
      <c r="S131" s="206"/>
      <c r="T131" s="206"/>
      <c r="U131" s="206"/>
      <c r="V131" s="206"/>
      <c r="W131" s="419"/>
      <c r="X131" s="340"/>
      <c r="Y131" s="420"/>
      <c r="Z131" s="421" t="str">
        <f>IF(ISBLANK(TInspectieB[[#This Row],[Aantal]]),"",ROUND(TInspectieB[[#This Row],[Kengetal]]*TInspectieB[[#This Row],[Aantal]],-1))</f>
        <v/>
      </c>
      <c r="AA131" s="422" t="str">
        <f>IF(TInspectieB[[#This Row],[Vak-groep]]="","1",VLOOKUP(C131,$J$2:$K$7,2,FALSE))</f>
        <v>1</v>
      </c>
      <c r="AB131" s="423" t="str">
        <f>CONCATENATE(TInspectieB[[#This Row],[Soort gebrek]],TInspectieB[[#This Row],[Trede]])</f>
        <v>1</v>
      </c>
      <c r="AC131" s="413" t="e">
        <v>#N/A</v>
      </c>
      <c r="AD131" s="413" t="e">
        <v>#N/A</v>
      </c>
      <c r="AE131" s="424">
        <v>0</v>
      </c>
    </row>
    <row r="132" spans="1:31" ht="10.5" x14ac:dyDescent="0.25">
      <c r="A132" s="337" t="str" cm="1">
        <f t="array" ref="A132">IFERROR(INDEX(TInventB[UVID],ROUNDDOWN((ROW(A123)+1)/2,0)),"")</f>
        <v/>
      </c>
      <c r="B132" s="410" t="str">
        <f>IF(TInspectieB[[#This Row],[UVID]]="","",VLOOKUP(TInspectieB[[#This Row],[UVID]],TInventB[],2,FALSE))</f>
        <v/>
      </c>
      <c r="C132" s="365" t="str">
        <f>IF(TInspectieB[[#This Row],[UVID]]="","",VLOOKUP(TInspectieB[[#This Row],[UVID]],TInventB[],11,FALSE))</f>
        <v/>
      </c>
      <c r="D132" s="411" t="str">
        <f>IF(TInspectieB[[#This Row],[UVID]]="","",VLOOKUP(TInspectieB[[#This Row],[UVID]],TInventB[],3,FALSE))</f>
        <v/>
      </c>
      <c r="E132" s="338" t="str">
        <f>IF(TInspectieB[[#This Row],[Omschrijving bouwdeel]]="","",IF(MOD(ROW()-2,2)=0,"O",IF(TRIM(TInspectieB[[#This Row],[Code Bouwdeeltype]])="312010","O","E")))</f>
        <v/>
      </c>
      <c r="F132" s="412"/>
      <c r="G132" s="413" t="str">
        <f>IF(ISBLANK(TInspectieB[[#This Row],[Soort gebrek]]),"",VLOOKUP(TInspectieB[[#This Row],[Soort gebrek]],TSoortGebrek[#Data],3,FALSE))</f>
        <v/>
      </c>
      <c r="H132" s="413" t="str">
        <f>IF(ISBLANK(TInspectieB[[#This Row],[Soort gebrek]]),"",VLOOKUP(TInspectieB[[#This Row],[Soort gebrek]],TSoortGebrek[#Data],2,FALSE))</f>
        <v/>
      </c>
      <c r="I132" s="413" t="str">
        <f>IF(TInspectieB[[#This Row],[Soort gebrek]]=0,"",VLOOKUP(TInspectieB[[#This Row],[Soort gebrek]],TSoortGebrek[],4,FALSE))</f>
        <v/>
      </c>
      <c r="J132" s="425"/>
      <c r="K132" s="415" t="str">
        <f>IF(TInspectieB[[#This Row],[Soort gebrek]]=0,"",VLOOKUP(TInspectieB[[#This Row],[Combi]],TPrio[#Data],2,FALSE))</f>
        <v/>
      </c>
      <c r="L132" s="339"/>
      <c r="M132" s="416" t="str">
        <f>IF(ISBLANK(TInspectieB[[#This Row],[Gebrek nr.]]),"",TInspectieB[[#This Row],[UVID]]&amp;"-"&amp;TInspectieB[[#This Row],[Gebrek nr.]])</f>
        <v/>
      </c>
      <c r="N132" s="417"/>
      <c r="O132" s="651"/>
      <c r="P132" s="206"/>
      <c r="Q132" s="193"/>
      <c r="R132" s="206"/>
      <c r="S132" s="206"/>
      <c r="T132" s="206"/>
      <c r="U132" s="206"/>
      <c r="V132" s="206"/>
      <c r="W132" s="419"/>
      <c r="X132" s="340"/>
      <c r="Y132" s="420"/>
      <c r="Z132" s="421" t="str">
        <f>IF(ISBLANK(TInspectieB[[#This Row],[Aantal]]),"",ROUND(TInspectieB[[#This Row],[Kengetal]]*TInspectieB[[#This Row],[Aantal]],-1))</f>
        <v/>
      </c>
      <c r="AA132" s="422" t="str">
        <f>IF(TInspectieB[[#This Row],[Vak-groep]]="","1",VLOOKUP(C132,$J$2:$K$7,2,FALSE))</f>
        <v>1</v>
      </c>
      <c r="AB132" s="423" t="str">
        <f>CONCATENATE(TInspectieB[[#This Row],[Soort gebrek]],TInspectieB[[#This Row],[Trede]])</f>
        <v>1</v>
      </c>
      <c r="AC132" s="413" t="e">
        <v>#N/A</v>
      </c>
      <c r="AD132" s="413" t="e">
        <v>#N/A</v>
      </c>
      <c r="AE132" s="424">
        <v>0</v>
      </c>
    </row>
    <row r="133" spans="1:31" ht="10.5" x14ac:dyDescent="0.25">
      <c r="A133" s="337" t="str" cm="1">
        <f t="array" ref="A133">IFERROR(INDEX(TInventB[UVID],ROUNDDOWN((ROW(A124)+1)/2,0)),"")</f>
        <v/>
      </c>
      <c r="B133" s="410" t="str">
        <f>IF(TInspectieB[[#This Row],[UVID]]="","",VLOOKUP(TInspectieB[[#This Row],[UVID]],TInventB[],2,FALSE))</f>
        <v/>
      </c>
      <c r="C133" s="365" t="str">
        <f>IF(TInspectieB[[#This Row],[UVID]]="","",VLOOKUP(TInspectieB[[#This Row],[UVID]],TInventB[],11,FALSE))</f>
        <v/>
      </c>
      <c r="D133" s="411" t="str">
        <f>IF(TInspectieB[[#This Row],[UVID]]="","",VLOOKUP(TInspectieB[[#This Row],[UVID]],TInventB[],3,FALSE))</f>
        <v/>
      </c>
      <c r="E133" s="338" t="str">
        <f>IF(TInspectieB[[#This Row],[Omschrijving bouwdeel]]="","",IF(MOD(ROW()-2,2)=0,"O",IF(TRIM(TInspectieB[[#This Row],[Code Bouwdeeltype]])="312010","O","E")))</f>
        <v/>
      </c>
      <c r="F133" s="412"/>
      <c r="G133" s="413" t="str">
        <f>IF(ISBLANK(TInspectieB[[#This Row],[Soort gebrek]]),"",VLOOKUP(TInspectieB[[#This Row],[Soort gebrek]],TSoortGebrek[#Data],3,FALSE))</f>
        <v/>
      </c>
      <c r="H133" s="413" t="str">
        <f>IF(ISBLANK(TInspectieB[[#This Row],[Soort gebrek]]),"",VLOOKUP(TInspectieB[[#This Row],[Soort gebrek]],TSoortGebrek[#Data],2,FALSE))</f>
        <v/>
      </c>
      <c r="I133" s="413" t="str">
        <f>IF(TInspectieB[[#This Row],[Soort gebrek]]=0,"",VLOOKUP(TInspectieB[[#This Row],[Soort gebrek]],TSoortGebrek[],4,FALSE))</f>
        <v/>
      </c>
      <c r="J133" s="425"/>
      <c r="K133" s="415" t="str">
        <f>IF(TInspectieB[[#This Row],[Soort gebrek]]=0,"",VLOOKUP(TInspectieB[[#This Row],[Combi]],TPrio[#Data],2,FALSE))</f>
        <v/>
      </c>
      <c r="L133" s="339"/>
      <c r="M133" s="416" t="str">
        <f>IF(ISBLANK(TInspectieB[[#This Row],[Gebrek nr.]]),"",TInspectieB[[#This Row],[UVID]]&amp;"-"&amp;TInspectieB[[#This Row],[Gebrek nr.]])</f>
        <v/>
      </c>
      <c r="N133" s="417"/>
      <c r="O133" s="651"/>
      <c r="P133" s="206"/>
      <c r="Q133" s="193"/>
      <c r="R133" s="206"/>
      <c r="S133" s="206"/>
      <c r="T133" s="206"/>
      <c r="U133" s="206"/>
      <c r="V133" s="206"/>
      <c r="W133" s="419"/>
      <c r="X133" s="340"/>
      <c r="Y133" s="420"/>
      <c r="Z133" s="421" t="str">
        <f>IF(ISBLANK(TInspectieB[[#This Row],[Aantal]]),"",ROUND(TInspectieB[[#This Row],[Kengetal]]*TInspectieB[[#This Row],[Aantal]],-1))</f>
        <v/>
      </c>
      <c r="AA133" s="422" t="str">
        <f>IF(TInspectieB[[#This Row],[Vak-groep]]="","1",VLOOKUP(C133,$J$2:$K$7,2,FALSE))</f>
        <v>1</v>
      </c>
      <c r="AB133" s="423" t="str">
        <f>CONCATENATE(TInspectieB[[#This Row],[Soort gebrek]],TInspectieB[[#This Row],[Trede]])</f>
        <v>1</v>
      </c>
      <c r="AC133" s="413" t="e">
        <v>#N/A</v>
      </c>
      <c r="AD133" s="413" t="e">
        <v>#N/A</v>
      </c>
      <c r="AE133" s="424">
        <v>0</v>
      </c>
    </row>
    <row r="134" spans="1:31" ht="10.5" x14ac:dyDescent="0.25">
      <c r="A134" s="337" t="str" cm="1">
        <f t="array" ref="A134">IFERROR(INDEX(TInventB[UVID],ROUNDDOWN((ROW(A125)+1)/2,0)),"")</f>
        <v/>
      </c>
      <c r="B134" s="410" t="str">
        <f>IF(TInspectieB[[#This Row],[UVID]]="","",VLOOKUP(TInspectieB[[#This Row],[UVID]],TInventB[],2,FALSE))</f>
        <v/>
      </c>
      <c r="C134" s="365" t="str">
        <f>IF(TInspectieB[[#This Row],[UVID]]="","",VLOOKUP(TInspectieB[[#This Row],[UVID]],TInventB[],11,FALSE))</f>
        <v/>
      </c>
      <c r="D134" s="411" t="str">
        <f>IF(TInspectieB[[#This Row],[UVID]]="","",VLOOKUP(TInspectieB[[#This Row],[UVID]],TInventB[],3,FALSE))</f>
        <v/>
      </c>
      <c r="E134" s="338" t="str">
        <f>IF(TInspectieB[[#This Row],[Omschrijving bouwdeel]]="","",IF(MOD(ROW()-2,2)=0,"O",IF(TRIM(TInspectieB[[#This Row],[Code Bouwdeeltype]])="312010","O","E")))</f>
        <v/>
      </c>
      <c r="F134" s="412"/>
      <c r="G134" s="413" t="str">
        <f>IF(ISBLANK(TInspectieB[[#This Row],[Soort gebrek]]),"",VLOOKUP(TInspectieB[[#This Row],[Soort gebrek]],TSoortGebrek[#Data],3,FALSE))</f>
        <v/>
      </c>
      <c r="H134" s="413" t="str">
        <f>IF(ISBLANK(TInspectieB[[#This Row],[Soort gebrek]]),"",VLOOKUP(TInspectieB[[#This Row],[Soort gebrek]],TSoortGebrek[#Data],2,FALSE))</f>
        <v/>
      </c>
      <c r="I134" s="413" t="str">
        <f>IF(TInspectieB[[#This Row],[Soort gebrek]]=0,"",VLOOKUP(TInspectieB[[#This Row],[Soort gebrek]],TSoortGebrek[],4,FALSE))</f>
        <v/>
      </c>
      <c r="J134" s="425"/>
      <c r="K134" s="415" t="str">
        <f>IF(TInspectieB[[#This Row],[Soort gebrek]]=0,"",VLOOKUP(TInspectieB[[#This Row],[Combi]],TPrio[#Data],2,FALSE))</f>
        <v/>
      </c>
      <c r="L134" s="339"/>
      <c r="M134" s="416" t="str">
        <f>IF(ISBLANK(TInspectieB[[#This Row],[Gebrek nr.]]),"",TInspectieB[[#This Row],[UVID]]&amp;"-"&amp;TInspectieB[[#This Row],[Gebrek nr.]])</f>
        <v/>
      </c>
      <c r="N134" s="417"/>
      <c r="O134" s="651"/>
      <c r="P134" s="206"/>
      <c r="Q134" s="193"/>
      <c r="R134" s="206"/>
      <c r="S134" s="206"/>
      <c r="T134" s="206"/>
      <c r="U134" s="206"/>
      <c r="V134" s="206"/>
      <c r="W134" s="419"/>
      <c r="X134" s="340"/>
      <c r="Y134" s="420"/>
      <c r="Z134" s="421" t="str">
        <f>IF(ISBLANK(TInspectieB[[#This Row],[Aantal]]),"",ROUND(TInspectieB[[#This Row],[Kengetal]]*TInspectieB[[#This Row],[Aantal]],-1))</f>
        <v/>
      </c>
      <c r="AA134" s="422" t="str">
        <f>IF(TInspectieB[[#This Row],[Vak-groep]]="","1",VLOOKUP(C134,$J$2:$K$7,2,FALSE))</f>
        <v>1</v>
      </c>
      <c r="AB134" s="423" t="str">
        <f>CONCATENATE(TInspectieB[[#This Row],[Soort gebrek]],TInspectieB[[#This Row],[Trede]])</f>
        <v>1</v>
      </c>
      <c r="AC134" s="413" t="e">
        <v>#N/A</v>
      </c>
      <c r="AD134" s="413" t="e">
        <v>#N/A</v>
      </c>
      <c r="AE134" s="424">
        <v>0</v>
      </c>
    </row>
    <row r="135" spans="1:31" ht="10.5" x14ac:dyDescent="0.25">
      <c r="A135" s="337" t="str" cm="1">
        <f t="array" ref="A135">IFERROR(INDEX(TInventB[UVID],ROUNDDOWN((ROW(A126)+1)/2,0)),"")</f>
        <v/>
      </c>
      <c r="B135" s="410" t="str">
        <f>IF(TInspectieB[[#This Row],[UVID]]="","",VLOOKUP(TInspectieB[[#This Row],[UVID]],TInventB[],2,FALSE))</f>
        <v/>
      </c>
      <c r="C135" s="365" t="str">
        <f>IF(TInspectieB[[#This Row],[UVID]]="","",VLOOKUP(TInspectieB[[#This Row],[UVID]],TInventB[],11,FALSE))</f>
        <v/>
      </c>
      <c r="D135" s="411" t="str">
        <f>IF(TInspectieB[[#This Row],[UVID]]="","",VLOOKUP(TInspectieB[[#This Row],[UVID]],TInventB[],3,FALSE))</f>
        <v/>
      </c>
      <c r="E135" s="338" t="str">
        <f>IF(TInspectieB[[#This Row],[Omschrijving bouwdeel]]="","",IF(MOD(ROW()-2,2)=0,"O",IF(TRIM(TInspectieB[[#This Row],[Code Bouwdeeltype]])="312010","O","E")))</f>
        <v/>
      </c>
      <c r="F135" s="412"/>
      <c r="G135" s="413" t="str">
        <f>IF(ISBLANK(TInspectieB[[#This Row],[Soort gebrek]]),"",VLOOKUP(TInspectieB[[#This Row],[Soort gebrek]],TSoortGebrek[#Data],3,FALSE))</f>
        <v/>
      </c>
      <c r="H135" s="413" t="str">
        <f>IF(ISBLANK(TInspectieB[[#This Row],[Soort gebrek]]),"",VLOOKUP(TInspectieB[[#This Row],[Soort gebrek]],TSoortGebrek[#Data],2,FALSE))</f>
        <v/>
      </c>
      <c r="I135" s="413" t="str">
        <f>IF(TInspectieB[[#This Row],[Soort gebrek]]=0,"",VLOOKUP(TInspectieB[[#This Row],[Soort gebrek]],TSoortGebrek[],4,FALSE))</f>
        <v/>
      </c>
      <c r="J135" s="425"/>
      <c r="K135" s="415" t="str">
        <f>IF(TInspectieB[[#This Row],[Soort gebrek]]=0,"",VLOOKUP(TInspectieB[[#This Row],[Combi]],TPrio[#Data],2,FALSE))</f>
        <v/>
      </c>
      <c r="L135" s="339"/>
      <c r="M135" s="416" t="str">
        <f>IF(ISBLANK(TInspectieB[[#This Row],[Gebrek nr.]]),"",TInspectieB[[#This Row],[UVID]]&amp;"-"&amp;TInspectieB[[#This Row],[Gebrek nr.]])</f>
        <v/>
      </c>
      <c r="N135" s="417"/>
      <c r="O135" s="651"/>
      <c r="P135" s="206"/>
      <c r="Q135" s="193"/>
      <c r="R135" s="206"/>
      <c r="S135" s="206"/>
      <c r="T135" s="206"/>
      <c r="U135" s="206"/>
      <c r="V135" s="206"/>
      <c r="W135" s="419"/>
      <c r="X135" s="340"/>
      <c r="Y135" s="420"/>
      <c r="Z135" s="421" t="str">
        <f>IF(ISBLANK(TInspectieB[[#This Row],[Aantal]]),"",ROUND(TInspectieB[[#This Row],[Kengetal]]*TInspectieB[[#This Row],[Aantal]],-1))</f>
        <v/>
      </c>
      <c r="AA135" s="422" t="str">
        <f>IF(TInspectieB[[#This Row],[Vak-groep]]="","1",VLOOKUP(C135,$J$2:$K$7,2,FALSE))</f>
        <v>1</v>
      </c>
      <c r="AB135" s="423" t="str">
        <f>CONCATENATE(TInspectieB[[#This Row],[Soort gebrek]],TInspectieB[[#This Row],[Trede]])</f>
        <v>1</v>
      </c>
      <c r="AC135" s="413" t="e">
        <v>#N/A</v>
      </c>
      <c r="AD135" s="413" t="e">
        <v>#N/A</v>
      </c>
      <c r="AE135" s="424">
        <v>0</v>
      </c>
    </row>
    <row r="136" spans="1:31" ht="10.5" x14ac:dyDescent="0.25">
      <c r="A136" s="337" t="str" cm="1">
        <f t="array" ref="A136">IFERROR(INDEX(TInventB[UVID],ROUNDDOWN((ROW(A127)+1)/2,0)),"")</f>
        <v/>
      </c>
      <c r="B136" s="410" t="str">
        <f>IF(TInspectieB[[#This Row],[UVID]]="","",VLOOKUP(TInspectieB[[#This Row],[UVID]],TInventB[],2,FALSE))</f>
        <v/>
      </c>
      <c r="C136" s="365" t="str">
        <f>IF(TInspectieB[[#This Row],[UVID]]="","",VLOOKUP(TInspectieB[[#This Row],[UVID]],TInventB[],11,FALSE))</f>
        <v/>
      </c>
      <c r="D136" s="411" t="str">
        <f>IF(TInspectieB[[#This Row],[UVID]]="","",VLOOKUP(TInspectieB[[#This Row],[UVID]],TInventB[],3,FALSE))</f>
        <v/>
      </c>
      <c r="E136" s="338" t="str">
        <f>IF(TInspectieB[[#This Row],[Omschrijving bouwdeel]]="","",IF(MOD(ROW()-2,2)=0,"O",IF(TRIM(TInspectieB[[#This Row],[Code Bouwdeeltype]])="312010","O","E")))</f>
        <v/>
      </c>
      <c r="F136" s="412"/>
      <c r="G136" s="413" t="str">
        <f>IF(ISBLANK(TInspectieB[[#This Row],[Soort gebrek]]),"",VLOOKUP(TInspectieB[[#This Row],[Soort gebrek]],TSoortGebrek[#Data],3,FALSE))</f>
        <v/>
      </c>
      <c r="H136" s="413" t="str">
        <f>IF(ISBLANK(TInspectieB[[#This Row],[Soort gebrek]]),"",VLOOKUP(TInspectieB[[#This Row],[Soort gebrek]],TSoortGebrek[#Data],2,FALSE))</f>
        <v/>
      </c>
      <c r="I136" s="413" t="str">
        <f>IF(TInspectieB[[#This Row],[Soort gebrek]]=0,"",VLOOKUP(TInspectieB[[#This Row],[Soort gebrek]],TSoortGebrek[],4,FALSE))</f>
        <v/>
      </c>
      <c r="J136" s="425"/>
      <c r="K136" s="415" t="str">
        <f>IF(TInspectieB[[#This Row],[Soort gebrek]]=0,"",VLOOKUP(TInspectieB[[#This Row],[Combi]],TPrio[#Data],2,FALSE))</f>
        <v/>
      </c>
      <c r="L136" s="339"/>
      <c r="M136" s="416" t="str">
        <f>IF(ISBLANK(TInspectieB[[#This Row],[Gebrek nr.]]),"",TInspectieB[[#This Row],[UVID]]&amp;"-"&amp;TInspectieB[[#This Row],[Gebrek nr.]])</f>
        <v/>
      </c>
      <c r="N136" s="417"/>
      <c r="O136" s="651"/>
      <c r="P136" s="206"/>
      <c r="Q136" s="193"/>
      <c r="R136" s="206"/>
      <c r="S136" s="206"/>
      <c r="T136" s="206"/>
      <c r="U136" s="206"/>
      <c r="V136" s="206"/>
      <c r="W136" s="419"/>
      <c r="X136" s="340"/>
      <c r="Y136" s="420"/>
      <c r="Z136" s="421" t="str">
        <f>IF(ISBLANK(TInspectieB[[#This Row],[Aantal]]),"",ROUND(TInspectieB[[#This Row],[Kengetal]]*TInspectieB[[#This Row],[Aantal]],-1))</f>
        <v/>
      </c>
      <c r="AA136" s="422" t="str">
        <f>IF(TInspectieB[[#This Row],[Vak-groep]]="","1",VLOOKUP(C136,$J$2:$K$7,2,FALSE))</f>
        <v>1</v>
      </c>
      <c r="AB136" s="423" t="str">
        <f>CONCATENATE(TInspectieB[[#This Row],[Soort gebrek]],TInspectieB[[#This Row],[Trede]])</f>
        <v>1</v>
      </c>
      <c r="AC136" s="413" t="e">
        <v>#N/A</v>
      </c>
      <c r="AD136" s="413" t="e">
        <v>#N/A</v>
      </c>
      <c r="AE136" s="424">
        <v>0</v>
      </c>
    </row>
    <row r="137" spans="1:31" ht="10.5" x14ac:dyDescent="0.25">
      <c r="A137" s="337" t="str" cm="1">
        <f t="array" ref="A137">IFERROR(INDEX(TInventB[UVID],ROUNDDOWN((ROW(A128)+1)/2,0)),"")</f>
        <v/>
      </c>
      <c r="B137" s="410" t="str">
        <f>IF(TInspectieB[[#This Row],[UVID]]="","",VLOOKUP(TInspectieB[[#This Row],[UVID]],TInventB[],2,FALSE))</f>
        <v/>
      </c>
      <c r="C137" s="365" t="str">
        <f>IF(TInspectieB[[#This Row],[UVID]]="","",VLOOKUP(TInspectieB[[#This Row],[UVID]],TInventB[],11,FALSE))</f>
        <v/>
      </c>
      <c r="D137" s="411" t="str">
        <f>IF(TInspectieB[[#This Row],[UVID]]="","",VLOOKUP(TInspectieB[[#This Row],[UVID]],TInventB[],3,FALSE))</f>
        <v/>
      </c>
      <c r="E137" s="338" t="str">
        <f>IF(TInspectieB[[#This Row],[Omschrijving bouwdeel]]="","",IF(MOD(ROW()-2,2)=0,"O",IF(TRIM(TInspectieB[[#This Row],[Code Bouwdeeltype]])="312010","O","E")))</f>
        <v/>
      </c>
      <c r="F137" s="412"/>
      <c r="G137" s="413" t="str">
        <f>IF(ISBLANK(TInspectieB[[#This Row],[Soort gebrek]]),"",VLOOKUP(TInspectieB[[#This Row],[Soort gebrek]],TSoortGebrek[#Data],3,FALSE))</f>
        <v/>
      </c>
      <c r="H137" s="413" t="str">
        <f>IF(ISBLANK(TInspectieB[[#This Row],[Soort gebrek]]),"",VLOOKUP(TInspectieB[[#This Row],[Soort gebrek]],TSoortGebrek[#Data],2,FALSE))</f>
        <v/>
      </c>
      <c r="I137" s="413" t="str">
        <f>IF(TInspectieB[[#This Row],[Soort gebrek]]=0,"",VLOOKUP(TInspectieB[[#This Row],[Soort gebrek]],TSoortGebrek[],4,FALSE))</f>
        <v/>
      </c>
      <c r="J137" s="425"/>
      <c r="K137" s="415" t="str">
        <f>IF(TInspectieB[[#This Row],[Soort gebrek]]=0,"",VLOOKUP(TInspectieB[[#This Row],[Combi]],TPrio[#Data],2,FALSE))</f>
        <v/>
      </c>
      <c r="L137" s="339"/>
      <c r="M137" s="416" t="str">
        <f>IF(ISBLANK(TInspectieB[[#This Row],[Gebrek nr.]]),"",TInspectieB[[#This Row],[UVID]]&amp;"-"&amp;TInspectieB[[#This Row],[Gebrek nr.]])</f>
        <v/>
      </c>
      <c r="N137" s="417"/>
      <c r="O137" s="651"/>
      <c r="P137" s="206"/>
      <c r="Q137" s="193"/>
      <c r="R137" s="206"/>
      <c r="S137" s="206"/>
      <c r="T137" s="206"/>
      <c r="U137" s="206"/>
      <c r="V137" s="206"/>
      <c r="W137" s="419"/>
      <c r="X137" s="340"/>
      <c r="Y137" s="420"/>
      <c r="Z137" s="421" t="str">
        <f>IF(ISBLANK(TInspectieB[[#This Row],[Aantal]]),"",ROUND(TInspectieB[[#This Row],[Kengetal]]*TInspectieB[[#This Row],[Aantal]],-1))</f>
        <v/>
      </c>
      <c r="AA137" s="422" t="str">
        <f>IF(TInspectieB[[#This Row],[Vak-groep]]="","1",VLOOKUP(C137,$J$2:$K$7,2,FALSE))</f>
        <v>1</v>
      </c>
      <c r="AB137" s="423" t="str">
        <f>CONCATENATE(TInspectieB[[#This Row],[Soort gebrek]],TInspectieB[[#This Row],[Trede]])</f>
        <v>1</v>
      </c>
      <c r="AC137" s="413" t="e">
        <v>#N/A</v>
      </c>
      <c r="AD137" s="413" t="e">
        <v>#N/A</v>
      </c>
      <c r="AE137" s="424">
        <v>0</v>
      </c>
    </row>
    <row r="138" spans="1:31" ht="10.5" x14ac:dyDescent="0.25">
      <c r="A138" s="337" t="str" cm="1">
        <f t="array" ref="A138">IFERROR(INDEX(TInventB[UVID],ROUNDDOWN((ROW(A129)+1)/2,0)),"")</f>
        <v/>
      </c>
      <c r="B138" s="410" t="str">
        <f>IF(TInspectieB[[#This Row],[UVID]]="","",VLOOKUP(TInspectieB[[#This Row],[UVID]],TInventB[],2,FALSE))</f>
        <v/>
      </c>
      <c r="C138" s="365" t="str">
        <f>IF(TInspectieB[[#This Row],[UVID]]="","",VLOOKUP(TInspectieB[[#This Row],[UVID]],TInventB[],11,FALSE))</f>
        <v/>
      </c>
      <c r="D138" s="411" t="str">
        <f>IF(TInspectieB[[#This Row],[UVID]]="","",VLOOKUP(TInspectieB[[#This Row],[UVID]],TInventB[],3,FALSE))</f>
        <v/>
      </c>
      <c r="E138" s="338" t="str">
        <f>IF(TInspectieB[[#This Row],[Omschrijving bouwdeel]]="","",IF(MOD(ROW()-2,2)=0,"O",IF(TRIM(TInspectieB[[#This Row],[Code Bouwdeeltype]])="312010","O","E")))</f>
        <v/>
      </c>
      <c r="F138" s="412"/>
      <c r="G138" s="413" t="str">
        <f>IF(ISBLANK(TInspectieB[[#This Row],[Soort gebrek]]),"",VLOOKUP(TInspectieB[[#This Row],[Soort gebrek]],TSoortGebrek[#Data],3,FALSE))</f>
        <v/>
      </c>
      <c r="H138" s="413" t="str">
        <f>IF(ISBLANK(TInspectieB[[#This Row],[Soort gebrek]]),"",VLOOKUP(TInspectieB[[#This Row],[Soort gebrek]],TSoortGebrek[#Data],2,FALSE))</f>
        <v/>
      </c>
      <c r="I138" s="413" t="str">
        <f>IF(TInspectieB[[#This Row],[Soort gebrek]]=0,"",VLOOKUP(TInspectieB[[#This Row],[Soort gebrek]],TSoortGebrek[],4,FALSE))</f>
        <v/>
      </c>
      <c r="J138" s="425"/>
      <c r="K138" s="415" t="str">
        <f>IF(TInspectieB[[#This Row],[Soort gebrek]]=0,"",VLOOKUP(TInspectieB[[#This Row],[Combi]],TPrio[#Data],2,FALSE))</f>
        <v/>
      </c>
      <c r="L138" s="339"/>
      <c r="M138" s="416" t="str">
        <f>IF(ISBLANK(TInspectieB[[#This Row],[Gebrek nr.]]),"",TInspectieB[[#This Row],[UVID]]&amp;"-"&amp;TInspectieB[[#This Row],[Gebrek nr.]])</f>
        <v/>
      </c>
      <c r="N138" s="417"/>
      <c r="O138" s="651"/>
      <c r="P138" s="206"/>
      <c r="Q138" s="193"/>
      <c r="R138" s="206"/>
      <c r="S138" s="206"/>
      <c r="T138" s="206"/>
      <c r="U138" s="206"/>
      <c r="V138" s="206"/>
      <c r="W138" s="419"/>
      <c r="X138" s="340"/>
      <c r="Y138" s="420"/>
      <c r="Z138" s="421" t="str">
        <f>IF(ISBLANK(TInspectieB[[#This Row],[Aantal]]),"",ROUND(TInspectieB[[#This Row],[Kengetal]]*TInspectieB[[#This Row],[Aantal]],-1))</f>
        <v/>
      </c>
      <c r="AA138" s="422" t="str">
        <f>IF(TInspectieB[[#This Row],[Vak-groep]]="","1",VLOOKUP(C138,$J$2:$K$7,2,FALSE))</f>
        <v>1</v>
      </c>
      <c r="AB138" s="423" t="str">
        <f>CONCATENATE(TInspectieB[[#This Row],[Soort gebrek]],TInspectieB[[#This Row],[Trede]])</f>
        <v>1</v>
      </c>
      <c r="AC138" s="413" t="e">
        <v>#N/A</v>
      </c>
      <c r="AD138" s="413" t="e">
        <v>#N/A</v>
      </c>
      <c r="AE138" s="424">
        <v>0</v>
      </c>
    </row>
    <row r="139" spans="1:31" ht="10.5" x14ac:dyDescent="0.25">
      <c r="A139" s="337" t="str" cm="1">
        <f t="array" ref="A139">IFERROR(INDEX(TInventB[UVID],ROUNDDOWN((ROW(A130)+1)/2,0)),"")</f>
        <v/>
      </c>
      <c r="B139" s="410" t="str">
        <f>IF(TInspectieB[[#This Row],[UVID]]="","",VLOOKUP(TInspectieB[[#This Row],[UVID]],TInventB[],2,FALSE))</f>
        <v/>
      </c>
      <c r="C139" s="365" t="str">
        <f>IF(TInspectieB[[#This Row],[UVID]]="","",VLOOKUP(TInspectieB[[#This Row],[UVID]],TInventB[],11,FALSE))</f>
        <v/>
      </c>
      <c r="D139" s="411" t="str">
        <f>IF(TInspectieB[[#This Row],[UVID]]="","",VLOOKUP(TInspectieB[[#This Row],[UVID]],TInventB[],3,FALSE))</f>
        <v/>
      </c>
      <c r="E139" s="338" t="str">
        <f>IF(TInspectieB[[#This Row],[Omschrijving bouwdeel]]="","",IF(MOD(ROW()-2,2)=0,"O",IF(TRIM(TInspectieB[[#This Row],[Code Bouwdeeltype]])="312010","O","E")))</f>
        <v/>
      </c>
      <c r="F139" s="412"/>
      <c r="G139" s="413" t="str">
        <f>IF(ISBLANK(TInspectieB[[#This Row],[Soort gebrek]]),"",VLOOKUP(TInspectieB[[#This Row],[Soort gebrek]],TSoortGebrek[#Data],3,FALSE))</f>
        <v/>
      </c>
      <c r="H139" s="413" t="str">
        <f>IF(ISBLANK(TInspectieB[[#This Row],[Soort gebrek]]),"",VLOOKUP(TInspectieB[[#This Row],[Soort gebrek]],TSoortGebrek[#Data],2,FALSE))</f>
        <v/>
      </c>
      <c r="I139" s="413" t="str">
        <f>IF(TInspectieB[[#This Row],[Soort gebrek]]=0,"",VLOOKUP(TInspectieB[[#This Row],[Soort gebrek]],TSoortGebrek[],4,FALSE))</f>
        <v/>
      </c>
      <c r="J139" s="425"/>
      <c r="K139" s="415" t="str">
        <f>IF(TInspectieB[[#This Row],[Soort gebrek]]=0,"",VLOOKUP(TInspectieB[[#This Row],[Combi]],TPrio[#Data],2,FALSE))</f>
        <v/>
      </c>
      <c r="L139" s="339"/>
      <c r="M139" s="416" t="str">
        <f>IF(ISBLANK(TInspectieB[[#This Row],[Gebrek nr.]]),"",TInspectieB[[#This Row],[UVID]]&amp;"-"&amp;TInspectieB[[#This Row],[Gebrek nr.]])</f>
        <v/>
      </c>
      <c r="N139" s="417"/>
      <c r="O139" s="651"/>
      <c r="P139" s="206"/>
      <c r="Q139" s="193"/>
      <c r="R139" s="206"/>
      <c r="S139" s="206"/>
      <c r="T139" s="206"/>
      <c r="U139" s="206"/>
      <c r="V139" s="206"/>
      <c r="W139" s="419"/>
      <c r="X139" s="340"/>
      <c r="Y139" s="420"/>
      <c r="Z139" s="421" t="str">
        <f>IF(ISBLANK(TInspectieB[[#This Row],[Aantal]]),"",ROUND(TInspectieB[[#This Row],[Kengetal]]*TInspectieB[[#This Row],[Aantal]],-1))</f>
        <v/>
      </c>
      <c r="AA139" s="422" t="str">
        <f>IF(TInspectieB[[#This Row],[Vak-groep]]="","1",VLOOKUP(C139,$J$2:$K$7,2,FALSE))</f>
        <v>1</v>
      </c>
      <c r="AB139" s="423" t="str">
        <f>CONCATENATE(TInspectieB[[#This Row],[Soort gebrek]],TInspectieB[[#This Row],[Trede]])</f>
        <v>1</v>
      </c>
      <c r="AC139" s="413" t="e">
        <v>#N/A</v>
      </c>
      <c r="AD139" s="413" t="e">
        <v>#N/A</v>
      </c>
      <c r="AE139" s="424">
        <v>0</v>
      </c>
    </row>
    <row r="140" spans="1:31" ht="10.5" x14ac:dyDescent="0.25">
      <c r="A140" s="337" t="str" cm="1">
        <f t="array" ref="A140">IFERROR(INDEX(TInventB[UVID],ROUNDDOWN((ROW(A131)+1)/2,0)),"")</f>
        <v/>
      </c>
      <c r="B140" s="410" t="str">
        <f>IF(TInspectieB[[#This Row],[UVID]]="","",VLOOKUP(TInspectieB[[#This Row],[UVID]],TInventB[],2,FALSE))</f>
        <v/>
      </c>
      <c r="C140" s="365" t="str">
        <f>IF(TInspectieB[[#This Row],[UVID]]="","",VLOOKUP(TInspectieB[[#This Row],[UVID]],TInventB[],11,FALSE))</f>
        <v/>
      </c>
      <c r="D140" s="411" t="str">
        <f>IF(TInspectieB[[#This Row],[UVID]]="","",VLOOKUP(TInspectieB[[#This Row],[UVID]],TInventB[],3,FALSE))</f>
        <v/>
      </c>
      <c r="E140" s="338" t="str">
        <f>IF(TInspectieB[[#This Row],[Omschrijving bouwdeel]]="","",IF(MOD(ROW()-2,2)=0,"O",IF(TRIM(TInspectieB[[#This Row],[Code Bouwdeeltype]])="312010","O","E")))</f>
        <v/>
      </c>
      <c r="F140" s="412"/>
      <c r="G140" s="413" t="str">
        <f>IF(ISBLANK(TInspectieB[[#This Row],[Soort gebrek]]),"",VLOOKUP(TInspectieB[[#This Row],[Soort gebrek]],TSoortGebrek[#Data],3,FALSE))</f>
        <v/>
      </c>
      <c r="H140" s="413" t="str">
        <f>IF(ISBLANK(TInspectieB[[#This Row],[Soort gebrek]]),"",VLOOKUP(TInspectieB[[#This Row],[Soort gebrek]],TSoortGebrek[#Data],2,FALSE))</f>
        <v/>
      </c>
      <c r="I140" s="413" t="str">
        <f>IF(TInspectieB[[#This Row],[Soort gebrek]]=0,"",VLOOKUP(TInspectieB[[#This Row],[Soort gebrek]],TSoortGebrek[],4,FALSE))</f>
        <v/>
      </c>
      <c r="J140" s="425"/>
      <c r="K140" s="415" t="str">
        <f>IF(TInspectieB[[#This Row],[Soort gebrek]]=0,"",VLOOKUP(TInspectieB[[#This Row],[Combi]],TPrio[#Data],2,FALSE))</f>
        <v/>
      </c>
      <c r="L140" s="339"/>
      <c r="M140" s="416" t="str">
        <f>IF(ISBLANK(TInspectieB[[#This Row],[Gebrek nr.]]),"",TInspectieB[[#This Row],[UVID]]&amp;"-"&amp;TInspectieB[[#This Row],[Gebrek nr.]])</f>
        <v/>
      </c>
      <c r="N140" s="417"/>
      <c r="O140" s="651"/>
      <c r="P140" s="206"/>
      <c r="Q140" s="193"/>
      <c r="R140" s="206"/>
      <c r="S140" s="206"/>
      <c r="T140" s="206"/>
      <c r="U140" s="206"/>
      <c r="V140" s="206"/>
      <c r="W140" s="419"/>
      <c r="X140" s="340"/>
      <c r="Y140" s="420"/>
      <c r="Z140" s="421" t="str">
        <f>IF(ISBLANK(TInspectieB[[#This Row],[Aantal]]),"",ROUND(TInspectieB[[#This Row],[Kengetal]]*TInspectieB[[#This Row],[Aantal]],-1))</f>
        <v/>
      </c>
      <c r="AA140" s="422" t="str">
        <f>IF(TInspectieB[[#This Row],[Vak-groep]]="","1",VLOOKUP(C140,$J$2:$K$7,2,FALSE))</f>
        <v>1</v>
      </c>
      <c r="AB140" s="423" t="str">
        <f>CONCATENATE(TInspectieB[[#This Row],[Soort gebrek]],TInspectieB[[#This Row],[Trede]])</f>
        <v>1</v>
      </c>
      <c r="AC140" s="413" t="e">
        <v>#N/A</v>
      </c>
      <c r="AD140" s="413" t="e">
        <v>#N/A</v>
      </c>
      <c r="AE140" s="424">
        <v>0</v>
      </c>
    </row>
    <row r="141" spans="1:31" ht="10.5" x14ac:dyDescent="0.25">
      <c r="A141" s="337" t="str" cm="1">
        <f t="array" ref="A141">IFERROR(INDEX(TInventB[UVID],ROUNDDOWN((ROW(A132)+1)/2,0)),"")</f>
        <v/>
      </c>
      <c r="B141" s="410" t="str">
        <f>IF(TInspectieB[[#This Row],[UVID]]="","",VLOOKUP(TInspectieB[[#This Row],[UVID]],TInventB[],2,FALSE))</f>
        <v/>
      </c>
      <c r="C141" s="365" t="str">
        <f>IF(TInspectieB[[#This Row],[UVID]]="","",VLOOKUP(TInspectieB[[#This Row],[UVID]],TInventB[],11,FALSE))</f>
        <v/>
      </c>
      <c r="D141" s="411" t="str">
        <f>IF(TInspectieB[[#This Row],[UVID]]="","",VLOOKUP(TInspectieB[[#This Row],[UVID]],TInventB[],3,FALSE))</f>
        <v/>
      </c>
      <c r="E141" s="338" t="str">
        <f>IF(TInspectieB[[#This Row],[Omschrijving bouwdeel]]="","",IF(MOD(ROW()-2,2)=0,"O",IF(TRIM(TInspectieB[[#This Row],[Code Bouwdeeltype]])="312010","O","E")))</f>
        <v/>
      </c>
      <c r="F141" s="412"/>
      <c r="G141" s="413" t="str">
        <f>IF(ISBLANK(TInspectieB[[#This Row],[Soort gebrek]]),"",VLOOKUP(TInspectieB[[#This Row],[Soort gebrek]],TSoortGebrek[#Data],3,FALSE))</f>
        <v/>
      </c>
      <c r="H141" s="413" t="str">
        <f>IF(ISBLANK(TInspectieB[[#This Row],[Soort gebrek]]),"",VLOOKUP(TInspectieB[[#This Row],[Soort gebrek]],TSoortGebrek[#Data],2,FALSE))</f>
        <v/>
      </c>
      <c r="I141" s="413" t="str">
        <f>IF(TInspectieB[[#This Row],[Soort gebrek]]=0,"",VLOOKUP(TInspectieB[[#This Row],[Soort gebrek]],TSoortGebrek[],4,FALSE))</f>
        <v/>
      </c>
      <c r="J141" s="425"/>
      <c r="K141" s="415" t="str">
        <f>IF(TInspectieB[[#This Row],[Soort gebrek]]=0,"",VLOOKUP(TInspectieB[[#This Row],[Combi]],TPrio[#Data],2,FALSE))</f>
        <v/>
      </c>
      <c r="L141" s="339"/>
      <c r="M141" s="416" t="str">
        <f>IF(ISBLANK(TInspectieB[[#This Row],[Gebrek nr.]]),"",TInspectieB[[#This Row],[UVID]]&amp;"-"&amp;TInspectieB[[#This Row],[Gebrek nr.]])</f>
        <v/>
      </c>
      <c r="N141" s="417"/>
      <c r="O141" s="651"/>
      <c r="P141" s="206"/>
      <c r="Q141" s="193"/>
      <c r="R141" s="206"/>
      <c r="S141" s="206"/>
      <c r="T141" s="206"/>
      <c r="U141" s="206"/>
      <c r="V141" s="206"/>
      <c r="W141" s="419"/>
      <c r="X141" s="340"/>
      <c r="Y141" s="420"/>
      <c r="Z141" s="421" t="str">
        <f>IF(ISBLANK(TInspectieB[[#This Row],[Aantal]]),"",ROUND(TInspectieB[[#This Row],[Kengetal]]*TInspectieB[[#This Row],[Aantal]],-1))</f>
        <v/>
      </c>
      <c r="AA141" s="422" t="str">
        <f>IF(TInspectieB[[#This Row],[Vak-groep]]="","1",VLOOKUP(C141,$J$2:$K$7,2,FALSE))</f>
        <v>1</v>
      </c>
      <c r="AB141" s="423" t="str">
        <f>CONCATENATE(TInspectieB[[#This Row],[Soort gebrek]],TInspectieB[[#This Row],[Trede]])</f>
        <v>1</v>
      </c>
      <c r="AC141" s="413" t="e">
        <v>#N/A</v>
      </c>
      <c r="AD141" s="413" t="e">
        <v>#N/A</v>
      </c>
      <c r="AE141" s="424">
        <v>0</v>
      </c>
    </row>
    <row r="142" spans="1:31" ht="10.5" x14ac:dyDescent="0.25">
      <c r="A142" s="337" t="str" cm="1">
        <f t="array" ref="A142">IFERROR(INDEX(TInventB[UVID],ROUNDDOWN((ROW(A133)+1)/2,0)),"")</f>
        <v/>
      </c>
      <c r="B142" s="410" t="str">
        <f>IF(TInspectieB[[#This Row],[UVID]]="","",VLOOKUP(TInspectieB[[#This Row],[UVID]],TInventB[],2,FALSE))</f>
        <v/>
      </c>
      <c r="C142" s="365" t="str">
        <f>IF(TInspectieB[[#This Row],[UVID]]="","",VLOOKUP(TInspectieB[[#This Row],[UVID]],TInventB[],11,FALSE))</f>
        <v/>
      </c>
      <c r="D142" s="411" t="str">
        <f>IF(TInspectieB[[#This Row],[UVID]]="","",VLOOKUP(TInspectieB[[#This Row],[UVID]],TInventB[],3,FALSE))</f>
        <v/>
      </c>
      <c r="E142" s="338" t="str">
        <f>IF(TInspectieB[[#This Row],[Omschrijving bouwdeel]]="","",IF(MOD(ROW()-2,2)=0,"O",IF(TRIM(TInspectieB[[#This Row],[Code Bouwdeeltype]])="312010","O","E")))</f>
        <v/>
      </c>
      <c r="F142" s="412"/>
      <c r="G142" s="413" t="str">
        <f>IF(ISBLANK(TInspectieB[[#This Row],[Soort gebrek]]),"",VLOOKUP(TInspectieB[[#This Row],[Soort gebrek]],TSoortGebrek[#Data],3,FALSE))</f>
        <v/>
      </c>
      <c r="H142" s="413" t="str">
        <f>IF(ISBLANK(TInspectieB[[#This Row],[Soort gebrek]]),"",VLOOKUP(TInspectieB[[#This Row],[Soort gebrek]],TSoortGebrek[#Data],2,FALSE))</f>
        <v/>
      </c>
      <c r="I142" s="413" t="str">
        <f>IF(TInspectieB[[#This Row],[Soort gebrek]]=0,"",VLOOKUP(TInspectieB[[#This Row],[Soort gebrek]],TSoortGebrek[],4,FALSE))</f>
        <v/>
      </c>
      <c r="J142" s="425"/>
      <c r="K142" s="415" t="str">
        <f>IF(TInspectieB[[#This Row],[Soort gebrek]]=0,"",VLOOKUP(TInspectieB[[#This Row],[Combi]],TPrio[#Data],2,FALSE))</f>
        <v/>
      </c>
      <c r="L142" s="339"/>
      <c r="M142" s="416" t="str">
        <f>IF(ISBLANK(TInspectieB[[#This Row],[Gebrek nr.]]),"",TInspectieB[[#This Row],[UVID]]&amp;"-"&amp;TInspectieB[[#This Row],[Gebrek nr.]])</f>
        <v/>
      </c>
      <c r="N142" s="417"/>
      <c r="O142" s="651"/>
      <c r="P142" s="206"/>
      <c r="Q142" s="193"/>
      <c r="R142" s="206"/>
      <c r="S142" s="206"/>
      <c r="T142" s="206"/>
      <c r="U142" s="206"/>
      <c r="V142" s="206"/>
      <c r="W142" s="419"/>
      <c r="X142" s="340"/>
      <c r="Y142" s="420"/>
      <c r="Z142" s="421" t="str">
        <f>IF(ISBLANK(TInspectieB[[#This Row],[Aantal]]),"",ROUND(TInspectieB[[#This Row],[Kengetal]]*TInspectieB[[#This Row],[Aantal]],-1))</f>
        <v/>
      </c>
      <c r="AA142" s="422" t="str">
        <f>IF(TInspectieB[[#This Row],[Vak-groep]]="","1",VLOOKUP(C142,$J$2:$K$7,2,FALSE))</f>
        <v>1</v>
      </c>
      <c r="AB142" s="423" t="str">
        <f>CONCATENATE(TInspectieB[[#This Row],[Soort gebrek]],TInspectieB[[#This Row],[Trede]])</f>
        <v>1</v>
      </c>
      <c r="AC142" s="413" t="e">
        <v>#N/A</v>
      </c>
      <c r="AD142" s="413" t="e">
        <v>#N/A</v>
      </c>
      <c r="AE142" s="424">
        <v>0</v>
      </c>
    </row>
    <row r="143" spans="1:31" ht="10.5" x14ac:dyDescent="0.25">
      <c r="A143" s="337" t="str" cm="1">
        <f t="array" ref="A143">IFERROR(INDEX(TInventB[UVID],ROUNDDOWN((ROW(A134)+1)/2,0)),"")</f>
        <v/>
      </c>
      <c r="B143" s="410" t="str">
        <f>IF(TInspectieB[[#This Row],[UVID]]="","",VLOOKUP(TInspectieB[[#This Row],[UVID]],TInventB[],2,FALSE))</f>
        <v/>
      </c>
      <c r="C143" s="365" t="str">
        <f>IF(TInspectieB[[#This Row],[UVID]]="","",VLOOKUP(TInspectieB[[#This Row],[UVID]],TInventB[],11,FALSE))</f>
        <v/>
      </c>
      <c r="D143" s="411" t="str">
        <f>IF(TInspectieB[[#This Row],[UVID]]="","",VLOOKUP(TInspectieB[[#This Row],[UVID]],TInventB[],3,FALSE))</f>
        <v/>
      </c>
      <c r="E143" s="338" t="str">
        <f>IF(TInspectieB[[#This Row],[Omschrijving bouwdeel]]="","",IF(MOD(ROW()-2,2)=0,"O",IF(TRIM(TInspectieB[[#This Row],[Code Bouwdeeltype]])="312010","O","E")))</f>
        <v/>
      </c>
      <c r="F143" s="412"/>
      <c r="G143" s="413" t="str">
        <f>IF(ISBLANK(TInspectieB[[#This Row],[Soort gebrek]]),"",VLOOKUP(TInspectieB[[#This Row],[Soort gebrek]],TSoortGebrek[#Data],3,FALSE))</f>
        <v/>
      </c>
      <c r="H143" s="413" t="str">
        <f>IF(ISBLANK(TInspectieB[[#This Row],[Soort gebrek]]),"",VLOOKUP(TInspectieB[[#This Row],[Soort gebrek]],TSoortGebrek[#Data],2,FALSE))</f>
        <v/>
      </c>
      <c r="I143" s="413" t="str">
        <f>IF(TInspectieB[[#This Row],[Soort gebrek]]=0,"",VLOOKUP(TInspectieB[[#This Row],[Soort gebrek]],TSoortGebrek[],4,FALSE))</f>
        <v/>
      </c>
      <c r="J143" s="425"/>
      <c r="K143" s="415" t="str">
        <f>IF(TInspectieB[[#This Row],[Soort gebrek]]=0,"",VLOOKUP(TInspectieB[[#This Row],[Combi]],TPrio[#Data],2,FALSE))</f>
        <v/>
      </c>
      <c r="L143" s="339"/>
      <c r="M143" s="416" t="str">
        <f>IF(ISBLANK(TInspectieB[[#This Row],[Gebrek nr.]]),"",TInspectieB[[#This Row],[UVID]]&amp;"-"&amp;TInspectieB[[#This Row],[Gebrek nr.]])</f>
        <v/>
      </c>
      <c r="N143" s="417"/>
      <c r="O143" s="651"/>
      <c r="P143" s="206"/>
      <c r="Q143" s="193"/>
      <c r="R143" s="206"/>
      <c r="S143" s="206"/>
      <c r="T143" s="206"/>
      <c r="U143" s="206"/>
      <c r="V143" s="206"/>
      <c r="W143" s="419"/>
      <c r="X143" s="340"/>
      <c r="Y143" s="420"/>
      <c r="Z143" s="421" t="str">
        <f>IF(ISBLANK(TInspectieB[[#This Row],[Aantal]]),"",ROUND(TInspectieB[[#This Row],[Kengetal]]*TInspectieB[[#This Row],[Aantal]],-1))</f>
        <v/>
      </c>
      <c r="AA143" s="422" t="str">
        <f>IF(TInspectieB[[#This Row],[Vak-groep]]="","1",VLOOKUP(C143,$J$2:$K$7,2,FALSE))</f>
        <v>1</v>
      </c>
      <c r="AB143" s="423" t="str">
        <f>CONCATENATE(TInspectieB[[#This Row],[Soort gebrek]],TInspectieB[[#This Row],[Trede]])</f>
        <v>1</v>
      </c>
      <c r="AC143" s="413" t="e">
        <v>#N/A</v>
      </c>
      <c r="AD143" s="413" t="e">
        <v>#N/A</v>
      </c>
      <c r="AE143" s="424">
        <v>0</v>
      </c>
    </row>
    <row r="144" spans="1:31" ht="10.5" x14ac:dyDescent="0.25">
      <c r="A144" s="337" t="str" cm="1">
        <f t="array" ref="A144">IFERROR(INDEX(TInventB[UVID],ROUNDDOWN((ROW(A135)+1)/2,0)),"")</f>
        <v/>
      </c>
      <c r="B144" s="410" t="str">
        <f>IF(TInspectieB[[#This Row],[UVID]]="","",VLOOKUP(TInspectieB[[#This Row],[UVID]],TInventB[],2,FALSE))</f>
        <v/>
      </c>
      <c r="C144" s="365" t="str">
        <f>IF(TInspectieB[[#This Row],[UVID]]="","",VLOOKUP(TInspectieB[[#This Row],[UVID]],TInventB[],11,FALSE))</f>
        <v/>
      </c>
      <c r="D144" s="411" t="str">
        <f>IF(TInspectieB[[#This Row],[UVID]]="","",VLOOKUP(TInspectieB[[#This Row],[UVID]],TInventB[],3,FALSE))</f>
        <v/>
      </c>
      <c r="E144" s="338" t="str">
        <f>IF(TInspectieB[[#This Row],[Omschrijving bouwdeel]]="","",IF(MOD(ROW()-2,2)=0,"O",IF(TRIM(TInspectieB[[#This Row],[Code Bouwdeeltype]])="312010","O","E")))</f>
        <v/>
      </c>
      <c r="F144" s="412"/>
      <c r="G144" s="413" t="str">
        <f>IF(ISBLANK(TInspectieB[[#This Row],[Soort gebrek]]),"",VLOOKUP(TInspectieB[[#This Row],[Soort gebrek]],TSoortGebrek[#Data],3,FALSE))</f>
        <v/>
      </c>
      <c r="H144" s="413" t="str">
        <f>IF(ISBLANK(TInspectieB[[#This Row],[Soort gebrek]]),"",VLOOKUP(TInspectieB[[#This Row],[Soort gebrek]],TSoortGebrek[#Data],2,FALSE))</f>
        <v/>
      </c>
      <c r="I144" s="413" t="str">
        <f>IF(TInspectieB[[#This Row],[Soort gebrek]]=0,"",VLOOKUP(TInspectieB[[#This Row],[Soort gebrek]],TSoortGebrek[],4,FALSE))</f>
        <v/>
      </c>
      <c r="J144" s="425"/>
      <c r="K144" s="415" t="str">
        <f>IF(TInspectieB[[#This Row],[Soort gebrek]]=0,"",VLOOKUP(TInspectieB[[#This Row],[Combi]],TPrio[#Data],2,FALSE))</f>
        <v/>
      </c>
      <c r="L144" s="339"/>
      <c r="M144" s="416" t="str">
        <f>IF(ISBLANK(TInspectieB[[#This Row],[Gebrek nr.]]),"",TInspectieB[[#This Row],[UVID]]&amp;"-"&amp;TInspectieB[[#This Row],[Gebrek nr.]])</f>
        <v/>
      </c>
      <c r="N144" s="417"/>
      <c r="O144" s="651"/>
      <c r="P144" s="206"/>
      <c r="Q144" s="193"/>
      <c r="R144" s="206"/>
      <c r="S144" s="206"/>
      <c r="T144" s="206"/>
      <c r="U144" s="206"/>
      <c r="V144" s="206"/>
      <c r="W144" s="419"/>
      <c r="X144" s="340"/>
      <c r="Y144" s="420"/>
      <c r="Z144" s="421" t="str">
        <f>IF(ISBLANK(TInspectieB[[#This Row],[Aantal]]),"",ROUND(TInspectieB[[#This Row],[Kengetal]]*TInspectieB[[#This Row],[Aantal]],-1))</f>
        <v/>
      </c>
      <c r="AA144" s="422" t="str">
        <f>IF(TInspectieB[[#This Row],[Vak-groep]]="","1",VLOOKUP(C144,$J$2:$K$7,2,FALSE))</f>
        <v>1</v>
      </c>
      <c r="AB144" s="423" t="str">
        <f>CONCATENATE(TInspectieB[[#This Row],[Soort gebrek]],TInspectieB[[#This Row],[Trede]])</f>
        <v>1</v>
      </c>
      <c r="AC144" s="413" t="e">
        <v>#N/A</v>
      </c>
      <c r="AD144" s="413" t="e">
        <v>#N/A</v>
      </c>
      <c r="AE144" s="424">
        <v>0</v>
      </c>
    </row>
    <row r="145" spans="1:31" ht="10.5" x14ac:dyDescent="0.25">
      <c r="A145" s="337" t="str" cm="1">
        <f t="array" ref="A145">IFERROR(INDEX(TInventB[UVID],ROUNDDOWN((ROW(A136)+1)/2,0)),"")</f>
        <v/>
      </c>
      <c r="B145" s="410" t="str">
        <f>IF(TInspectieB[[#This Row],[UVID]]="","",VLOOKUP(TInspectieB[[#This Row],[UVID]],TInventB[],2,FALSE))</f>
        <v/>
      </c>
      <c r="C145" s="365" t="str">
        <f>IF(TInspectieB[[#This Row],[UVID]]="","",VLOOKUP(TInspectieB[[#This Row],[UVID]],TInventB[],11,FALSE))</f>
        <v/>
      </c>
      <c r="D145" s="411" t="str">
        <f>IF(TInspectieB[[#This Row],[UVID]]="","",VLOOKUP(TInspectieB[[#This Row],[UVID]],TInventB[],3,FALSE))</f>
        <v/>
      </c>
      <c r="E145" s="338" t="str">
        <f>IF(TInspectieB[[#This Row],[Omschrijving bouwdeel]]="","",IF(MOD(ROW()-2,2)=0,"O",IF(TRIM(TInspectieB[[#This Row],[Code Bouwdeeltype]])="312010","O","E")))</f>
        <v/>
      </c>
      <c r="F145" s="412"/>
      <c r="G145" s="413" t="str">
        <f>IF(ISBLANK(TInspectieB[[#This Row],[Soort gebrek]]),"",VLOOKUP(TInspectieB[[#This Row],[Soort gebrek]],TSoortGebrek[#Data],3,FALSE))</f>
        <v/>
      </c>
      <c r="H145" s="413" t="str">
        <f>IF(ISBLANK(TInspectieB[[#This Row],[Soort gebrek]]),"",VLOOKUP(TInspectieB[[#This Row],[Soort gebrek]],TSoortGebrek[#Data],2,FALSE))</f>
        <v/>
      </c>
      <c r="I145" s="413" t="str">
        <f>IF(TInspectieB[[#This Row],[Soort gebrek]]=0,"",VLOOKUP(TInspectieB[[#This Row],[Soort gebrek]],TSoortGebrek[],4,FALSE))</f>
        <v/>
      </c>
      <c r="J145" s="425"/>
      <c r="K145" s="415" t="str">
        <f>IF(TInspectieB[[#This Row],[Soort gebrek]]=0,"",VLOOKUP(TInspectieB[[#This Row],[Combi]],TPrio[#Data],2,FALSE))</f>
        <v/>
      </c>
      <c r="L145" s="339"/>
      <c r="M145" s="416" t="str">
        <f>IF(ISBLANK(TInspectieB[[#This Row],[Gebrek nr.]]),"",TInspectieB[[#This Row],[UVID]]&amp;"-"&amp;TInspectieB[[#This Row],[Gebrek nr.]])</f>
        <v/>
      </c>
      <c r="N145" s="417"/>
      <c r="O145" s="651"/>
      <c r="P145" s="206"/>
      <c r="Q145" s="193"/>
      <c r="R145" s="206"/>
      <c r="S145" s="206"/>
      <c r="T145" s="206"/>
      <c r="U145" s="206"/>
      <c r="V145" s="206"/>
      <c r="W145" s="419"/>
      <c r="X145" s="340"/>
      <c r="Y145" s="420"/>
      <c r="Z145" s="421" t="str">
        <f>IF(ISBLANK(TInspectieB[[#This Row],[Aantal]]),"",ROUND(TInspectieB[[#This Row],[Kengetal]]*TInspectieB[[#This Row],[Aantal]],-1))</f>
        <v/>
      </c>
      <c r="AA145" s="422" t="str">
        <f>IF(TInspectieB[[#This Row],[Vak-groep]]="","1",VLOOKUP(C145,$J$2:$K$7,2,FALSE))</f>
        <v>1</v>
      </c>
      <c r="AB145" s="423" t="str">
        <f>CONCATENATE(TInspectieB[[#This Row],[Soort gebrek]],TInspectieB[[#This Row],[Trede]])</f>
        <v>1</v>
      </c>
      <c r="AC145" s="413" t="e">
        <v>#N/A</v>
      </c>
      <c r="AD145" s="413" t="e">
        <v>#N/A</v>
      </c>
      <c r="AE145" s="424">
        <v>0</v>
      </c>
    </row>
    <row r="146" spans="1:31" ht="10.5" x14ac:dyDescent="0.25">
      <c r="A146" s="337" t="str" cm="1">
        <f t="array" ref="A146">IFERROR(INDEX(TInventB[UVID],ROUNDDOWN((ROW(A137)+1)/2,0)),"")</f>
        <v/>
      </c>
      <c r="B146" s="410" t="str">
        <f>IF(TInspectieB[[#This Row],[UVID]]="","",VLOOKUP(TInspectieB[[#This Row],[UVID]],TInventB[],2,FALSE))</f>
        <v/>
      </c>
      <c r="C146" s="365" t="str">
        <f>IF(TInspectieB[[#This Row],[UVID]]="","",VLOOKUP(TInspectieB[[#This Row],[UVID]],TInventB[],11,FALSE))</f>
        <v/>
      </c>
      <c r="D146" s="411" t="str">
        <f>IF(TInspectieB[[#This Row],[UVID]]="","",VLOOKUP(TInspectieB[[#This Row],[UVID]],TInventB[],3,FALSE))</f>
        <v/>
      </c>
      <c r="E146" s="338" t="str">
        <f>IF(TInspectieB[[#This Row],[Omschrijving bouwdeel]]="","",IF(MOD(ROW()-2,2)=0,"O",IF(TRIM(TInspectieB[[#This Row],[Code Bouwdeeltype]])="312010","O","E")))</f>
        <v/>
      </c>
      <c r="F146" s="412"/>
      <c r="G146" s="413" t="str">
        <f>IF(ISBLANK(TInspectieB[[#This Row],[Soort gebrek]]),"",VLOOKUP(TInspectieB[[#This Row],[Soort gebrek]],TSoortGebrek[#Data],3,FALSE))</f>
        <v/>
      </c>
      <c r="H146" s="413" t="str">
        <f>IF(ISBLANK(TInspectieB[[#This Row],[Soort gebrek]]),"",VLOOKUP(TInspectieB[[#This Row],[Soort gebrek]],TSoortGebrek[#Data],2,FALSE))</f>
        <v/>
      </c>
      <c r="I146" s="413" t="str">
        <f>IF(TInspectieB[[#This Row],[Soort gebrek]]=0,"",VLOOKUP(TInspectieB[[#This Row],[Soort gebrek]],TSoortGebrek[],4,FALSE))</f>
        <v/>
      </c>
      <c r="J146" s="425"/>
      <c r="K146" s="415" t="str">
        <f>IF(TInspectieB[[#This Row],[Soort gebrek]]=0,"",VLOOKUP(TInspectieB[[#This Row],[Combi]],TPrio[#Data],2,FALSE))</f>
        <v/>
      </c>
      <c r="L146" s="339"/>
      <c r="M146" s="416" t="str">
        <f>IF(ISBLANK(TInspectieB[[#This Row],[Gebrek nr.]]),"",TInspectieB[[#This Row],[UVID]]&amp;"-"&amp;TInspectieB[[#This Row],[Gebrek nr.]])</f>
        <v/>
      </c>
      <c r="N146" s="417"/>
      <c r="O146" s="651"/>
      <c r="P146" s="206"/>
      <c r="Q146" s="193"/>
      <c r="R146" s="206"/>
      <c r="S146" s="206"/>
      <c r="T146" s="206"/>
      <c r="U146" s="206"/>
      <c r="V146" s="206"/>
      <c r="W146" s="419"/>
      <c r="X146" s="340"/>
      <c r="Y146" s="420"/>
      <c r="Z146" s="421" t="str">
        <f>IF(ISBLANK(TInspectieB[[#This Row],[Aantal]]),"",ROUND(TInspectieB[[#This Row],[Kengetal]]*TInspectieB[[#This Row],[Aantal]],-1))</f>
        <v/>
      </c>
      <c r="AA146" s="422" t="str">
        <f>IF(TInspectieB[[#This Row],[Vak-groep]]="","1",VLOOKUP(C146,$J$2:$K$7,2,FALSE))</f>
        <v>1</v>
      </c>
      <c r="AB146" s="423" t="str">
        <f>CONCATENATE(TInspectieB[[#This Row],[Soort gebrek]],TInspectieB[[#This Row],[Trede]])</f>
        <v>1</v>
      </c>
      <c r="AC146" s="413" t="e">
        <v>#N/A</v>
      </c>
      <c r="AD146" s="413" t="e">
        <v>#N/A</v>
      </c>
      <c r="AE146" s="424">
        <v>0</v>
      </c>
    </row>
    <row r="147" spans="1:31" ht="10.5" x14ac:dyDescent="0.25">
      <c r="A147" s="337" t="str" cm="1">
        <f t="array" ref="A147">IFERROR(INDEX(TInventB[UVID],ROUNDDOWN((ROW(A138)+1)/2,0)),"")</f>
        <v/>
      </c>
      <c r="B147" s="410" t="str">
        <f>IF(TInspectieB[[#This Row],[UVID]]="","",VLOOKUP(TInspectieB[[#This Row],[UVID]],TInventB[],2,FALSE))</f>
        <v/>
      </c>
      <c r="C147" s="365" t="str">
        <f>IF(TInspectieB[[#This Row],[UVID]]="","",VLOOKUP(TInspectieB[[#This Row],[UVID]],TInventB[],11,FALSE))</f>
        <v/>
      </c>
      <c r="D147" s="411" t="str">
        <f>IF(TInspectieB[[#This Row],[UVID]]="","",VLOOKUP(TInspectieB[[#This Row],[UVID]],TInventB[],3,FALSE))</f>
        <v/>
      </c>
      <c r="E147" s="338" t="str">
        <f>IF(TInspectieB[[#This Row],[Omschrijving bouwdeel]]="","",IF(MOD(ROW()-2,2)=0,"O",IF(TRIM(TInspectieB[[#This Row],[Code Bouwdeeltype]])="312010","O","E")))</f>
        <v/>
      </c>
      <c r="F147" s="412"/>
      <c r="G147" s="413" t="str">
        <f>IF(ISBLANK(TInspectieB[[#This Row],[Soort gebrek]]),"",VLOOKUP(TInspectieB[[#This Row],[Soort gebrek]],TSoortGebrek[#Data],3,FALSE))</f>
        <v/>
      </c>
      <c r="H147" s="413" t="str">
        <f>IF(ISBLANK(TInspectieB[[#This Row],[Soort gebrek]]),"",VLOOKUP(TInspectieB[[#This Row],[Soort gebrek]],TSoortGebrek[#Data],2,FALSE))</f>
        <v/>
      </c>
      <c r="I147" s="413" t="str">
        <f>IF(TInspectieB[[#This Row],[Soort gebrek]]=0,"",VLOOKUP(TInspectieB[[#This Row],[Soort gebrek]],TSoortGebrek[],4,FALSE))</f>
        <v/>
      </c>
      <c r="J147" s="425"/>
      <c r="K147" s="415" t="str">
        <f>IF(TInspectieB[[#This Row],[Soort gebrek]]=0,"",VLOOKUP(TInspectieB[[#This Row],[Combi]],TPrio[#Data],2,FALSE))</f>
        <v/>
      </c>
      <c r="L147" s="339"/>
      <c r="M147" s="416" t="str">
        <f>IF(ISBLANK(TInspectieB[[#This Row],[Gebrek nr.]]),"",TInspectieB[[#This Row],[UVID]]&amp;"-"&amp;TInspectieB[[#This Row],[Gebrek nr.]])</f>
        <v/>
      </c>
      <c r="N147" s="417"/>
      <c r="O147" s="651"/>
      <c r="P147" s="206"/>
      <c r="Q147" s="193"/>
      <c r="R147" s="206"/>
      <c r="S147" s="206"/>
      <c r="T147" s="206"/>
      <c r="U147" s="206"/>
      <c r="V147" s="206"/>
      <c r="W147" s="419"/>
      <c r="X147" s="340"/>
      <c r="Y147" s="420"/>
      <c r="Z147" s="421" t="str">
        <f>IF(ISBLANK(TInspectieB[[#This Row],[Aantal]]),"",ROUND(TInspectieB[[#This Row],[Kengetal]]*TInspectieB[[#This Row],[Aantal]],-1))</f>
        <v/>
      </c>
      <c r="AA147" s="422" t="str">
        <f>IF(TInspectieB[[#This Row],[Vak-groep]]="","1",VLOOKUP(C147,$J$2:$K$7,2,FALSE))</f>
        <v>1</v>
      </c>
      <c r="AB147" s="423" t="str">
        <f>CONCATENATE(TInspectieB[[#This Row],[Soort gebrek]],TInspectieB[[#This Row],[Trede]])</f>
        <v>1</v>
      </c>
      <c r="AC147" s="413" t="e">
        <v>#N/A</v>
      </c>
      <c r="AD147" s="413" t="e">
        <v>#N/A</v>
      </c>
      <c r="AE147" s="424">
        <v>0</v>
      </c>
    </row>
    <row r="148" spans="1:31" ht="10.5" x14ac:dyDescent="0.25">
      <c r="A148" s="337" t="str" cm="1">
        <f t="array" ref="A148">IFERROR(INDEX(TInventB[UVID],ROUNDDOWN((ROW(A139)+1)/2,0)),"")</f>
        <v/>
      </c>
      <c r="B148" s="410" t="str">
        <f>IF(TInspectieB[[#This Row],[UVID]]="","",VLOOKUP(TInspectieB[[#This Row],[UVID]],TInventB[],2,FALSE))</f>
        <v/>
      </c>
      <c r="C148" s="365" t="str">
        <f>IF(TInspectieB[[#This Row],[UVID]]="","",VLOOKUP(TInspectieB[[#This Row],[UVID]],TInventB[],11,FALSE))</f>
        <v/>
      </c>
      <c r="D148" s="411" t="str">
        <f>IF(TInspectieB[[#This Row],[UVID]]="","",VLOOKUP(TInspectieB[[#This Row],[UVID]],TInventB[],3,FALSE))</f>
        <v/>
      </c>
      <c r="E148" s="338" t="str">
        <f>IF(TInspectieB[[#This Row],[Omschrijving bouwdeel]]="","",IF(MOD(ROW()-2,2)=0,"O",IF(TRIM(TInspectieB[[#This Row],[Code Bouwdeeltype]])="312010","O","E")))</f>
        <v/>
      </c>
      <c r="F148" s="412"/>
      <c r="G148" s="413" t="str">
        <f>IF(ISBLANK(TInspectieB[[#This Row],[Soort gebrek]]),"",VLOOKUP(TInspectieB[[#This Row],[Soort gebrek]],TSoortGebrek[#Data],3,FALSE))</f>
        <v/>
      </c>
      <c r="H148" s="413" t="str">
        <f>IF(ISBLANK(TInspectieB[[#This Row],[Soort gebrek]]),"",VLOOKUP(TInspectieB[[#This Row],[Soort gebrek]],TSoortGebrek[#Data],2,FALSE))</f>
        <v/>
      </c>
      <c r="I148" s="413" t="str">
        <f>IF(TInspectieB[[#This Row],[Soort gebrek]]=0,"",VLOOKUP(TInspectieB[[#This Row],[Soort gebrek]],TSoortGebrek[],4,FALSE))</f>
        <v/>
      </c>
      <c r="J148" s="425"/>
      <c r="K148" s="415" t="str">
        <f>IF(TInspectieB[[#This Row],[Soort gebrek]]=0,"",VLOOKUP(TInspectieB[[#This Row],[Combi]],TPrio[#Data],2,FALSE))</f>
        <v/>
      </c>
      <c r="L148" s="339"/>
      <c r="M148" s="416" t="str">
        <f>IF(ISBLANK(TInspectieB[[#This Row],[Gebrek nr.]]),"",TInspectieB[[#This Row],[UVID]]&amp;"-"&amp;TInspectieB[[#This Row],[Gebrek nr.]])</f>
        <v/>
      </c>
      <c r="N148" s="417"/>
      <c r="O148" s="651"/>
      <c r="P148" s="206"/>
      <c r="Q148" s="193"/>
      <c r="R148" s="206"/>
      <c r="S148" s="206"/>
      <c r="T148" s="206"/>
      <c r="U148" s="206"/>
      <c r="V148" s="206"/>
      <c r="W148" s="419"/>
      <c r="X148" s="340"/>
      <c r="Y148" s="420"/>
      <c r="Z148" s="421" t="str">
        <f>IF(ISBLANK(TInspectieB[[#This Row],[Aantal]]),"",ROUND(TInspectieB[[#This Row],[Kengetal]]*TInspectieB[[#This Row],[Aantal]],-1))</f>
        <v/>
      </c>
      <c r="AA148" s="422" t="str">
        <f>IF(TInspectieB[[#This Row],[Vak-groep]]="","1",VLOOKUP(C148,$J$2:$K$7,2,FALSE))</f>
        <v>1</v>
      </c>
      <c r="AB148" s="423" t="str">
        <f>CONCATENATE(TInspectieB[[#This Row],[Soort gebrek]],TInspectieB[[#This Row],[Trede]])</f>
        <v>1</v>
      </c>
      <c r="AC148" s="413" t="e">
        <v>#N/A</v>
      </c>
      <c r="AD148" s="413" t="e">
        <v>#N/A</v>
      </c>
      <c r="AE148" s="424">
        <v>0</v>
      </c>
    </row>
    <row r="149" spans="1:31" ht="10.5" x14ac:dyDescent="0.25">
      <c r="A149" s="337" t="str" cm="1">
        <f t="array" ref="A149">IFERROR(INDEX(TInventB[UVID],ROUNDDOWN((ROW(A140)+1)/2,0)),"")</f>
        <v/>
      </c>
      <c r="B149" s="410" t="str">
        <f>IF(TInspectieB[[#This Row],[UVID]]="","",VLOOKUP(TInspectieB[[#This Row],[UVID]],TInventB[],2,FALSE))</f>
        <v/>
      </c>
      <c r="C149" s="365" t="str">
        <f>IF(TInspectieB[[#This Row],[UVID]]="","",VLOOKUP(TInspectieB[[#This Row],[UVID]],TInventB[],11,FALSE))</f>
        <v/>
      </c>
      <c r="D149" s="411" t="str">
        <f>IF(TInspectieB[[#This Row],[UVID]]="","",VLOOKUP(TInspectieB[[#This Row],[UVID]],TInventB[],3,FALSE))</f>
        <v/>
      </c>
      <c r="E149" s="338" t="str">
        <f>IF(TInspectieB[[#This Row],[Omschrijving bouwdeel]]="","",IF(MOD(ROW()-2,2)=0,"O",IF(TRIM(TInspectieB[[#This Row],[Code Bouwdeeltype]])="312010","O","E")))</f>
        <v/>
      </c>
      <c r="F149" s="412"/>
      <c r="G149" s="413" t="str">
        <f>IF(ISBLANK(TInspectieB[[#This Row],[Soort gebrek]]),"",VLOOKUP(TInspectieB[[#This Row],[Soort gebrek]],TSoortGebrek[#Data],3,FALSE))</f>
        <v/>
      </c>
      <c r="H149" s="413" t="str">
        <f>IF(ISBLANK(TInspectieB[[#This Row],[Soort gebrek]]),"",VLOOKUP(TInspectieB[[#This Row],[Soort gebrek]],TSoortGebrek[#Data],2,FALSE))</f>
        <v/>
      </c>
      <c r="I149" s="413" t="str">
        <f>IF(TInspectieB[[#This Row],[Soort gebrek]]=0,"",VLOOKUP(TInspectieB[[#This Row],[Soort gebrek]],TSoortGebrek[],4,FALSE))</f>
        <v/>
      </c>
      <c r="J149" s="425"/>
      <c r="K149" s="415" t="str">
        <f>IF(TInspectieB[[#This Row],[Soort gebrek]]=0,"",VLOOKUP(TInspectieB[[#This Row],[Combi]],TPrio[#Data],2,FALSE))</f>
        <v/>
      </c>
      <c r="L149" s="339"/>
      <c r="M149" s="416" t="str">
        <f>IF(ISBLANK(TInspectieB[[#This Row],[Gebrek nr.]]),"",TInspectieB[[#This Row],[UVID]]&amp;"-"&amp;TInspectieB[[#This Row],[Gebrek nr.]])</f>
        <v/>
      </c>
      <c r="N149" s="417"/>
      <c r="O149" s="651"/>
      <c r="P149" s="206"/>
      <c r="Q149" s="193"/>
      <c r="R149" s="206"/>
      <c r="S149" s="206"/>
      <c r="T149" s="206"/>
      <c r="U149" s="206"/>
      <c r="V149" s="206"/>
      <c r="W149" s="419"/>
      <c r="X149" s="340"/>
      <c r="Y149" s="420"/>
      <c r="Z149" s="421" t="str">
        <f>IF(ISBLANK(TInspectieB[[#This Row],[Aantal]]),"",ROUND(TInspectieB[[#This Row],[Kengetal]]*TInspectieB[[#This Row],[Aantal]],-1))</f>
        <v/>
      </c>
      <c r="AA149" s="422" t="str">
        <f>IF(TInspectieB[[#This Row],[Vak-groep]]="","1",VLOOKUP(C149,$J$2:$K$7,2,FALSE))</f>
        <v>1</v>
      </c>
      <c r="AB149" s="423" t="str">
        <f>CONCATENATE(TInspectieB[[#This Row],[Soort gebrek]],TInspectieB[[#This Row],[Trede]])</f>
        <v>1</v>
      </c>
      <c r="AC149" s="413" t="e">
        <v>#N/A</v>
      </c>
      <c r="AD149" s="413" t="e">
        <v>#N/A</v>
      </c>
      <c r="AE149" s="424">
        <v>0</v>
      </c>
    </row>
    <row r="150" spans="1:31" ht="10.5" x14ac:dyDescent="0.25">
      <c r="A150" s="337" t="str" cm="1">
        <f t="array" ref="A150">IFERROR(INDEX(TInventB[UVID],ROUNDDOWN((ROW(A141)+1)/2,0)),"")</f>
        <v/>
      </c>
      <c r="B150" s="410" t="str">
        <f>IF(TInspectieB[[#This Row],[UVID]]="","",VLOOKUP(TInspectieB[[#This Row],[UVID]],TInventB[],2,FALSE))</f>
        <v/>
      </c>
      <c r="C150" s="365" t="str">
        <f>IF(TInspectieB[[#This Row],[UVID]]="","",VLOOKUP(TInspectieB[[#This Row],[UVID]],TInventB[],11,FALSE))</f>
        <v/>
      </c>
      <c r="D150" s="411" t="str">
        <f>IF(TInspectieB[[#This Row],[UVID]]="","",VLOOKUP(TInspectieB[[#This Row],[UVID]],TInventB[],3,FALSE))</f>
        <v/>
      </c>
      <c r="E150" s="338" t="str">
        <f>IF(TInspectieB[[#This Row],[Omschrijving bouwdeel]]="","",IF(MOD(ROW()-2,2)=0,"O",IF(TRIM(TInspectieB[[#This Row],[Code Bouwdeeltype]])="312010","O","E")))</f>
        <v/>
      </c>
      <c r="F150" s="412"/>
      <c r="G150" s="413" t="str">
        <f>IF(ISBLANK(TInspectieB[[#This Row],[Soort gebrek]]),"",VLOOKUP(TInspectieB[[#This Row],[Soort gebrek]],TSoortGebrek[#Data],3,FALSE))</f>
        <v/>
      </c>
      <c r="H150" s="413" t="str">
        <f>IF(ISBLANK(TInspectieB[[#This Row],[Soort gebrek]]),"",VLOOKUP(TInspectieB[[#This Row],[Soort gebrek]],TSoortGebrek[#Data],2,FALSE))</f>
        <v/>
      </c>
      <c r="I150" s="413" t="str">
        <f>IF(TInspectieB[[#This Row],[Soort gebrek]]=0,"",VLOOKUP(TInspectieB[[#This Row],[Soort gebrek]],TSoortGebrek[],4,FALSE))</f>
        <v/>
      </c>
      <c r="J150" s="425"/>
      <c r="K150" s="415" t="str">
        <f>IF(TInspectieB[[#This Row],[Soort gebrek]]=0,"",VLOOKUP(TInspectieB[[#This Row],[Combi]],TPrio[#Data],2,FALSE))</f>
        <v/>
      </c>
      <c r="L150" s="339"/>
      <c r="M150" s="416" t="str">
        <f>IF(ISBLANK(TInspectieB[[#This Row],[Gebrek nr.]]),"",TInspectieB[[#This Row],[UVID]]&amp;"-"&amp;TInspectieB[[#This Row],[Gebrek nr.]])</f>
        <v/>
      </c>
      <c r="N150" s="417"/>
      <c r="O150" s="651"/>
      <c r="P150" s="206"/>
      <c r="Q150" s="193"/>
      <c r="R150" s="206"/>
      <c r="S150" s="206"/>
      <c r="T150" s="206"/>
      <c r="U150" s="206"/>
      <c r="V150" s="206"/>
      <c r="W150" s="419"/>
      <c r="X150" s="340"/>
      <c r="Y150" s="420"/>
      <c r="Z150" s="421" t="str">
        <f>IF(ISBLANK(TInspectieB[[#This Row],[Aantal]]),"",ROUND(TInspectieB[[#This Row],[Kengetal]]*TInspectieB[[#This Row],[Aantal]],-1))</f>
        <v/>
      </c>
      <c r="AA150" s="422" t="str">
        <f>IF(TInspectieB[[#This Row],[Vak-groep]]="","1",VLOOKUP(C150,$J$2:$K$7,2,FALSE))</f>
        <v>1</v>
      </c>
      <c r="AB150" s="423" t="str">
        <f>CONCATENATE(TInspectieB[[#This Row],[Soort gebrek]],TInspectieB[[#This Row],[Trede]])</f>
        <v>1</v>
      </c>
      <c r="AC150" s="413" t="e">
        <v>#N/A</v>
      </c>
      <c r="AD150" s="413" t="e">
        <v>#N/A</v>
      </c>
      <c r="AE150" s="424">
        <v>0</v>
      </c>
    </row>
    <row r="151" spans="1:31" ht="10.5" x14ac:dyDescent="0.25">
      <c r="A151" s="337" t="str" cm="1">
        <f t="array" ref="A151">IFERROR(INDEX(TInventB[UVID],ROUNDDOWN((ROW(A142)+1)/2,0)),"")</f>
        <v/>
      </c>
      <c r="B151" s="410" t="str">
        <f>IF(TInspectieB[[#This Row],[UVID]]="","",VLOOKUP(TInspectieB[[#This Row],[UVID]],TInventB[],2,FALSE))</f>
        <v/>
      </c>
      <c r="C151" s="365" t="str">
        <f>IF(TInspectieB[[#This Row],[UVID]]="","",VLOOKUP(TInspectieB[[#This Row],[UVID]],TInventB[],11,FALSE))</f>
        <v/>
      </c>
      <c r="D151" s="411" t="str">
        <f>IF(TInspectieB[[#This Row],[UVID]]="","",VLOOKUP(TInspectieB[[#This Row],[UVID]],TInventB[],3,FALSE))</f>
        <v/>
      </c>
      <c r="E151" s="338" t="str">
        <f>IF(TInspectieB[[#This Row],[Omschrijving bouwdeel]]="","",IF(MOD(ROW()-2,2)=0,"O",IF(TRIM(TInspectieB[[#This Row],[Code Bouwdeeltype]])="312010","O","E")))</f>
        <v/>
      </c>
      <c r="F151" s="412"/>
      <c r="G151" s="413" t="str">
        <f>IF(ISBLANK(TInspectieB[[#This Row],[Soort gebrek]]),"",VLOOKUP(TInspectieB[[#This Row],[Soort gebrek]],TSoortGebrek[#Data],3,FALSE))</f>
        <v/>
      </c>
      <c r="H151" s="413" t="str">
        <f>IF(ISBLANK(TInspectieB[[#This Row],[Soort gebrek]]),"",VLOOKUP(TInspectieB[[#This Row],[Soort gebrek]],TSoortGebrek[#Data],2,FALSE))</f>
        <v/>
      </c>
      <c r="I151" s="413" t="str">
        <f>IF(TInspectieB[[#This Row],[Soort gebrek]]=0,"",VLOOKUP(TInspectieB[[#This Row],[Soort gebrek]],TSoortGebrek[],4,FALSE))</f>
        <v/>
      </c>
      <c r="J151" s="425"/>
      <c r="K151" s="415" t="str">
        <f>IF(TInspectieB[[#This Row],[Soort gebrek]]=0,"",VLOOKUP(TInspectieB[[#This Row],[Combi]],TPrio[#Data],2,FALSE))</f>
        <v/>
      </c>
      <c r="L151" s="339"/>
      <c r="M151" s="416" t="str">
        <f>IF(ISBLANK(TInspectieB[[#This Row],[Gebrek nr.]]),"",TInspectieB[[#This Row],[UVID]]&amp;"-"&amp;TInspectieB[[#This Row],[Gebrek nr.]])</f>
        <v/>
      </c>
      <c r="N151" s="417"/>
      <c r="O151" s="651"/>
      <c r="P151" s="206"/>
      <c r="Q151" s="193"/>
      <c r="R151" s="206"/>
      <c r="S151" s="206"/>
      <c r="T151" s="206"/>
      <c r="U151" s="206"/>
      <c r="V151" s="206"/>
      <c r="W151" s="419"/>
      <c r="X151" s="340"/>
      <c r="Y151" s="420"/>
      <c r="Z151" s="421" t="str">
        <f>IF(ISBLANK(TInspectieB[[#This Row],[Aantal]]),"",ROUND(TInspectieB[[#This Row],[Kengetal]]*TInspectieB[[#This Row],[Aantal]],-1))</f>
        <v/>
      </c>
      <c r="AA151" s="422" t="str">
        <f>IF(TInspectieB[[#This Row],[Vak-groep]]="","1",VLOOKUP(C151,$J$2:$K$7,2,FALSE))</f>
        <v>1</v>
      </c>
      <c r="AB151" s="423" t="str">
        <f>CONCATENATE(TInspectieB[[#This Row],[Soort gebrek]],TInspectieB[[#This Row],[Trede]])</f>
        <v>1</v>
      </c>
      <c r="AC151" s="413" t="e">
        <v>#N/A</v>
      </c>
      <c r="AD151" s="413" t="e">
        <v>#N/A</v>
      </c>
      <c r="AE151" s="424">
        <v>0</v>
      </c>
    </row>
    <row r="152" spans="1:31" ht="10.5" x14ac:dyDescent="0.25">
      <c r="A152" s="337" t="str" cm="1">
        <f t="array" ref="A152">IFERROR(INDEX(TInventB[UVID],ROUNDDOWN((ROW(A143)+1)/2,0)),"")</f>
        <v/>
      </c>
      <c r="B152" s="410" t="str">
        <f>IF(TInspectieB[[#This Row],[UVID]]="","",VLOOKUP(TInspectieB[[#This Row],[UVID]],TInventB[],2,FALSE))</f>
        <v/>
      </c>
      <c r="C152" s="365" t="str">
        <f>IF(TInspectieB[[#This Row],[UVID]]="","",VLOOKUP(TInspectieB[[#This Row],[UVID]],TInventB[],11,FALSE))</f>
        <v/>
      </c>
      <c r="D152" s="411" t="str">
        <f>IF(TInspectieB[[#This Row],[UVID]]="","",VLOOKUP(TInspectieB[[#This Row],[UVID]],TInventB[],3,FALSE))</f>
        <v/>
      </c>
      <c r="E152" s="338" t="str">
        <f>IF(TInspectieB[[#This Row],[Omschrijving bouwdeel]]="","",IF(MOD(ROW()-2,2)=0,"O",IF(TRIM(TInspectieB[[#This Row],[Code Bouwdeeltype]])="312010","O","E")))</f>
        <v/>
      </c>
      <c r="F152" s="412"/>
      <c r="G152" s="413" t="str">
        <f>IF(ISBLANK(TInspectieB[[#This Row],[Soort gebrek]]),"",VLOOKUP(TInspectieB[[#This Row],[Soort gebrek]],TSoortGebrek[#Data],3,FALSE))</f>
        <v/>
      </c>
      <c r="H152" s="413" t="str">
        <f>IF(ISBLANK(TInspectieB[[#This Row],[Soort gebrek]]),"",VLOOKUP(TInspectieB[[#This Row],[Soort gebrek]],TSoortGebrek[#Data],2,FALSE))</f>
        <v/>
      </c>
      <c r="I152" s="413" t="str">
        <f>IF(TInspectieB[[#This Row],[Soort gebrek]]=0,"",VLOOKUP(TInspectieB[[#This Row],[Soort gebrek]],TSoortGebrek[],4,FALSE))</f>
        <v/>
      </c>
      <c r="J152" s="425"/>
      <c r="K152" s="415" t="str">
        <f>IF(TInspectieB[[#This Row],[Soort gebrek]]=0,"",VLOOKUP(TInspectieB[[#This Row],[Combi]],TPrio[#Data],2,FALSE))</f>
        <v/>
      </c>
      <c r="L152" s="339"/>
      <c r="M152" s="416" t="str">
        <f>IF(ISBLANK(TInspectieB[[#This Row],[Gebrek nr.]]),"",TInspectieB[[#This Row],[UVID]]&amp;"-"&amp;TInspectieB[[#This Row],[Gebrek nr.]])</f>
        <v/>
      </c>
      <c r="N152" s="417"/>
      <c r="O152" s="651"/>
      <c r="P152" s="206"/>
      <c r="Q152" s="193"/>
      <c r="R152" s="206"/>
      <c r="S152" s="206"/>
      <c r="T152" s="206"/>
      <c r="U152" s="206"/>
      <c r="V152" s="206"/>
      <c r="W152" s="419"/>
      <c r="X152" s="340"/>
      <c r="Y152" s="420"/>
      <c r="Z152" s="421" t="str">
        <f>IF(ISBLANK(TInspectieB[[#This Row],[Aantal]]),"",ROUND(TInspectieB[[#This Row],[Kengetal]]*TInspectieB[[#This Row],[Aantal]],-1))</f>
        <v/>
      </c>
      <c r="AA152" s="422" t="str">
        <f>IF(TInspectieB[[#This Row],[Vak-groep]]="","1",VLOOKUP(C152,$J$2:$K$7,2,FALSE))</f>
        <v>1</v>
      </c>
      <c r="AB152" s="423" t="str">
        <f>CONCATENATE(TInspectieB[[#This Row],[Soort gebrek]],TInspectieB[[#This Row],[Trede]])</f>
        <v>1</v>
      </c>
      <c r="AC152" s="413" t="e">
        <v>#N/A</v>
      </c>
      <c r="AD152" s="413" t="e">
        <v>#N/A</v>
      </c>
      <c r="AE152" s="424">
        <v>0</v>
      </c>
    </row>
    <row r="153" spans="1:31" ht="10.5" x14ac:dyDescent="0.25">
      <c r="A153" s="337" t="str" cm="1">
        <f t="array" ref="A153">IFERROR(INDEX(TInventB[UVID],ROUNDDOWN((ROW(A144)+1)/2,0)),"")</f>
        <v/>
      </c>
      <c r="B153" s="410" t="str">
        <f>IF(TInspectieB[[#This Row],[UVID]]="","",VLOOKUP(TInspectieB[[#This Row],[UVID]],TInventB[],2,FALSE))</f>
        <v/>
      </c>
      <c r="C153" s="365" t="str">
        <f>IF(TInspectieB[[#This Row],[UVID]]="","",VLOOKUP(TInspectieB[[#This Row],[UVID]],TInventB[],11,FALSE))</f>
        <v/>
      </c>
      <c r="D153" s="411" t="str">
        <f>IF(TInspectieB[[#This Row],[UVID]]="","",VLOOKUP(TInspectieB[[#This Row],[UVID]],TInventB[],3,FALSE))</f>
        <v/>
      </c>
      <c r="E153" s="338" t="str">
        <f>IF(TInspectieB[[#This Row],[Omschrijving bouwdeel]]="","",IF(MOD(ROW()-2,2)=0,"O",IF(TRIM(TInspectieB[[#This Row],[Code Bouwdeeltype]])="312010","O","E")))</f>
        <v/>
      </c>
      <c r="F153" s="412"/>
      <c r="G153" s="413" t="str">
        <f>IF(ISBLANK(TInspectieB[[#This Row],[Soort gebrek]]),"",VLOOKUP(TInspectieB[[#This Row],[Soort gebrek]],TSoortGebrek[#Data],3,FALSE))</f>
        <v/>
      </c>
      <c r="H153" s="413" t="str">
        <f>IF(ISBLANK(TInspectieB[[#This Row],[Soort gebrek]]),"",VLOOKUP(TInspectieB[[#This Row],[Soort gebrek]],TSoortGebrek[#Data],2,FALSE))</f>
        <v/>
      </c>
      <c r="I153" s="413" t="str">
        <f>IF(TInspectieB[[#This Row],[Soort gebrek]]=0,"",VLOOKUP(TInspectieB[[#This Row],[Soort gebrek]],TSoortGebrek[],4,FALSE))</f>
        <v/>
      </c>
      <c r="J153" s="425"/>
      <c r="K153" s="415" t="str">
        <f>IF(TInspectieB[[#This Row],[Soort gebrek]]=0,"",VLOOKUP(TInspectieB[[#This Row],[Combi]],TPrio[#Data],2,FALSE))</f>
        <v/>
      </c>
      <c r="L153" s="339"/>
      <c r="M153" s="416" t="str">
        <f>IF(ISBLANK(TInspectieB[[#This Row],[Gebrek nr.]]),"",TInspectieB[[#This Row],[UVID]]&amp;"-"&amp;TInspectieB[[#This Row],[Gebrek nr.]])</f>
        <v/>
      </c>
      <c r="N153" s="417"/>
      <c r="O153" s="651"/>
      <c r="P153" s="206"/>
      <c r="Q153" s="193"/>
      <c r="R153" s="206"/>
      <c r="S153" s="206"/>
      <c r="T153" s="206"/>
      <c r="U153" s="206"/>
      <c r="V153" s="206"/>
      <c r="W153" s="419"/>
      <c r="X153" s="340"/>
      <c r="Y153" s="420"/>
      <c r="Z153" s="421" t="str">
        <f>IF(ISBLANK(TInspectieB[[#This Row],[Aantal]]),"",ROUND(TInspectieB[[#This Row],[Kengetal]]*TInspectieB[[#This Row],[Aantal]],-1))</f>
        <v/>
      </c>
      <c r="AA153" s="422" t="str">
        <f>IF(TInspectieB[[#This Row],[Vak-groep]]="","1",VLOOKUP(C153,$J$2:$K$7,2,FALSE))</f>
        <v>1</v>
      </c>
      <c r="AB153" s="423" t="str">
        <f>CONCATENATE(TInspectieB[[#This Row],[Soort gebrek]],TInspectieB[[#This Row],[Trede]])</f>
        <v>1</v>
      </c>
      <c r="AC153" s="413" t="e">
        <v>#N/A</v>
      </c>
      <c r="AD153" s="413" t="e">
        <v>#N/A</v>
      </c>
      <c r="AE153" s="424">
        <v>0</v>
      </c>
    </row>
    <row r="154" spans="1:31" ht="10.5" x14ac:dyDescent="0.25">
      <c r="A154" s="337" t="str" cm="1">
        <f t="array" ref="A154">IFERROR(INDEX(TInventB[UVID],ROUNDDOWN((ROW(A145)+1)/2,0)),"")</f>
        <v/>
      </c>
      <c r="B154" s="410" t="str">
        <f>IF(TInspectieB[[#This Row],[UVID]]="","",VLOOKUP(TInspectieB[[#This Row],[UVID]],TInventB[],2,FALSE))</f>
        <v/>
      </c>
      <c r="C154" s="365" t="str">
        <f>IF(TInspectieB[[#This Row],[UVID]]="","",VLOOKUP(TInspectieB[[#This Row],[UVID]],TInventB[],11,FALSE))</f>
        <v/>
      </c>
      <c r="D154" s="411" t="str">
        <f>IF(TInspectieB[[#This Row],[UVID]]="","",VLOOKUP(TInspectieB[[#This Row],[UVID]],TInventB[],3,FALSE))</f>
        <v/>
      </c>
      <c r="E154" s="338" t="str">
        <f>IF(TInspectieB[[#This Row],[Omschrijving bouwdeel]]="","",IF(MOD(ROW()-2,2)=0,"O",IF(TRIM(TInspectieB[[#This Row],[Code Bouwdeeltype]])="312010","O","E")))</f>
        <v/>
      </c>
      <c r="F154" s="412"/>
      <c r="G154" s="413" t="str">
        <f>IF(ISBLANK(TInspectieB[[#This Row],[Soort gebrek]]),"",VLOOKUP(TInspectieB[[#This Row],[Soort gebrek]],TSoortGebrek[#Data],3,FALSE))</f>
        <v/>
      </c>
      <c r="H154" s="413" t="str">
        <f>IF(ISBLANK(TInspectieB[[#This Row],[Soort gebrek]]),"",VLOOKUP(TInspectieB[[#This Row],[Soort gebrek]],TSoortGebrek[#Data],2,FALSE))</f>
        <v/>
      </c>
      <c r="I154" s="413" t="str">
        <f>IF(TInspectieB[[#This Row],[Soort gebrek]]=0,"",VLOOKUP(TInspectieB[[#This Row],[Soort gebrek]],TSoortGebrek[],4,FALSE))</f>
        <v/>
      </c>
      <c r="J154" s="425"/>
      <c r="K154" s="415" t="str">
        <f>IF(TInspectieB[[#This Row],[Soort gebrek]]=0,"",VLOOKUP(TInspectieB[[#This Row],[Combi]],TPrio[#Data],2,FALSE))</f>
        <v/>
      </c>
      <c r="L154" s="339"/>
      <c r="M154" s="416" t="str">
        <f>IF(ISBLANK(TInspectieB[[#This Row],[Gebrek nr.]]),"",TInspectieB[[#This Row],[UVID]]&amp;"-"&amp;TInspectieB[[#This Row],[Gebrek nr.]])</f>
        <v/>
      </c>
      <c r="N154" s="417"/>
      <c r="O154" s="651"/>
      <c r="P154" s="206"/>
      <c r="Q154" s="193"/>
      <c r="R154" s="206"/>
      <c r="S154" s="206"/>
      <c r="T154" s="206"/>
      <c r="U154" s="206"/>
      <c r="V154" s="206"/>
      <c r="W154" s="419"/>
      <c r="X154" s="340"/>
      <c r="Y154" s="420"/>
      <c r="Z154" s="421" t="str">
        <f>IF(ISBLANK(TInspectieB[[#This Row],[Aantal]]),"",ROUND(TInspectieB[[#This Row],[Kengetal]]*TInspectieB[[#This Row],[Aantal]],-1))</f>
        <v/>
      </c>
      <c r="AA154" s="422" t="str">
        <f>IF(TInspectieB[[#This Row],[Vak-groep]]="","1",VLOOKUP(C154,$J$2:$K$7,2,FALSE))</f>
        <v>1</v>
      </c>
      <c r="AB154" s="423" t="str">
        <f>CONCATENATE(TInspectieB[[#This Row],[Soort gebrek]],TInspectieB[[#This Row],[Trede]])</f>
        <v>1</v>
      </c>
      <c r="AC154" s="413" t="e">
        <v>#N/A</v>
      </c>
      <c r="AD154" s="413" t="e">
        <v>#N/A</v>
      </c>
      <c r="AE154" s="424">
        <v>0</v>
      </c>
    </row>
    <row r="155" spans="1:31" ht="10.5" x14ac:dyDescent="0.25">
      <c r="A155" s="337" t="str" cm="1">
        <f t="array" ref="A155">IFERROR(INDEX(TInventB[UVID],ROUNDDOWN((ROW(A146)+1)/2,0)),"")</f>
        <v/>
      </c>
      <c r="B155" s="410" t="str">
        <f>IF(TInspectieB[[#This Row],[UVID]]="","",VLOOKUP(TInspectieB[[#This Row],[UVID]],TInventB[],2,FALSE))</f>
        <v/>
      </c>
      <c r="C155" s="365" t="str">
        <f>IF(TInspectieB[[#This Row],[UVID]]="","",VLOOKUP(TInspectieB[[#This Row],[UVID]],TInventB[],11,FALSE))</f>
        <v/>
      </c>
      <c r="D155" s="411" t="str">
        <f>IF(TInspectieB[[#This Row],[UVID]]="","",VLOOKUP(TInspectieB[[#This Row],[UVID]],TInventB[],3,FALSE))</f>
        <v/>
      </c>
      <c r="E155" s="338" t="str">
        <f>IF(TInspectieB[[#This Row],[Omschrijving bouwdeel]]="","",IF(MOD(ROW()-2,2)=0,"O",IF(TRIM(TInspectieB[[#This Row],[Code Bouwdeeltype]])="312010","O","E")))</f>
        <v/>
      </c>
      <c r="F155" s="412"/>
      <c r="G155" s="413" t="str">
        <f>IF(ISBLANK(TInspectieB[[#This Row],[Soort gebrek]]),"",VLOOKUP(TInspectieB[[#This Row],[Soort gebrek]],TSoortGebrek[#Data],3,FALSE))</f>
        <v/>
      </c>
      <c r="H155" s="413" t="str">
        <f>IF(ISBLANK(TInspectieB[[#This Row],[Soort gebrek]]),"",VLOOKUP(TInspectieB[[#This Row],[Soort gebrek]],TSoortGebrek[#Data],2,FALSE))</f>
        <v/>
      </c>
      <c r="I155" s="413" t="str">
        <f>IF(TInspectieB[[#This Row],[Soort gebrek]]=0,"",VLOOKUP(TInspectieB[[#This Row],[Soort gebrek]],TSoortGebrek[],4,FALSE))</f>
        <v/>
      </c>
      <c r="J155" s="425"/>
      <c r="K155" s="415" t="str">
        <f>IF(TInspectieB[[#This Row],[Soort gebrek]]=0,"",VLOOKUP(TInspectieB[[#This Row],[Combi]],TPrio[#Data],2,FALSE))</f>
        <v/>
      </c>
      <c r="L155" s="339"/>
      <c r="M155" s="416" t="str">
        <f>IF(ISBLANK(TInspectieB[[#This Row],[Gebrek nr.]]),"",TInspectieB[[#This Row],[UVID]]&amp;"-"&amp;TInspectieB[[#This Row],[Gebrek nr.]])</f>
        <v/>
      </c>
      <c r="N155" s="417"/>
      <c r="O155" s="651"/>
      <c r="P155" s="206"/>
      <c r="Q155" s="193"/>
      <c r="R155" s="206"/>
      <c r="S155" s="206"/>
      <c r="T155" s="206"/>
      <c r="U155" s="206"/>
      <c r="V155" s="206"/>
      <c r="W155" s="419"/>
      <c r="X155" s="340"/>
      <c r="Y155" s="420"/>
      <c r="Z155" s="421" t="str">
        <f>IF(ISBLANK(TInspectieB[[#This Row],[Aantal]]),"",ROUND(TInspectieB[[#This Row],[Kengetal]]*TInspectieB[[#This Row],[Aantal]],-1))</f>
        <v/>
      </c>
      <c r="AA155" s="422" t="str">
        <f>IF(TInspectieB[[#This Row],[Vak-groep]]="","1",VLOOKUP(C155,$J$2:$K$7,2,FALSE))</f>
        <v>1</v>
      </c>
      <c r="AB155" s="423" t="str">
        <f>CONCATENATE(TInspectieB[[#This Row],[Soort gebrek]],TInspectieB[[#This Row],[Trede]])</f>
        <v>1</v>
      </c>
      <c r="AC155" s="413" t="e">
        <v>#N/A</v>
      </c>
      <c r="AD155" s="413" t="e">
        <v>#N/A</v>
      </c>
      <c r="AE155" s="424">
        <v>0</v>
      </c>
    </row>
    <row r="156" spans="1:31" ht="10.5" x14ac:dyDescent="0.25">
      <c r="A156" s="337" t="str" cm="1">
        <f t="array" ref="A156">IFERROR(INDEX(TInventB[UVID],ROUNDDOWN((ROW(A147)+1)/2,0)),"")</f>
        <v/>
      </c>
      <c r="B156" s="410" t="str">
        <f>IF(TInspectieB[[#This Row],[UVID]]="","",VLOOKUP(TInspectieB[[#This Row],[UVID]],TInventB[],2,FALSE))</f>
        <v/>
      </c>
      <c r="C156" s="365" t="str">
        <f>IF(TInspectieB[[#This Row],[UVID]]="","",VLOOKUP(TInspectieB[[#This Row],[UVID]],TInventB[],11,FALSE))</f>
        <v/>
      </c>
      <c r="D156" s="411" t="str">
        <f>IF(TInspectieB[[#This Row],[UVID]]="","",VLOOKUP(TInspectieB[[#This Row],[UVID]],TInventB[],3,FALSE))</f>
        <v/>
      </c>
      <c r="E156" s="338" t="str">
        <f>IF(TInspectieB[[#This Row],[Omschrijving bouwdeel]]="","",IF(MOD(ROW()-2,2)=0,"O",IF(TRIM(TInspectieB[[#This Row],[Code Bouwdeeltype]])="312010","O","E")))</f>
        <v/>
      </c>
      <c r="F156" s="412"/>
      <c r="G156" s="413" t="str">
        <f>IF(ISBLANK(TInspectieB[[#This Row],[Soort gebrek]]),"",VLOOKUP(TInspectieB[[#This Row],[Soort gebrek]],TSoortGebrek[#Data],3,FALSE))</f>
        <v/>
      </c>
      <c r="H156" s="413" t="str">
        <f>IF(ISBLANK(TInspectieB[[#This Row],[Soort gebrek]]),"",VLOOKUP(TInspectieB[[#This Row],[Soort gebrek]],TSoortGebrek[#Data],2,FALSE))</f>
        <v/>
      </c>
      <c r="I156" s="413" t="str">
        <f>IF(TInspectieB[[#This Row],[Soort gebrek]]=0,"",VLOOKUP(TInspectieB[[#This Row],[Soort gebrek]],TSoortGebrek[],4,FALSE))</f>
        <v/>
      </c>
      <c r="J156" s="425"/>
      <c r="K156" s="415" t="str">
        <f>IF(TInspectieB[[#This Row],[Soort gebrek]]=0,"",VLOOKUP(TInspectieB[[#This Row],[Combi]],TPrio[#Data],2,FALSE))</f>
        <v/>
      </c>
      <c r="L156" s="339"/>
      <c r="M156" s="416" t="str">
        <f>IF(ISBLANK(TInspectieB[[#This Row],[Gebrek nr.]]),"",TInspectieB[[#This Row],[UVID]]&amp;"-"&amp;TInspectieB[[#This Row],[Gebrek nr.]])</f>
        <v/>
      </c>
      <c r="N156" s="417"/>
      <c r="O156" s="651"/>
      <c r="P156" s="206"/>
      <c r="Q156" s="193"/>
      <c r="R156" s="206"/>
      <c r="S156" s="206"/>
      <c r="T156" s="206"/>
      <c r="U156" s="206"/>
      <c r="V156" s="206"/>
      <c r="W156" s="419"/>
      <c r="X156" s="340"/>
      <c r="Y156" s="420"/>
      <c r="Z156" s="421" t="str">
        <f>IF(ISBLANK(TInspectieB[[#This Row],[Aantal]]),"",ROUND(TInspectieB[[#This Row],[Kengetal]]*TInspectieB[[#This Row],[Aantal]],-1))</f>
        <v/>
      </c>
      <c r="AA156" s="422" t="str">
        <f>IF(TInspectieB[[#This Row],[Vak-groep]]="","1",VLOOKUP(C156,$J$2:$K$7,2,FALSE))</f>
        <v>1</v>
      </c>
      <c r="AB156" s="423" t="str">
        <f>CONCATENATE(TInspectieB[[#This Row],[Soort gebrek]],TInspectieB[[#This Row],[Trede]])</f>
        <v>1</v>
      </c>
      <c r="AC156" s="413" t="e">
        <v>#N/A</v>
      </c>
      <c r="AD156" s="413" t="e">
        <v>#N/A</v>
      </c>
      <c r="AE156" s="424">
        <v>0</v>
      </c>
    </row>
    <row r="157" spans="1:31" ht="10.5" x14ac:dyDescent="0.25">
      <c r="A157" s="337" t="str" cm="1">
        <f t="array" ref="A157">IFERROR(INDEX(TInventB[UVID],ROUNDDOWN((ROW(A148)+1)/2,0)),"")</f>
        <v/>
      </c>
      <c r="B157" s="410" t="str">
        <f>IF(TInspectieB[[#This Row],[UVID]]="","",VLOOKUP(TInspectieB[[#This Row],[UVID]],TInventB[],2,FALSE))</f>
        <v/>
      </c>
      <c r="C157" s="365" t="str">
        <f>IF(TInspectieB[[#This Row],[UVID]]="","",VLOOKUP(TInspectieB[[#This Row],[UVID]],TInventB[],11,FALSE))</f>
        <v/>
      </c>
      <c r="D157" s="411" t="str">
        <f>IF(TInspectieB[[#This Row],[UVID]]="","",VLOOKUP(TInspectieB[[#This Row],[UVID]],TInventB[],3,FALSE))</f>
        <v/>
      </c>
      <c r="E157" s="338" t="str">
        <f>IF(TInspectieB[[#This Row],[Omschrijving bouwdeel]]="","",IF(MOD(ROW()-2,2)=0,"O",IF(TRIM(TInspectieB[[#This Row],[Code Bouwdeeltype]])="312010","O","E")))</f>
        <v/>
      </c>
      <c r="F157" s="412"/>
      <c r="G157" s="413" t="str">
        <f>IF(ISBLANK(TInspectieB[[#This Row],[Soort gebrek]]),"",VLOOKUP(TInspectieB[[#This Row],[Soort gebrek]],TSoortGebrek[#Data],3,FALSE))</f>
        <v/>
      </c>
      <c r="H157" s="413" t="str">
        <f>IF(ISBLANK(TInspectieB[[#This Row],[Soort gebrek]]),"",VLOOKUP(TInspectieB[[#This Row],[Soort gebrek]],TSoortGebrek[#Data],2,FALSE))</f>
        <v/>
      </c>
      <c r="I157" s="413" t="str">
        <f>IF(TInspectieB[[#This Row],[Soort gebrek]]=0,"",VLOOKUP(TInspectieB[[#This Row],[Soort gebrek]],TSoortGebrek[],4,FALSE))</f>
        <v/>
      </c>
      <c r="J157" s="425"/>
      <c r="K157" s="415" t="str">
        <f>IF(TInspectieB[[#This Row],[Soort gebrek]]=0,"",VLOOKUP(TInspectieB[[#This Row],[Combi]],TPrio[#Data],2,FALSE))</f>
        <v/>
      </c>
      <c r="L157" s="339"/>
      <c r="M157" s="416" t="str">
        <f>IF(ISBLANK(TInspectieB[[#This Row],[Gebrek nr.]]),"",TInspectieB[[#This Row],[UVID]]&amp;"-"&amp;TInspectieB[[#This Row],[Gebrek nr.]])</f>
        <v/>
      </c>
      <c r="N157" s="417"/>
      <c r="O157" s="651"/>
      <c r="P157" s="206"/>
      <c r="Q157" s="193"/>
      <c r="R157" s="206"/>
      <c r="S157" s="206"/>
      <c r="T157" s="206"/>
      <c r="U157" s="206"/>
      <c r="V157" s="206"/>
      <c r="W157" s="419"/>
      <c r="X157" s="340"/>
      <c r="Y157" s="420"/>
      <c r="Z157" s="421" t="str">
        <f>IF(ISBLANK(TInspectieB[[#This Row],[Aantal]]),"",ROUND(TInspectieB[[#This Row],[Kengetal]]*TInspectieB[[#This Row],[Aantal]],-1))</f>
        <v/>
      </c>
      <c r="AA157" s="422" t="str">
        <f>IF(TInspectieB[[#This Row],[Vak-groep]]="","1",VLOOKUP(C157,$J$2:$K$7,2,FALSE))</f>
        <v>1</v>
      </c>
      <c r="AB157" s="423" t="str">
        <f>CONCATENATE(TInspectieB[[#This Row],[Soort gebrek]],TInspectieB[[#This Row],[Trede]])</f>
        <v>1</v>
      </c>
      <c r="AC157" s="413" t="e">
        <v>#N/A</v>
      </c>
      <c r="AD157" s="413" t="e">
        <v>#N/A</v>
      </c>
      <c r="AE157" s="424">
        <v>0</v>
      </c>
    </row>
    <row r="158" spans="1:31" ht="10.5" x14ac:dyDescent="0.25">
      <c r="A158" s="337" t="str" cm="1">
        <f t="array" ref="A158">IFERROR(INDEX(TInventB[UVID],ROUNDDOWN((ROW(A149)+1)/2,0)),"")</f>
        <v/>
      </c>
      <c r="B158" s="410" t="str">
        <f>IF(TInspectieB[[#This Row],[UVID]]="","",VLOOKUP(TInspectieB[[#This Row],[UVID]],TInventB[],2,FALSE))</f>
        <v/>
      </c>
      <c r="C158" s="365" t="str">
        <f>IF(TInspectieB[[#This Row],[UVID]]="","",VLOOKUP(TInspectieB[[#This Row],[UVID]],TInventB[],11,FALSE))</f>
        <v/>
      </c>
      <c r="D158" s="411" t="str">
        <f>IF(TInspectieB[[#This Row],[UVID]]="","",VLOOKUP(TInspectieB[[#This Row],[UVID]],TInventB[],3,FALSE))</f>
        <v/>
      </c>
      <c r="E158" s="338" t="str">
        <f>IF(TInspectieB[[#This Row],[Omschrijving bouwdeel]]="","",IF(MOD(ROW()-2,2)=0,"O",IF(TRIM(TInspectieB[[#This Row],[Code Bouwdeeltype]])="312010","O","E")))</f>
        <v/>
      </c>
      <c r="F158" s="412"/>
      <c r="G158" s="413" t="str">
        <f>IF(ISBLANK(TInspectieB[[#This Row],[Soort gebrek]]),"",VLOOKUP(TInspectieB[[#This Row],[Soort gebrek]],TSoortGebrek[#Data],3,FALSE))</f>
        <v/>
      </c>
      <c r="H158" s="413" t="str">
        <f>IF(ISBLANK(TInspectieB[[#This Row],[Soort gebrek]]),"",VLOOKUP(TInspectieB[[#This Row],[Soort gebrek]],TSoortGebrek[#Data],2,FALSE))</f>
        <v/>
      </c>
      <c r="I158" s="413" t="str">
        <f>IF(TInspectieB[[#This Row],[Soort gebrek]]=0,"",VLOOKUP(TInspectieB[[#This Row],[Soort gebrek]],TSoortGebrek[],4,FALSE))</f>
        <v/>
      </c>
      <c r="J158" s="425"/>
      <c r="K158" s="415" t="str">
        <f>IF(TInspectieB[[#This Row],[Soort gebrek]]=0,"",VLOOKUP(TInspectieB[[#This Row],[Combi]],TPrio[#Data],2,FALSE))</f>
        <v/>
      </c>
      <c r="L158" s="339"/>
      <c r="M158" s="416" t="str">
        <f>IF(ISBLANK(TInspectieB[[#This Row],[Gebrek nr.]]),"",TInspectieB[[#This Row],[UVID]]&amp;"-"&amp;TInspectieB[[#This Row],[Gebrek nr.]])</f>
        <v/>
      </c>
      <c r="N158" s="417"/>
      <c r="O158" s="651"/>
      <c r="P158" s="206"/>
      <c r="Q158" s="193"/>
      <c r="R158" s="206"/>
      <c r="S158" s="206"/>
      <c r="T158" s="206"/>
      <c r="U158" s="206"/>
      <c r="V158" s="206"/>
      <c r="W158" s="419"/>
      <c r="X158" s="340"/>
      <c r="Y158" s="420"/>
      <c r="Z158" s="421" t="str">
        <f>IF(ISBLANK(TInspectieB[[#This Row],[Aantal]]),"",ROUND(TInspectieB[[#This Row],[Kengetal]]*TInspectieB[[#This Row],[Aantal]],-1))</f>
        <v/>
      </c>
      <c r="AA158" s="422" t="str">
        <f>IF(TInspectieB[[#This Row],[Vak-groep]]="","1",VLOOKUP(C158,$J$2:$K$7,2,FALSE))</f>
        <v>1</v>
      </c>
      <c r="AB158" s="423" t="str">
        <f>CONCATENATE(TInspectieB[[#This Row],[Soort gebrek]],TInspectieB[[#This Row],[Trede]])</f>
        <v>1</v>
      </c>
      <c r="AC158" s="413" t="e">
        <v>#N/A</v>
      </c>
      <c r="AD158" s="413" t="e">
        <v>#N/A</v>
      </c>
      <c r="AE158" s="424">
        <v>0</v>
      </c>
    </row>
    <row r="159" spans="1:31" ht="10.5" x14ac:dyDescent="0.25">
      <c r="A159" s="337" t="str" cm="1">
        <f t="array" ref="A159">IFERROR(INDEX(TInventB[UVID],ROUNDDOWN((ROW(A150)+1)/2,0)),"")</f>
        <v/>
      </c>
      <c r="B159" s="410" t="str">
        <f>IF(TInspectieB[[#This Row],[UVID]]="","",VLOOKUP(TInspectieB[[#This Row],[UVID]],TInventB[],2,FALSE))</f>
        <v/>
      </c>
      <c r="C159" s="365" t="str">
        <f>IF(TInspectieB[[#This Row],[UVID]]="","",VLOOKUP(TInspectieB[[#This Row],[UVID]],TInventB[],11,FALSE))</f>
        <v/>
      </c>
      <c r="D159" s="411" t="str">
        <f>IF(TInspectieB[[#This Row],[UVID]]="","",VLOOKUP(TInspectieB[[#This Row],[UVID]],TInventB[],3,FALSE))</f>
        <v/>
      </c>
      <c r="E159" s="338" t="str">
        <f>IF(TInspectieB[[#This Row],[Omschrijving bouwdeel]]="","",IF(MOD(ROW()-2,2)=0,"O",IF(TRIM(TInspectieB[[#This Row],[Code Bouwdeeltype]])="312010","O","E")))</f>
        <v/>
      </c>
      <c r="F159" s="412"/>
      <c r="G159" s="413" t="str">
        <f>IF(ISBLANK(TInspectieB[[#This Row],[Soort gebrek]]),"",VLOOKUP(TInspectieB[[#This Row],[Soort gebrek]],TSoortGebrek[#Data],3,FALSE))</f>
        <v/>
      </c>
      <c r="H159" s="413" t="str">
        <f>IF(ISBLANK(TInspectieB[[#This Row],[Soort gebrek]]),"",VLOOKUP(TInspectieB[[#This Row],[Soort gebrek]],TSoortGebrek[#Data],2,FALSE))</f>
        <v/>
      </c>
      <c r="I159" s="413" t="str">
        <f>IF(TInspectieB[[#This Row],[Soort gebrek]]=0,"",VLOOKUP(TInspectieB[[#This Row],[Soort gebrek]],TSoortGebrek[],4,FALSE))</f>
        <v/>
      </c>
      <c r="J159" s="425"/>
      <c r="K159" s="415" t="str">
        <f>IF(TInspectieB[[#This Row],[Soort gebrek]]=0,"",VLOOKUP(TInspectieB[[#This Row],[Combi]],TPrio[#Data],2,FALSE))</f>
        <v/>
      </c>
      <c r="L159" s="339"/>
      <c r="M159" s="416" t="str">
        <f>IF(ISBLANK(TInspectieB[[#This Row],[Gebrek nr.]]),"",TInspectieB[[#This Row],[UVID]]&amp;"-"&amp;TInspectieB[[#This Row],[Gebrek nr.]])</f>
        <v/>
      </c>
      <c r="N159" s="417"/>
      <c r="O159" s="651"/>
      <c r="P159" s="206"/>
      <c r="Q159" s="193"/>
      <c r="R159" s="206"/>
      <c r="S159" s="206"/>
      <c r="T159" s="206"/>
      <c r="U159" s="206"/>
      <c r="V159" s="206"/>
      <c r="W159" s="419"/>
      <c r="X159" s="340"/>
      <c r="Y159" s="420"/>
      <c r="Z159" s="421" t="str">
        <f>IF(ISBLANK(TInspectieB[[#This Row],[Aantal]]),"",ROUND(TInspectieB[[#This Row],[Kengetal]]*TInspectieB[[#This Row],[Aantal]],-1))</f>
        <v/>
      </c>
      <c r="AA159" s="422" t="str">
        <f>IF(TInspectieB[[#This Row],[Vak-groep]]="","1",VLOOKUP(C159,$J$2:$K$7,2,FALSE))</f>
        <v>1</v>
      </c>
      <c r="AB159" s="423" t="str">
        <f>CONCATENATE(TInspectieB[[#This Row],[Soort gebrek]],TInspectieB[[#This Row],[Trede]])</f>
        <v>1</v>
      </c>
      <c r="AC159" s="413" t="e">
        <v>#N/A</v>
      </c>
      <c r="AD159" s="413" t="e">
        <v>#N/A</v>
      </c>
      <c r="AE159" s="424">
        <v>0</v>
      </c>
    </row>
    <row r="160" spans="1:31" ht="10.5" x14ac:dyDescent="0.25">
      <c r="A160" s="337" t="str" cm="1">
        <f t="array" ref="A160">IFERROR(INDEX(TInventB[UVID],ROUNDDOWN((ROW(A151)+1)/2,0)),"")</f>
        <v/>
      </c>
      <c r="B160" s="410" t="str">
        <f>IF(TInspectieB[[#This Row],[UVID]]="","",VLOOKUP(TInspectieB[[#This Row],[UVID]],TInventB[],2,FALSE))</f>
        <v/>
      </c>
      <c r="C160" s="365" t="str">
        <f>IF(TInspectieB[[#This Row],[UVID]]="","",VLOOKUP(TInspectieB[[#This Row],[UVID]],TInventB[],11,FALSE))</f>
        <v/>
      </c>
      <c r="D160" s="411" t="str">
        <f>IF(TInspectieB[[#This Row],[UVID]]="","",VLOOKUP(TInspectieB[[#This Row],[UVID]],TInventB[],3,FALSE))</f>
        <v/>
      </c>
      <c r="E160" s="338" t="str">
        <f>IF(TInspectieB[[#This Row],[Omschrijving bouwdeel]]="","",IF(MOD(ROW()-2,2)=0,"O",IF(TRIM(TInspectieB[[#This Row],[Code Bouwdeeltype]])="312010","O","E")))</f>
        <v/>
      </c>
      <c r="F160" s="412"/>
      <c r="G160" s="413" t="str">
        <f>IF(ISBLANK(TInspectieB[[#This Row],[Soort gebrek]]),"",VLOOKUP(TInspectieB[[#This Row],[Soort gebrek]],TSoortGebrek[#Data],3,FALSE))</f>
        <v/>
      </c>
      <c r="H160" s="413" t="str">
        <f>IF(ISBLANK(TInspectieB[[#This Row],[Soort gebrek]]),"",VLOOKUP(TInspectieB[[#This Row],[Soort gebrek]],TSoortGebrek[#Data],2,FALSE))</f>
        <v/>
      </c>
      <c r="I160" s="413" t="str">
        <f>IF(TInspectieB[[#This Row],[Soort gebrek]]=0,"",VLOOKUP(TInspectieB[[#This Row],[Soort gebrek]],TSoortGebrek[],4,FALSE))</f>
        <v/>
      </c>
      <c r="J160" s="425"/>
      <c r="K160" s="415" t="str">
        <f>IF(TInspectieB[[#This Row],[Soort gebrek]]=0,"",VLOOKUP(TInspectieB[[#This Row],[Combi]],TPrio[#Data],2,FALSE))</f>
        <v/>
      </c>
      <c r="L160" s="339"/>
      <c r="M160" s="416" t="str">
        <f>IF(ISBLANK(TInspectieB[[#This Row],[Gebrek nr.]]),"",TInspectieB[[#This Row],[UVID]]&amp;"-"&amp;TInspectieB[[#This Row],[Gebrek nr.]])</f>
        <v/>
      </c>
      <c r="N160" s="417"/>
      <c r="O160" s="651"/>
      <c r="P160" s="206"/>
      <c r="Q160" s="193"/>
      <c r="R160" s="206"/>
      <c r="S160" s="206"/>
      <c r="T160" s="206"/>
      <c r="U160" s="206"/>
      <c r="V160" s="206"/>
      <c r="W160" s="419"/>
      <c r="X160" s="340"/>
      <c r="Y160" s="420"/>
      <c r="Z160" s="421" t="str">
        <f>IF(ISBLANK(TInspectieB[[#This Row],[Aantal]]),"",ROUND(TInspectieB[[#This Row],[Kengetal]]*TInspectieB[[#This Row],[Aantal]],-1))</f>
        <v/>
      </c>
      <c r="AA160" s="422" t="str">
        <f>IF(TInspectieB[[#This Row],[Vak-groep]]="","1",VLOOKUP(C160,$J$2:$K$7,2,FALSE))</f>
        <v>1</v>
      </c>
      <c r="AB160" s="423" t="str">
        <f>CONCATENATE(TInspectieB[[#This Row],[Soort gebrek]],TInspectieB[[#This Row],[Trede]])</f>
        <v>1</v>
      </c>
      <c r="AC160" s="413" t="e">
        <v>#N/A</v>
      </c>
      <c r="AD160" s="413" t="e">
        <v>#N/A</v>
      </c>
      <c r="AE160" s="424">
        <v>0</v>
      </c>
    </row>
    <row r="161" spans="1:31" ht="10.5" x14ac:dyDescent="0.25">
      <c r="A161" s="337" t="str" cm="1">
        <f t="array" ref="A161">IFERROR(INDEX(TInventB[UVID],ROUNDDOWN((ROW(A152)+1)/2,0)),"")</f>
        <v/>
      </c>
      <c r="B161" s="410" t="str">
        <f>IF(TInspectieB[[#This Row],[UVID]]="","",VLOOKUP(TInspectieB[[#This Row],[UVID]],TInventB[],2,FALSE))</f>
        <v/>
      </c>
      <c r="C161" s="365" t="str">
        <f>IF(TInspectieB[[#This Row],[UVID]]="","",VLOOKUP(TInspectieB[[#This Row],[UVID]],TInventB[],11,FALSE))</f>
        <v/>
      </c>
      <c r="D161" s="411" t="str">
        <f>IF(TInspectieB[[#This Row],[UVID]]="","",VLOOKUP(TInspectieB[[#This Row],[UVID]],TInventB[],3,FALSE))</f>
        <v/>
      </c>
      <c r="E161" s="338" t="str">
        <f>IF(TInspectieB[[#This Row],[Omschrijving bouwdeel]]="","",IF(MOD(ROW()-2,2)=0,"O",IF(TRIM(TInspectieB[[#This Row],[Code Bouwdeeltype]])="312010","O","E")))</f>
        <v/>
      </c>
      <c r="F161" s="412"/>
      <c r="G161" s="413" t="str">
        <f>IF(ISBLANK(TInspectieB[[#This Row],[Soort gebrek]]),"",VLOOKUP(TInspectieB[[#This Row],[Soort gebrek]],TSoortGebrek[#Data],3,FALSE))</f>
        <v/>
      </c>
      <c r="H161" s="413" t="str">
        <f>IF(ISBLANK(TInspectieB[[#This Row],[Soort gebrek]]),"",VLOOKUP(TInspectieB[[#This Row],[Soort gebrek]],TSoortGebrek[#Data],2,FALSE))</f>
        <v/>
      </c>
      <c r="I161" s="413" t="str">
        <f>IF(TInspectieB[[#This Row],[Soort gebrek]]=0,"",VLOOKUP(TInspectieB[[#This Row],[Soort gebrek]],TSoortGebrek[],4,FALSE))</f>
        <v/>
      </c>
      <c r="J161" s="425"/>
      <c r="K161" s="415" t="str">
        <f>IF(TInspectieB[[#This Row],[Soort gebrek]]=0,"",VLOOKUP(TInspectieB[[#This Row],[Combi]],TPrio[#Data],2,FALSE))</f>
        <v/>
      </c>
      <c r="L161" s="339"/>
      <c r="M161" s="416" t="str">
        <f>IF(ISBLANK(TInspectieB[[#This Row],[Gebrek nr.]]),"",TInspectieB[[#This Row],[UVID]]&amp;"-"&amp;TInspectieB[[#This Row],[Gebrek nr.]])</f>
        <v/>
      </c>
      <c r="N161" s="417"/>
      <c r="O161" s="651"/>
      <c r="P161" s="206"/>
      <c r="Q161" s="193"/>
      <c r="R161" s="206"/>
      <c r="S161" s="206"/>
      <c r="T161" s="206"/>
      <c r="U161" s="206"/>
      <c r="V161" s="206"/>
      <c r="W161" s="419"/>
      <c r="X161" s="340"/>
      <c r="Y161" s="420"/>
      <c r="Z161" s="421" t="str">
        <f>IF(ISBLANK(TInspectieB[[#This Row],[Aantal]]),"",ROUND(TInspectieB[[#This Row],[Kengetal]]*TInspectieB[[#This Row],[Aantal]],-1))</f>
        <v/>
      </c>
      <c r="AA161" s="422" t="str">
        <f>IF(TInspectieB[[#This Row],[Vak-groep]]="","1",VLOOKUP(C161,$J$2:$K$7,2,FALSE))</f>
        <v>1</v>
      </c>
      <c r="AB161" s="423" t="str">
        <f>CONCATENATE(TInspectieB[[#This Row],[Soort gebrek]],TInspectieB[[#This Row],[Trede]])</f>
        <v>1</v>
      </c>
      <c r="AC161" s="413" t="e">
        <v>#N/A</v>
      </c>
      <c r="AD161" s="413" t="e">
        <v>#N/A</v>
      </c>
      <c r="AE161" s="424">
        <v>0</v>
      </c>
    </row>
    <row r="162" spans="1:31" ht="10.5" x14ac:dyDescent="0.25">
      <c r="A162" s="337" t="str" cm="1">
        <f t="array" ref="A162">IFERROR(INDEX(TInventB[UVID],ROUNDDOWN((ROW(A153)+1)/2,0)),"")</f>
        <v/>
      </c>
      <c r="B162" s="410" t="str">
        <f>IF(TInspectieB[[#This Row],[UVID]]="","",VLOOKUP(TInspectieB[[#This Row],[UVID]],TInventB[],2,FALSE))</f>
        <v/>
      </c>
      <c r="C162" s="365" t="str">
        <f>IF(TInspectieB[[#This Row],[UVID]]="","",VLOOKUP(TInspectieB[[#This Row],[UVID]],TInventB[],11,FALSE))</f>
        <v/>
      </c>
      <c r="D162" s="411" t="str">
        <f>IF(TInspectieB[[#This Row],[UVID]]="","",VLOOKUP(TInspectieB[[#This Row],[UVID]],TInventB[],3,FALSE))</f>
        <v/>
      </c>
      <c r="E162" s="338" t="str">
        <f>IF(TInspectieB[[#This Row],[Omschrijving bouwdeel]]="","",IF(MOD(ROW()-2,2)=0,"O",IF(TRIM(TInspectieB[[#This Row],[Code Bouwdeeltype]])="312010","O","E")))</f>
        <v/>
      </c>
      <c r="F162" s="412"/>
      <c r="G162" s="413" t="str">
        <f>IF(ISBLANK(TInspectieB[[#This Row],[Soort gebrek]]),"",VLOOKUP(TInspectieB[[#This Row],[Soort gebrek]],TSoortGebrek[#Data],3,FALSE))</f>
        <v/>
      </c>
      <c r="H162" s="413" t="str">
        <f>IF(ISBLANK(TInspectieB[[#This Row],[Soort gebrek]]),"",VLOOKUP(TInspectieB[[#This Row],[Soort gebrek]],TSoortGebrek[#Data],2,FALSE))</f>
        <v/>
      </c>
      <c r="I162" s="413" t="str">
        <f>IF(TInspectieB[[#This Row],[Soort gebrek]]=0,"",VLOOKUP(TInspectieB[[#This Row],[Soort gebrek]],TSoortGebrek[],4,FALSE))</f>
        <v/>
      </c>
      <c r="J162" s="425"/>
      <c r="K162" s="415" t="str">
        <f>IF(TInspectieB[[#This Row],[Soort gebrek]]=0,"",VLOOKUP(TInspectieB[[#This Row],[Combi]],TPrio[#Data],2,FALSE))</f>
        <v/>
      </c>
      <c r="L162" s="339"/>
      <c r="M162" s="416" t="str">
        <f>IF(ISBLANK(TInspectieB[[#This Row],[Gebrek nr.]]),"",TInspectieB[[#This Row],[UVID]]&amp;"-"&amp;TInspectieB[[#This Row],[Gebrek nr.]])</f>
        <v/>
      </c>
      <c r="N162" s="417"/>
      <c r="O162" s="651"/>
      <c r="P162" s="206"/>
      <c r="Q162" s="193"/>
      <c r="R162" s="206"/>
      <c r="S162" s="206"/>
      <c r="T162" s="206"/>
      <c r="U162" s="206"/>
      <c r="V162" s="206"/>
      <c r="W162" s="419"/>
      <c r="X162" s="340"/>
      <c r="Y162" s="420"/>
      <c r="Z162" s="421" t="str">
        <f>IF(ISBLANK(TInspectieB[[#This Row],[Aantal]]),"",ROUND(TInspectieB[[#This Row],[Kengetal]]*TInspectieB[[#This Row],[Aantal]],-1))</f>
        <v/>
      </c>
      <c r="AA162" s="422" t="str">
        <f>IF(TInspectieB[[#This Row],[Vak-groep]]="","1",VLOOKUP(C162,$J$2:$K$7,2,FALSE))</f>
        <v>1</v>
      </c>
      <c r="AB162" s="423" t="str">
        <f>CONCATENATE(TInspectieB[[#This Row],[Soort gebrek]],TInspectieB[[#This Row],[Trede]])</f>
        <v>1</v>
      </c>
      <c r="AC162" s="413" t="e">
        <v>#N/A</v>
      </c>
      <c r="AD162" s="413" t="e">
        <v>#N/A</v>
      </c>
      <c r="AE162" s="424">
        <v>0</v>
      </c>
    </row>
    <row r="163" spans="1:31" ht="10.5" x14ac:dyDescent="0.25">
      <c r="A163" s="337" t="str" cm="1">
        <f t="array" ref="A163">IFERROR(INDEX(TInventB[UVID],ROUNDDOWN((ROW(A154)+1)/2,0)),"")</f>
        <v/>
      </c>
      <c r="B163" s="410" t="str">
        <f>IF(TInspectieB[[#This Row],[UVID]]="","",VLOOKUP(TInspectieB[[#This Row],[UVID]],TInventB[],2,FALSE))</f>
        <v/>
      </c>
      <c r="C163" s="365" t="str">
        <f>IF(TInspectieB[[#This Row],[UVID]]="","",VLOOKUP(TInspectieB[[#This Row],[UVID]],TInventB[],11,FALSE))</f>
        <v/>
      </c>
      <c r="D163" s="411" t="str">
        <f>IF(TInspectieB[[#This Row],[UVID]]="","",VLOOKUP(TInspectieB[[#This Row],[UVID]],TInventB[],3,FALSE))</f>
        <v/>
      </c>
      <c r="E163" s="338" t="str">
        <f>IF(TInspectieB[[#This Row],[Omschrijving bouwdeel]]="","",IF(MOD(ROW()-2,2)=0,"O",IF(TRIM(TInspectieB[[#This Row],[Code Bouwdeeltype]])="312010","O","E")))</f>
        <v/>
      </c>
      <c r="F163" s="412"/>
      <c r="G163" s="413" t="str">
        <f>IF(ISBLANK(TInspectieB[[#This Row],[Soort gebrek]]),"",VLOOKUP(TInspectieB[[#This Row],[Soort gebrek]],TSoortGebrek[#Data],3,FALSE))</f>
        <v/>
      </c>
      <c r="H163" s="413" t="str">
        <f>IF(ISBLANK(TInspectieB[[#This Row],[Soort gebrek]]),"",VLOOKUP(TInspectieB[[#This Row],[Soort gebrek]],TSoortGebrek[#Data],2,FALSE))</f>
        <v/>
      </c>
      <c r="I163" s="413" t="str">
        <f>IF(TInspectieB[[#This Row],[Soort gebrek]]=0,"",VLOOKUP(TInspectieB[[#This Row],[Soort gebrek]],TSoortGebrek[],4,FALSE))</f>
        <v/>
      </c>
      <c r="J163" s="425"/>
      <c r="K163" s="415" t="str">
        <f>IF(TInspectieB[[#This Row],[Soort gebrek]]=0,"",VLOOKUP(TInspectieB[[#This Row],[Combi]],TPrio[#Data],2,FALSE))</f>
        <v/>
      </c>
      <c r="L163" s="339"/>
      <c r="M163" s="416" t="str">
        <f>IF(ISBLANK(TInspectieB[[#This Row],[Gebrek nr.]]),"",TInspectieB[[#This Row],[UVID]]&amp;"-"&amp;TInspectieB[[#This Row],[Gebrek nr.]])</f>
        <v/>
      </c>
      <c r="N163" s="417"/>
      <c r="O163" s="651"/>
      <c r="P163" s="206"/>
      <c r="Q163" s="193"/>
      <c r="R163" s="206"/>
      <c r="S163" s="206"/>
      <c r="T163" s="206"/>
      <c r="U163" s="206"/>
      <c r="V163" s="206"/>
      <c r="W163" s="419"/>
      <c r="X163" s="340"/>
      <c r="Y163" s="420"/>
      <c r="Z163" s="421" t="str">
        <f>IF(ISBLANK(TInspectieB[[#This Row],[Aantal]]),"",ROUND(TInspectieB[[#This Row],[Kengetal]]*TInspectieB[[#This Row],[Aantal]],-1))</f>
        <v/>
      </c>
      <c r="AA163" s="422" t="str">
        <f>IF(TInspectieB[[#This Row],[Vak-groep]]="","1",VLOOKUP(C163,$J$2:$K$7,2,FALSE))</f>
        <v>1</v>
      </c>
      <c r="AB163" s="423" t="str">
        <f>CONCATENATE(TInspectieB[[#This Row],[Soort gebrek]],TInspectieB[[#This Row],[Trede]])</f>
        <v>1</v>
      </c>
      <c r="AC163" s="413" t="e">
        <v>#N/A</v>
      </c>
      <c r="AD163" s="413" t="e">
        <v>#N/A</v>
      </c>
      <c r="AE163" s="424">
        <v>0</v>
      </c>
    </row>
    <row r="164" spans="1:31" ht="10.5" x14ac:dyDescent="0.25">
      <c r="A164" s="337" t="str" cm="1">
        <f t="array" ref="A164">IFERROR(INDEX(TInventB[UVID],ROUNDDOWN((ROW(A155)+1)/2,0)),"")</f>
        <v/>
      </c>
      <c r="B164" s="410" t="str">
        <f>IF(TInspectieB[[#This Row],[UVID]]="","",VLOOKUP(TInspectieB[[#This Row],[UVID]],TInventB[],2,FALSE))</f>
        <v/>
      </c>
      <c r="C164" s="365" t="str">
        <f>IF(TInspectieB[[#This Row],[UVID]]="","",VLOOKUP(TInspectieB[[#This Row],[UVID]],TInventB[],11,FALSE))</f>
        <v/>
      </c>
      <c r="D164" s="411" t="str">
        <f>IF(TInspectieB[[#This Row],[UVID]]="","",VLOOKUP(TInspectieB[[#This Row],[UVID]],TInventB[],3,FALSE))</f>
        <v/>
      </c>
      <c r="E164" s="338" t="str">
        <f>IF(TInspectieB[[#This Row],[Omschrijving bouwdeel]]="","",IF(MOD(ROW()-2,2)=0,"O",IF(TRIM(TInspectieB[[#This Row],[Code Bouwdeeltype]])="312010","O","E")))</f>
        <v/>
      </c>
      <c r="F164" s="412"/>
      <c r="G164" s="413" t="str">
        <f>IF(ISBLANK(TInspectieB[[#This Row],[Soort gebrek]]),"",VLOOKUP(TInspectieB[[#This Row],[Soort gebrek]],TSoortGebrek[#Data],3,FALSE))</f>
        <v/>
      </c>
      <c r="H164" s="413" t="str">
        <f>IF(ISBLANK(TInspectieB[[#This Row],[Soort gebrek]]),"",VLOOKUP(TInspectieB[[#This Row],[Soort gebrek]],TSoortGebrek[#Data],2,FALSE))</f>
        <v/>
      </c>
      <c r="I164" s="413" t="str">
        <f>IF(TInspectieB[[#This Row],[Soort gebrek]]=0,"",VLOOKUP(TInspectieB[[#This Row],[Soort gebrek]],TSoortGebrek[],4,FALSE))</f>
        <v/>
      </c>
      <c r="J164" s="425"/>
      <c r="K164" s="415" t="str">
        <f>IF(TInspectieB[[#This Row],[Soort gebrek]]=0,"",VLOOKUP(TInspectieB[[#This Row],[Combi]],TPrio[#Data],2,FALSE))</f>
        <v/>
      </c>
      <c r="L164" s="339"/>
      <c r="M164" s="416" t="str">
        <f>IF(ISBLANK(TInspectieB[[#This Row],[Gebrek nr.]]),"",TInspectieB[[#This Row],[UVID]]&amp;"-"&amp;TInspectieB[[#This Row],[Gebrek nr.]])</f>
        <v/>
      </c>
      <c r="N164" s="417"/>
      <c r="O164" s="651"/>
      <c r="P164" s="206"/>
      <c r="Q164" s="193"/>
      <c r="R164" s="206"/>
      <c r="S164" s="206"/>
      <c r="T164" s="206"/>
      <c r="U164" s="206"/>
      <c r="V164" s="206"/>
      <c r="W164" s="419"/>
      <c r="X164" s="340"/>
      <c r="Y164" s="420"/>
      <c r="Z164" s="421" t="str">
        <f>IF(ISBLANK(TInspectieB[[#This Row],[Aantal]]),"",ROUND(TInspectieB[[#This Row],[Kengetal]]*TInspectieB[[#This Row],[Aantal]],-1))</f>
        <v/>
      </c>
      <c r="AA164" s="422" t="str">
        <f>IF(TInspectieB[[#This Row],[Vak-groep]]="","1",VLOOKUP(C164,$J$2:$K$7,2,FALSE))</f>
        <v>1</v>
      </c>
      <c r="AB164" s="423" t="str">
        <f>CONCATENATE(TInspectieB[[#This Row],[Soort gebrek]],TInspectieB[[#This Row],[Trede]])</f>
        <v>1</v>
      </c>
      <c r="AC164" s="413" t="e">
        <v>#N/A</v>
      </c>
      <c r="AD164" s="413" t="e">
        <v>#N/A</v>
      </c>
      <c r="AE164" s="424">
        <v>0</v>
      </c>
    </row>
    <row r="165" spans="1:31" ht="10.5" x14ac:dyDescent="0.25">
      <c r="A165" s="337" t="str" cm="1">
        <f t="array" ref="A165">IFERROR(INDEX(TInventB[UVID],ROUNDDOWN((ROW(A156)+1)/2,0)),"")</f>
        <v/>
      </c>
      <c r="B165" s="410" t="str">
        <f>IF(TInspectieB[[#This Row],[UVID]]="","",VLOOKUP(TInspectieB[[#This Row],[UVID]],TInventB[],2,FALSE))</f>
        <v/>
      </c>
      <c r="C165" s="365" t="str">
        <f>IF(TInspectieB[[#This Row],[UVID]]="","",VLOOKUP(TInspectieB[[#This Row],[UVID]],TInventB[],11,FALSE))</f>
        <v/>
      </c>
      <c r="D165" s="411" t="str">
        <f>IF(TInspectieB[[#This Row],[UVID]]="","",VLOOKUP(TInspectieB[[#This Row],[UVID]],TInventB[],3,FALSE))</f>
        <v/>
      </c>
      <c r="E165" s="338" t="str">
        <f>IF(TInspectieB[[#This Row],[Omschrijving bouwdeel]]="","",IF(MOD(ROW()-2,2)=0,"O",IF(TRIM(TInspectieB[[#This Row],[Code Bouwdeeltype]])="312010","O","E")))</f>
        <v/>
      </c>
      <c r="F165" s="412"/>
      <c r="G165" s="413" t="str">
        <f>IF(ISBLANK(TInspectieB[[#This Row],[Soort gebrek]]),"",VLOOKUP(TInspectieB[[#This Row],[Soort gebrek]],TSoortGebrek[#Data],3,FALSE))</f>
        <v/>
      </c>
      <c r="H165" s="413" t="str">
        <f>IF(ISBLANK(TInspectieB[[#This Row],[Soort gebrek]]),"",VLOOKUP(TInspectieB[[#This Row],[Soort gebrek]],TSoortGebrek[#Data],2,FALSE))</f>
        <v/>
      </c>
      <c r="I165" s="413" t="str">
        <f>IF(TInspectieB[[#This Row],[Soort gebrek]]=0,"",VLOOKUP(TInspectieB[[#This Row],[Soort gebrek]],TSoortGebrek[],4,FALSE))</f>
        <v/>
      </c>
      <c r="J165" s="425"/>
      <c r="K165" s="415" t="str">
        <f>IF(TInspectieB[[#This Row],[Soort gebrek]]=0,"",VLOOKUP(TInspectieB[[#This Row],[Combi]],TPrio[#Data],2,FALSE))</f>
        <v/>
      </c>
      <c r="L165" s="339"/>
      <c r="M165" s="416" t="str">
        <f>IF(ISBLANK(TInspectieB[[#This Row],[Gebrek nr.]]),"",TInspectieB[[#This Row],[UVID]]&amp;"-"&amp;TInspectieB[[#This Row],[Gebrek nr.]])</f>
        <v/>
      </c>
      <c r="N165" s="417"/>
      <c r="O165" s="651"/>
      <c r="P165" s="206"/>
      <c r="Q165" s="193"/>
      <c r="R165" s="206"/>
      <c r="S165" s="206"/>
      <c r="T165" s="206"/>
      <c r="U165" s="206"/>
      <c r="V165" s="206"/>
      <c r="W165" s="419"/>
      <c r="X165" s="340"/>
      <c r="Y165" s="420"/>
      <c r="Z165" s="421" t="str">
        <f>IF(ISBLANK(TInspectieB[[#This Row],[Aantal]]),"",ROUND(TInspectieB[[#This Row],[Kengetal]]*TInspectieB[[#This Row],[Aantal]],-1))</f>
        <v/>
      </c>
      <c r="AA165" s="422" t="str">
        <f>IF(TInspectieB[[#This Row],[Vak-groep]]="","1",VLOOKUP(C165,$J$2:$K$7,2,FALSE))</f>
        <v>1</v>
      </c>
      <c r="AB165" s="423" t="str">
        <f>CONCATENATE(TInspectieB[[#This Row],[Soort gebrek]],TInspectieB[[#This Row],[Trede]])</f>
        <v>1</v>
      </c>
      <c r="AC165" s="413" t="e">
        <v>#N/A</v>
      </c>
      <c r="AD165" s="413" t="e">
        <v>#N/A</v>
      </c>
      <c r="AE165" s="424">
        <v>0</v>
      </c>
    </row>
    <row r="166" spans="1:31" ht="10.5" x14ac:dyDescent="0.25">
      <c r="A166" s="337" t="str" cm="1">
        <f t="array" ref="A166">IFERROR(INDEX(TInventB[UVID],ROUNDDOWN((ROW(A157)+1)/2,0)),"")</f>
        <v/>
      </c>
      <c r="B166" s="410" t="str">
        <f>IF(TInspectieB[[#This Row],[UVID]]="","",VLOOKUP(TInspectieB[[#This Row],[UVID]],TInventB[],2,FALSE))</f>
        <v/>
      </c>
      <c r="C166" s="365" t="str">
        <f>IF(TInspectieB[[#This Row],[UVID]]="","",VLOOKUP(TInspectieB[[#This Row],[UVID]],TInventB[],11,FALSE))</f>
        <v/>
      </c>
      <c r="D166" s="411" t="str">
        <f>IF(TInspectieB[[#This Row],[UVID]]="","",VLOOKUP(TInspectieB[[#This Row],[UVID]],TInventB[],3,FALSE))</f>
        <v/>
      </c>
      <c r="E166" s="338" t="str">
        <f>IF(TInspectieB[[#This Row],[Omschrijving bouwdeel]]="","",IF(MOD(ROW()-2,2)=0,"O",IF(TRIM(TInspectieB[[#This Row],[Code Bouwdeeltype]])="312010","O","E")))</f>
        <v/>
      </c>
      <c r="F166" s="412"/>
      <c r="G166" s="413" t="str">
        <f>IF(ISBLANK(TInspectieB[[#This Row],[Soort gebrek]]),"",VLOOKUP(TInspectieB[[#This Row],[Soort gebrek]],TSoortGebrek[#Data],3,FALSE))</f>
        <v/>
      </c>
      <c r="H166" s="413" t="str">
        <f>IF(ISBLANK(TInspectieB[[#This Row],[Soort gebrek]]),"",VLOOKUP(TInspectieB[[#This Row],[Soort gebrek]],TSoortGebrek[#Data],2,FALSE))</f>
        <v/>
      </c>
      <c r="I166" s="413" t="str">
        <f>IF(TInspectieB[[#This Row],[Soort gebrek]]=0,"",VLOOKUP(TInspectieB[[#This Row],[Soort gebrek]],TSoortGebrek[],4,FALSE))</f>
        <v/>
      </c>
      <c r="J166" s="425"/>
      <c r="K166" s="415" t="str">
        <f>IF(TInspectieB[[#This Row],[Soort gebrek]]=0,"",VLOOKUP(TInspectieB[[#This Row],[Combi]],TPrio[#Data],2,FALSE))</f>
        <v/>
      </c>
      <c r="L166" s="339"/>
      <c r="M166" s="416" t="str">
        <f>IF(ISBLANK(TInspectieB[[#This Row],[Gebrek nr.]]),"",TInspectieB[[#This Row],[UVID]]&amp;"-"&amp;TInspectieB[[#This Row],[Gebrek nr.]])</f>
        <v/>
      </c>
      <c r="N166" s="417"/>
      <c r="O166" s="651"/>
      <c r="P166" s="206"/>
      <c r="Q166" s="193"/>
      <c r="R166" s="206"/>
      <c r="S166" s="206"/>
      <c r="T166" s="206"/>
      <c r="U166" s="206"/>
      <c r="V166" s="206"/>
      <c r="W166" s="419"/>
      <c r="X166" s="340"/>
      <c r="Y166" s="420"/>
      <c r="Z166" s="421" t="str">
        <f>IF(ISBLANK(TInspectieB[[#This Row],[Aantal]]),"",ROUND(TInspectieB[[#This Row],[Kengetal]]*TInspectieB[[#This Row],[Aantal]],-1))</f>
        <v/>
      </c>
      <c r="AA166" s="422" t="str">
        <f>IF(TInspectieB[[#This Row],[Vak-groep]]="","1",VLOOKUP(C166,$J$2:$K$7,2,FALSE))</f>
        <v>1</v>
      </c>
      <c r="AB166" s="423" t="str">
        <f>CONCATENATE(TInspectieB[[#This Row],[Soort gebrek]],TInspectieB[[#This Row],[Trede]])</f>
        <v>1</v>
      </c>
      <c r="AC166" s="413" t="e">
        <v>#N/A</v>
      </c>
      <c r="AD166" s="413" t="e">
        <v>#N/A</v>
      </c>
      <c r="AE166" s="424">
        <v>0</v>
      </c>
    </row>
    <row r="167" spans="1:31" ht="10.5" x14ac:dyDescent="0.25">
      <c r="A167" s="337" t="str" cm="1">
        <f t="array" ref="A167">IFERROR(INDEX(TInventB[UVID],ROUNDDOWN((ROW(A158)+1)/2,0)),"")</f>
        <v/>
      </c>
      <c r="B167" s="410" t="str">
        <f>IF(TInspectieB[[#This Row],[UVID]]="","",VLOOKUP(TInspectieB[[#This Row],[UVID]],TInventB[],2,FALSE))</f>
        <v/>
      </c>
      <c r="C167" s="365" t="str">
        <f>IF(TInspectieB[[#This Row],[UVID]]="","",VLOOKUP(TInspectieB[[#This Row],[UVID]],TInventB[],11,FALSE))</f>
        <v/>
      </c>
      <c r="D167" s="411" t="str">
        <f>IF(TInspectieB[[#This Row],[UVID]]="","",VLOOKUP(TInspectieB[[#This Row],[UVID]],TInventB[],3,FALSE))</f>
        <v/>
      </c>
      <c r="E167" s="338" t="str">
        <f>IF(TInspectieB[[#This Row],[Omschrijving bouwdeel]]="","",IF(MOD(ROW()-2,2)=0,"O",IF(TRIM(TInspectieB[[#This Row],[Code Bouwdeeltype]])="312010","O","E")))</f>
        <v/>
      </c>
      <c r="F167" s="412"/>
      <c r="G167" s="413" t="str">
        <f>IF(ISBLANK(TInspectieB[[#This Row],[Soort gebrek]]),"",VLOOKUP(TInspectieB[[#This Row],[Soort gebrek]],TSoortGebrek[#Data],3,FALSE))</f>
        <v/>
      </c>
      <c r="H167" s="413" t="str">
        <f>IF(ISBLANK(TInspectieB[[#This Row],[Soort gebrek]]),"",VLOOKUP(TInspectieB[[#This Row],[Soort gebrek]],TSoortGebrek[#Data],2,FALSE))</f>
        <v/>
      </c>
      <c r="I167" s="413" t="str">
        <f>IF(TInspectieB[[#This Row],[Soort gebrek]]=0,"",VLOOKUP(TInspectieB[[#This Row],[Soort gebrek]],TSoortGebrek[],4,FALSE))</f>
        <v/>
      </c>
      <c r="J167" s="425"/>
      <c r="K167" s="415" t="str">
        <f>IF(TInspectieB[[#This Row],[Soort gebrek]]=0,"",VLOOKUP(TInspectieB[[#This Row],[Combi]],TPrio[#Data],2,FALSE))</f>
        <v/>
      </c>
      <c r="L167" s="339"/>
      <c r="M167" s="416" t="str">
        <f>IF(ISBLANK(TInspectieB[[#This Row],[Gebrek nr.]]),"",TInspectieB[[#This Row],[UVID]]&amp;"-"&amp;TInspectieB[[#This Row],[Gebrek nr.]])</f>
        <v/>
      </c>
      <c r="N167" s="417"/>
      <c r="O167" s="651"/>
      <c r="P167" s="206"/>
      <c r="Q167" s="193"/>
      <c r="R167" s="206"/>
      <c r="S167" s="206"/>
      <c r="T167" s="206"/>
      <c r="U167" s="206"/>
      <c r="V167" s="206"/>
      <c r="W167" s="419"/>
      <c r="X167" s="340"/>
      <c r="Y167" s="420"/>
      <c r="Z167" s="421" t="str">
        <f>IF(ISBLANK(TInspectieB[[#This Row],[Aantal]]),"",ROUND(TInspectieB[[#This Row],[Kengetal]]*TInspectieB[[#This Row],[Aantal]],-1))</f>
        <v/>
      </c>
      <c r="AA167" s="422" t="str">
        <f>IF(TInspectieB[[#This Row],[Vak-groep]]="","1",VLOOKUP(C167,$J$2:$K$7,2,FALSE))</f>
        <v>1</v>
      </c>
      <c r="AB167" s="423" t="str">
        <f>CONCATENATE(TInspectieB[[#This Row],[Soort gebrek]],TInspectieB[[#This Row],[Trede]])</f>
        <v>1</v>
      </c>
      <c r="AC167" s="413" t="e">
        <v>#N/A</v>
      </c>
      <c r="AD167" s="413" t="e">
        <v>#N/A</v>
      </c>
      <c r="AE167" s="424">
        <v>0</v>
      </c>
    </row>
    <row r="168" spans="1:31" ht="10.5" x14ac:dyDescent="0.25">
      <c r="A168" s="337" t="str" cm="1">
        <f t="array" ref="A168">IFERROR(INDEX(TInventB[UVID],ROUNDDOWN((ROW(A159)+1)/2,0)),"")</f>
        <v/>
      </c>
      <c r="B168" s="410" t="str">
        <f>IF(TInspectieB[[#This Row],[UVID]]="","",VLOOKUP(TInspectieB[[#This Row],[UVID]],TInventB[],2,FALSE))</f>
        <v/>
      </c>
      <c r="C168" s="365" t="str">
        <f>IF(TInspectieB[[#This Row],[UVID]]="","",VLOOKUP(TInspectieB[[#This Row],[UVID]],TInventB[],11,FALSE))</f>
        <v/>
      </c>
      <c r="D168" s="411" t="str">
        <f>IF(TInspectieB[[#This Row],[UVID]]="","",VLOOKUP(TInspectieB[[#This Row],[UVID]],TInventB[],3,FALSE))</f>
        <v/>
      </c>
      <c r="E168" s="338" t="str">
        <f>IF(TInspectieB[[#This Row],[Omschrijving bouwdeel]]="","",IF(MOD(ROW()-2,2)=0,"O",IF(TRIM(TInspectieB[[#This Row],[Code Bouwdeeltype]])="312010","O","E")))</f>
        <v/>
      </c>
      <c r="F168" s="412"/>
      <c r="G168" s="413" t="str">
        <f>IF(ISBLANK(TInspectieB[[#This Row],[Soort gebrek]]),"",VLOOKUP(TInspectieB[[#This Row],[Soort gebrek]],TSoortGebrek[#Data],3,FALSE))</f>
        <v/>
      </c>
      <c r="H168" s="413" t="str">
        <f>IF(ISBLANK(TInspectieB[[#This Row],[Soort gebrek]]),"",VLOOKUP(TInspectieB[[#This Row],[Soort gebrek]],TSoortGebrek[#Data],2,FALSE))</f>
        <v/>
      </c>
      <c r="I168" s="413" t="str">
        <f>IF(TInspectieB[[#This Row],[Soort gebrek]]=0,"",VLOOKUP(TInspectieB[[#This Row],[Soort gebrek]],TSoortGebrek[],4,FALSE))</f>
        <v/>
      </c>
      <c r="J168" s="425"/>
      <c r="K168" s="415" t="str">
        <f>IF(TInspectieB[[#This Row],[Soort gebrek]]=0,"",VLOOKUP(TInspectieB[[#This Row],[Combi]],TPrio[#Data],2,FALSE))</f>
        <v/>
      </c>
      <c r="L168" s="339"/>
      <c r="M168" s="416" t="str">
        <f>IF(ISBLANK(TInspectieB[[#This Row],[Gebrek nr.]]),"",TInspectieB[[#This Row],[UVID]]&amp;"-"&amp;TInspectieB[[#This Row],[Gebrek nr.]])</f>
        <v/>
      </c>
      <c r="N168" s="417"/>
      <c r="O168" s="651"/>
      <c r="P168" s="206"/>
      <c r="Q168" s="193"/>
      <c r="R168" s="206"/>
      <c r="S168" s="206"/>
      <c r="T168" s="206"/>
      <c r="U168" s="206"/>
      <c r="V168" s="206"/>
      <c r="W168" s="419"/>
      <c r="X168" s="340"/>
      <c r="Y168" s="420"/>
      <c r="Z168" s="421" t="str">
        <f>IF(ISBLANK(TInspectieB[[#This Row],[Aantal]]),"",ROUND(TInspectieB[[#This Row],[Kengetal]]*TInspectieB[[#This Row],[Aantal]],-1))</f>
        <v/>
      </c>
      <c r="AA168" s="422" t="str">
        <f>IF(TInspectieB[[#This Row],[Vak-groep]]="","1",VLOOKUP(C168,$J$2:$K$7,2,FALSE))</f>
        <v>1</v>
      </c>
      <c r="AB168" s="423" t="str">
        <f>CONCATENATE(TInspectieB[[#This Row],[Soort gebrek]],TInspectieB[[#This Row],[Trede]])</f>
        <v>1</v>
      </c>
      <c r="AC168" s="413" t="e">
        <v>#N/A</v>
      </c>
      <c r="AD168" s="413" t="e">
        <v>#N/A</v>
      </c>
      <c r="AE168" s="424">
        <v>0</v>
      </c>
    </row>
    <row r="169" spans="1:31" ht="10.5" x14ac:dyDescent="0.25">
      <c r="A169" s="337" t="str" cm="1">
        <f t="array" ref="A169">IFERROR(INDEX(TInventB[UVID],ROUNDDOWN((ROW(A160)+1)/2,0)),"")</f>
        <v/>
      </c>
      <c r="B169" s="410" t="str">
        <f>IF(TInspectieB[[#This Row],[UVID]]="","",VLOOKUP(TInspectieB[[#This Row],[UVID]],TInventB[],2,FALSE))</f>
        <v/>
      </c>
      <c r="C169" s="365" t="str">
        <f>IF(TInspectieB[[#This Row],[UVID]]="","",VLOOKUP(TInspectieB[[#This Row],[UVID]],TInventB[],11,FALSE))</f>
        <v/>
      </c>
      <c r="D169" s="411" t="str">
        <f>IF(TInspectieB[[#This Row],[UVID]]="","",VLOOKUP(TInspectieB[[#This Row],[UVID]],TInventB[],3,FALSE))</f>
        <v/>
      </c>
      <c r="E169" s="338" t="str">
        <f>IF(TInspectieB[[#This Row],[Omschrijving bouwdeel]]="","",IF(MOD(ROW()-2,2)=0,"O",IF(TRIM(TInspectieB[[#This Row],[Code Bouwdeeltype]])="312010","O","E")))</f>
        <v/>
      </c>
      <c r="F169" s="412"/>
      <c r="G169" s="413" t="str">
        <f>IF(ISBLANK(TInspectieB[[#This Row],[Soort gebrek]]),"",VLOOKUP(TInspectieB[[#This Row],[Soort gebrek]],TSoortGebrek[#Data],3,FALSE))</f>
        <v/>
      </c>
      <c r="H169" s="413" t="str">
        <f>IF(ISBLANK(TInspectieB[[#This Row],[Soort gebrek]]),"",VLOOKUP(TInspectieB[[#This Row],[Soort gebrek]],TSoortGebrek[#Data],2,FALSE))</f>
        <v/>
      </c>
      <c r="I169" s="413" t="str">
        <f>IF(TInspectieB[[#This Row],[Soort gebrek]]=0,"",VLOOKUP(TInspectieB[[#This Row],[Soort gebrek]],TSoortGebrek[],4,FALSE))</f>
        <v/>
      </c>
      <c r="J169" s="425"/>
      <c r="K169" s="415" t="str">
        <f>IF(TInspectieB[[#This Row],[Soort gebrek]]=0,"",VLOOKUP(TInspectieB[[#This Row],[Combi]],TPrio[#Data],2,FALSE))</f>
        <v/>
      </c>
      <c r="L169" s="339"/>
      <c r="M169" s="416" t="str">
        <f>IF(ISBLANK(TInspectieB[[#This Row],[Gebrek nr.]]),"",TInspectieB[[#This Row],[UVID]]&amp;"-"&amp;TInspectieB[[#This Row],[Gebrek nr.]])</f>
        <v/>
      </c>
      <c r="N169" s="417"/>
      <c r="O169" s="651"/>
      <c r="P169" s="206"/>
      <c r="Q169" s="193"/>
      <c r="R169" s="206"/>
      <c r="S169" s="206"/>
      <c r="T169" s="206"/>
      <c r="U169" s="206"/>
      <c r="V169" s="206"/>
      <c r="W169" s="419"/>
      <c r="X169" s="340"/>
      <c r="Y169" s="420"/>
      <c r="Z169" s="421" t="str">
        <f>IF(ISBLANK(TInspectieB[[#This Row],[Aantal]]),"",ROUND(TInspectieB[[#This Row],[Kengetal]]*TInspectieB[[#This Row],[Aantal]],-1))</f>
        <v/>
      </c>
      <c r="AA169" s="422" t="str">
        <f>IF(TInspectieB[[#This Row],[Vak-groep]]="","1",VLOOKUP(C169,$J$2:$K$7,2,FALSE))</f>
        <v>1</v>
      </c>
      <c r="AB169" s="423" t="str">
        <f>CONCATENATE(TInspectieB[[#This Row],[Soort gebrek]],TInspectieB[[#This Row],[Trede]])</f>
        <v>1</v>
      </c>
      <c r="AC169" s="413" t="e">
        <v>#N/A</v>
      </c>
      <c r="AD169" s="413" t="e">
        <v>#N/A</v>
      </c>
      <c r="AE169" s="424">
        <v>0</v>
      </c>
    </row>
    <row r="170" spans="1:31" ht="10.5" x14ac:dyDescent="0.25">
      <c r="A170" s="337" t="str" cm="1">
        <f t="array" ref="A170">IFERROR(INDEX(TInventB[UVID],ROUNDDOWN((ROW(A161)+1)/2,0)),"")</f>
        <v/>
      </c>
      <c r="B170" s="410" t="str">
        <f>IF(TInspectieB[[#This Row],[UVID]]="","",VLOOKUP(TInspectieB[[#This Row],[UVID]],TInventB[],2,FALSE))</f>
        <v/>
      </c>
      <c r="C170" s="365" t="str">
        <f>IF(TInspectieB[[#This Row],[UVID]]="","",VLOOKUP(TInspectieB[[#This Row],[UVID]],TInventB[],11,FALSE))</f>
        <v/>
      </c>
      <c r="D170" s="411" t="str">
        <f>IF(TInspectieB[[#This Row],[UVID]]="","",VLOOKUP(TInspectieB[[#This Row],[UVID]],TInventB[],3,FALSE))</f>
        <v/>
      </c>
      <c r="E170" s="338" t="str">
        <f>IF(TInspectieB[[#This Row],[Omschrijving bouwdeel]]="","",IF(MOD(ROW()-2,2)=0,"O",IF(TRIM(TInspectieB[[#This Row],[Code Bouwdeeltype]])="312010","O","E")))</f>
        <v/>
      </c>
      <c r="F170" s="412"/>
      <c r="G170" s="413" t="str">
        <f>IF(ISBLANK(TInspectieB[[#This Row],[Soort gebrek]]),"",VLOOKUP(TInspectieB[[#This Row],[Soort gebrek]],TSoortGebrek[#Data],3,FALSE))</f>
        <v/>
      </c>
      <c r="H170" s="413" t="str">
        <f>IF(ISBLANK(TInspectieB[[#This Row],[Soort gebrek]]),"",VLOOKUP(TInspectieB[[#This Row],[Soort gebrek]],TSoortGebrek[#Data],2,FALSE))</f>
        <v/>
      </c>
      <c r="I170" s="413" t="str">
        <f>IF(TInspectieB[[#This Row],[Soort gebrek]]=0,"",VLOOKUP(TInspectieB[[#This Row],[Soort gebrek]],TSoortGebrek[],4,FALSE))</f>
        <v/>
      </c>
      <c r="J170" s="425"/>
      <c r="K170" s="415" t="str">
        <f>IF(TInspectieB[[#This Row],[Soort gebrek]]=0,"",VLOOKUP(TInspectieB[[#This Row],[Combi]],TPrio[#Data],2,FALSE))</f>
        <v/>
      </c>
      <c r="L170" s="339"/>
      <c r="M170" s="416" t="str">
        <f>IF(ISBLANK(TInspectieB[[#This Row],[Gebrek nr.]]),"",TInspectieB[[#This Row],[UVID]]&amp;"-"&amp;TInspectieB[[#This Row],[Gebrek nr.]])</f>
        <v/>
      </c>
      <c r="N170" s="417"/>
      <c r="O170" s="651"/>
      <c r="P170" s="206"/>
      <c r="Q170" s="193"/>
      <c r="R170" s="206"/>
      <c r="S170" s="206"/>
      <c r="T170" s="206"/>
      <c r="U170" s="206"/>
      <c r="V170" s="206"/>
      <c r="W170" s="419"/>
      <c r="X170" s="340"/>
      <c r="Y170" s="420"/>
      <c r="Z170" s="421" t="str">
        <f>IF(ISBLANK(TInspectieB[[#This Row],[Aantal]]),"",ROUND(TInspectieB[[#This Row],[Kengetal]]*TInspectieB[[#This Row],[Aantal]],-1))</f>
        <v/>
      </c>
      <c r="AA170" s="422" t="str">
        <f>IF(TInspectieB[[#This Row],[Vak-groep]]="","1",VLOOKUP(C170,$J$2:$K$7,2,FALSE))</f>
        <v>1</v>
      </c>
      <c r="AB170" s="423" t="str">
        <f>CONCATENATE(TInspectieB[[#This Row],[Soort gebrek]],TInspectieB[[#This Row],[Trede]])</f>
        <v>1</v>
      </c>
      <c r="AC170" s="413" t="e">
        <v>#N/A</v>
      </c>
      <c r="AD170" s="413" t="e">
        <v>#N/A</v>
      </c>
      <c r="AE170" s="424">
        <v>0</v>
      </c>
    </row>
    <row r="171" spans="1:31" ht="10.5" x14ac:dyDescent="0.25">
      <c r="A171" s="337" t="str" cm="1">
        <f t="array" ref="A171">IFERROR(INDEX(TInventB[UVID],ROUNDDOWN((ROW(A162)+1)/2,0)),"")</f>
        <v/>
      </c>
      <c r="B171" s="410" t="str">
        <f>IF(TInspectieB[[#This Row],[UVID]]="","",VLOOKUP(TInspectieB[[#This Row],[UVID]],TInventB[],2,FALSE))</f>
        <v/>
      </c>
      <c r="C171" s="365" t="str">
        <f>IF(TInspectieB[[#This Row],[UVID]]="","",VLOOKUP(TInspectieB[[#This Row],[UVID]],TInventB[],11,FALSE))</f>
        <v/>
      </c>
      <c r="D171" s="411" t="str">
        <f>IF(TInspectieB[[#This Row],[UVID]]="","",VLOOKUP(TInspectieB[[#This Row],[UVID]],TInventB[],3,FALSE))</f>
        <v/>
      </c>
      <c r="E171" s="338" t="str">
        <f>IF(TInspectieB[[#This Row],[Omschrijving bouwdeel]]="","",IF(MOD(ROW()-2,2)=0,"O",IF(TRIM(TInspectieB[[#This Row],[Code Bouwdeeltype]])="312010","O","E")))</f>
        <v/>
      </c>
      <c r="F171" s="412"/>
      <c r="G171" s="413" t="str">
        <f>IF(ISBLANK(TInspectieB[[#This Row],[Soort gebrek]]),"",VLOOKUP(TInspectieB[[#This Row],[Soort gebrek]],TSoortGebrek[#Data],3,FALSE))</f>
        <v/>
      </c>
      <c r="H171" s="413" t="str">
        <f>IF(ISBLANK(TInspectieB[[#This Row],[Soort gebrek]]),"",VLOOKUP(TInspectieB[[#This Row],[Soort gebrek]],TSoortGebrek[#Data],2,FALSE))</f>
        <v/>
      </c>
      <c r="I171" s="413" t="str">
        <f>IF(TInspectieB[[#This Row],[Soort gebrek]]=0,"",VLOOKUP(TInspectieB[[#This Row],[Soort gebrek]],TSoortGebrek[],4,FALSE))</f>
        <v/>
      </c>
      <c r="J171" s="425"/>
      <c r="K171" s="415" t="str">
        <f>IF(TInspectieB[[#This Row],[Soort gebrek]]=0,"",VLOOKUP(TInspectieB[[#This Row],[Combi]],TPrio[#Data],2,FALSE))</f>
        <v/>
      </c>
      <c r="L171" s="339"/>
      <c r="M171" s="416" t="str">
        <f>IF(ISBLANK(TInspectieB[[#This Row],[Gebrek nr.]]),"",TInspectieB[[#This Row],[UVID]]&amp;"-"&amp;TInspectieB[[#This Row],[Gebrek nr.]])</f>
        <v/>
      </c>
      <c r="N171" s="417"/>
      <c r="O171" s="651"/>
      <c r="P171" s="206"/>
      <c r="Q171" s="193"/>
      <c r="R171" s="206"/>
      <c r="S171" s="206"/>
      <c r="T171" s="206"/>
      <c r="U171" s="206"/>
      <c r="V171" s="206"/>
      <c r="W171" s="419"/>
      <c r="X171" s="340"/>
      <c r="Y171" s="420"/>
      <c r="Z171" s="421" t="str">
        <f>IF(ISBLANK(TInspectieB[[#This Row],[Aantal]]),"",ROUND(TInspectieB[[#This Row],[Kengetal]]*TInspectieB[[#This Row],[Aantal]],-1))</f>
        <v/>
      </c>
      <c r="AA171" s="422" t="str">
        <f>IF(TInspectieB[[#This Row],[Vak-groep]]="","1",VLOOKUP(C171,$J$2:$K$7,2,FALSE))</f>
        <v>1</v>
      </c>
      <c r="AB171" s="423" t="str">
        <f>CONCATENATE(TInspectieB[[#This Row],[Soort gebrek]],TInspectieB[[#This Row],[Trede]])</f>
        <v>1</v>
      </c>
      <c r="AC171" s="413" t="e">
        <v>#N/A</v>
      </c>
      <c r="AD171" s="413" t="e">
        <v>#N/A</v>
      </c>
      <c r="AE171" s="424">
        <v>0</v>
      </c>
    </row>
    <row r="172" spans="1:31" ht="10.5" x14ac:dyDescent="0.25">
      <c r="A172" s="337" t="str" cm="1">
        <f t="array" ref="A172">IFERROR(INDEX(TInventB[UVID],ROUNDDOWN((ROW(A163)+1)/2,0)),"")</f>
        <v/>
      </c>
      <c r="B172" s="410" t="str">
        <f>IF(TInspectieB[[#This Row],[UVID]]="","",VLOOKUP(TInspectieB[[#This Row],[UVID]],TInventB[],2,FALSE))</f>
        <v/>
      </c>
      <c r="C172" s="365" t="str">
        <f>IF(TInspectieB[[#This Row],[UVID]]="","",VLOOKUP(TInspectieB[[#This Row],[UVID]],TInventB[],11,FALSE))</f>
        <v/>
      </c>
      <c r="D172" s="411" t="str">
        <f>IF(TInspectieB[[#This Row],[UVID]]="","",VLOOKUP(TInspectieB[[#This Row],[UVID]],TInventB[],3,FALSE))</f>
        <v/>
      </c>
      <c r="E172" s="338" t="str">
        <f>IF(TInspectieB[[#This Row],[Omschrijving bouwdeel]]="","",IF(MOD(ROW()-2,2)=0,"O",IF(TRIM(TInspectieB[[#This Row],[Code Bouwdeeltype]])="312010","O","E")))</f>
        <v/>
      </c>
      <c r="F172" s="412"/>
      <c r="G172" s="413" t="str">
        <f>IF(ISBLANK(TInspectieB[[#This Row],[Soort gebrek]]),"",VLOOKUP(TInspectieB[[#This Row],[Soort gebrek]],TSoortGebrek[#Data],3,FALSE))</f>
        <v/>
      </c>
      <c r="H172" s="413" t="str">
        <f>IF(ISBLANK(TInspectieB[[#This Row],[Soort gebrek]]),"",VLOOKUP(TInspectieB[[#This Row],[Soort gebrek]],TSoortGebrek[#Data],2,FALSE))</f>
        <v/>
      </c>
      <c r="I172" s="413" t="str">
        <f>IF(TInspectieB[[#This Row],[Soort gebrek]]=0,"",VLOOKUP(TInspectieB[[#This Row],[Soort gebrek]],TSoortGebrek[],4,FALSE))</f>
        <v/>
      </c>
      <c r="J172" s="425"/>
      <c r="K172" s="415" t="str">
        <f>IF(TInspectieB[[#This Row],[Soort gebrek]]=0,"",VLOOKUP(TInspectieB[[#This Row],[Combi]],TPrio[#Data],2,FALSE))</f>
        <v/>
      </c>
      <c r="L172" s="339"/>
      <c r="M172" s="416" t="str">
        <f>IF(ISBLANK(TInspectieB[[#This Row],[Gebrek nr.]]),"",TInspectieB[[#This Row],[UVID]]&amp;"-"&amp;TInspectieB[[#This Row],[Gebrek nr.]])</f>
        <v/>
      </c>
      <c r="N172" s="417"/>
      <c r="O172" s="651"/>
      <c r="P172" s="206"/>
      <c r="Q172" s="193"/>
      <c r="R172" s="206"/>
      <c r="S172" s="206"/>
      <c r="T172" s="206"/>
      <c r="U172" s="206"/>
      <c r="V172" s="206"/>
      <c r="W172" s="419"/>
      <c r="X172" s="340"/>
      <c r="Y172" s="420"/>
      <c r="Z172" s="421" t="str">
        <f>IF(ISBLANK(TInspectieB[[#This Row],[Aantal]]),"",ROUND(TInspectieB[[#This Row],[Kengetal]]*TInspectieB[[#This Row],[Aantal]],-1))</f>
        <v/>
      </c>
      <c r="AA172" s="422" t="str">
        <f>IF(TInspectieB[[#This Row],[Vak-groep]]="","1",VLOOKUP(C172,$J$2:$K$7,2,FALSE))</f>
        <v>1</v>
      </c>
      <c r="AB172" s="423" t="str">
        <f>CONCATENATE(TInspectieB[[#This Row],[Soort gebrek]],TInspectieB[[#This Row],[Trede]])</f>
        <v>1</v>
      </c>
      <c r="AC172" s="413" t="e">
        <v>#N/A</v>
      </c>
      <c r="AD172" s="413" t="e">
        <v>#N/A</v>
      </c>
      <c r="AE172" s="424">
        <v>0</v>
      </c>
    </row>
    <row r="173" spans="1:31" ht="10.5" x14ac:dyDescent="0.25">
      <c r="A173" s="337" t="str" cm="1">
        <f t="array" ref="A173">IFERROR(INDEX(TInventB[UVID],ROUNDDOWN((ROW(A164)+1)/2,0)),"")</f>
        <v/>
      </c>
      <c r="B173" s="410" t="str">
        <f>IF(TInspectieB[[#This Row],[UVID]]="","",VLOOKUP(TInspectieB[[#This Row],[UVID]],TInventB[],2,FALSE))</f>
        <v/>
      </c>
      <c r="C173" s="365" t="str">
        <f>IF(TInspectieB[[#This Row],[UVID]]="","",VLOOKUP(TInspectieB[[#This Row],[UVID]],TInventB[],11,FALSE))</f>
        <v/>
      </c>
      <c r="D173" s="411" t="str">
        <f>IF(TInspectieB[[#This Row],[UVID]]="","",VLOOKUP(TInspectieB[[#This Row],[UVID]],TInventB[],3,FALSE))</f>
        <v/>
      </c>
      <c r="E173" s="338" t="str">
        <f>IF(TInspectieB[[#This Row],[Omschrijving bouwdeel]]="","",IF(MOD(ROW()-2,2)=0,"O",IF(TRIM(TInspectieB[[#This Row],[Code Bouwdeeltype]])="312010","O","E")))</f>
        <v/>
      </c>
      <c r="F173" s="412"/>
      <c r="G173" s="413" t="str">
        <f>IF(ISBLANK(TInspectieB[[#This Row],[Soort gebrek]]),"",VLOOKUP(TInspectieB[[#This Row],[Soort gebrek]],TSoortGebrek[#Data],3,FALSE))</f>
        <v/>
      </c>
      <c r="H173" s="413" t="str">
        <f>IF(ISBLANK(TInspectieB[[#This Row],[Soort gebrek]]),"",VLOOKUP(TInspectieB[[#This Row],[Soort gebrek]],TSoortGebrek[#Data],2,FALSE))</f>
        <v/>
      </c>
      <c r="I173" s="413" t="str">
        <f>IF(TInspectieB[[#This Row],[Soort gebrek]]=0,"",VLOOKUP(TInspectieB[[#This Row],[Soort gebrek]],TSoortGebrek[],4,FALSE))</f>
        <v/>
      </c>
      <c r="J173" s="425"/>
      <c r="K173" s="415" t="str">
        <f>IF(TInspectieB[[#This Row],[Soort gebrek]]=0,"",VLOOKUP(TInspectieB[[#This Row],[Combi]],TPrio[#Data],2,FALSE))</f>
        <v/>
      </c>
      <c r="L173" s="339"/>
      <c r="M173" s="416" t="str">
        <f>IF(ISBLANK(TInspectieB[[#This Row],[Gebrek nr.]]),"",TInspectieB[[#This Row],[UVID]]&amp;"-"&amp;TInspectieB[[#This Row],[Gebrek nr.]])</f>
        <v/>
      </c>
      <c r="N173" s="417"/>
      <c r="O173" s="651"/>
      <c r="P173" s="206"/>
      <c r="Q173" s="193"/>
      <c r="R173" s="206"/>
      <c r="S173" s="206"/>
      <c r="T173" s="206"/>
      <c r="U173" s="206"/>
      <c r="V173" s="206"/>
      <c r="W173" s="419"/>
      <c r="X173" s="340"/>
      <c r="Y173" s="420"/>
      <c r="Z173" s="421" t="str">
        <f>IF(ISBLANK(TInspectieB[[#This Row],[Aantal]]),"",ROUND(TInspectieB[[#This Row],[Kengetal]]*TInspectieB[[#This Row],[Aantal]],-1))</f>
        <v/>
      </c>
      <c r="AA173" s="422" t="str">
        <f>IF(TInspectieB[[#This Row],[Vak-groep]]="","1",VLOOKUP(C173,$J$2:$K$7,2,FALSE))</f>
        <v>1</v>
      </c>
      <c r="AB173" s="423" t="str">
        <f>CONCATENATE(TInspectieB[[#This Row],[Soort gebrek]],TInspectieB[[#This Row],[Trede]])</f>
        <v>1</v>
      </c>
      <c r="AC173" s="413" t="e">
        <v>#N/A</v>
      </c>
      <c r="AD173" s="413" t="e">
        <v>#N/A</v>
      </c>
      <c r="AE173" s="424">
        <v>0</v>
      </c>
    </row>
    <row r="174" spans="1:31" ht="10.5" x14ac:dyDescent="0.25">
      <c r="A174" s="337" t="str" cm="1">
        <f t="array" ref="A174">IFERROR(INDEX(TInventB[UVID],ROUNDDOWN((ROW(A165)+1)/2,0)),"")</f>
        <v/>
      </c>
      <c r="B174" s="410" t="str">
        <f>IF(TInspectieB[[#This Row],[UVID]]="","",VLOOKUP(TInspectieB[[#This Row],[UVID]],TInventB[],2,FALSE))</f>
        <v/>
      </c>
      <c r="C174" s="365" t="str">
        <f>IF(TInspectieB[[#This Row],[UVID]]="","",VLOOKUP(TInspectieB[[#This Row],[UVID]],TInventB[],11,FALSE))</f>
        <v/>
      </c>
      <c r="D174" s="411" t="str">
        <f>IF(TInspectieB[[#This Row],[UVID]]="","",VLOOKUP(TInspectieB[[#This Row],[UVID]],TInventB[],3,FALSE))</f>
        <v/>
      </c>
      <c r="E174" s="338" t="str">
        <f>IF(TInspectieB[[#This Row],[Omschrijving bouwdeel]]="","",IF(MOD(ROW()-2,2)=0,"O",IF(TRIM(TInspectieB[[#This Row],[Code Bouwdeeltype]])="312010","O","E")))</f>
        <v/>
      </c>
      <c r="F174" s="412"/>
      <c r="G174" s="413" t="str">
        <f>IF(ISBLANK(TInspectieB[[#This Row],[Soort gebrek]]),"",VLOOKUP(TInspectieB[[#This Row],[Soort gebrek]],TSoortGebrek[#Data],3,FALSE))</f>
        <v/>
      </c>
      <c r="H174" s="413" t="str">
        <f>IF(ISBLANK(TInspectieB[[#This Row],[Soort gebrek]]),"",VLOOKUP(TInspectieB[[#This Row],[Soort gebrek]],TSoortGebrek[#Data],2,FALSE))</f>
        <v/>
      </c>
      <c r="I174" s="413" t="str">
        <f>IF(TInspectieB[[#This Row],[Soort gebrek]]=0,"",VLOOKUP(TInspectieB[[#This Row],[Soort gebrek]],TSoortGebrek[],4,FALSE))</f>
        <v/>
      </c>
      <c r="J174" s="425"/>
      <c r="K174" s="415" t="str">
        <f>IF(TInspectieB[[#This Row],[Soort gebrek]]=0,"",VLOOKUP(TInspectieB[[#This Row],[Combi]],TPrio[#Data],2,FALSE))</f>
        <v/>
      </c>
      <c r="L174" s="339"/>
      <c r="M174" s="416" t="str">
        <f>IF(ISBLANK(TInspectieB[[#This Row],[Gebrek nr.]]),"",TInspectieB[[#This Row],[UVID]]&amp;"-"&amp;TInspectieB[[#This Row],[Gebrek nr.]])</f>
        <v/>
      </c>
      <c r="N174" s="417"/>
      <c r="O174" s="651"/>
      <c r="P174" s="206"/>
      <c r="Q174" s="193"/>
      <c r="R174" s="206"/>
      <c r="S174" s="206"/>
      <c r="T174" s="206"/>
      <c r="U174" s="206"/>
      <c r="V174" s="206"/>
      <c r="W174" s="419"/>
      <c r="X174" s="340"/>
      <c r="Y174" s="420"/>
      <c r="Z174" s="421" t="str">
        <f>IF(ISBLANK(TInspectieB[[#This Row],[Aantal]]),"",ROUND(TInspectieB[[#This Row],[Kengetal]]*TInspectieB[[#This Row],[Aantal]],-1))</f>
        <v/>
      </c>
      <c r="AA174" s="422" t="str">
        <f>IF(TInspectieB[[#This Row],[Vak-groep]]="","1",VLOOKUP(C174,$J$2:$K$7,2,FALSE))</f>
        <v>1</v>
      </c>
      <c r="AB174" s="423" t="str">
        <f>CONCATENATE(TInspectieB[[#This Row],[Soort gebrek]],TInspectieB[[#This Row],[Trede]])</f>
        <v>1</v>
      </c>
      <c r="AC174" s="413" t="e">
        <v>#N/A</v>
      </c>
      <c r="AD174" s="413" t="e">
        <v>#N/A</v>
      </c>
      <c r="AE174" s="424">
        <v>0</v>
      </c>
    </row>
    <row r="175" spans="1:31" ht="10.5" x14ac:dyDescent="0.25">
      <c r="A175" s="337" t="str" cm="1">
        <f t="array" ref="A175">IFERROR(INDEX(TInventB[UVID],ROUNDDOWN((ROW(A166)+1)/2,0)),"")</f>
        <v/>
      </c>
      <c r="B175" s="410" t="str">
        <f>IF(TInspectieB[[#This Row],[UVID]]="","",VLOOKUP(TInspectieB[[#This Row],[UVID]],TInventB[],2,FALSE))</f>
        <v/>
      </c>
      <c r="C175" s="365" t="str">
        <f>IF(TInspectieB[[#This Row],[UVID]]="","",VLOOKUP(TInspectieB[[#This Row],[UVID]],TInventB[],11,FALSE))</f>
        <v/>
      </c>
      <c r="D175" s="411" t="str">
        <f>IF(TInspectieB[[#This Row],[UVID]]="","",VLOOKUP(TInspectieB[[#This Row],[UVID]],TInventB[],3,FALSE))</f>
        <v/>
      </c>
      <c r="E175" s="338" t="str">
        <f>IF(TInspectieB[[#This Row],[Omschrijving bouwdeel]]="","",IF(MOD(ROW()-2,2)=0,"O",IF(TRIM(TInspectieB[[#This Row],[Code Bouwdeeltype]])="312010","O","E")))</f>
        <v/>
      </c>
      <c r="F175" s="412"/>
      <c r="G175" s="413" t="str">
        <f>IF(ISBLANK(TInspectieB[[#This Row],[Soort gebrek]]),"",VLOOKUP(TInspectieB[[#This Row],[Soort gebrek]],TSoortGebrek[#Data],3,FALSE))</f>
        <v/>
      </c>
      <c r="H175" s="413" t="str">
        <f>IF(ISBLANK(TInspectieB[[#This Row],[Soort gebrek]]),"",VLOOKUP(TInspectieB[[#This Row],[Soort gebrek]],TSoortGebrek[#Data],2,FALSE))</f>
        <v/>
      </c>
      <c r="I175" s="413" t="str">
        <f>IF(TInspectieB[[#This Row],[Soort gebrek]]=0,"",VLOOKUP(TInspectieB[[#This Row],[Soort gebrek]],TSoortGebrek[],4,FALSE))</f>
        <v/>
      </c>
      <c r="J175" s="425"/>
      <c r="K175" s="415" t="str">
        <f>IF(TInspectieB[[#This Row],[Soort gebrek]]=0,"",VLOOKUP(TInspectieB[[#This Row],[Combi]],TPrio[#Data],2,FALSE))</f>
        <v/>
      </c>
      <c r="L175" s="339"/>
      <c r="M175" s="416" t="str">
        <f>IF(ISBLANK(TInspectieB[[#This Row],[Gebrek nr.]]),"",TInspectieB[[#This Row],[UVID]]&amp;"-"&amp;TInspectieB[[#This Row],[Gebrek nr.]])</f>
        <v/>
      </c>
      <c r="N175" s="417"/>
      <c r="O175" s="651"/>
      <c r="P175" s="206"/>
      <c r="Q175" s="193"/>
      <c r="R175" s="206"/>
      <c r="S175" s="206"/>
      <c r="T175" s="206"/>
      <c r="U175" s="206"/>
      <c r="V175" s="206"/>
      <c r="W175" s="419"/>
      <c r="X175" s="340"/>
      <c r="Y175" s="420"/>
      <c r="Z175" s="421" t="str">
        <f>IF(ISBLANK(TInspectieB[[#This Row],[Aantal]]),"",ROUND(TInspectieB[[#This Row],[Kengetal]]*TInspectieB[[#This Row],[Aantal]],-1))</f>
        <v/>
      </c>
      <c r="AA175" s="422" t="str">
        <f>IF(TInspectieB[[#This Row],[Vak-groep]]="","1",VLOOKUP(C175,$J$2:$K$7,2,FALSE))</f>
        <v>1</v>
      </c>
      <c r="AB175" s="423" t="str">
        <f>CONCATENATE(TInspectieB[[#This Row],[Soort gebrek]],TInspectieB[[#This Row],[Trede]])</f>
        <v>1</v>
      </c>
      <c r="AC175" s="413" t="e">
        <v>#N/A</v>
      </c>
      <c r="AD175" s="413" t="e">
        <v>#N/A</v>
      </c>
      <c r="AE175" s="424">
        <v>0</v>
      </c>
    </row>
    <row r="176" spans="1:31" ht="10.5" x14ac:dyDescent="0.25">
      <c r="A176" s="337" t="str" cm="1">
        <f t="array" ref="A176">IFERROR(INDEX(TInventB[UVID],ROUNDDOWN((ROW(A167)+1)/2,0)),"")</f>
        <v/>
      </c>
      <c r="B176" s="410" t="str">
        <f>IF(TInspectieB[[#This Row],[UVID]]="","",VLOOKUP(TInspectieB[[#This Row],[UVID]],TInventB[],2,FALSE))</f>
        <v/>
      </c>
      <c r="C176" s="365" t="str">
        <f>IF(TInspectieB[[#This Row],[UVID]]="","",VLOOKUP(TInspectieB[[#This Row],[UVID]],TInventB[],11,FALSE))</f>
        <v/>
      </c>
      <c r="D176" s="411" t="str">
        <f>IF(TInspectieB[[#This Row],[UVID]]="","",VLOOKUP(TInspectieB[[#This Row],[UVID]],TInventB[],3,FALSE))</f>
        <v/>
      </c>
      <c r="E176" s="338" t="str">
        <f>IF(TInspectieB[[#This Row],[Omschrijving bouwdeel]]="","",IF(MOD(ROW()-2,2)=0,"O",IF(TRIM(TInspectieB[[#This Row],[Code Bouwdeeltype]])="312010","O","E")))</f>
        <v/>
      </c>
      <c r="F176" s="412"/>
      <c r="G176" s="413" t="str">
        <f>IF(ISBLANK(TInspectieB[[#This Row],[Soort gebrek]]),"",VLOOKUP(TInspectieB[[#This Row],[Soort gebrek]],TSoortGebrek[#Data],3,FALSE))</f>
        <v/>
      </c>
      <c r="H176" s="413" t="str">
        <f>IF(ISBLANK(TInspectieB[[#This Row],[Soort gebrek]]),"",VLOOKUP(TInspectieB[[#This Row],[Soort gebrek]],TSoortGebrek[#Data],2,FALSE))</f>
        <v/>
      </c>
      <c r="I176" s="413" t="str">
        <f>IF(TInspectieB[[#This Row],[Soort gebrek]]=0,"",VLOOKUP(TInspectieB[[#This Row],[Soort gebrek]],TSoortGebrek[],4,FALSE))</f>
        <v/>
      </c>
      <c r="J176" s="425"/>
      <c r="K176" s="415" t="str">
        <f>IF(TInspectieB[[#This Row],[Soort gebrek]]=0,"",VLOOKUP(TInspectieB[[#This Row],[Combi]],TPrio[#Data],2,FALSE))</f>
        <v/>
      </c>
      <c r="L176" s="339"/>
      <c r="M176" s="416" t="str">
        <f>IF(ISBLANK(TInspectieB[[#This Row],[Gebrek nr.]]),"",TInspectieB[[#This Row],[UVID]]&amp;"-"&amp;TInspectieB[[#This Row],[Gebrek nr.]])</f>
        <v/>
      </c>
      <c r="N176" s="417"/>
      <c r="O176" s="651"/>
      <c r="P176" s="206"/>
      <c r="Q176" s="193"/>
      <c r="R176" s="206"/>
      <c r="S176" s="206"/>
      <c r="T176" s="206"/>
      <c r="U176" s="206"/>
      <c r="V176" s="206"/>
      <c r="W176" s="419"/>
      <c r="X176" s="340"/>
      <c r="Y176" s="420"/>
      <c r="Z176" s="421" t="str">
        <f>IF(ISBLANK(TInspectieB[[#This Row],[Aantal]]),"",ROUND(TInspectieB[[#This Row],[Kengetal]]*TInspectieB[[#This Row],[Aantal]],-1))</f>
        <v/>
      </c>
      <c r="AA176" s="422" t="str">
        <f>IF(TInspectieB[[#This Row],[Vak-groep]]="","1",VLOOKUP(C176,$J$2:$K$7,2,FALSE))</f>
        <v>1</v>
      </c>
      <c r="AB176" s="423" t="str">
        <f>CONCATENATE(TInspectieB[[#This Row],[Soort gebrek]],TInspectieB[[#This Row],[Trede]])</f>
        <v>1</v>
      </c>
      <c r="AC176" s="413" t="e">
        <v>#N/A</v>
      </c>
      <c r="AD176" s="413" t="e">
        <v>#N/A</v>
      </c>
      <c r="AE176" s="424">
        <v>0</v>
      </c>
    </row>
    <row r="177" spans="1:31" ht="10.5" x14ac:dyDescent="0.25">
      <c r="A177" s="337" t="str" cm="1">
        <f t="array" ref="A177">IFERROR(INDEX(TInventB[UVID],ROUNDDOWN((ROW(A168)+1)/2,0)),"")</f>
        <v/>
      </c>
      <c r="B177" s="410" t="str">
        <f>IF(TInspectieB[[#This Row],[UVID]]="","",VLOOKUP(TInspectieB[[#This Row],[UVID]],TInventB[],2,FALSE))</f>
        <v/>
      </c>
      <c r="C177" s="365" t="str">
        <f>IF(TInspectieB[[#This Row],[UVID]]="","",VLOOKUP(TInspectieB[[#This Row],[UVID]],TInventB[],11,FALSE))</f>
        <v/>
      </c>
      <c r="D177" s="411" t="str">
        <f>IF(TInspectieB[[#This Row],[UVID]]="","",VLOOKUP(TInspectieB[[#This Row],[UVID]],TInventB[],3,FALSE))</f>
        <v/>
      </c>
      <c r="E177" s="338" t="str">
        <f>IF(TInspectieB[[#This Row],[Omschrijving bouwdeel]]="","",IF(MOD(ROW()-2,2)=0,"O",IF(TRIM(TInspectieB[[#This Row],[Code Bouwdeeltype]])="312010","O","E")))</f>
        <v/>
      </c>
      <c r="F177" s="412"/>
      <c r="G177" s="413" t="str">
        <f>IF(ISBLANK(TInspectieB[[#This Row],[Soort gebrek]]),"",VLOOKUP(TInspectieB[[#This Row],[Soort gebrek]],TSoortGebrek[#Data],3,FALSE))</f>
        <v/>
      </c>
      <c r="H177" s="413" t="str">
        <f>IF(ISBLANK(TInspectieB[[#This Row],[Soort gebrek]]),"",VLOOKUP(TInspectieB[[#This Row],[Soort gebrek]],TSoortGebrek[#Data],2,FALSE))</f>
        <v/>
      </c>
      <c r="I177" s="413" t="str">
        <f>IF(TInspectieB[[#This Row],[Soort gebrek]]=0,"",VLOOKUP(TInspectieB[[#This Row],[Soort gebrek]],TSoortGebrek[],4,FALSE))</f>
        <v/>
      </c>
      <c r="J177" s="425"/>
      <c r="K177" s="415" t="str">
        <f>IF(TInspectieB[[#This Row],[Soort gebrek]]=0,"",VLOOKUP(TInspectieB[[#This Row],[Combi]],TPrio[#Data],2,FALSE))</f>
        <v/>
      </c>
      <c r="L177" s="339"/>
      <c r="M177" s="416" t="str">
        <f>IF(ISBLANK(TInspectieB[[#This Row],[Gebrek nr.]]),"",TInspectieB[[#This Row],[UVID]]&amp;"-"&amp;TInspectieB[[#This Row],[Gebrek nr.]])</f>
        <v/>
      </c>
      <c r="N177" s="417"/>
      <c r="O177" s="651"/>
      <c r="P177" s="206"/>
      <c r="Q177" s="193"/>
      <c r="R177" s="206"/>
      <c r="S177" s="206"/>
      <c r="T177" s="206"/>
      <c r="U177" s="206"/>
      <c r="V177" s="206"/>
      <c r="W177" s="419"/>
      <c r="X177" s="340"/>
      <c r="Y177" s="420"/>
      <c r="Z177" s="421" t="str">
        <f>IF(ISBLANK(TInspectieB[[#This Row],[Aantal]]),"",ROUND(TInspectieB[[#This Row],[Kengetal]]*TInspectieB[[#This Row],[Aantal]],-1))</f>
        <v/>
      </c>
      <c r="AA177" s="422" t="str">
        <f>IF(TInspectieB[[#This Row],[Vak-groep]]="","1",VLOOKUP(C177,$J$2:$K$7,2,FALSE))</f>
        <v>1</v>
      </c>
      <c r="AB177" s="423" t="str">
        <f>CONCATENATE(TInspectieB[[#This Row],[Soort gebrek]],TInspectieB[[#This Row],[Trede]])</f>
        <v>1</v>
      </c>
      <c r="AC177" s="413" t="e">
        <v>#N/A</v>
      </c>
      <c r="AD177" s="413" t="e">
        <v>#N/A</v>
      </c>
      <c r="AE177" s="424">
        <v>0</v>
      </c>
    </row>
    <row r="178" spans="1:31" ht="10.5" x14ac:dyDescent="0.25">
      <c r="A178" s="337" t="str" cm="1">
        <f t="array" ref="A178">IFERROR(INDEX(TInventB[UVID],ROUNDDOWN((ROW(A169)+1)/2,0)),"")</f>
        <v/>
      </c>
      <c r="B178" s="410" t="str">
        <f>IF(TInspectieB[[#This Row],[UVID]]="","",VLOOKUP(TInspectieB[[#This Row],[UVID]],TInventB[],2,FALSE))</f>
        <v/>
      </c>
      <c r="C178" s="365" t="str">
        <f>IF(TInspectieB[[#This Row],[UVID]]="","",VLOOKUP(TInspectieB[[#This Row],[UVID]],TInventB[],11,FALSE))</f>
        <v/>
      </c>
      <c r="D178" s="411" t="str">
        <f>IF(TInspectieB[[#This Row],[UVID]]="","",VLOOKUP(TInspectieB[[#This Row],[UVID]],TInventB[],3,FALSE))</f>
        <v/>
      </c>
      <c r="E178" s="338" t="str">
        <f>IF(TInspectieB[[#This Row],[Omschrijving bouwdeel]]="","",IF(MOD(ROW()-2,2)=0,"O",IF(TRIM(TInspectieB[[#This Row],[Code Bouwdeeltype]])="312010","O","E")))</f>
        <v/>
      </c>
      <c r="F178" s="412"/>
      <c r="G178" s="413" t="str">
        <f>IF(ISBLANK(TInspectieB[[#This Row],[Soort gebrek]]),"",VLOOKUP(TInspectieB[[#This Row],[Soort gebrek]],TSoortGebrek[#Data],3,FALSE))</f>
        <v/>
      </c>
      <c r="H178" s="413" t="str">
        <f>IF(ISBLANK(TInspectieB[[#This Row],[Soort gebrek]]),"",VLOOKUP(TInspectieB[[#This Row],[Soort gebrek]],TSoortGebrek[#Data],2,FALSE))</f>
        <v/>
      </c>
      <c r="I178" s="413" t="str">
        <f>IF(TInspectieB[[#This Row],[Soort gebrek]]=0,"",VLOOKUP(TInspectieB[[#This Row],[Soort gebrek]],TSoortGebrek[],4,FALSE))</f>
        <v/>
      </c>
      <c r="J178" s="425"/>
      <c r="K178" s="415" t="str">
        <f>IF(TInspectieB[[#This Row],[Soort gebrek]]=0,"",VLOOKUP(TInspectieB[[#This Row],[Combi]],TPrio[#Data],2,FALSE))</f>
        <v/>
      </c>
      <c r="L178" s="339"/>
      <c r="M178" s="416" t="str">
        <f>IF(ISBLANK(TInspectieB[[#This Row],[Gebrek nr.]]),"",TInspectieB[[#This Row],[UVID]]&amp;"-"&amp;TInspectieB[[#This Row],[Gebrek nr.]])</f>
        <v/>
      </c>
      <c r="N178" s="417"/>
      <c r="O178" s="651"/>
      <c r="P178" s="206"/>
      <c r="Q178" s="193"/>
      <c r="R178" s="206"/>
      <c r="S178" s="206"/>
      <c r="T178" s="206"/>
      <c r="U178" s="206"/>
      <c r="V178" s="206"/>
      <c r="W178" s="419"/>
      <c r="X178" s="340"/>
      <c r="Y178" s="420"/>
      <c r="Z178" s="421" t="str">
        <f>IF(ISBLANK(TInspectieB[[#This Row],[Aantal]]),"",ROUND(TInspectieB[[#This Row],[Kengetal]]*TInspectieB[[#This Row],[Aantal]],-1))</f>
        <v/>
      </c>
      <c r="AA178" s="422" t="str">
        <f>IF(TInspectieB[[#This Row],[Vak-groep]]="","1",VLOOKUP(C178,$J$2:$K$7,2,FALSE))</f>
        <v>1</v>
      </c>
      <c r="AB178" s="423" t="str">
        <f>CONCATENATE(TInspectieB[[#This Row],[Soort gebrek]],TInspectieB[[#This Row],[Trede]])</f>
        <v>1</v>
      </c>
      <c r="AC178" s="413" t="e">
        <v>#N/A</v>
      </c>
      <c r="AD178" s="413" t="e">
        <v>#N/A</v>
      </c>
      <c r="AE178" s="424">
        <v>0</v>
      </c>
    </row>
    <row r="179" spans="1:31" ht="10.5" x14ac:dyDescent="0.25">
      <c r="A179" s="337" t="str" cm="1">
        <f t="array" ref="A179">IFERROR(INDEX(TInventB[UVID],ROUNDDOWN((ROW(A170)+1)/2,0)),"")</f>
        <v/>
      </c>
      <c r="B179" s="410" t="str">
        <f>IF(TInspectieB[[#This Row],[UVID]]="","",VLOOKUP(TInspectieB[[#This Row],[UVID]],TInventB[],2,FALSE))</f>
        <v/>
      </c>
      <c r="C179" s="365" t="str">
        <f>IF(TInspectieB[[#This Row],[UVID]]="","",VLOOKUP(TInspectieB[[#This Row],[UVID]],TInventB[],11,FALSE))</f>
        <v/>
      </c>
      <c r="D179" s="411" t="str">
        <f>IF(TInspectieB[[#This Row],[UVID]]="","",VLOOKUP(TInspectieB[[#This Row],[UVID]],TInventB[],3,FALSE))</f>
        <v/>
      </c>
      <c r="E179" s="338" t="str">
        <f>IF(TInspectieB[[#This Row],[Omschrijving bouwdeel]]="","",IF(MOD(ROW()-2,2)=0,"O",IF(TRIM(TInspectieB[[#This Row],[Code Bouwdeeltype]])="312010","O","E")))</f>
        <v/>
      </c>
      <c r="F179" s="412"/>
      <c r="G179" s="413" t="str">
        <f>IF(ISBLANK(TInspectieB[[#This Row],[Soort gebrek]]),"",VLOOKUP(TInspectieB[[#This Row],[Soort gebrek]],TSoortGebrek[#Data],3,FALSE))</f>
        <v/>
      </c>
      <c r="H179" s="413" t="str">
        <f>IF(ISBLANK(TInspectieB[[#This Row],[Soort gebrek]]),"",VLOOKUP(TInspectieB[[#This Row],[Soort gebrek]],TSoortGebrek[#Data],2,FALSE))</f>
        <v/>
      </c>
      <c r="I179" s="413" t="str">
        <f>IF(TInspectieB[[#This Row],[Soort gebrek]]=0,"",VLOOKUP(TInspectieB[[#This Row],[Soort gebrek]],TSoortGebrek[],4,FALSE))</f>
        <v/>
      </c>
      <c r="J179" s="425"/>
      <c r="K179" s="415" t="str">
        <f>IF(TInspectieB[[#This Row],[Soort gebrek]]=0,"",VLOOKUP(TInspectieB[[#This Row],[Combi]],TPrio[#Data],2,FALSE))</f>
        <v/>
      </c>
      <c r="L179" s="339"/>
      <c r="M179" s="416" t="str">
        <f>IF(ISBLANK(TInspectieB[[#This Row],[Gebrek nr.]]),"",TInspectieB[[#This Row],[UVID]]&amp;"-"&amp;TInspectieB[[#This Row],[Gebrek nr.]])</f>
        <v/>
      </c>
      <c r="N179" s="417"/>
      <c r="O179" s="651"/>
      <c r="P179" s="206"/>
      <c r="Q179" s="193"/>
      <c r="R179" s="206"/>
      <c r="S179" s="206"/>
      <c r="T179" s="206"/>
      <c r="U179" s="206"/>
      <c r="V179" s="206"/>
      <c r="W179" s="419"/>
      <c r="X179" s="340"/>
      <c r="Y179" s="420"/>
      <c r="Z179" s="421" t="str">
        <f>IF(ISBLANK(TInspectieB[[#This Row],[Aantal]]),"",ROUND(TInspectieB[[#This Row],[Kengetal]]*TInspectieB[[#This Row],[Aantal]],-1))</f>
        <v/>
      </c>
      <c r="AA179" s="422" t="str">
        <f>IF(TInspectieB[[#This Row],[Vak-groep]]="","1",VLOOKUP(C179,$J$2:$K$7,2,FALSE))</f>
        <v>1</v>
      </c>
      <c r="AB179" s="423" t="str">
        <f>CONCATENATE(TInspectieB[[#This Row],[Soort gebrek]],TInspectieB[[#This Row],[Trede]])</f>
        <v>1</v>
      </c>
      <c r="AC179" s="413" t="e">
        <v>#N/A</v>
      </c>
      <c r="AD179" s="413" t="e">
        <v>#N/A</v>
      </c>
      <c r="AE179" s="424">
        <v>0</v>
      </c>
    </row>
    <row r="180" spans="1:31" ht="10.5" x14ac:dyDescent="0.25">
      <c r="A180" s="337" t="str" cm="1">
        <f t="array" ref="A180">IFERROR(INDEX(TInventB[UVID],ROUNDDOWN((ROW(A171)+1)/2,0)),"")</f>
        <v/>
      </c>
      <c r="B180" s="410" t="str">
        <f>IF(TInspectieB[[#This Row],[UVID]]="","",VLOOKUP(TInspectieB[[#This Row],[UVID]],TInventB[],2,FALSE))</f>
        <v/>
      </c>
      <c r="C180" s="365" t="str">
        <f>IF(TInspectieB[[#This Row],[UVID]]="","",VLOOKUP(TInspectieB[[#This Row],[UVID]],TInventB[],11,FALSE))</f>
        <v/>
      </c>
      <c r="D180" s="411" t="str">
        <f>IF(TInspectieB[[#This Row],[UVID]]="","",VLOOKUP(TInspectieB[[#This Row],[UVID]],TInventB[],3,FALSE))</f>
        <v/>
      </c>
      <c r="E180" s="338" t="str">
        <f>IF(TInspectieB[[#This Row],[Omschrijving bouwdeel]]="","",IF(MOD(ROW()-2,2)=0,"O",IF(TRIM(TInspectieB[[#This Row],[Code Bouwdeeltype]])="312010","O","E")))</f>
        <v/>
      </c>
      <c r="F180" s="412"/>
      <c r="G180" s="413" t="str">
        <f>IF(ISBLANK(TInspectieB[[#This Row],[Soort gebrek]]),"",VLOOKUP(TInspectieB[[#This Row],[Soort gebrek]],TSoortGebrek[#Data],3,FALSE))</f>
        <v/>
      </c>
      <c r="H180" s="413" t="str">
        <f>IF(ISBLANK(TInspectieB[[#This Row],[Soort gebrek]]),"",VLOOKUP(TInspectieB[[#This Row],[Soort gebrek]],TSoortGebrek[#Data],2,FALSE))</f>
        <v/>
      </c>
      <c r="I180" s="413" t="str">
        <f>IF(TInspectieB[[#This Row],[Soort gebrek]]=0,"",VLOOKUP(TInspectieB[[#This Row],[Soort gebrek]],TSoortGebrek[],4,FALSE))</f>
        <v/>
      </c>
      <c r="J180" s="425"/>
      <c r="K180" s="415" t="str">
        <f>IF(TInspectieB[[#This Row],[Soort gebrek]]=0,"",VLOOKUP(TInspectieB[[#This Row],[Combi]],TPrio[#Data],2,FALSE))</f>
        <v/>
      </c>
      <c r="L180" s="339"/>
      <c r="M180" s="416" t="str">
        <f>IF(ISBLANK(TInspectieB[[#This Row],[Gebrek nr.]]),"",TInspectieB[[#This Row],[UVID]]&amp;"-"&amp;TInspectieB[[#This Row],[Gebrek nr.]])</f>
        <v/>
      </c>
      <c r="N180" s="417"/>
      <c r="O180" s="651"/>
      <c r="P180" s="206"/>
      <c r="Q180" s="193"/>
      <c r="R180" s="206"/>
      <c r="S180" s="206"/>
      <c r="T180" s="206"/>
      <c r="U180" s="206"/>
      <c r="V180" s="206"/>
      <c r="W180" s="419"/>
      <c r="X180" s="340"/>
      <c r="Y180" s="420"/>
      <c r="Z180" s="421" t="str">
        <f>IF(ISBLANK(TInspectieB[[#This Row],[Aantal]]),"",ROUND(TInspectieB[[#This Row],[Kengetal]]*TInspectieB[[#This Row],[Aantal]],-1))</f>
        <v/>
      </c>
      <c r="AA180" s="422" t="str">
        <f>IF(TInspectieB[[#This Row],[Vak-groep]]="","1",VLOOKUP(C180,$J$2:$K$7,2,FALSE))</f>
        <v>1</v>
      </c>
      <c r="AB180" s="423" t="str">
        <f>CONCATENATE(TInspectieB[[#This Row],[Soort gebrek]],TInspectieB[[#This Row],[Trede]])</f>
        <v>1</v>
      </c>
      <c r="AC180" s="413" t="e">
        <v>#N/A</v>
      </c>
      <c r="AD180" s="413" t="e">
        <v>#N/A</v>
      </c>
      <c r="AE180" s="424">
        <v>0</v>
      </c>
    </row>
    <row r="181" spans="1:31" ht="10.5" x14ac:dyDescent="0.25">
      <c r="A181" s="337" t="str" cm="1">
        <f t="array" ref="A181">IFERROR(INDEX(TInventB[UVID],ROUNDDOWN((ROW(A172)+1)/2,0)),"")</f>
        <v/>
      </c>
      <c r="B181" s="410" t="str">
        <f>IF(TInspectieB[[#This Row],[UVID]]="","",VLOOKUP(TInspectieB[[#This Row],[UVID]],TInventB[],2,FALSE))</f>
        <v/>
      </c>
      <c r="C181" s="365" t="str">
        <f>IF(TInspectieB[[#This Row],[UVID]]="","",VLOOKUP(TInspectieB[[#This Row],[UVID]],TInventB[],11,FALSE))</f>
        <v/>
      </c>
      <c r="D181" s="411" t="str">
        <f>IF(TInspectieB[[#This Row],[UVID]]="","",VLOOKUP(TInspectieB[[#This Row],[UVID]],TInventB[],3,FALSE))</f>
        <v/>
      </c>
      <c r="E181" s="338" t="str">
        <f>IF(TInspectieB[[#This Row],[Omschrijving bouwdeel]]="","",IF(MOD(ROW()-2,2)=0,"O",IF(TRIM(TInspectieB[[#This Row],[Code Bouwdeeltype]])="312010","O","E")))</f>
        <v/>
      </c>
      <c r="F181" s="412"/>
      <c r="G181" s="413" t="str">
        <f>IF(ISBLANK(TInspectieB[[#This Row],[Soort gebrek]]),"",VLOOKUP(TInspectieB[[#This Row],[Soort gebrek]],TSoortGebrek[#Data],3,FALSE))</f>
        <v/>
      </c>
      <c r="H181" s="413" t="str">
        <f>IF(ISBLANK(TInspectieB[[#This Row],[Soort gebrek]]),"",VLOOKUP(TInspectieB[[#This Row],[Soort gebrek]],TSoortGebrek[#Data],2,FALSE))</f>
        <v/>
      </c>
      <c r="I181" s="413" t="str">
        <f>IF(TInspectieB[[#This Row],[Soort gebrek]]=0,"",VLOOKUP(TInspectieB[[#This Row],[Soort gebrek]],TSoortGebrek[],4,FALSE))</f>
        <v/>
      </c>
      <c r="J181" s="425"/>
      <c r="K181" s="415" t="str">
        <f>IF(TInspectieB[[#This Row],[Soort gebrek]]=0,"",VLOOKUP(TInspectieB[[#This Row],[Combi]],TPrio[#Data],2,FALSE))</f>
        <v/>
      </c>
      <c r="L181" s="339"/>
      <c r="M181" s="416" t="str">
        <f>IF(ISBLANK(TInspectieB[[#This Row],[Gebrek nr.]]),"",TInspectieB[[#This Row],[UVID]]&amp;"-"&amp;TInspectieB[[#This Row],[Gebrek nr.]])</f>
        <v/>
      </c>
      <c r="N181" s="417"/>
      <c r="O181" s="651"/>
      <c r="P181" s="206"/>
      <c r="Q181" s="193"/>
      <c r="R181" s="206"/>
      <c r="S181" s="206"/>
      <c r="T181" s="206"/>
      <c r="U181" s="206"/>
      <c r="V181" s="206"/>
      <c r="W181" s="419"/>
      <c r="X181" s="340"/>
      <c r="Y181" s="420"/>
      <c r="Z181" s="421" t="str">
        <f>IF(ISBLANK(TInspectieB[[#This Row],[Aantal]]),"",ROUND(TInspectieB[[#This Row],[Kengetal]]*TInspectieB[[#This Row],[Aantal]],-1))</f>
        <v/>
      </c>
      <c r="AA181" s="422" t="str">
        <f>IF(TInspectieB[[#This Row],[Vak-groep]]="","1",VLOOKUP(C181,$J$2:$K$7,2,FALSE))</f>
        <v>1</v>
      </c>
      <c r="AB181" s="423" t="str">
        <f>CONCATENATE(TInspectieB[[#This Row],[Soort gebrek]],TInspectieB[[#This Row],[Trede]])</f>
        <v>1</v>
      </c>
      <c r="AC181" s="413" t="e">
        <v>#N/A</v>
      </c>
      <c r="AD181" s="413" t="e">
        <v>#N/A</v>
      </c>
      <c r="AE181" s="424">
        <v>0</v>
      </c>
    </row>
    <row r="182" spans="1:31" ht="10.5" x14ac:dyDescent="0.25">
      <c r="A182" s="337" t="str" cm="1">
        <f t="array" ref="A182">IFERROR(INDEX(TInventB[UVID],ROUNDDOWN((ROW(A173)+1)/2,0)),"")</f>
        <v/>
      </c>
      <c r="B182" s="410" t="str">
        <f>IF(TInspectieB[[#This Row],[UVID]]="","",VLOOKUP(TInspectieB[[#This Row],[UVID]],TInventB[],2,FALSE))</f>
        <v/>
      </c>
      <c r="C182" s="365" t="str">
        <f>IF(TInspectieB[[#This Row],[UVID]]="","",VLOOKUP(TInspectieB[[#This Row],[UVID]],TInventB[],11,FALSE))</f>
        <v/>
      </c>
      <c r="D182" s="411" t="str">
        <f>IF(TInspectieB[[#This Row],[UVID]]="","",VLOOKUP(TInspectieB[[#This Row],[UVID]],TInventB[],3,FALSE))</f>
        <v/>
      </c>
      <c r="E182" s="338" t="str">
        <f>IF(TInspectieB[[#This Row],[Omschrijving bouwdeel]]="","",IF(MOD(ROW()-2,2)=0,"O",IF(TRIM(TInspectieB[[#This Row],[Code Bouwdeeltype]])="312010","O","E")))</f>
        <v/>
      </c>
      <c r="F182" s="412"/>
      <c r="G182" s="413" t="str">
        <f>IF(ISBLANK(TInspectieB[[#This Row],[Soort gebrek]]),"",VLOOKUP(TInspectieB[[#This Row],[Soort gebrek]],TSoortGebrek[#Data],3,FALSE))</f>
        <v/>
      </c>
      <c r="H182" s="413" t="str">
        <f>IF(ISBLANK(TInspectieB[[#This Row],[Soort gebrek]]),"",VLOOKUP(TInspectieB[[#This Row],[Soort gebrek]],TSoortGebrek[#Data],2,FALSE))</f>
        <v/>
      </c>
      <c r="I182" s="413" t="str">
        <f>IF(TInspectieB[[#This Row],[Soort gebrek]]=0,"",VLOOKUP(TInspectieB[[#This Row],[Soort gebrek]],TSoortGebrek[],4,FALSE))</f>
        <v/>
      </c>
      <c r="J182" s="425"/>
      <c r="K182" s="415" t="str">
        <f>IF(TInspectieB[[#This Row],[Soort gebrek]]=0,"",VLOOKUP(TInspectieB[[#This Row],[Combi]],TPrio[#Data],2,FALSE))</f>
        <v/>
      </c>
      <c r="L182" s="339"/>
      <c r="M182" s="416" t="str">
        <f>IF(ISBLANK(TInspectieB[[#This Row],[Gebrek nr.]]),"",TInspectieB[[#This Row],[UVID]]&amp;"-"&amp;TInspectieB[[#This Row],[Gebrek nr.]])</f>
        <v/>
      </c>
      <c r="N182" s="417"/>
      <c r="O182" s="651"/>
      <c r="P182" s="206"/>
      <c r="Q182" s="193"/>
      <c r="R182" s="206"/>
      <c r="S182" s="206"/>
      <c r="T182" s="206"/>
      <c r="U182" s="206"/>
      <c r="V182" s="206"/>
      <c r="W182" s="419"/>
      <c r="X182" s="340"/>
      <c r="Y182" s="420"/>
      <c r="Z182" s="421" t="str">
        <f>IF(ISBLANK(TInspectieB[[#This Row],[Aantal]]),"",ROUND(TInspectieB[[#This Row],[Kengetal]]*TInspectieB[[#This Row],[Aantal]],-1))</f>
        <v/>
      </c>
      <c r="AA182" s="422" t="str">
        <f>IF(TInspectieB[[#This Row],[Vak-groep]]="","1",VLOOKUP(C182,$J$2:$K$7,2,FALSE))</f>
        <v>1</v>
      </c>
      <c r="AB182" s="423" t="str">
        <f>CONCATENATE(TInspectieB[[#This Row],[Soort gebrek]],TInspectieB[[#This Row],[Trede]])</f>
        <v>1</v>
      </c>
      <c r="AC182" s="413" t="e">
        <v>#N/A</v>
      </c>
      <c r="AD182" s="413" t="e">
        <v>#N/A</v>
      </c>
      <c r="AE182" s="424">
        <v>0</v>
      </c>
    </row>
    <row r="183" spans="1:31" ht="10.5" x14ac:dyDescent="0.25">
      <c r="A183" s="337" t="str" cm="1">
        <f t="array" ref="A183">IFERROR(INDEX(TInventB[UVID],ROUNDDOWN((ROW(A174)+1)/2,0)),"")</f>
        <v/>
      </c>
      <c r="B183" s="410" t="str">
        <f>IF(TInspectieB[[#This Row],[UVID]]="","",VLOOKUP(TInspectieB[[#This Row],[UVID]],TInventB[],2,FALSE))</f>
        <v/>
      </c>
      <c r="C183" s="365" t="str">
        <f>IF(TInspectieB[[#This Row],[UVID]]="","",VLOOKUP(TInspectieB[[#This Row],[UVID]],TInventB[],11,FALSE))</f>
        <v/>
      </c>
      <c r="D183" s="411" t="str">
        <f>IF(TInspectieB[[#This Row],[UVID]]="","",VLOOKUP(TInspectieB[[#This Row],[UVID]],TInventB[],3,FALSE))</f>
        <v/>
      </c>
      <c r="E183" s="338" t="str">
        <f>IF(TInspectieB[[#This Row],[Omschrijving bouwdeel]]="","",IF(MOD(ROW()-2,2)=0,"O",IF(TRIM(TInspectieB[[#This Row],[Code Bouwdeeltype]])="312010","O","E")))</f>
        <v/>
      </c>
      <c r="F183" s="412"/>
      <c r="G183" s="413" t="str">
        <f>IF(ISBLANK(TInspectieB[[#This Row],[Soort gebrek]]),"",VLOOKUP(TInspectieB[[#This Row],[Soort gebrek]],TSoortGebrek[#Data],3,FALSE))</f>
        <v/>
      </c>
      <c r="H183" s="413" t="str">
        <f>IF(ISBLANK(TInspectieB[[#This Row],[Soort gebrek]]),"",VLOOKUP(TInspectieB[[#This Row],[Soort gebrek]],TSoortGebrek[#Data],2,FALSE))</f>
        <v/>
      </c>
      <c r="I183" s="413" t="str">
        <f>IF(TInspectieB[[#This Row],[Soort gebrek]]=0,"",VLOOKUP(TInspectieB[[#This Row],[Soort gebrek]],TSoortGebrek[],4,FALSE))</f>
        <v/>
      </c>
      <c r="J183" s="425"/>
      <c r="K183" s="415" t="str">
        <f>IF(TInspectieB[[#This Row],[Soort gebrek]]=0,"",VLOOKUP(TInspectieB[[#This Row],[Combi]],TPrio[#Data],2,FALSE))</f>
        <v/>
      </c>
      <c r="L183" s="339"/>
      <c r="M183" s="416" t="str">
        <f>IF(ISBLANK(TInspectieB[[#This Row],[Gebrek nr.]]),"",TInspectieB[[#This Row],[UVID]]&amp;"-"&amp;TInspectieB[[#This Row],[Gebrek nr.]])</f>
        <v/>
      </c>
      <c r="N183" s="417"/>
      <c r="O183" s="651"/>
      <c r="P183" s="206"/>
      <c r="Q183" s="193"/>
      <c r="R183" s="206"/>
      <c r="S183" s="206"/>
      <c r="T183" s="206"/>
      <c r="U183" s="206"/>
      <c r="V183" s="206"/>
      <c r="W183" s="419"/>
      <c r="X183" s="340"/>
      <c r="Y183" s="420"/>
      <c r="Z183" s="421" t="str">
        <f>IF(ISBLANK(TInspectieB[[#This Row],[Aantal]]),"",ROUND(TInspectieB[[#This Row],[Kengetal]]*TInspectieB[[#This Row],[Aantal]],-1))</f>
        <v/>
      </c>
      <c r="AA183" s="422" t="str">
        <f>IF(TInspectieB[[#This Row],[Vak-groep]]="","1",VLOOKUP(C183,$J$2:$K$7,2,FALSE))</f>
        <v>1</v>
      </c>
      <c r="AB183" s="423" t="str">
        <f>CONCATENATE(TInspectieB[[#This Row],[Soort gebrek]],TInspectieB[[#This Row],[Trede]])</f>
        <v>1</v>
      </c>
      <c r="AC183" s="413" t="e">
        <v>#N/A</v>
      </c>
      <c r="AD183" s="413" t="e">
        <v>#N/A</v>
      </c>
      <c r="AE183" s="424">
        <v>0</v>
      </c>
    </row>
    <row r="184" spans="1:31" ht="10.5" x14ac:dyDescent="0.25">
      <c r="A184" s="337" t="str" cm="1">
        <f t="array" ref="A184">IFERROR(INDEX(TInventB[UVID],ROUNDDOWN((ROW(A175)+1)/2,0)),"")</f>
        <v/>
      </c>
      <c r="B184" s="410" t="str">
        <f>IF(TInspectieB[[#This Row],[UVID]]="","",VLOOKUP(TInspectieB[[#This Row],[UVID]],TInventB[],2,FALSE))</f>
        <v/>
      </c>
      <c r="C184" s="365" t="str">
        <f>IF(TInspectieB[[#This Row],[UVID]]="","",VLOOKUP(TInspectieB[[#This Row],[UVID]],TInventB[],11,FALSE))</f>
        <v/>
      </c>
      <c r="D184" s="411" t="str">
        <f>IF(TInspectieB[[#This Row],[UVID]]="","",VLOOKUP(TInspectieB[[#This Row],[UVID]],TInventB[],3,FALSE))</f>
        <v/>
      </c>
      <c r="E184" s="338" t="str">
        <f>IF(TInspectieB[[#This Row],[Omschrijving bouwdeel]]="","",IF(MOD(ROW()-2,2)=0,"O",IF(TRIM(TInspectieB[[#This Row],[Code Bouwdeeltype]])="312010","O","E")))</f>
        <v/>
      </c>
      <c r="F184" s="412"/>
      <c r="G184" s="413" t="str">
        <f>IF(ISBLANK(TInspectieB[[#This Row],[Soort gebrek]]),"",VLOOKUP(TInspectieB[[#This Row],[Soort gebrek]],TSoortGebrek[#Data],3,FALSE))</f>
        <v/>
      </c>
      <c r="H184" s="413" t="str">
        <f>IF(ISBLANK(TInspectieB[[#This Row],[Soort gebrek]]),"",VLOOKUP(TInspectieB[[#This Row],[Soort gebrek]],TSoortGebrek[#Data],2,FALSE))</f>
        <v/>
      </c>
      <c r="I184" s="413" t="str">
        <f>IF(TInspectieB[[#This Row],[Soort gebrek]]=0,"",VLOOKUP(TInspectieB[[#This Row],[Soort gebrek]],TSoortGebrek[],4,FALSE))</f>
        <v/>
      </c>
      <c r="J184" s="425"/>
      <c r="K184" s="415" t="str">
        <f>IF(TInspectieB[[#This Row],[Soort gebrek]]=0,"",VLOOKUP(TInspectieB[[#This Row],[Combi]],TPrio[#Data],2,FALSE))</f>
        <v/>
      </c>
      <c r="L184" s="339"/>
      <c r="M184" s="416" t="str">
        <f>IF(ISBLANK(TInspectieB[[#This Row],[Gebrek nr.]]),"",TInspectieB[[#This Row],[UVID]]&amp;"-"&amp;TInspectieB[[#This Row],[Gebrek nr.]])</f>
        <v/>
      </c>
      <c r="N184" s="417"/>
      <c r="O184" s="651"/>
      <c r="P184" s="206"/>
      <c r="Q184" s="193"/>
      <c r="R184" s="206"/>
      <c r="S184" s="206"/>
      <c r="T184" s="206"/>
      <c r="U184" s="206"/>
      <c r="V184" s="206"/>
      <c r="W184" s="419"/>
      <c r="X184" s="340"/>
      <c r="Y184" s="420"/>
      <c r="Z184" s="421" t="str">
        <f>IF(ISBLANK(TInspectieB[[#This Row],[Aantal]]),"",ROUND(TInspectieB[[#This Row],[Kengetal]]*TInspectieB[[#This Row],[Aantal]],-1))</f>
        <v/>
      </c>
      <c r="AA184" s="422" t="str">
        <f>IF(TInspectieB[[#This Row],[Vak-groep]]="","1",VLOOKUP(C184,$J$2:$K$7,2,FALSE))</f>
        <v>1</v>
      </c>
      <c r="AB184" s="423" t="str">
        <f>CONCATENATE(TInspectieB[[#This Row],[Soort gebrek]],TInspectieB[[#This Row],[Trede]])</f>
        <v>1</v>
      </c>
      <c r="AC184" s="413" t="e">
        <v>#N/A</v>
      </c>
      <c r="AD184" s="413" t="e">
        <v>#N/A</v>
      </c>
      <c r="AE184" s="424">
        <v>0</v>
      </c>
    </row>
    <row r="185" spans="1:31" ht="10.5" x14ac:dyDescent="0.25">
      <c r="A185" s="337" t="str" cm="1">
        <f t="array" ref="A185">IFERROR(INDEX(TInventB[UVID],ROUNDDOWN((ROW(A176)+1)/2,0)),"")</f>
        <v/>
      </c>
      <c r="B185" s="410" t="str">
        <f>IF(TInspectieB[[#This Row],[UVID]]="","",VLOOKUP(TInspectieB[[#This Row],[UVID]],TInventB[],2,FALSE))</f>
        <v/>
      </c>
      <c r="C185" s="365" t="str">
        <f>IF(TInspectieB[[#This Row],[UVID]]="","",VLOOKUP(TInspectieB[[#This Row],[UVID]],TInventB[],11,FALSE))</f>
        <v/>
      </c>
      <c r="D185" s="411" t="str">
        <f>IF(TInspectieB[[#This Row],[UVID]]="","",VLOOKUP(TInspectieB[[#This Row],[UVID]],TInventB[],3,FALSE))</f>
        <v/>
      </c>
      <c r="E185" s="338" t="str">
        <f>IF(TInspectieB[[#This Row],[Omschrijving bouwdeel]]="","",IF(MOD(ROW()-2,2)=0,"O",IF(TRIM(TInspectieB[[#This Row],[Code Bouwdeeltype]])="312010","O","E")))</f>
        <v/>
      </c>
      <c r="F185" s="412"/>
      <c r="G185" s="413" t="str">
        <f>IF(ISBLANK(TInspectieB[[#This Row],[Soort gebrek]]),"",VLOOKUP(TInspectieB[[#This Row],[Soort gebrek]],TSoortGebrek[#Data],3,FALSE))</f>
        <v/>
      </c>
      <c r="H185" s="413" t="str">
        <f>IF(ISBLANK(TInspectieB[[#This Row],[Soort gebrek]]),"",VLOOKUP(TInspectieB[[#This Row],[Soort gebrek]],TSoortGebrek[#Data],2,FALSE))</f>
        <v/>
      </c>
      <c r="I185" s="413" t="str">
        <f>IF(TInspectieB[[#This Row],[Soort gebrek]]=0,"",VLOOKUP(TInspectieB[[#This Row],[Soort gebrek]],TSoortGebrek[],4,FALSE))</f>
        <v/>
      </c>
      <c r="J185" s="425"/>
      <c r="K185" s="415" t="str">
        <f>IF(TInspectieB[[#This Row],[Soort gebrek]]=0,"",VLOOKUP(TInspectieB[[#This Row],[Combi]],TPrio[#Data],2,FALSE))</f>
        <v/>
      </c>
      <c r="L185" s="339"/>
      <c r="M185" s="416" t="str">
        <f>IF(ISBLANK(TInspectieB[[#This Row],[Gebrek nr.]]),"",TInspectieB[[#This Row],[UVID]]&amp;"-"&amp;TInspectieB[[#This Row],[Gebrek nr.]])</f>
        <v/>
      </c>
      <c r="N185" s="417"/>
      <c r="O185" s="651"/>
      <c r="P185" s="206"/>
      <c r="Q185" s="193"/>
      <c r="R185" s="206"/>
      <c r="S185" s="206"/>
      <c r="T185" s="206"/>
      <c r="U185" s="206"/>
      <c r="V185" s="206"/>
      <c r="W185" s="419"/>
      <c r="X185" s="340"/>
      <c r="Y185" s="420"/>
      <c r="Z185" s="421" t="str">
        <f>IF(ISBLANK(TInspectieB[[#This Row],[Aantal]]),"",ROUND(TInspectieB[[#This Row],[Kengetal]]*TInspectieB[[#This Row],[Aantal]],-1))</f>
        <v/>
      </c>
      <c r="AA185" s="422" t="str">
        <f>IF(TInspectieB[[#This Row],[Vak-groep]]="","1",VLOOKUP(C185,$J$2:$K$7,2,FALSE))</f>
        <v>1</v>
      </c>
      <c r="AB185" s="423" t="str">
        <f>CONCATENATE(TInspectieB[[#This Row],[Soort gebrek]],TInspectieB[[#This Row],[Trede]])</f>
        <v>1</v>
      </c>
      <c r="AC185" s="413" t="e">
        <v>#N/A</v>
      </c>
      <c r="AD185" s="413" t="e">
        <v>#N/A</v>
      </c>
      <c r="AE185" s="424">
        <v>0</v>
      </c>
    </row>
    <row r="186" spans="1:31" ht="10.5" x14ac:dyDescent="0.25">
      <c r="A186" s="337" t="str" cm="1">
        <f t="array" ref="A186">IFERROR(INDEX(TInventB[UVID],ROUNDDOWN((ROW(A177)+1)/2,0)),"")</f>
        <v/>
      </c>
      <c r="B186" s="410" t="str">
        <f>IF(TInspectieB[[#This Row],[UVID]]="","",VLOOKUP(TInspectieB[[#This Row],[UVID]],TInventB[],2,FALSE))</f>
        <v/>
      </c>
      <c r="C186" s="365" t="str">
        <f>IF(TInspectieB[[#This Row],[UVID]]="","",VLOOKUP(TInspectieB[[#This Row],[UVID]],TInventB[],11,FALSE))</f>
        <v/>
      </c>
      <c r="D186" s="411" t="str">
        <f>IF(TInspectieB[[#This Row],[UVID]]="","",VLOOKUP(TInspectieB[[#This Row],[UVID]],TInventB[],3,FALSE))</f>
        <v/>
      </c>
      <c r="E186" s="338" t="str">
        <f>IF(TInspectieB[[#This Row],[Omschrijving bouwdeel]]="","",IF(MOD(ROW()-2,2)=0,"O",IF(TRIM(TInspectieB[[#This Row],[Code Bouwdeeltype]])="312010","O","E")))</f>
        <v/>
      </c>
      <c r="F186" s="412"/>
      <c r="G186" s="413" t="str">
        <f>IF(ISBLANK(TInspectieB[[#This Row],[Soort gebrek]]),"",VLOOKUP(TInspectieB[[#This Row],[Soort gebrek]],TSoortGebrek[#Data],3,FALSE))</f>
        <v/>
      </c>
      <c r="H186" s="413" t="str">
        <f>IF(ISBLANK(TInspectieB[[#This Row],[Soort gebrek]]),"",VLOOKUP(TInspectieB[[#This Row],[Soort gebrek]],TSoortGebrek[#Data],2,FALSE))</f>
        <v/>
      </c>
      <c r="I186" s="413" t="str">
        <f>IF(TInspectieB[[#This Row],[Soort gebrek]]=0,"",VLOOKUP(TInspectieB[[#This Row],[Soort gebrek]],TSoortGebrek[],4,FALSE))</f>
        <v/>
      </c>
      <c r="J186" s="425"/>
      <c r="K186" s="415" t="str">
        <f>IF(TInspectieB[[#This Row],[Soort gebrek]]=0,"",VLOOKUP(TInspectieB[[#This Row],[Combi]],TPrio[#Data],2,FALSE))</f>
        <v/>
      </c>
      <c r="L186" s="339"/>
      <c r="M186" s="416" t="str">
        <f>IF(ISBLANK(TInspectieB[[#This Row],[Gebrek nr.]]),"",TInspectieB[[#This Row],[UVID]]&amp;"-"&amp;TInspectieB[[#This Row],[Gebrek nr.]])</f>
        <v/>
      </c>
      <c r="N186" s="417"/>
      <c r="O186" s="651"/>
      <c r="P186" s="206"/>
      <c r="Q186" s="193"/>
      <c r="R186" s="206"/>
      <c r="S186" s="206"/>
      <c r="T186" s="206"/>
      <c r="U186" s="206"/>
      <c r="V186" s="206"/>
      <c r="W186" s="419"/>
      <c r="X186" s="340"/>
      <c r="Y186" s="420"/>
      <c r="Z186" s="421" t="str">
        <f>IF(ISBLANK(TInspectieB[[#This Row],[Aantal]]),"",ROUND(TInspectieB[[#This Row],[Kengetal]]*TInspectieB[[#This Row],[Aantal]],-1))</f>
        <v/>
      </c>
      <c r="AA186" s="422" t="str">
        <f>IF(TInspectieB[[#This Row],[Vak-groep]]="","1",VLOOKUP(C186,$J$2:$K$7,2,FALSE))</f>
        <v>1</v>
      </c>
      <c r="AB186" s="423" t="str">
        <f>CONCATENATE(TInspectieB[[#This Row],[Soort gebrek]],TInspectieB[[#This Row],[Trede]])</f>
        <v>1</v>
      </c>
      <c r="AC186" s="413" t="e">
        <v>#N/A</v>
      </c>
      <c r="AD186" s="413" t="e">
        <v>#N/A</v>
      </c>
      <c r="AE186" s="424">
        <v>0</v>
      </c>
    </row>
    <row r="187" spans="1:31" ht="10.5" x14ac:dyDescent="0.25">
      <c r="A187" s="337" t="str" cm="1">
        <f t="array" ref="A187">IFERROR(INDEX(TInventB[UVID],ROUNDDOWN((ROW(A178)+1)/2,0)),"")</f>
        <v/>
      </c>
      <c r="B187" s="410" t="str">
        <f>IF(TInspectieB[[#This Row],[UVID]]="","",VLOOKUP(TInspectieB[[#This Row],[UVID]],TInventB[],2,FALSE))</f>
        <v/>
      </c>
      <c r="C187" s="365" t="str">
        <f>IF(TInspectieB[[#This Row],[UVID]]="","",VLOOKUP(TInspectieB[[#This Row],[UVID]],TInventB[],11,FALSE))</f>
        <v/>
      </c>
      <c r="D187" s="411" t="str">
        <f>IF(TInspectieB[[#This Row],[UVID]]="","",VLOOKUP(TInspectieB[[#This Row],[UVID]],TInventB[],3,FALSE))</f>
        <v/>
      </c>
      <c r="E187" s="338" t="str">
        <f>IF(TInspectieB[[#This Row],[Omschrijving bouwdeel]]="","",IF(MOD(ROW()-2,2)=0,"O",IF(TRIM(TInspectieB[[#This Row],[Code Bouwdeeltype]])="312010","O","E")))</f>
        <v/>
      </c>
      <c r="F187" s="412"/>
      <c r="G187" s="413" t="str">
        <f>IF(ISBLANK(TInspectieB[[#This Row],[Soort gebrek]]),"",VLOOKUP(TInspectieB[[#This Row],[Soort gebrek]],TSoortGebrek[#Data],3,FALSE))</f>
        <v/>
      </c>
      <c r="H187" s="413" t="str">
        <f>IF(ISBLANK(TInspectieB[[#This Row],[Soort gebrek]]),"",VLOOKUP(TInspectieB[[#This Row],[Soort gebrek]],TSoortGebrek[#Data],2,FALSE))</f>
        <v/>
      </c>
      <c r="I187" s="413" t="str">
        <f>IF(TInspectieB[[#This Row],[Soort gebrek]]=0,"",VLOOKUP(TInspectieB[[#This Row],[Soort gebrek]],TSoortGebrek[],4,FALSE))</f>
        <v/>
      </c>
      <c r="J187" s="425"/>
      <c r="K187" s="415" t="str">
        <f>IF(TInspectieB[[#This Row],[Soort gebrek]]=0,"",VLOOKUP(TInspectieB[[#This Row],[Combi]],TPrio[#Data],2,FALSE))</f>
        <v/>
      </c>
      <c r="L187" s="339"/>
      <c r="M187" s="416" t="str">
        <f>IF(ISBLANK(TInspectieB[[#This Row],[Gebrek nr.]]),"",TInspectieB[[#This Row],[UVID]]&amp;"-"&amp;TInspectieB[[#This Row],[Gebrek nr.]])</f>
        <v/>
      </c>
      <c r="N187" s="417"/>
      <c r="O187" s="651"/>
      <c r="P187" s="206"/>
      <c r="Q187" s="193"/>
      <c r="R187" s="206"/>
      <c r="S187" s="206"/>
      <c r="T187" s="206"/>
      <c r="U187" s="206"/>
      <c r="V187" s="206"/>
      <c r="W187" s="419"/>
      <c r="X187" s="340"/>
      <c r="Y187" s="420"/>
      <c r="Z187" s="421" t="str">
        <f>IF(ISBLANK(TInspectieB[[#This Row],[Aantal]]),"",ROUND(TInspectieB[[#This Row],[Kengetal]]*TInspectieB[[#This Row],[Aantal]],-1))</f>
        <v/>
      </c>
      <c r="AA187" s="422" t="str">
        <f>IF(TInspectieB[[#This Row],[Vak-groep]]="","1",VLOOKUP(C187,$J$2:$K$7,2,FALSE))</f>
        <v>1</v>
      </c>
      <c r="AB187" s="423" t="str">
        <f>CONCATENATE(TInspectieB[[#This Row],[Soort gebrek]],TInspectieB[[#This Row],[Trede]])</f>
        <v>1</v>
      </c>
      <c r="AC187" s="413" t="e">
        <v>#N/A</v>
      </c>
      <c r="AD187" s="413" t="e">
        <v>#N/A</v>
      </c>
      <c r="AE187" s="424">
        <v>0</v>
      </c>
    </row>
    <row r="188" spans="1:31" ht="10.5" x14ac:dyDescent="0.25">
      <c r="A188" s="337" t="str" cm="1">
        <f t="array" ref="A188">IFERROR(INDEX(TInventB[UVID],ROUNDDOWN((ROW(A179)+1)/2,0)),"")</f>
        <v/>
      </c>
      <c r="B188" s="410" t="str">
        <f>IF(TInspectieB[[#This Row],[UVID]]="","",VLOOKUP(TInspectieB[[#This Row],[UVID]],TInventB[],2,FALSE))</f>
        <v/>
      </c>
      <c r="C188" s="365" t="str">
        <f>IF(TInspectieB[[#This Row],[UVID]]="","",VLOOKUP(TInspectieB[[#This Row],[UVID]],TInventB[],11,FALSE))</f>
        <v/>
      </c>
      <c r="D188" s="411" t="str">
        <f>IF(TInspectieB[[#This Row],[UVID]]="","",VLOOKUP(TInspectieB[[#This Row],[UVID]],TInventB[],3,FALSE))</f>
        <v/>
      </c>
      <c r="E188" s="338" t="str">
        <f>IF(TInspectieB[[#This Row],[Omschrijving bouwdeel]]="","",IF(MOD(ROW()-2,2)=0,"O",IF(TRIM(TInspectieB[[#This Row],[Code Bouwdeeltype]])="312010","O","E")))</f>
        <v/>
      </c>
      <c r="F188" s="412"/>
      <c r="G188" s="413" t="str">
        <f>IF(ISBLANK(TInspectieB[[#This Row],[Soort gebrek]]),"",VLOOKUP(TInspectieB[[#This Row],[Soort gebrek]],TSoortGebrek[#Data],3,FALSE))</f>
        <v/>
      </c>
      <c r="H188" s="413" t="str">
        <f>IF(ISBLANK(TInspectieB[[#This Row],[Soort gebrek]]),"",VLOOKUP(TInspectieB[[#This Row],[Soort gebrek]],TSoortGebrek[#Data],2,FALSE))</f>
        <v/>
      </c>
      <c r="I188" s="413" t="str">
        <f>IF(TInspectieB[[#This Row],[Soort gebrek]]=0,"",VLOOKUP(TInspectieB[[#This Row],[Soort gebrek]],TSoortGebrek[],4,FALSE))</f>
        <v/>
      </c>
      <c r="J188" s="425"/>
      <c r="K188" s="415" t="str">
        <f>IF(TInspectieB[[#This Row],[Soort gebrek]]=0,"",VLOOKUP(TInspectieB[[#This Row],[Combi]],TPrio[#Data],2,FALSE))</f>
        <v/>
      </c>
      <c r="L188" s="339"/>
      <c r="M188" s="416" t="str">
        <f>IF(ISBLANK(TInspectieB[[#This Row],[Gebrek nr.]]),"",TInspectieB[[#This Row],[UVID]]&amp;"-"&amp;TInspectieB[[#This Row],[Gebrek nr.]])</f>
        <v/>
      </c>
      <c r="N188" s="417"/>
      <c r="O188" s="651"/>
      <c r="P188" s="206"/>
      <c r="Q188" s="193"/>
      <c r="R188" s="206"/>
      <c r="S188" s="206"/>
      <c r="T188" s="206"/>
      <c r="U188" s="206"/>
      <c r="V188" s="206"/>
      <c r="W188" s="419"/>
      <c r="X188" s="340"/>
      <c r="Y188" s="420"/>
      <c r="Z188" s="421" t="str">
        <f>IF(ISBLANK(TInspectieB[[#This Row],[Aantal]]),"",ROUND(TInspectieB[[#This Row],[Kengetal]]*TInspectieB[[#This Row],[Aantal]],-1))</f>
        <v/>
      </c>
      <c r="AA188" s="422" t="str">
        <f>IF(TInspectieB[[#This Row],[Vak-groep]]="","1",VLOOKUP(C188,$J$2:$K$7,2,FALSE))</f>
        <v>1</v>
      </c>
      <c r="AB188" s="423" t="str">
        <f>CONCATENATE(TInspectieB[[#This Row],[Soort gebrek]],TInspectieB[[#This Row],[Trede]])</f>
        <v>1</v>
      </c>
      <c r="AC188" s="413" t="e">
        <v>#N/A</v>
      </c>
      <c r="AD188" s="413" t="e">
        <v>#N/A</v>
      </c>
      <c r="AE188" s="424">
        <v>0</v>
      </c>
    </row>
    <row r="189" spans="1:31" ht="10.5" x14ac:dyDescent="0.25">
      <c r="A189" s="337" t="str" cm="1">
        <f t="array" ref="A189">IFERROR(INDEX(TInventB[UVID],ROUNDDOWN((ROW(A180)+1)/2,0)),"")</f>
        <v/>
      </c>
      <c r="B189" s="410" t="str">
        <f>IF(TInspectieB[[#This Row],[UVID]]="","",VLOOKUP(TInspectieB[[#This Row],[UVID]],TInventB[],2,FALSE))</f>
        <v/>
      </c>
      <c r="C189" s="365" t="str">
        <f>IF(TInspectieB[[#This Row],[UVID]]="","",VLOOKUP(TInspectieB[[#This Row],[UVID]],TInventB[],11,FALSE))</f>
        <v/>
      </c>
      <c r="D189" s="411" t="str">
        <f>IF(TInspectieB[[#This Row],[UVID]]="","",VLOOKUP(TInspectieB[[#This Row],[UVID]],TInventB[],3,FALSE))</f>
        <v/>
      </c>
      <c r="E189" s="338" t="str">
        <f>IF(TInspectieB[[#This Row],[Omschrijving bouwdeel]]="","",IF(MOD(ROW()-2,2)=0,"O",IF(TRIM(TInspectieB[[#This Row],[Code Bouwdeeltype]])="312010","O","E")))</f>
        <v/>
      </c>
      <c r="F189" s="412"/>
      <c r="G189" s="413" t="str">
        <f>IF(ISBLANK(TInspectieB[[#This Row],[Soort gebrek]]),"",VLOOKUP(TInspectieB[[#This Row],[Soort gebrek]],TSoortGebrek[#Data],3,FALSE))</f>
        <v/>
      </c>
      <c r="H189" s="413" t="str">
        <f>IF(ISBLANK(TInspectieB[[#This Row],[Soort gebrek]]),"",VLOOKUP(TInspectieB[[#This Row],[Soort gebrek]],TSoortGebrek[#Data],2,FALSE))</f>
        <v/>
      </c>
      <c r="I189" s="413" t="str">
        <f>IF(TInspectieB[[#This Row],[Soort gebrek]]=0,"",VLOOKUP(TInspectieB[[#This Row],[Soort gebrek]],TSoortGebrek[],4,FALSE))</f>
        <v/>
      </c>
      <c r="J189" s="425"/>
      <c r="K189" s="415" t="str">
        <f>IF(TInspectieB[[#This Row],[Soort gebrek]]=0,"",VLOOKUP(TInspectieB[[#This Row],[Combi]],TPrio[#Data],2,FALSE))</f>
        <v/>
      </c>
      <c r="L189" s="339"/>
      <c r="M189" s="416" t="str">
        <f>IF(ISBLANK(TInspectieB[[#This Row],[Gebrek nr.]]),"",TInspectieB[[#This Row],[UVID]]&amp;"-"&amp;TInspectieB[[#This Row],[Gebrek nr.]])</f>
        <v/>
      </c>
      <c r="N189" s="417"/>
      <c r="O189" s="651"/>
      <c r="P189" s="206"/>
      <c r="Q189" s="193"/>
      <c r="R189" s="206"/>
      <c r="S189" s="206"/>
      <c r="T189" s="206"/>
      <c r="U189" s="206"/>
      <c r="V189" s="206"/>
      <c r="W189" s="419"/>
      <c r="X189" s="340"/>
      <c r="Y189" s="420"/>
      <c r="Z189" s="421" t="str">
        <f>IF(ISBLANK(TInspectieB[[#This Row],[Aantal]]),"",ROUND(TInspectieB[[#This Row],[Kengetal]]*TInspectieB[[#This Row],[Aantal]],-1))</f>
        <v/>
      </c>
      <c r="AA189" s="422" t="str">
        <f>IF(TInspectieB[[#This Row],[Vak-groep]]="","1",VLOOKUP(C189,$J$2:$K$7,2,FALSE))</f>
        <v>1</v>
      </c>
      <c r="AB189" s="423" t="str">
        <f>CONCATENATE(TInspectieB[[#This Row],[Soort gebrek]],TInspectieB[[#This Row],[Trede]])</f>
        <v>1</v>
      </c>
      <c r="AC189" s="413" t="e">
        <v>#N/A</v>
      </c>
      <c r="AD189" s="413" t="e">
        <v>#N/A</v>
      </c>
      <c r="AE189" s="424">
        <v>0</v>
      </c>
    </row>
    <row r="190" spans="1:31" ht="10.5" x14ac:dyDescent="0.25">
      <c r="A190" s="337" t="str" cm="1">
        <f t="array" ref="A190">IFERROR(INDEX(TInventB[UVID],ROUNDDOWN((ROW(A181)+1)/2,0)),"")</f>
        <v/>
      </c>
      <c r="B190" s="410" t="str">
        <f>IF(TInspectieB[[#This Row],[UVID]]="","",VLOOKUP(TInspectieB[[#This Row],[UVID]],TInventB[],2,FALSE))</f>
        <v/>
      </c>
      <c r="C190" s="365" t="str">
        <f>IF(TInspectieB[[#This Row],[UVID]]="","",VLOOKUP(TInspectieB[[#This Row],[UVID]],TInventB[],11,FALSE))</f>
        <v/>
      </c>
      <c r="D190" s="411" t="str">
        <f>IF(TInspectieB[[#This Row],[UVID]]="","",VLOOKUP(TInspectieB[[#This Row],[UVID]],TInventB[],3,FALSE))</f>
        <v/>
      </c>
      <c r="E190" s="338" t="str">
        <f>IF(TInspectieB[[#This Row],[Omschrijving bouwdeel]]="","",IF(MOD(ROW()-2,2)=0,"O",IF(TRIM(TInspectieB[[#This Row],[Code Bouwdeeltype]])="312010","O","E")))</f>
        <v/>
      </c>
      <c r="F190" s="412"/>
      <c r="G190" s="413" t="str">
        <f>IF(ISBLANK(TInspectieB[[#This Row],[Soort gebrek]]),"",VLOOKUP(TInspectieB[[#This Row],[Soort gebrek]],TSoortGebrek[#Data],3,FALSE))</f>
        <v/>
      </c>
      <c r="H190" s="413" t="str">
        <f>IF(ISBLANK(TInspectieB[[#This Row],[Soort gebrek]]),"",VLOOKUP(TInspectieB[[#This Row],[Soort gebrek]],TSoortGebrek[#Data],2,FALSE))</f>
        <v/>
      </c>
      <c r="I190" s="413" t="str">
        <f>IF(TInspectieB[[#This Row],[Soort gebrek]]=0,"",VLOOKUP(TInspectieB[[#This Row],[Soort gebrek]],TSoortGebrek[],4,FALSE))</f>
        <v/>
      </c>
      <c r="J190" s="425"/>
      <c r="K190" s="415" t="str">
        <f>IF(TInspectieB[[#This Row],[Soort gebrek]]=0,"",VLOOKUP(TInspectieB[[#This Row],[Combi]],TPrio[#Data],2,FALSE))</f>
        <v/>
      </c>
      <c r="L190" s="339"/>
      <c r="M190" s="416" t="str">
        <f>IF(ISBLANK(TInspectieB[[#This Row],[Gebrek nr.]]),"",TInspectieB[[#This Row],[UVID]]&amp;"-"&amp;TInspectieB[[#This Row],[Gebrek nr.]])</f>
        <v/>
      </c>
      <c r="N190" s="417"/>
      <c r="O190" s="651"/>
      <c r="P190" s="206"/>
      <c r="Q190" s="193"/>
      <c r="R190" s="206"/>
      <c r="S190" s="206"/>
      <c r="T190" s="206"/>
      <c r="U190" s="206"/>
      <c r="V190" s="206"/>
      <c r="W190" s="419"/>
      <c r="X190" s="340"/>
      <c r="Y190" s="420"/>
      <c r="Z190" s="421" t="str">
        <f>IF(ISBLANK(TInspectieB[[#This Row],[Aantal]]),"",ROUND(TInspectieB[[#This Row],[Kengetal]]*TInspectieB[[#This Row],[Aantal]],-1))</f>
        <v/>
      </c>
      <c r="AA190" s="422" t="str">
        <f>IF(TInspectieB[[#This Row],[Vak-groep]]="","1",VLOOKUP(C190,$J$2:$K$7,2,FALSE))</f>
        <v>1</v>
      </c>
      <c r="AB190" s="423" t="str">
        <f>CONCATENATE(TInspectieB[[#This Row],[Soort gebrek]],TInspectieB[[#This Row],[Trede]])</f>
        <v>1</v>
      </c>
      <c r="AC190" s="413" t="e">
        <v>#N/A</v>
      </c>
      <c r="AD190" s="413" t="e">
        <v>#N/A</v>
      </c>
      <c r="AE190" s="424">
        <v>0</v>
      </c>
    </row>
    <row r="191" spans="1:31" ht="10.5" x14ac:dyDescent="0.25">
      <c r="A191" s="337" t="str" cm="1">
        <f t="array" ref="A191">IFERROR(INDEX(TInventB[UVID],ROUNDDOWN((ROW(A182)+1)/2,0)),"")</f>
        <v/>
      </c>
      <c r="B191" s="410" t="str">
        <f>IF(TInspectieB[[#This Row],[UVID]]="","",VLOOKUP(TInspectieB[[#This Row],[UVID]],TInventB[],2,FALSE))</f>
        <v/>
      </c>
      <c r="C191" s="365" t="str">
        <f>IF(TInspectieB[[#This Row],[UVID]]="","",VLOOKUP(TInspectieB[[#This Row],[UVID]],TInventB[],11,FALSE))</f>
        <v/>
      </c>
      <c r="D191" s="411" t="str">
        <f>IF(TInspectieB[[#This Row],[UVID]]="","",VLOOKUP(TInspectieB[[#This Row],[UVID]],TInventB[],3,FALSE))</f>
        <v/>
      </c>
      <c r="E191" s="338" t="str">
        <f>IF(TInspectieB[[#This Row],[Omschrijving bouwdeel]]="","",IF(MOD(ROW()-2,2)=0,"O",IF(TRIM(TInspectieB[[#This Row],[Code Bouwdeeltype]])="312010","O","E")))</f>
        <v/>
      </c>
      <c r="F191" s="412"/>
      <c r="G191" s="413" t="str">
        <f>IF(ISBLANK(TInspectieB[[#This Row],[Soort gebrek]]),"",VLOOKUP(TInspectieB[[#This Row],[Soort gebrek]],TSoortGebrek[#Data],3,FALSE))</f>
        <v/>
      </c>
      <c r="H191" s="413" t="str">
        <f>IF(ISBLANK(TInspectieB[[#This Row],[Soort gebrek]]),"",VLOOKUP(TInspectieB[[#This Row],[Soort gebrek]],TSoortGebrek[#Data],2,FALSE))</f>
        <v/>
      </c>
      <c r="I191" s="413" t="str">
        <f>IF(TInspectieB[[#This Row],[Soort gebrek]]=0,"",VLOOKUP(TInspectieB[[#This Row],[Soort gebrek]],TSoortGebrek[],4,FALSE))</f>
        <v/>
      </c>
      <c r="J191" s="425"/>
      <c r="K191" s="415" t="str">
        <f>IF(TInspectieB[[#This Row],[Soort gebrek]]=0,"",VLOOKUP(TInspectieB[[#This Row],[Combi]],TPrio[#Data],2,FALSE))</f>
        <v/>
      </c>
      <c r="L191" s="339"/>
      <c r="M191" s="416" t="str">
        <f>IF(ISBLANK(TInspectieB[[#This Row],[Gebrek nr.]]),"",TInspectieB[[#This Row],[UVID]]&amp;"-"&amp;TInspectieB[[#This Row],[Gebrek nr.]])</f>
        <v/>
      </c>
      <c r="N191" s="417"/>
      <c r="O191" s="651"/>
      <c r="P191" s="206"/>
      <c r="Q191" s="193"/>
      <c r="R191" s="206"/>
      <c r="S191" s="206"/>
      <c r="T191" s="206"/>
      <c r="U191" s="206"/>
      <c r="V191" s="206"/>
      <c r="W191" s="419"/>
      <c r="X191" s="340"/>
      <c r="Y191" s="420"/>
      <c r="Z191" s="421" t="str">
        <f>IF(ISBLANK(TInspectieB[[#This Row],[Aantal]]),"",ROUND(TInspectieB[[#This Row],[Kengetal]]*TInspectieB[[#This Row],[Aantal]],-1))</f>
        <v/>
      </c>
      <c r="AA191" s="422" t="str">
        <f>IF(TInspectieB[[#This Row],[Vak-groep]]="","1",VLOOKUP(C191,$J$2:$K$7,2,FALSE))</f>
        <v>1</v>
      </c>
      <c r="AB191" s="423" t="str">
        <f>CONCATENATE(TInspectieB[[#This Row],[Soort gebrek]],TInspectieB[[#This Row],[Trede]])</f>
        <v>1</v>
      </c>
      <c r="AC191" s="413" t="e">
        <v>#N/A</v>
      </c>
      <c r="AD191" s="413" t="e">
        <v>#N/A</v>
      </c>
      <c r="AE191" s="424">
        <v>0</v>
      </c>
    </row>
    <row r="192" spans="1:31" ht="10.5" x14ac:dyDescent="0.25">
      <c r="A192" s="337" t="str" cm="1">
        <f t="array" ref="A192">IFERROR(INDEX(TInventB[UVID],ROUNDDOWN((ROW(A183)+1)/2,0)),"")</f>
        <v/>
      </c>
      <c r="B192" s="410" t="str">
        <f>IF(TInspectieB[[#This Row],[UVID]]="","",VLOOKUP(TInspectieB[[#This Row],[UVID]],TInventB[],2,FALSE))</f>
        <v/>
      </c>
      <c r="C192" s="365" t="str">
        <f>IF(TInspectieB[[#This Row],[UVID]]="","",VLOOKUP(TInspectieB[[#This Row],[UVID]],TInventB[],11,FALSE))</f>
        <v/>
      </c>
      <c r="D192" s="411" t="str">
        <f>IF(TInspectieB[[#This Row],[UVID]]="","",VLOOKUP(TInspectieB[[#This Row],[UVID]],TInventB[],3,FALSE))</f>
        <v/>
      </c>
      <c r="E192" s="338" t="str">
        <f>IF(TInspectieB[[#This Row],[Omschrijving bouwdeel]]="","",IF(MOD(ROW()-2,2)=0,"O",IF(TRIM(TInspectieB[[#This Row],[Code Bouwdeeltype]])="312010","O","E")))</f>
        <v/>
      </c>
      <c r="F192" s="412"/>
      <c r="G192" s="413" t="str">
        <f>IF(ISBLANK(TInspectieB[[#This Row],[Soort gebrek]]),"",VLOOKUP(TInspectieB[[#This Row],[Soort gebrek]],TSoortGebrek[#Data],3,FALSE))</f>
        <v/>
      </c>
      <c r="H192" s="413" t="str">
        <f>IF(ISBLANK(TInspectieB[[#This Row],[Soort gebrek]]),"",VLOOKUP(TInspectieB[[#This Row],[Soort gebrek]],TSoortGebrek[#Data],2,FALSE))</f>
        <v/>
      </c>
      <c r="I192" s="413" t="str">
        <f>IF(TInspectieB[[#This Row],[Soort gebrek]]=0,"",VLOOKUP(TInspectieB[[#This Row],[Soort gebrek]],TSoortGebrek[],4,FALSE))</f>
        <v/>
      </c>
      <c r="J192" s="425"/>
      <c r="K192" s="415" t="str">
        <f>IF(TInspectieB[[#This Row],[Soort gebrek]]=0,"",VLOOKUP(TInspectieB[[#This Row],[Combi]],TPrio[#Data],2,FALSE))</f>
        <v/>
      </c>
      <c r="L192" s="339"/>
      <c r="M192" s="416" t="str">
        <f>IF(ISBLANK(TInspectieB[[#This Row],[Gebrek nr.]]),"",TInspectieB[[#This Row],[UVID]]&amp;"-"&amp;TInspectieB[[#This Row],[Gebrek nr.]])</f>
        <v/>
      </c>
      <c r="N192" s="417"/>
      <c r="O192" s="651"/>
      <c r="P192" s="206"/>
      <c r="Q192" s="193"/>
      <c r="R192" s="206"/>
      <c r="S192" s="206"/>
      <c r="T192" s="206"/>
      <c r="U192" s="206"/>
      <c r="V192" s="206"/>
      <c r="W192" s="419"/>
      <c r="X192" s="340"/>
      <c r="Y192" s="420"/>
      <c r="Z192" s="421" t="str">
        <f>IF(ISBLANK(TInspectieB[[#This Row],[Aantal]]),"",ROUND(TInspectieB[[#This Row],[Kengetal]]*TInspectieB[[#This Row],[Aantal]],-1))</f>
        <v/>
      </c>
      <c r="AA192" s="422" t="str">
        <f>IF(TInspectieB[[#This Row],[Vak-groep]]="","1",VLOOKUP(C192,$J$2:$K$7,2,FALSE))</f>
        <v>1</v>
      </c>
      <c r="AB192" s="423" t="str">
        <f>CONCATENATE(TInspectieB[[#This Row],[Soort gebrek]],TInspectieB[[#This Row],[Trede]])</f>
        <v>1</v>
      </c>
      <c r="AC192" s="413" t="e">
        <v>#N/A</v>
      </c>
      <c r="AD192" s="413" t="e">
        <v>#N/A</v>
      </c>
      <c r="AE192" s="424">
        <v>0</v>
      </c>
    </row>
    <row r="193" spans="1:31" ht="10.5" x14ac:dyDescent="0.25">
      <c r="A193" s="337" t="str" cm="1">
        <f t="array" ref="A193">IFERROR(INDEX(TInventB[UVID],ROUNDDOWN((ROW(A184)+1)/2,0)),"")</f>
        <v/>
      </c>
      <c r="B193" s="410" t="str">
        <f>IF(TInspectieB[[#This Row],[UVID]]="","",VLOOKUP(TInspectieB[[#This Row],[UVID]],TInventB[],2,FALSE))</f>
        <v/>
      </c>
      <c r="C193" s="365" t="str">
        <f>IF(TInspectieB[[#This Row],[UVID]]="","",VLOOKUP(TInspectieB[[#This Row],[UVID]],TInventB[],11,FALSE))</f>
        <v/>
      </c>
      <c r="D193" s="411" t="str">
        <f>IF(TInspectieB[[#This Row],[UVID]]="","",VLOOKUP(TInspectieB[[#This Row],[UVID]],TInventB[],3,FALSE))</f>
        <v/>
      </c>
      <c r="E193" s="338" t="str">
        <f>IF(TInspectieB[[#This Row],[Omschrijving bouwdeel]]="","",IF(MOD(ROW()-2,2)=0,"O",IF(TRIM(TInspectieB[[#This Row],[Code Bouwdeeltype]])="312010","O","E")))</f>
        <v/>
      </c>
      <c r="F193" s="412"/>
      <c r="G193" s="413" t="str">
        <f>IF(ISBLANK(TInspectieB[[#This Row],[Soort gebrek]]),"",VLOOKUP(TInspectieB[[#This Row],[Soort gebrek]],TSoortGebrek[#Data],3,FALSE))</f>
        <v/>
      </c>
      <c r="H193" s="413" t="str">
        <f>IF(ISBLANK(TInspectieB[[#This Row],[Soort gebrek]]),"",VLOOKUP(TInspectieB[[#This Row],[Soort gebrek]],TSoortGebrek[#Data],2,FALSE))</f>
        <v/>
      </c>
      <c r="I193" s="413" t="str">
        <f>IF(TInspectieB[[#This Row],[Soort gebrek]]=0,"",VLOOKUP(TInspectieB[[#This Row],[Soort gebrek]],TSoortGebrek[],4,FALSE))</f>
        <v/>
      </c>
      <c r="J193" s="414"/>
      <c r="K193" s="415" t="str">
        <f>IF(TInspectieB[[#This Row],[Soort gebrek]]=0,"",VLOOKUP(TInspectieB[[#This Row],[Combi]],TPrio[#Data],2,FALSE))</f>
        <v/>
      </c>
      <c r="L193" s="339"/>
      <c r="M193" s="416" t="str">
        <f>IF(ISBLANK(TInspectieB[[#This Row],[Gebrek nr.]]),"",TInspectieB[[#This Row],[UVID]]&amp;"-"&amp;TInspectieB[[#This Row],[Gebrek nr.]])</f>
        <v/>
      </c>
      <c r="N193" s="417"/>
      <c r="O193" s="651"/>
      <c r="P193" s="419"/>
      <c r="Q193" s="193"/>
      <c r="R193" s="419"/>
      <c r="S193" s="419"/>
      <c r="T193" s="419"/>
      <c r="U193" s="419"/>
      <c r="V193" s="419"/>
      <c r="W193" s="419"/>
      <c r="X193" s="340"/>
      <c r="Y193" s="420"/>
      <c r="Z193" s="421" t="str">
        <f>IF(ISBLANK(TInspectieB[[#This Row],[Aantal]]),"",ROUND(TInspectieB[[#This Row],[Kengetal]]*TInspectieB[[#This Row],[Aantal]],-1))</f>
        <v/>
      </c>
      <c r="AA193" s="422" t="str">
        <f>IF(TInspectieB[[#This Row],[Vak-groep]]="","1",VLOOKUP(C193,$J$2:$K$7,2,FALSE))</f>
        <v>1</v>
      </c>
      <c r="AB193" s="423" t="str">
        <f>CONCATENATE(TInspectieB[[#This Row],[Soort gebrek]],TInspectieB[[#This Row],[Trede]])</f>
        <v>1</v>
      </c>
      <c r="AC193" s="426" t="e">
        <v>#N/A</v>
      </c>
      <c r="AD193" s="426" t="e">
        <v>#N/A</v>
      </c>
      <c r="AE193" s="427">
        <v>0</v>
      </c>
    </row>
  </sheetData>
  <phoneticPr fontId="7" type="noConversion"/>
  <conditionalFormatting sqref="J4:K5">
    <cfRule type="expression" dxfId="50" priority="1">
      <formula>IF(Discipline="G",TRUE)</formula>
    </cfRule>
  </conditionalFormatting>
  <conditionalFormatting sqref="J6:K6">
    <cfRule type="expression" dxfId="49" priority="3">
      <formula>IF(Discipline="T",TRUE)</formula>
    </cfRule>
  </conditionalFormatting>
  <conditionalFormatting sqref="J7:K7">
    <cfRule type="expression" dxfId="48" priority="2">
      <formula>IF(Discipline="G",TRUE)</formula>
    </cfRule>
  </conditionalFormatting>
  <pageMargins left="0.7" right="0.7" top="0.75" bottom="0.75" header="0.3" footer="0.3"/>
  <legacyDrawing r:id="rId1"/>
  <tableParts count="1">
    <tablePart r:id="rId2"/>
  </tableParts>
  <extLst>
    <ext xmlns:x14="http://schemas.microsoft.com/office/spreadsheetml/2009/9/main" uri="{CCE6A557-97BC-4b89-ADB6-D9C93CAAB3DF}">
      <x14:dataValidations xmlns:xm="http://schemas.microsoft.com/office/excel/2006/main" count="7">
        <x14:dataValidation type="list" allowBlank="1" showInputMessage="1" showErrorMessage="1" xr:uid="{8AD8894F-CF3D-43E6-ADC5-6C8E9E53282A}">
          <x14:formula1>
            <xm:f>'Inventarisatie B'!$A$8:$A$59</xm:f>
          </x14:formula1>
          <xm:sqref>A10:A193</xm:sqref>
        </x14:dataValidation>
        <x14:dataValidation type="list" allowBlank="1" showInputMessage="1" showErrorMessage="1" xr:uid="{14150F0B-DE8C-456C-84E8-3C088A02972C}">
          <x14:formula1>
            <xm:f>'Menu''s'!$G$249:$G$255</xm:f>
          </x14:formula1>
          <xm:sqref>F10:F193</xm:sqref>
        </x14:dataValidation>
        <x14:dataValidation type="list" allowBlank="1" showInputMessage="1" showErrorMessage="1" xr:uid="{042D8AFB-5B1D-4892-852F-68AA9E70A457}">
          <x14:formula1>
            <xm:f>Herstelmaatregelen!$E$6:$E$19</xm:f>
          </x14:formula1>
          <xm:sqref>W10:W193</xm:sqref>
        </x14:dataValidation>
        <x14:dataValidation type="list" allowBlank="1" showInputMessage="1" showErrorMessage="1" xr:uid="{16AF86D8-8525-43DB-AAA5-825E9CB56E26}">
          <x14:formula1>
            <xm:f>'SBL-2024 (formules)'!$G$5:$G$40</xm:f>
          </x14:formula1>
          <xm:sqref>S10:S193</xm:sqref>
        </x14:dataValidation>
        <x14:dataValidation type="list" allowBlank="1" showInputMessage="1" xr:uid="{10937F91-A567-41AF-A360-04F837753534}">
          <x14:formula1>
            <xm:f>'Menu''s'!$H$303:$H$306</xm:f>
          </x14:formula1>
          <xm:sqref>E10:E193</xm:sqref>
        </x14:dataValidation>
        <x14:dataValidation type="list" allowBlank="1" showInputMessage="1" showErrorMessage="1" xr:uid="{93ADF0FA-0DDC-46CE-A3FB-DE88E9A3E6E4}">
          <x14:formula1>
            <xm:f>'Menu''s'!$H$260:$H$264</xm:f>
          </x14:formula1>
          <xm:sqref>Q10:Q193</xm:sqref>
        </x14:dataValidation>
        <x14:dataValidation type="list" allowBlank="1" showInputMessage="1" showErrorMessage="1" xr:uid="{8B11848E-4F47-43ED-8C8E-23743144385D}">
          <x14:formula1>
            <xm:f>'FUTP''s'!$E$3:$E$30</xm:f>
          </x14:formula1>
          <xm:sqref>V10:V193</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E67B8-EF46-4010-8659-33E2DC48B15A}">
  <sheetPr>
    <tabColor rgb="FFFFFF00"/>
  </sheetPr>
  <dimension ref="A1:BB59"/>
  <sheetViews>
    <sheetView zoomScaleNormal="100" workbookViewId="0">
      <pane xSplit="4" topLeftCell="T1" activePane="topRight" state="frozen"/>
      <selection pane="topRight" activeCell="AC8" sqref="AC8:AL9"/>
    </sheetView>
  </sheetViews>
  <sheetFormatPr defaultColWidth="8.85546875" defaultRowHeight="15" x14ac:dyDescent="0.25"/>
  <cols>
    <col min="1" max="1" width="13.85546875" style="169" customWidth="1"/>
    <col min="2" max="2" width="15" style="169" customWidth="1"/>
    <col min="3" max="3" width="35.5703125" customWidth="1"/>
    <col min="4" max="4" width="7.85546875" customWidth="1"/>
    <col min="5" max="5" width="11.140625" style="169" bestFit="1" customWidth="1"/>
    <col min="6" max="6" width="13.42578125" style="170" customWidth="1"/>
    <col min="7" max="8" width="10.5703125" hidden="1" customWidth="1"/>
    <col min="9" max="9" width="10.5703125" bestFit="1" customWidth="1"/>
    <col min="10" max="10" width="9.5703125" customWidth="1"/>
    <col min="11" max="12" width="13.42578125" style="169" customWidth="1"/>
    <col min="13" max="13" width="13.85546875" customWidth="1"/>
    <col min="14" max="14" width="15.42578125" style="169" customWidth="1"/>
    <col min="15" max="15" width="13.85546875" style="169" hidden="1" customWidth="1"/>
    <col min="16" max="17" width="13.85546875" style="169" customWidth="1"/>
    <col min="18" max="18" width="15" style="169" customWidth="1"/>
    <col min="19" max="19" width="15.5703125" style="169" customWidth="1"/>
    <col min="20" max="20" width="15.5703125" customWidth="1"/>
    <col min="21" max="21" width="20.5703125" customWidth="1"/>
    <col min="22" max="22" width="8.85546875" customWidth="1"/>
    <col min="23" max="24" width="13.42578125" style="169" customWidth="1"/>
    <col min="25" max="25" width="14.5703125" style="169" customWidth="1"/>
    <col min="26" max="26" width="13.42578125" style="169" customWidth="1"/>
    <col min="27" max="27" width="15.5703125" customWidth="1"/>
    <col min="28" max="28" width="15.5703125" hidden="1" customWidth="1"/>
    <col min="29" max="29" width="15.5703125" customWidth="1"/>
    <col min="30" max="30" width="15.5703125" hidden="1" customWidth="1"/>
    <col min="31" max="31" width="15.5703125" customWidth="1"/>
    <col min="32" max="33" width="17.5703125" hidden="1" customWidth="1"/>
    <col min="34" max="34" width="17.5703125" customWidth="1"/>
    <col min="35" max="37" width="17.5703125" hidden="1" customWidth="1"/>
    <col min="38" max="38" width="35.5703125" customWidth="1"/>
    <col min="40" max="40" width="7.42578125" style="169" customWidth="1"/>
    <col min="41" max="41" width="6.5703125" style="171" customWidth="1"/>
    <col min="42" max="42" width="10.5703125" style="169" customWidth="1"/>
    <col min="44" max="44" width="10.5703125" style="169" customWidth="1"/>
    <col min="46" max="46" width="13.42578125" style="169" customWidth="1"/>
    <col min="47" max="47" width="10.5703125" style="169" customWidth="1"/>
    <col min="48" max="48" width="12.5703125" style="169" customWidth="1"/>
    <col min="49" max="49" width="13.5703125" style="169" customWidth="1"/>
    <col min="50" max="50" width="36" style="170" customWidth="1"/>
    <col min="51" max="51" width="9.5703125" style="169" customWidth="1"/>
    <col min="52" max="52" width="11.5703125" style="169" customWidth="1"/>
    <col min="53" max="53" width="13.5703125" style="172" bestFit="1" customWidth="1"/>
    <col min="54" max="54" width="9.5703125" style="172" customWidth="1"/>
    <col min="55" max="55" width="9.42578125" style="169" bestFit="1" customWidth="1"/>
    <col min="56" max="56" width="12.85546875" style="169" bestFit="1" customWidth="1"/>
    <col min="57" max="16384" width="8.85546875" style="169"/>
  </cols>
  <sheetData>
    <row r="1" spans="1:54" ht="11.25" thickBot="1" x14ac:dyDescent="0.3">
      <c r="B1" s="169" t="s">
        <v>728</v>
      </c>
      <c r="C1" s="341" t="s">
        <v>728</v>
      </c>
      <c r="D1" s="342" t="s">
        <v>729</v>
      </c>
      <c r="E1" s="343"/>
      <c r="G1" s="171"/>
      <c r="H1" s="171"/>
      <c r="I1" s="171"/>
      <c r="J1" s="169"/>
      <c r="M1" s="344" t="s">
        <v>730</v>
      </c>
      <c r="N1" s="345">
        <f>Advies!B36</f>
        <v>46260</v>
      </c>
      <c r="Q1" s="170"/>
      <c r="R1" s="344" t="s">
        <v>731</v>
      </c>
      <c r="S1" s="808">
        <v>46261</v>
      </c>
      <c r="T1" s="172"/>
      <c r="U1" s="172"/>
      <c r="V1" s="169"/>
      <c r="W1" s="347"/>
      <c r="X1" s="347"/>
      <c r="Y1" s="347"/>
      <c r="Z1" s="347"/>
      <c r="AA1" s="348"/>
      <c r="AB1" s="348"/>
      <c r="AC1" s="348"/>
      <c r="AD1" s="348"/>
      <c r="AE1" s="349"/>
      <c r="AF1" s="348"/>
      <c r="AG1" s="348"/>
      <c r="AH1" s="350"/>
      <c r="AI1" s="350"/>
      <c r="AJ1" s="350"/>
      <c r="AK1" s="170"/>
      <c r="AL1" s="169"/>
      <c r="AM1" s="169"/>
      <c r="AO1" s="169"/>
      <c r="AQ1" s="169"/>
      <c r="AS1" s="169"/>
      <c r="AX1" s="169"/>
      <c r="BA1" s="169"/>
      <c r="BB1" s="169"/>
    </row>
    <row r="2" spans="1:54" ht="11.25" thickBot="1" x14ac:dyDescent="0.3">
      <c r="B2" s="169" t="s">
        <v>572</v>
      </c>
      <c r="C2" s="351"/>
      <c r="D2" s="351"/>
      <c r="G2" s="171"/>
      <c r="H2" s="171"/>
      <c r="I2" s="171"/>
      <c r="J2" s="169"/>
      <c r="M2" s="344" t="s">
        <v>636</v>
      </c>
      <c r="N2" s="439" t="str">
        <f>Advies!B39</f>
        <v>Willem</v>
      </c>
      <c r="Q2" s="170"/>
      <c r="R2" s="344" t="s">
        <v>732</v>
      </c>
      <c r="S2" s="352" t="s">
        <v>733</v>
      </c>
      <c r="T2" s="172"/>
      <c r="U2" s="172"/>
      <c r="V2" s="169"/>
      <c r="W2" s="353"/>
      <c r="X2" s="353"/>
      <c r="Y2" s="353"/>
      <c r="Z2" s="353"/>
      <c r="AA2" s="348"/>
      <c r="AB2" s="348"/>
      <c r="AC2" s="348"/>
      <c r="AD2" s="348"/>
      <c r="AE2" s="349"/>
      <c r="AF2" s="348"/>
      <c r="AG2" s="348"/>
      <c r="AH2" s="169"/>
      <c r="AI2" s="169"/>
      <c r="AJ2" s="169"/>
      <c r="AK2" s="170"/>
      <c r="AL2" s="169"/>
      <c r="AM2" s="169"/>
      <c r="AO2" s="169"/>
      <c r="AQ2" s="169"/>
      <c r="AS2" s="169"/>
      <c r="AX2" s="169"/>
      <c r="BA2" s="169"/>
      <c r="BB2" s="169"/>
    </row>
    <row r="3" spans="1:54" ht="30" thickBot="1" x14ac:dyDescent="0.3">
      <c r="A3" s="168" t="s">
        <v>903</v>
      </c>
      <c r="C3" s="169"/>
      <c r="D3" s="168"/>
      <c r="G3" s="171"/>
      <c r="H3" s="171"/>
      <c r="I3" s="171"/>
      <c r="J3" s="169"/>
      <c r="M3" s="169"/>
      <c r="Q3" s="170"/>
      <c r="T3" s="172"/>
      <c r="U3" s="172"/>
      <c r="V3" s="169"/>
      <c r="AA3" s="169"/>
      <c r="AB3" s="169"/>
      <c r="AC3" s="169"/>
      <c r="AD3" s="169"/>
      <c r="AE3" s="169"/>
      <c r="AF3" s="169"/>
      <c r="AG3" s="169"/>
      <c r="AH3" s="169"/>
      <c r="AI3" s="169"/>
      <c r="AJ3" s="169"/>
      <c r="AK3" s="170"/>
      <c r="AL3" s="169"/>
      <c r="AM3" s="169"/>
      <c r="AO3" s="169"/>
      <c r="AQ3" s="169"/>
      <c r="AS3" s="169"/>
      <c r="AX3" s="169"/>
      <c r="BA3" s="169"/>
      <c r="BB3" s="169"/>
    </row>
    <row r="4" spans="1:54" ht="23.25" thickBot="1" x14ac:dyDescent="0.3">
      <c r="A4" s="173" t="s">
        <v>1</v>
      </c>
      <c r="B4" s="174" t="str">
        <f>Advies!B10</f>
        <v>Voorbeeld</v>
      </c>
      <c r="C4" s="735" t="str">
        <f>Advies!B12</f>
        <v>Voorbeeld</v>
      </c>
      <c r="D4" s="735"/>
      <c r="E4" s="735"/>
      <c r="F4" s="735"/>
      <c r="G4" s="169"/>
      <c r="H4" s="169"/>
      <c r="I4" s="169"/>
      <c r="J4" s="169"/>
      <c r="K4" s="354" t="s">
        <v>380</v>
      </c>
      <c r="L4" s="525">
        <f>Advies!B34</f>
        <v>3</v>
      </c>
      <c r="M4" s="175" t="s">
        <v>735</v>
      </c>
      <c r="N4" s="218">
        <f>Advies!B18</f>
        <v>636</v>
      </c>
      <c r="P4" s="175" t="s">
        <v>158</v>
      </c>
      <c r="Q4" s="176">
        <f>Advies!B17</f>
        <v>1943</v>
      </c>
      <c r="R4" s="849" t="s">
        <v>569</v>
      </c>
      <c r="S4" s="824"/>
      <c r="T4" s="824"/>
      <c r="U4" s="824"/>
      <c r="V4" s="824"/>
      <c r="W4" s="825"/>
      <c r="AA4" s="169"/>
      <c r="AB4" s="355"/>
      <c r="AC4" s="355"/>
      <c r="AD4" s="355"/>
      <c r="AE4" s="169"/>
      <c r="AF4" s="355"/>
      <c r="AG4" s="355"/>
      <c r="AH4" s="169"/>
      <c r="AI4" s="169"/>
      <c r="AJ4" s="169"/>
      <c r="AK4" s="169"/>
      <c r="AL4" s="169"/>
      <c r="AM4" s="169"/>
      <c r="AO4" s="169"/>
      <c r="AQ4" s="169"/>
      <c r="AS4" s="169"/>
      <c r="AX4" s="169"/>
      <c r="BA4" s="169"/>
      <c r="BB4" s="169"/>
    </row>
    <row r="5" spans="1:54" ht="14.25" thickTop="1" thickBot="1" x14ac:dyDescent="0.3">
      <c r="C5" s="169"/>
      <c r="D5" s="169"/>
      <c r="G5" s="169"/>
      <c r="H5" s="169"/>
      <c r="I5" s="169"/>
      <c r="J5" s="169"/>
      <c r="M5" s="169"/>
      <c r="Q5" s="172"/>
      <c r="T5" s="169"/>
      <c r="U5" s="169"/>
      <c r="V5" s="169"/>
      <c r="X5" s="786" t="s">
        <v>570</v>
      </c>
      <c r="Y5" s="787"/>
      <c r="Z5" s="787"/>
      <c r="AA5" s="788"/>
      <c r="AB5" s="169"/>
      <c r="AC5" s="169"/>
      <c r="AD5" s="169"/>
      <c r="AE5" s="169"/>
      <c r="AF5" s="169"/>
      <c r="AG5" s="169"/>
      <c r="AH5" s="789" t="s">
        <v>571</v>
      </c>
      <c r="AI5" s="790"/>
      <c r="AJ5" s="790"/>
      <c r="AK5" s="791"/>
      <c r="AL5" s="169"/>
      <c r="AM5" s="169"/>
      <c r="AO5" s="169"/>
      <c r="AQ5" s="169"/>
      <c r="AS5" s="169"/>
      <c r="AX5" s="169"/>
      <c r="BA5" s="169"/>
      <c r="BB5" s="169"/>
    </row>
    <row r="6" spans="1:54" ht="11.25" thickTop="1" x14ac:dyDescent="0.25">
      <c r="A6" s="356" t="s">
        <v>736</v>
      </c>
      <c r="B6" s="495" t="s">
        <v>736</v>
      </c>
      <c r="C6" s="357" t="s">
        <v>737</v>
      </c>
      <c r="D6" s="343" t="s">
        <v>738</v>
      </c>
      <c r="E6" s="356" t="s">
        <v>736</v>
      </c>
      <c r="F6" s="343" t="s">
        <v>738</v>
      </c>
      <c r="G6" s="358" t="s">
        <v>738</v>
      </c>
      <c r="H6" s="358" t="s">
        <v>738</v>
      </c>
      <c r="I6" s="358" t="s">
        <v>738</v>
      </c>
      <c r="J6" s="356" t="s">
        <v>736</v>
      </c>
      <c r="K6" s="356" t="s">
        <v>736</v>
      </c>
      <c r="L6" s="356" t="s">
        <v>736</v>
      </c>
      <c r="M6" s="343" t="s">
        <v>738</v>
      </c>
      <c r="N6" s="343" t="s">
        <v>738</v>
      </c>
      <c r="O6" s="343" t="s">
        <v>738</v>
      </c>
      <c r="P6" s="343" t="s">
        <v>738</v>
      </c>
      <c r="Q6" s="356" t="s">
        <v>736</v>
      </c>
      <c r="R6" s="343" t="s">
        <v>738</v>
      </c>
      <c r="S6" s="343" t="s">
        <v>738</v>
      </c>
      <c r="T6" s="343" t="s">
        <v>738</v>
      </c>
      <c r="U6" s="343" t="s">
        <v>738</v>
      </c>
      <c r="V6" s="343" t="s">
        <v>738</v>
      </c>
      <c r="W6" s="356" t="s">
        <v>736</v>
      </c>
      <c r="X6" s="359" t="s">
        <v>737</v>
      </c>
      <c r="Y6" s="360" t="s">
        <v>737</v>
      </c>
      <c r="Z6" s="360" t="s">
        <v>737</v>
      </c>
      <c r="AA6" s="361" t="s">
        <v>738</v>
      </c>
      <c r="AB6" s="357" t="s">
        <v>737</v>
      </c>
      <c r="AC6" s="343" t="s">
        <v>738</v>
      </c>
      <c r="AD6" s="343" t="s">
        <v>738</v>
      </c>
      <c r="AE6" s="343" t="s">
        <v>738</v>
      </c>
      <c r="AF6" s="357" t="s">
        <v>737</v>
      </c>
      <c r="AG6" s="357" t="s">
        <v>737</v>
      </c>
      <c r="AH6" s="602" t="s">
        <v>737</v>
      </c>
      <c r="AI6" s="360" t="s">
        <v>737</v>
      </c>
      <c r="AJ6" s="360" t="s">
        <v>737</v>
      </c>
      <c r="AK6" s="362" t="s">
        <v>737</v>
      </c>
      <c r="AL6" s="343" t="s">
        <v>738</v>
      </c>
      <c r="AM6" s="169"/>
      <c r="AO6" s="169"/>
      <c r="AQ6" s="169"/>
      <c r="AS6" s="169"/>
      <c r="AX6" s="169"/>
      <c r="BA6" s="169"/>
      <c r="BB6" s="169"/>
    </row>
    <row r="7" spans="1:54" s="170" customFormat="1" ht="42" x14ac:dyDescent="0.25">
      <c r="A7" s="179" t="s">
        <v>572</v>
      </c>
      <c r="B7" s="179" t="s">
        <v>573</v>
      </c>
      <c r="C7" s="180" t="s">
        <v>574</v>
      </c>
      <c r="D7" s="180" t="s">
        <v>575</v>
      </c>
      <c r="E7" s="180" t="s">
        <v>1</v>
      </c>
      <c r="F7" s="181" t="s">
        <v>576</v>
      </c>
      <c r="G7" s="179" t="s">
        <v>577</v>
      </c>
      <c r="H7" s="179" t="s">
        <v>578</v>
      </c>
      <c r="I7" s="179" t="s">
        <v>355</v>
      </c>
      <c r="J7" s="180" t="s">
        <v>579</v>
      </c>
      <c r="K7" s="180" t="s">
        <v>580</v>
      </c>
      <c r="L7" s="181" t="s">
        <v>581</v>
      </c>
      <c r="M7" s="181" t="s">
        <v>582</v>
      </c>
      <c r="N7" s="180" t="s">
        <v>583</v>
      </c>
      <c r="O7" s="180" t="s">
        <v>584</v>
      </c>
      <c r="P7" s="180" t="s">
        <v>585</v>
      </c>
      <c r="Q7" s="180" t="s">
        <v>586</v>
      </c>
      <c r="R7" s="363" t="s">
        <v>587</v>
      </c>
      <c r="S7" s="183" t="s">
        <v>588</v>
      </c>
      <c r="T7" s="183" t="s">
        <v>589</v>
      </c>
      <c r="U7" s="183" t="s">
        <v>590</v>
      </c>
      <c r="V7" s="180" t="s">
        <v>591</v>
      </c>
      <c r="W7" s="184" t="s">
        <v>592</v>
      </c>
      <c r="X7" s="185" t="s">
        <v>593</v>
      </c>
      <c r="Y7" s="183" t="s">
        <v>594</v>
      </c>
      <c r="Z7" s="183" t="s">
        <v>595</v>
      </c>
      <c r="AA7" s="186" t="s">
        <v>596</v>
      </c>
      <c r="AB7" s="181" t="s">
        <v>597</v>
      </c>
      <c r="AC7" s="181" t="s">
        <v>598</v>
      </c>
      <c r="AD7" s="181" t="s">
        <v>599</v>
      </c>
      <c r="AE7" s="181" t="s">
        <v>600</v>
      </c>
      <c r="AF7" s="180" t="s">
        <v>601</v>
      </c>
      <c r="AG7" s="184" t="s">
        <v>602</v>
      </c>
      <c r="AH7" s="603" t="s">
        <v>603</v>
      </c>
      <c r="AI7" s="181" t="s">
        <v>604</v>
      </c>
      <c r="AJ7" s="180" t="s">
        <v>605</v>
      </c>
      <c r="AK7" s="188" t="s">
        <v>606</v>
      </c>
      <c r="AL7" s="181" t="s">
        <v>607</v>
      </c>
    </row>
    <row r="8" spans="1:54" ht="75.95" customHeight="1" x14ac:dyDescent="0.25">
      <c r="A8" s="364" t="str">
        <f>IF(ISBLANK(TInventE[[#This Row],[Bouwdeel omschrijving]]),"",CONCATENATE(TInventE[[#This Row],[Code Bouwdeeltype]],"-",TInventE[[#This Row],[Volgnr.]]))</f>
        <v>634010-1</v>
      </c>
      <c r="B8" s="365">
        <f>IF(ISBLANK(TInventE[[#This Row],[Bouwdeel omschrijving]]),"",VLOOKUP(TInventE[[#This Row],[Bouwdeel omschrijving]],TsblE[],2,FALSE))</f>
        <v>634010</v>
      </c>
      <c r="C8" s="809" t="s">
        <v>910</v>
      </c>
      <c r="D8" s="810">
        <v>1</v>
      </c>
      <c r="E8" s="368" t="str">
        <f>IF(ISBLANK(TInventE[[#This Row],[Bouwdeel omschrijving]]),"",$B$4)</f>
        <v>Voorbeeld</v>
      </c>
      <c r="F8" s="813" t="s">
        <v>1427</v>
      </c>
      <c r="G8" s="810"/>
      <c r="H8" s="810"/>
      <c r="I8" s="810">
        <v>1</v>
      </c>
      <c r="J8" s="365" t="str">
        <f>IF(ISBLANK(TInventE[[#This Row],[Bouwdeel omschrijving]]),"",VLOOKUP(TInventE[[#This Row],[Bouwdeel omschrijving]],TsblE[],4,FALSE))</f>
        <v>Stuks</v>
      </c>
      <c r="K8" s="365" t="str">
        <f>IF(ISBLANK(TInventE[[#This Row],[Bouwdeel omschrijving]]),"",VLOOKUP(TInventE[[#This Row],[Bouwdeel omschrijving]],TsblE[],3,FALSE))</f>
        <v>E</v>
      </c>
      <c r="L8" s="369">
        <f>IF(ISBLANK(C8),"",$L$4)</f>
        <v>3</v>
      </c>
      <c r="M8" s="816" t="s">
        <v>1452</v>
      </c>
      <c r="N8" s="817">
        <v>43647</v>
      </c>
      <c r="O8" s="817"/>
      <c r="P8" s="818">
        <v>20</v>
      </c>
      <c r="Q8" s="371">
        <f>IF(ISBLANK(TInventE[[#This Row],[Technische levensduur 
'[jaren']]]),"",(TInventE[[#This Row],[Datum van constructie of productie
'[jjjj-mm-dd']]]+(TInventE[[#This Row],[Technische levensduur 
'[jaren']]]*365)))</f>
        <v>50947</v>
      </c>
      <c r="R8" s="847">
        <v>2696</v>
      </c>
      <c r="S8" s="848">
        <v>900007031</v>
      </c>
      <c r="T8" s="848" t="s">
        <v>1380</v>
      </c>
      <c r="U8" s="828" t="s">
        <v>1429</v>
      </c>
      <c r="V8" s="810" t="s">
        <v>628</v>
      </c>
      <c r="W8" s="601" t="str">
        <f>IF(ISBLANK(TInventE[[#This Row],[Bouwdeel omschrijving]]),"",VLOOKUP(TInventE[[#This Row],[Bouwdeel omschrijving]],TsblE[],5,FALSE))</f>
        <v>n.v.t.</v>
      </c>
      <c r="X8" s="373"/>
      <c r="Y8" s="374"/>
      <c r="Z8" s="375"/>
      <c r="AA8" s="200"/>
      <c r="AB8" s="376" t="s">
        <v>836</v>
      </c>
      <c r="AC8" s="831" t="s">
        <v>1431</v>
      </c>
      <c r="AD8" s="832"/>
      <c r="AE8" s="831" t="s">
        <v>1380</v>
      </c>
      <c r="AF8" s="833" t="s">
        <v>739</v>
      </c>
      <c r="AG8" s="834" t="s">
        <v>739</v>
      </c>
      <c r="AH8" s="850"/>
      <c r="AI8" s="832"/>
      <c r="AJ8" s="832"/>
      <c r="AK8" s="836"/>
      <c r="AL8" s="816" t="s">
        <v>1433</v>
      </c>
      <c r="AM8" s="169"/>
      <c r="AO8" s="169"/>
      <c r="AQ8" s="169"/>
      <c r="AS8" s="169"/>
      <c r="AX8" s="169"/>
      <c r="BA8" s="169"/>
      <c r="BB8" s="169"/>
    </row>
    <row r="9" spans="1:54" ht="126.6" customHeight="1" x14ac:dyDescent="0.25">
      <c r="A9" s="369" t="str">
        <f>IF(ISBLANK(TInventE[[#This Row],[Bouwdeel omschrijving]]),"",CONCATENATE(TInventE[[#This Row],[Code Bouwdeeltype]],"-",TInventE[[#This Row],[Volgnr.]]))</f>
        <v>632010-1</v>
      </c>
      <c r="B9" s="365">
        <f>IF(ISBLANK(TInventE[[#This Row],[Bouwdeel omschrijving]]),"",VLOOKUP(TInventE[[#This Row],[Bouwdeel omschrijving]],TsblE[],2,FALSE))</f>
        <v>632010</v>
      </c>
      <c r="C9" s="809" t="s">
        <v>914</v>
      </c>
      <c r="D9" s="811">
        <v>1</v>
      </c>
      <c r="E9" s="365" t="str">
        <f>IF(ISBLANK(TInventE[[#This Row],[Bouwdeel omschrijving]]),"",$B$4)</f>
        <v>Voorbeeld</v>
      </c>
      <c r="F9" s="813" t="s">
        <v>1428</v>
      </c>
      <c r="G9" s="811"/>
      <c r="H9" s="811"/>
      <c r="I9" s="811">
        <v>63</v>
      </c>
      <c r="J9" s="365" t="str">
        <f>IF(ISBLANK(TInventE[[#This Row],[Bouwdeel omschrijving]]),"",VLOOKUP(TInventE[[#This Row],[Bouwdeel omschrijving]],TsblE[],4,FALSE))</f>
        <v>Stuks</v>
      </c>
      <c r="K9" s="365" t="str">
        <f>IF(ISBLANK(TInventE[[#This Row],[Bouwdeel omschrijving]]),"",VLOOKUP(TInventE[[#This Row],[Bouwdeel omschrijving]],TsblE[],3,FALSE))</f>
        <v>E</v>
      </c>
      <c r="L9" s="380">
        <f t="shared" ref="L9:L59" si="0">IF(ISBLANK(C9),"",$L$4)</f>
        <v>3</v>
      </c>
      <c r="M9" s="819" t="s">
        <v>1454</v>
      </c>
      <c r="N9" s="817">
        <v>36526</v>
      </c>
      <c r="O9" s="817"/>
      <c r="P9" s="818">
        <v>20</v>
      </c>
      <c r="Q9" s="381">
        <f>IF(ISBLANK(TInventE[[#This Row],[Technische levensduur 
'[jaren']]]),"",(TInventE[[#This Row],[Datum van constructie of productie
'[jjjj-mm-dd']]]+(TInventE[[#This Row],[Technische levensduur 
'[jaren']]]*365)))</f>
        <v>43826</v>
      </c>
      <c r="R9" s="847">
        <v>21839</v>
      </c>
      <c r="S9" s="848" t="s">
        <v>1380</v>
      </c>
      <c r="T9" s="848" t="s">
        <v>1380</v>
      </c>
      <c r="U9" s="833" t="s">
        <v>1430</v>
      </c>
      <c r="V9" s="811">
        <v>636</v>
      </c>
      <c r="W9" s="601" t="str">
        <f>IF(ISBLANK(TInventE[[#This Row],[Bouwdeel omschrijving]]),"",VLOOKUP(TInventE[[#This Row],[Bouwdeel omschrijving]],TsblE[],5,FALSE))</f>
        <v>m2 BVO</v>
      </c>
      <c r="X9" s="373"/>
      <c r="Y9" s="374"/>
      <c r="Z9" s="375"/>
      <c r="AA9" s="200"/>
      <c r="AB9" s="376" t="s">
        <v>839</v>
      </c>
      <c r="AC9" s="832" t="s">
        <v>1432</v>
      </c>
      <c r="AD9" s="832"/>
      <c r="AE9" s="832" t="s">
        <v>1380</v>
      </c>
      <c r="AF9" s="833" t="s">
        <v>739</v>
      </c>
      <c r="AG9" s="834" t="s">
        <v>739</v>
      </c>
      <c r="AH9" s="850"/>
      <c r="AI9" s="832"/>
      <c r="AJ9" s="832"/>
      <c r="AK9" s="836"/>
      <c r="AL9" s="816" t="s">
        <v>1434</v>
      </c>
      <c r="AM9" s="169"/>
      <c r="AO9" s="169"/>
      <c r="AQ9" s="169"/>
      <c r="AS9" s="169"/>
      <c r="AX9" s="169"/>
      <c r="BA9" s="169"/>
      <c r="BB9" s="169"/>
    </row>
    <row r="10" spans="1:54" ht="10.5" x14ac:dyDescent="0.25">
      <c r="A10" s="369" t="str">
        <f>IF(ISBLANK(TInventE[[#This Row],[Bouwdeel omschrijving]]),"",CONCATENATE(TInventE[[#This Row],[Code Bouwdeeltype]],"-",TInventE[[#This Row],[Volgnr.]]))</f>
        <v/>
      </c>
      <c r="B10" s="365" t="str">
        <f>IF(ISBLANK(TInventE[[#This Row],[Bouwdeel omschrijving]]),"",VLOOKUP(TInventE[[#This Row],[Bouwdeel omschrijving]],TsblE[],2,FALSE))</f>
        <v/>
      </c>
      <c r="C10" s="366"/>
      <c r="D10" s="190"/>
      <c r="E10" s="365" t="str">
        <f>IF(ISBLANK(TInventE[[#This Row],[Bouwdeel omschrijving]]),"",$B$4)</f>
        <v/>
      </c>
      <c r="F10" s="191"/>
      <c r="G10" s="190"/>
      <c r="H10" s="190"/>
      <c r="I10" s="190"/>
      <c r="J10" s="365" t="str">
        <f>IF(ISBLANK(TInventE[[#This Row],[Bouwdeel omschrijving]]),"",VLOOKUP(TInventE[[#This Row],[Bouwdeel omschrijving]],TsblE[],4,FALSE))</f>
        <v/>
      </c>
      <c r="K10" s="365" t="str">
        <f>IF(ISBLANK(TInventE[[#This Row],[Bouwdeel omschrijving]]),"",VLOOKUP(TInventE[[#This Row],[Bouwdeel omschrijving]],TsblE[],3,FALSE))</f>
        <v/>
      </c>
      <c r="L10" s="382" t="str">
        <f t="shared" si="0"/>
        <v/>
      </c>
      <c r="M10" s="203"/>
      <c r="N10" s="370"/>
      <c r="O10" s="370"/>
      <c r="P10" s="205"/>
      <c r="Q10" s="381" t="str">
        <f>IF(ISBLANK(TInventE[[#This Row],[Technische levensduur 
'[jaren']]]),"",(TInventE[[#This Row],[Datum van constructie of productie
'[jjjj-mm-dd']]]+(TInventE[[#This Row],[Technische levensduur 
'[jaren']]]*365)))</f>
        <v/>
      </c>
      <c r="R10" s="372"/>
      <c r="S10" s="195"/>
      <c r="T10" s="195"/>
      <c r="U10" s="196"/>
      <c r="V10" s="190"/>
      <c r="W10" s="601" t="str">
        <f>IF(ISBLANK(TInventE[[#This Row],[Bouwdeel omschrijving]]),"",VLOOKUP(TInventE[[#This Row],[Bouwdeel omschrijving]],TsblE[],5,FALSE))</f>
        <v/>
      </c>
      <c r="X10" s="373"/>
      <c r="Y10" s="374"/>
      <c r="Z10" s="375"/>
      <c r="AA10" s="200"/>
      <c r="AB10" s="376"/>
      <c r="AC10" s="189"/>
      <c r="AD10" s="189"/>
      <c r="AE10" s="189"/>
      <c r="AF10" s="196" t="s">
        <v>739</v>
      </c>
      <c r="AG10" s="201" t="s">
        <v>739</v>
      </c>
      <c r="AH10" s="604"/>
      <c r="AI10" s="378"/>
      <c r="AJ10" s="378"/>
      <c r="AK10" s="379"/>
      <c r="AL10" s="203"/>
      <c r="AM10" s="169"/>
      <c r="AO10" s="169"/>
      <c r="AQ10" s="169"/>
      <c r="AS10" s="169"/>
      <c r="AX10" s="169"/>
      <c r="BA10" s="169"/>
      <c r="BB10" s="169"/>
    </row>
    <row r="11" spans="1:54" ht="10.5" x14ac:dyDescent="0.25">
      <c r="A11" s="369" t="str">
        <f>IF(ISBLANK(TInventE[[#This Row],[Bouwdeel omschrijving]]),"",CONCATENATE(TInventE[[#This Row],[Code Bouwdeeltype]],"-",TInventE[[#This Row],[Volgnr.]]))</f>
        <v/>
      </c>
      <c r="B11" s="365" t="str">
        <f>IF(ISBLANK(TInventE[[#This Row],[Bouwdeel omschrijving]]),"",VLOOKUP(TInventE[[#This Row],[Bouwdeel omschrijving]],TsblE[],2,FALSE))</f>
        <v/>
      </c>
      <c r="C11" s="366"/>
      <c r="D11" s="190"/>
      <c r="E11" s="365" t="str">
        <f>IF(ISBLANK(TInventE[[#This Row],[Bouwdeel omschrijving]]),"",$B$4)</f>
        <v/>
      </c>
      <c r="F11" s="191"/>
      <c r="G11" s="190"/>
      <c r="H11" s="190"/>
      <c r="I11" s="190"/>
      <c r="J11" s="365" t="str">
        <f>IF(ISBLANK(TInventE[[#This Row],[Bouwdeel omschrijving]]),"",VLOOKUP(TInventE[[#This Row],[Bouwdeel omschrijving]],TsblE[],4,FALSE))</f>
        <v/>
      </c>
      <c r="K11" s="365" t="str">
        <f>IF(ISBLANK(TInventE[[#This Row],[Bouwdeel omschrijving]]),"",VLOOKUP(TInventE[[#This Row],[Bouwdeel omschrijving]],TsblE[],3,FALSE))</f>
        <v/>
      </c>
      <c r="L11" s="380" t="str">
        <f t="shared" si="0"/>
        <v/>
      </c>
      <c r="M11" s="193"/>
      <c r="N11" s="370"/>
      <c r="O11" s="370"/>
      <c r="P11" s="205"/>
      <c r="Q11" s="381" t="str">
        <f>IF(ISBLANK(TInventE[[#This Row],[Technische levensduur 
'[jaren']]]),"",(TInventE[[#This Row],[Datum van constructie of productie
'[jjjj-mm-dd']]]+(TInventE[[#This Row],[Technische levensduur 
'[jaren']]]*365)))</f>
        <v/>
      </c>
      <c r="R11" s="372"/>
      <c r="S11" s="195"/>
      <c r="T11" s="195"/>
      <c r="U11" s="196"/>
      <c r="V11" s="190"/>
      <c r="W11" s="601" t="str">
        <f>IF(ISBLANK(TInventE[[#This Row],[Bouwdeel omschrijving]]),"",VLOOKUP(TInventE[[#This Row],[Bouwdeel omschrijving]],TsblE[],5,FALSE))</f>
        <v/>
      </c>
      <c r="X11" s="373"/>
      <c r="Y11" s="374"/>
      <c r="Z11" s="375"/>
      <c r="AA11" s="200"/>
      <c r="AB11" s="376"/>
      <c r="AC11" s="189"/>
      <c r="AD11" s="189"/>
      <c r="AE11" s="189"/>
      <c r="AF11" s="196" t="s">
        <v>739</v>
      </c>
      <c r="AG11" s="201" t="s">
        <v>739</v>
      </c>
      <c r="AH11" s="604"/>
      <c r="AI11" s="378"/>
      <c r="AJ11" s="378"/>
      <c r="AK11" s="379"/>
      <c r="AL11" s="203"/>
      <c r="AM11" s="169"/>
      <c r="AO11" s="169"/>
      <c r="AQ11" s="169"/>
      <c r="AS11" s="169"/>
      <c r="AX11" s="169"/>
      <c r="BA11" s="169"/>
      <c r="BB11" s="169"/>
    </row>
    <row r="12" spans="1:54" ht="10.5" x14ac:dyDescent="0.25">
      <c r="A12" s="369" t="str">
        <f>IF(ISBLANK(TInventE[[#This Row],[Bouwdeel omschrijving]]),"",CONCATENATE(TInventE[[#This Row],[Code Bouwdeeltype]],"-",TInventE[[#This Row],[Volgnr.]]))</f>
        <v/>
      </c>
      <c r="B12" s="365" t="str">
        <f>IF(ISBLANK(TInventE[[#This Row],[Bouwdeel omschrijving]]),"",VLOOKUP(TInventE[[#This Row],[Bouwdeel omschrijving]],TsblE[],2,FALSE))</f>
        <v/>
      </c>
      <c r="C12" s="366"/>
      <c r="D12" s="190"/>
      <c r="E12" s="365" t="str">
        <f>IF(ISBLANK(TInventE[[#This Row],[Bouwdeel omschrijving]]),"",$B$4)</f>
        <v/>
      </c>
      <c r="F12" s="191"/>
      <c r="G12" s="190"/>
      <c r="H12" s="190"/>
      <c r="I12" s="190"/>
      <c r="J12" s="365" t="str">
        <f>IF(ISBLANK(TInventE[[#This Row],[Bouwdeel omschrijving]]),"",VLOOKUP(TInventE[[#This Row],[Bouwdeel omschrijving]],TsblE[],4,FALSE))</f>
        <v/>
      </c>
      <c r="K12" s="365" t="str">
        <f>IF(ISBLANK(TInventE[[#This Row],[Bouwdeel omschrijving]]),"",VLOOKUP(TInventE[[#This Row],[Bouwdeel omschrijving]],TsblE[],3,FALSE))</f>
        <v/>
      </c>
      <c r="L12" s="382" t="str">
        <f t="shared" si="0"/>
        <v/>
      </c>
      <c r="M12" s="203"/>
      <c r="N12" s="370"/>
      <c r="O12" s="370"/>
      <c r="P12" s="205"/>
      <c r="Q12" s="381" t="str">
        <f>IF(ISBLANK(TInventE[[#This Row],[Technische levensduur 
'[jaren']]]),"",(TInventE[[#This Row],[Datum van constructie of productie
'[jjjj-mm-dd']]]+(TInventE[[#This Row],[Technische levensduur 
'[jaren']]]*365)))</f>
        <v/>
      </c>
      <c r="R12" s="372"/>
      <c r="S12" s="195"/>
      <c r="T12" s="195"/>
      <c r="U12" s="196"/>
      <c r="V12" s="190"/>
      <c r="W12" s="601" t="str">
        <f>IF(ISBLANK(TInventE[[#This Row],[Bouwdeel omschrijving]]),"",VLOOKUP(TInventE[[#This Row],[Bouwdeel omschrijving]],TsblE[],5,FALSE))</f>
        <v/>
      </c>
      <c r="X12" s="373"/>
      <c r="Y12" s="374"/>
      <c r="Z12" s="375"/>
      <c r="AA12" s="200"/>
      <c r="AB12" s="376"/>
      <c r="AC12" s="189"/>
      <c r="AD12" s="189"/>
      <c r="AE12" s="189"/>
      <c r="AF12" s="196" t="s">
        <v>739</v>
      </c>
      <c r="AG12" s="201" t="s">
        <v>739</v>
      </c>
      <c r="AH12" s="604"/>
      <c r="AI12" s="378"/>
      <c r="AJ12" s="378"/>
      <c r="AK12" s="379"/>
      <c r="AL12" s="203"/>
      <c r="AM12" s="169"/>
      <c r="AO12" s="169"/>
      <c r="AQ12" s="169"/>
      <c r="AS12" s="169"/>
      <c r="AX12" s="169"/>
      <c r="BA12" s="169"/>
      <c r="BB12" s="169"/>
    </row>
    <row r="13" spans="1:54" ht="10.5" x14ac:dyDescent="0.25">
      <c r="A13" s="369" t="str">
        <f>IF(ISBLANK(TInventE[[#This Row],[Bouwdeel omschrijving]]),"",CONCATENATE(TInventE[[#This Row],[Code Bouwdeeltype]],"-",TInventE[[#This Row],[Volgnr.]]))</f>
        <v/>
      </c>
      <c r="B13" s="365" t="str">
        <f>IF(ISBLANK(TInventE[[#This Row],[Bouwdeel omschrijving]]),"",VLOOKUP(TInventE[[#This Row],[Bouwdeel omschrijving]],TsblE[],2,FALSE))</f>
        <v/>
      </c>
      <c r="C13" s="366"/>
      <c r="D13" s="190"/>
      <c r="E13" s="365" t="str">
        <f>IF(ISBLANK(TInventE[[#This Row],[Bouwdeel omschrijving]]),"",$B$4)</f>
        <v/>
      </c>
      <c r="F13" s="191"/>
      <c r="G13" s="190"/>
      <c r="H13" s="190"/>
      <c r="I13" s="190"/>
      <c r="J13" s="365" t="str">
        <f>IF(ISBLANK(TInventE[[#This Row],[Bouwdeel omschrijving]]),"",VLOOKUP(TInventE[[#This Row],[Bouwdeel omschrijving]],TsblE[],4,FALSE))</f>
        <v/>
      </c>
      <c r="K13" s="365" t="str">
        <f>IF(ISBLANK(TInventE[[#This Row],[Bouwdeel omschrijving]]),"",VLOOKUP(TInventE[[#This Row],[Bouwdeel omschrijving]],TsblE[],3,FALSE))</f>
        <v/>
      </c>
      <c r="L13" s="380" t="str">
        <f t="shared" si="0"/>
        <v/>
      </c>
      <c r="M13" s="193"/>
      <c r="N13" s="370"/>
      <c r="O13" s="370"/>
      <c r="P13" s="205"/>
      <c r="Q13" s="381" t="str">
        <f>IF(ISBLANK(TInventE[[#This Row],[Technische levensduur 
'[jaren']]]),"",(TInventE[[#This Row],[Datum van constructie of productie
'[jjjj-mm-dd']]]+(TInventE[[#This Row],[Technische levensduur 
'[jaren']]]*365)))</f>
        <v/>
      </c>
      <c r="R13" s="372"/>
      <c r="S13" s="195"/>
      <c r="T13" s="195"/>
      <c r="U13" s="196"/>
      <c r="V13" s="190"/>
      <c r="W13" s="601" t="str">
        <f>IF(ISBLANK(TInventE[[#This Row],[Bouwdeel omschrijving]]),"",VLOOKUP(TInventE[[#This Row],[Bouwdeel omschrijving]],TsblE[],5,FALSE))</f>
        <v/>
      </c>
      <c r="X13" s="373"/>
      <c r="Y13" s="374"/>
      <c r="Z13" s="375"/>
      <c r="AA13" s="200"/>
      <c r="AB13" s="376"/>
      <c r="AC13" s="189"/>
      <c r="AD13" s="189"/>
      <c r="AE13" s="189"/>
      <c r="AF13" s="196" t="s">
        <v>739</v>
      </c>
      <c r="AG13" s="201" t="s">
        <v>739</v>
      </c>
      <c r="AH13" s="604"/>
      <c r="AI13" s="378"/>
      <c r="AJ13" s="378"/>
      <c r="AK13" s="379"/>
      <c r="AL13" s="203"/>
      <c r="AM13" s="169"/>
      <c r="AO13" s="169"/>
      <c r="AQ13" s="169"/>
      <c r="AS13" s="169"/>
      <c r="AX13" s="169"/>
      <c r="BA13" s="169"/>
      <c r="BB13" s="169"/>
    </row>
    <row r="14" spans="1:54" ht="10.5" x14ac:dyDescent="0.25">
      <c r="A14" s="369" t="str">
        <f>IF(ISBLANK(TInventE[[#This Row],[Bouwdeel omschrijving]]),"",CONCATENATE(TInventE[[#This Row],[Code Bouwdeeltype]],"-",TInventE[[#This Row],[Volgnr.]]))</f>
        <v/>
      </c>
      <c r="B14" s="365" t="str">
        <f>IF(ISBLANK(TInventE[[#This Row],[Bouwdeel omschrijving]]),"",VLOOKUP(TInventE[[#This Row],[Bouwdeel omschrijving]],TsblE[],2,FALSE))</f>
        <v/>
      </c>
      <c r="C14" s="366"/>
      <c r="D14" s="190"/>
      <c r="E14" s="365" t="str">
        <f>IF(ISBLANK(TInventE[[#This Row],[Bouwdeel omschrijving]]),"",$B$4)</f>
        <v/>
      </c>
      <c r="F14" s="191"/>
      <c r="G14" s="190"/>
      <c r="H14" s="190"/>
      <c r="I14" s="190"/>
      <c r="J14" s="365" t="str">
        <f>IF(ISBLANK(TInventE[[#This Row],[Bouwdeel omschrijving]]),"",VLOOKUP(TInventE[[#This Row],[Bouwdeel omschrijving]],TsblE[],4,FALSE))</f>
        <v/>
      </c>
      <c r="K14" s="365" t="str">
        <f>IF(ISBLANK(TInventE[[#This Row],[Bouwdeel omschrijving]]),"",VLOOKUP(TInventE[[#This Row],[Bouwdeel omschrijving]],TsblE[],3,FALSE))</f>
        <v/>
      </c>
      <c r="L14" s="382" t="str">
        <f t="shared" si="0"/>
        <v/>
      </c>
      <c r="M14" s="203"/>
      <c r="N14" s="370"/>
      <c r="O14" s="370"/>
      <c r="P14" s="205"/>
      <c r="Q14" s="381" t="str">
        <f>IF(ISBLANK(TInventE[[#This Row],[Technische levensduur 
'[jaren']]]),"",(TInventE[[#This Row],[Datum van constructie of productie
'[jjjj-mm-dd']]]+(TInventE[[#This Row],[Technische levensduur 
'[jaren']]]*365)))</f>
        <v/>
      </c>
      <c r="R14" s="372"/>
      <c r="S14" s="195"/>
      <c r="T14" s="195"/>
      <c r="U14" s="196"/>
      <c r="V14" s="190"/>
      <c r="W14" s="601" t="str">
        <f>IF(ISBLANK(TInventE[[#This Row],[Bouwdeel omschrijving]]),"",VLOOKUP(TInventE[[#This Row],[Bouwdeel omschrijving]],TsblE[],5,FALSE))</f>
        <v/>
      </c>
      <c r="X14" s="373"/>
      <c r="Y14" s="374"/>
      <c r="Z14" s="375"/>
      <c r="AA14" s="200"/>
      <c r="AB14" s="376"/>
      <c r="AC14" s="189"/>
      <c r="AD14" s="189"/>
      <c r="AE14" s="189"/>
      <c r="AF14" s="196" t="s">
        <v>739</v>
      </c>
      <c r="AG14" s="201" t="s">
        <v>739</v>
      </c>
      <c r="AH14" s="604"/>
      <c r="AI14" s="378"/>
      <c r="AJ14" s="378"/>
      <c r="AK14" s="379"/>
      <c r="AL14" s="203"/>
      <c r="AM14" s="169"/>
      <c r="AO14" s="169"/>
      <c r="AQ14" s="169"/>
      <c r="AS14" s="169"/>
      <c r="AX14" s="169"/>
      <c r="BA14" s="169"/>
      <c r="BB14" s="169"/>
    </row>
    <row r="15" spans="1:54" ht="10.5" x14ac:dyDescent="0.25">
      <c r="A15" s="369" t="str">
        <f>IF(ISBLANK(TInventE[[#This Row],[Bouwdeel omschrijving]]),"",CONCATENATE(TInventE[[#This Row],[Code Bouwdeeltype]],"-",TInventE[[#This Row],[Volgnr.]]))</f>
        <v/>
      </c>
      <c r="B15" s="365" t="str">
        <f>IF(ISBLANK(TInventE[[#This Row],[Bouwdeel omschrijving]]),"",VLOOKUP(TInventE[[#This Row],[Bouwdeel omschrijving]],TsblE[],2,FALSE))</f>
        <v/>
      </c>
      <c r="C15" s="366"/>
      <c r="D15" s="190"/>
      <c r="E15" s="365" t="str">
        <f>IF(ISBLANK(TInventE[[#This Row],[Bouwdeel omschrijving]]),"",$B$4)</f>
        <v/>
      </c>
      <c r="F15" s="191"/>
      <c r="G15" s="190"/>
      <c r="H15" s="190"/>
      <c r="I15" s="190"/>
      <c r="J15" s="365" t="str">
        <f>IF(ISBLANK(TInventE[[#This Row],[Bouwdeel omschrijving]]),"",VLOOKUP(TInventE[[#This Row],[Bouwdeel omschrijving]],TsblE[],4,FALSE))</f>
        <v/>
      </c>
      <c r="K15" s="365" t="str">
        <f>IF(ISBLANK(TInventE[[#This Row],[Bouwdeel omschrijving]]),"",VLOOKUP(TInventE[[#This Row],[Bouwdeel omschrijving]],TsblE[],3,FALSE))</f>
        <v/>
      </c>
      <c r="L15" s="380" t="str">
        <f t="shared" si="0"/>
        <v/>
      </c>
      <c r="M15" s="193"/>
      <c r="N15" s="370"/>
      <c r="O15" s="370"/>
      <c r="P15" s="205"/>
      <c r="Q15" s="381" t="str">
        <f>IF(ISBLANK(TInventE[[#This Row],[Technische levensduur 
'[jaren']]]),"",(TInventE[[#This Row],[Datum van constructie of productie
'[jjjj-mm-dd']]]+(TInventE[[#This Row],[Technische levensduur 
'[jaren']]]*365)))</f>
        <v/>
      </c>
      <c r="R15" s="372"/>
      <c r="S15" s="195"/>
      <c r="T15" s="195"/>
      <c r="U15" s="196"/>
      <c r="V15" s="190"/>
      <c r="W15" s="601" t="str">
        <f>IF(ISBLANK(TInventE[[#This Row],[Bouwdeel omschrijving]]),"",VLOOKUP(TInventE[[#This Row],[Bouwdeel omschrijving]],TsblE[],5,FALSE))</f>
        <v/>
      </c>
      <c r="X15" s="373"/>
      <c r="Y15" s="374"/>
      <c r="Z15" s="375"/>
      <c r="AA15" s="200"/>
      <c r="AB15" s="376"/>
      <c r="AC15" s="189"/>
      <c r="AD15" s="189"/>
      <c r="AE15" s="189"/>
      <c r="AF15" s="196" t="s">
        <v>739</v>
      </c>
      <c r="AG15" s="201" t="s">
        <v>739</v>
      </c>
      <c r="AH15" s="604"/>
      <c r="AI15" s="378"/>
      <c r="AJ15" s="378"/>
      <c r="AK15" s="379"/>
      <c r="AL15" s="203"/>
      <c r="AM15" s="169"/>
      <c r="AO15" s="169"/>
      <c r="AQ15" s="169"/>
      <c r="AS15" s="169"/>
      <c r="AX15" s="169"/>
      <c r="BA15" s="169"/>
      <c r="BB15" s="169"/>
    </row>
    <row r="16" spans="1:54" ht="10.5" x14ac:dyDescent="0.25">
      <c r="A16" s="369" t="str">
        <f>IF(ISBLANK(TInventE[[#This Row],[Bouwdeel omschrijving]]),"",CONCATENATE(TInventE[[#This Row],[Code Bouwdeeltype]],"-",TInventE[[#This Row],[Volgnr.]]))</f>
        <v/>
      </c>
      <c r="B16" s="365" t="str">
        <f>IF(ISBLANK(TInventE[[#This Row],[Bouwdeel omschrijving]]),"",VLOOKUP(TInventE[[#This Row],[Bouwdeel omschrijving]],TsblE[],2,FALSE))</f>
        <v/>
      </c>
      <c r="C16" s="366"/>
      <c r="D16" s="190"/>
      <c r="E16" s="365" t="str">
        <f>IF(ISBLANK(TInventE[[#This Row],[Bouwdeel omschrijving]]),"",$B$4)</f>
        <v/>
      </c>
      <c r="F16" s="191"/>
      <c r="G16" s="190"/>
      <c r="H16" s="190"/>
      <c r="I16" s="190"/>
      <c r="J16" s="365" t="str">
        <f>IF(ISBLANK(TInventE[[#This Row],[Bouwdeel omschrijving]]),"",VLOOKUP(TInventE[[#This Row],[Bouwdeel omschrijving]],TsblE[],4,FALSE))</f>
        <v/>
      </c>
      <c r="K16" s="365" t="str">
        <f>IF(ISBLANK(TInventE[[#This Row],[Bouwdeel omschrijving]]),"",VLOOKUP(TInventE[[#This Row],[Bouwdeel omschrijving]],TsblE[],3,FALSE))</f>
        <v/>
      </c>
      <c r="L16" s="382" t="str">
        <f t="shared" si="0"/>
        <v/>
      </c>
      <c r="M16" s="203"/>
      <c r="N16" s="370"/>
      <c r="O16" s="370"/>
      <c r="P16" s="205"/>
      <c r="Q16" s="381" t="str">
        <f>IF(ISBLANK(TInventE[[#This Row],[Technische levensduur 
'[jaren']]]),"",(TInventE[[#This Row],[Datum van constructie of productie
'[jjjj-mm-dd']]]+(TInventE[[#This Row],[Technische levensduur 
'[jaren']]]*365)))</f>
        <v/>
      </c>
      <c r="R16" s="372"/>
      <c r="S16" s="195"/>
      <c r="T16" s="195"/>
      <c r="U16" s="196"/>
      <c r="V16" s="190"/>
      <c r="W16" s="601" t="str">
        <f>IF(ISBLANK(TInventE[[#This Row],[Bouwdeel omschrijving]]),"",VLOOKUP(TInventE[[#This Row],[Bouwdeel omschrijving]],TsblE[],5,FALSE))</f>
        <v/>
      </c>
      <c r="X16" s="373"/>
      <c r="Y16" s="374"/>
      <c r="Z16" s="375"/>
      <c r="AA16" s="200"/>
      <c r="AB16" s="376"/>
      <c r="AC16" s="189"/>
      <c r="AD16" s="189"/>
      <c r="AE16" s="189"/>
      <c r="AF16" s="196" t="s">
        <v>739</v>
      </c>
      <c r="AG16" s="201" t="s">
        <v>739</v>
      </c>
      <c r="AH16" s="604"/>
      <c r="AI16" s="378"/>
      <c r="AJ16" s="378"/>
      <c r="AK16" s="379"/>
      <c r="AL16" s="203"/>
      <c r="AM16" s="169"/>
      <c r="AO16" s="169"/>
      <c r="AQ16" s="169"/>
      <c r="AS16" s="169"/>
      <c r="AX16" s="169"/>
      <c r="BA16" s="169"/>
      <c r="BB16" s="169"/>
    </row>
    <row r="17" spans="1:54" ht="10.5" x14ac:dyDescent="0.25">
      <c r="A17" s="369" t="str">
        <f>IF(ISBLANK(TInventE[[#This Row],[Bouwdeel omschrijving]]),"",CONCATENATE(TInventE[[#This Row],[Code Bouwdeeltype]],"-",TInventE[[#This Row],[Volgnr.]]))</f>
        <v/>
      </c>
      <c r="B17" s="365" t="str">
        <f>IF(ISBLANK(TInventE[[#This Row],[Bouwdeel omschrijving]]),"",VLOOKUP(TInventE[[#This Row],[Bouwdeel omschrijving]],TsblE[],2,FALSE))</f>
        <v/>
      </c>
      <c r="C17" s="366"/>
      <c r="D17" s="190"/>
      <c r="E17" s="365" t="str">
        <f>IF(ISBLANK(TInventE[[#This Row],[Bouwdeel omschrijving]]),"",$B$4)</f>
        <v/>
      </c>
      <c r="F17" s="191"/>
      <c r="G17" s="190"/>
      <c r="H17" s="190"/>
      <c r="I17" s="190"/>
      <c r="J17" s="365" t="str">
        <f>IF(ISBLANK(TInventE[[#This Row],[Bouwdeel omschrijving]]),"",VLOOKUP(TInventE[[#This Row],[Bouwdeel omschrijving]],TsblE[],4,FALSE))</f>
        <v/>
      </c>
      <c r="K17" s="365" t="str">
        <f>IF(ISBLANK(TInventE[[#This Row],[Bouwdeel omschrijving]]),"",VLOOKUP(TInventE[[#This Row],[Bouwdeel omschrijving]],TsblE[],3,FALSE))</f>
        <v/>
      </c>
      <c r="L17" s="380" t="str">
        <f t="shared" si="0"/>
        <v/>
      </c>
      <c r="M17" s="193"/>
      <c r="N17" s="370"/>
      <c r="O17" s="370"/>
      <c r="P17" s="205"/>
      <c r="Q17" s="381" t="str">
        <f>IF(ISBLANK(TInventE[[#This Row],[Technische levensduur 
'[jaren']]]),"",(TInventE[[#This Row],[Datum van constructie of productie
'[jjjj-mm-dd']]]+(TInventE[[#This Row],[Technische levensduur 
'[jaren']]]*365)))</f>
        <v/>
      </c>
      <c r="R17" s="372"/>
      <c r="S17" s="195"/>
      <c r="T17" s="195"/>
      <c r="U17" s="196"/>
      <c r="V17" s="190"/>
      <c r="W17" s="601" t="str">
        <f>IF(ISBLANK(TInventE[[#This Row],[Bouwdeel omschrijving]]),"",VLOOKUP(TInventE[[#This Row],[Bouwdeel omschrijving]],TsblE[],5,FALSE))</f>
        <v/>
      </c>
      <c r="X17" s="373"/>
      <c r="Y17" s="374"/>
      <c r="Z17" s="375"/>
      <c r="AA17" s="200"/>
      <c r="AB17" s="376"/>
      <c r="AC17" s="189"/>
      <c r="AD17" s="189"/>
      <c r="AE17" s="189"/>
      <c r="AF17" s="196" t="s">
        <v>739</v>
      </c>
      <c r="AG17" s="201" t="s">
        <v>739</v>
      </c>
      <c r="AH17" s="604"/>
      <c r="AI17" s="378"/>
      <c r="AJ17" s="378"/>
      <c r="AK17" s="379"/>
      <c r="AL17" s="203"/>
      <c r="AM17" s="169"/>
      <c r="AO17" s="169"/>
      <c r="AQ17" s="169"/>
      <c r="AS17" s="169"/>
      <c r="AX17" s="169"/>
      <c r="BA17" s="169"/>
      <c r="BB17" s="169"/>
    </row>
    <row r="18" spans="1:54" ht="10.5" x14ac:dyDescent="0.25">
      <c r="A18" s="369" t="str">
        <f>IF(ISBLANK(TInventE[[#This Row],[Bouwdeel omschrijving]]),"",CONCATENATE(TInventE[[#This Row],[Code Bouwdeeltype]],"-",TInventE[[#This Row],[Volgnr.]]))</f>
        <v/>
      </c>
      <c r="B18" s="365" t="str">
        <f>IF(ISBLANK(TInventE[[#This Row],[Bouwdeel omschrijving]]),"",VLOOKUP(TInventE[[#This Row],[Bouwdeel omschrijving]],TsblE[],2,FALSE))</f>
        <v/>
      </c>
      <c r="C18" s="366"/>
      <c r="D18" s="190"/>
      <c r="E18" s="365" t="str">
        <f>IF(ISBLANK(TInventE[[#This Row],[Bouwdeel omschrijving]]),"",$B$4)</f>
        <v/>
      </c>
      <c r="F18" s="191"/>
      <c r="G18" s="190"/>
      <c r="H18" s="190"/>
      <c r="I18" s="190"/>
      <c r="J18" s="365" t="str">
        <f>IF(ISBLANK(TInventE[[#This Row],[Bouwdeel omschrijving]]),"",VLOOKUP(TInventE[[#This Row],[Bouwdeel omschrijving]],TsblE[],4,FALSE))</f>
        <v/>
      </c>
      <c r="K18" s="365" t="str">
        <f>IF(ISBLANK(TInventE[[#This Row],[Bouwdeel omschrijving]]),"",VLOOKUP(TInventE[[#This Row],[Bouwdeel omschrijving]],TsblE[],3,FALSE))</f>
        <v/>
      </c>
      <c r="L18" s="382" t="str">
        <f t="shared" si="0"/>
        <v/>
      </c>
      <c r="M18" s="203"/>
      <c r="N18" s="370"/>
      <c r="O18" s="370"/>
      <c r="P18" s="205"/>
      <c r="Q18" s="381" t="str">
        <f>IF(ISBLANK(TInventE[[#This Row],[Technische levensduur 
'[jaren']]]),"",(TInventE[[#This Row],[Datum van constructie of productie
'[jjjj-mm-dd']]]+(TInventE[[#This Row],[Technische levensduur 
'[jaren']]]*365)))</f>
        <v/>
      </c>
      <c r="R18" s="372"/>
      <c r="S18" s="195"/>
      <c r="T18" s="195"/>
      <c r="U18" s="196"/>
      <c r="V18" s="190"/>
      <c r="W18" s="601" t="str">
        <f>IF(ISBLANK(TInventE[[#This Row],[Bouwdeel omschrijving]]),"",VLOOKUP(TInventE[[#This Row],[Bouwdeel omschrijving]],TsblE[],5,FALSE))</f>
        <v/>
      </c>
      <c r="X18" s="373"/>
      <c r="Y18" s="374"/>
      <c r="Z18" s="375"/>
      <c r="AA18" s="200"/>
      <c r="AB18" s="376"/>
      <c r="AC18" s="189"/>
      <c r="AD18" s="189"/>
      <c r="AE18" s="189"/>
      <c r="AF18" s="196" t="s">
        <v>739</v>
      </c>
      <c r="AG18" s="201" t="s">
        <v>739</v>
      </c>
      <c r="AH18" s="604"/>
      <c r="AI18" s="378"/>
      <c r="AJ18" s="378"/>
      <c r="AK18" s="379"/>
      <c r="AL18" s="203"/>
      <c r="AM18" s="169"/>
      <c r="AO18" s="169"/>
      <c r="AQ18" s="169"/>
      <c r="AS18" s="169"/>
      <c r="AX18" s="169"/>
      <c r="BA18" s="169"/>
      <c r="BB18" s="169"/>
    </row>
    <row r="19" spans="1:54" ht="10.5" x14ac:dyDescent="0.25">
      <c r="A19" s="369" t="str">
        <f>IF(ISBLANK(TInventE[[#This Row],[Bouwdeel omschrijving]]),"",CONCATENATE(TInventE[[#This Row],[Code Bouwdeeltype]],"-",TInventE[[#This Row],[Volgnr.]]))</f>
        <v/>
      </c>
      <c r="B19" s="365" t="str">
        <f>IF(ISBLANK(TInventE[[#This Row],[Bouwdeel omschrijving]]),"",VLOOKUP(TInventE[[#This Row],[Bouwdeel omschrijving]],TsblE[],2,FALSE))</f>
        <v/>
      </c>
      <c r="C19" s="366"/>
      <c r="D19" s="190"/>
      <c r="E19" s="365" t="str">
        <f>IF(ISBLANK(TInventE[[#This Row],[Bouwdeel omschrijving]]),"",$B$4)</f>
        <v/>
      </c>
      <c r="F19" s="191"/>
      <c r="G19" s="190"/>
      <c r="H19" s="190"/>
      <c r="I19" s="190"/>
      <c r="J19" s="365" t="str">
        <f>IF(ISBLANK(TInventE[[#This Row],[Bouwdeel omschrijving]]),"",VLOOKUP(TInventE[[#This Row],[Bouwdeel omschrijving]],TsblE[],4,FALSE))</f>
        <v/>
      </c>
      <c r="K19" s="365" t="str">
        <f>IF(ISBLANK(TInventE[[#This Row],[Bouwdeel omschrijving]]),"",VLOOKUP(TInventE[[#This Row],[Bouwdeel omschrijving]],TsblE[],3,FALSE))</f>
        <v/>
      </c>
      <c r="L19" s="380" t="str">
        <f t="shared" si="0"/>
        <v/>
      </c>
      <c r="M19" s="193"/>
      <c r="N19" s="370"/>
      <c r="O19" s="370"/>
      <c r="P19" s="205"/>
      <c r="Q19" s="381" t="str">
        <f>IF(ISBLANK(TInventE[[#This Row],[Technische levensduur 
'[jaren']]]),"",(TInventE[[#This Row],[Datum van constructie of productie
'[jjjj-mm-dd']]]+(TInventE[[#This Row],[Technische levensduur 
'[jaren']]]*365)))</f>
        <v/>
      </c>
      <c r="R19" s="372"/>
      <c r="S19" s="195"/>
      <c r="T19" s="195"/>
      <c r="U19" s="196"/>
      <c r="V19" s="190"/>
      <c r="W19" s="601" t="str">
        <f>IF(ISBLANK(TInventE[[#This Row],[Bouwdeel omschrijving]]),"",VLOOKUP(TInventE[[#This Row],[Bouwdeel omschrijving]],TsblE[],5,FALSE))</f>
        <v/>
      </c>
      <c r="X19" s="373"/>
      <c r="Y19" s="374"/>
      <c r="Z19" s="375"/>
      <c r="AA19" s="200"/>
      <c r="AB19" s="376"/>
      <c r="AC19" s="189"/>
      <c r="AD19" s="189"/>
      <c r="AE19" s="189"/>
      <c r="AF19" s="196" t="s">
        <v>739</v>
      </c>
      <c r="AG19" s="201" t="s">
        <v>739</v>
      </c>
      <c r="AH19" s="604"/>
      <c r="AI19" s="378"/>
      <c r="AJ19" s="378"/>
      <c r="AK19" s="379"/>
      <c r="AL19" s="203"/>
      <c r="AM19" s="169"/>
      <c r="AO19" s="169"/>
      <c r="AQ19" s="169"/>
      <c r="AS19" s="169"/>
      <c r="AX19" s="169"/>
      <c r="BA19" s="169"/>
      <c r="BB19" s="169"/>
    </row>
    <row r="20" spans="1:54" ht="10.5" x14ac:dyDescent="0.25">
      <c r="A20" s="369" t="str">
        <f>IF(ISBLANK(TInventE[[#This Row],[Bouwdeel omschrijving]]),"",CONCATENATE(TInventE[[#This Row],[Code Bouwdeeltype]],"-",TInventE[[#This Row],[Volgnr.]]))</f>
        <v/>
      </c>
      <c r="B20" s="365" t="str">
        <f>IF(ISBLANK(TInventE[[#This Row],[Bouwdeel omschrijving]]),"",VLOOKUP(TInventE[[#This Row],[Bouwdeel omschrijving]],TsblE[],2,FALSE))</f>
        <v/>
      </c>
      <c r="C20" s="366"/>
      <c r="D20" s="190"/>
      <c r="E20" s="365" t="str">
        <f>IF(ISBLANK(TInventE[[#This Row],[Bouwdeel omschrijving]]),"",$B$4)</f>
        <v/>
      </c>
      <c r="F20" s="191"/>
      <c r="G20" s="190"/>
      <c r="H20" s="190"/>
      <c r="I20" s="190"/>
      <c r="J20" s="365" t="str">
        <f>IF(ISBLANK(TInventE[[#This Row],[Bouwdeel omschrijving]]),"",VLOOKUP(TInventE[[#This Row],[Bouwdeel omschrijving]],TsblE[],4,FALSE))</f>
        <v/>
      </c>
      <c r="K20" s="365" t="str">
        <f>IF(ISBLANK(TInventE[[#This Row],[Bouwdeel omschrijving]]),"",VLOOKUP(TInventE[[#This Row],[Bouwdeel omschrijving]],TsblE[],3,FALSE))</f>
        <v/>
      </c>
      <c r="L20" s="382" t="str">
        <f t="shared" si="0"/>
        <v/>
      </c>
      <c r="M20" s="203"/>
      <c r="N20" s="370"/>
      <c r="O20" s="370"/>
      <c r="P20" s="205"/>
      <c r="Q20" s="381" t="str">
        <f>IF(ISBLANK(TInventE[[#This Row],[Technische levensduur 
'[jaren']]]),"",(TInventE[[#This Row],[Datum van constructie of productie
'[jjjj-mm-dd']]]+(TInventE[[#This Row],[Technische levensduur 
'[jaren']]]*365)))</f>
        <v/>
      </c>
      <c r="R20" s="372"/>
      <c r="S20" s="195"/>
      <c r="T20" s="195"/>
      <c r="U20" s="196"/>
      <c r="V20" s="190"/>
      <c r="W20" s="601" t="str">
        <f>IF(ISBLANK(TInventE[[#This Row],[Bouwdeel omschrijving]]),"",VLOOKUP(TInventE[[#This Row],[Bouwdeel omschrijving]],TsblE[],5,FALSE))</f>
        <v/>
      </c>
      <c r="X20" s="373"/>
      <c r="Y20" s="374"/>
      <c r="Z20" s="375"/>
      <c r="AA20" s="200"/>
      <c r="AB20" s="376"/>
      <c r="AC20" s="189"/>
      <c r="AD20" s="189"/>
      <c r="AE20" s="189"/>
      <c r="AF20" s="196" t="s">
        <v>739</v>
      </c>
      <c r="AG20" s="201" t="s">
        <v>739</v>
      </c>
      <c r="AH20" s="604"/>
      <c r="AI20" s="378"/>
      <c r="AJ20" s="378"/>
      <c r="AK20" s="379"/>
      <c r="AL20" s="203"/>
      <c r="AM20" s="169"/>
      <c r="AO20" s="169"/>
      <c r="AQ20" s="169"/>
      <c r="AS20" s="169"/>
      <c r="AX20" s="169"/>
      <c r="BA20" s="169"/>
      <c r="BB20" s="169"/>
    </row>
    <row r="21" spans="1:54" ht="10.5" x14ac:dyDescent="0.25">
      <c r="A21" s="369" t="str">
        <f>IF(ISBLANK(TInventE[[#This Row],[Bouwdeel omschrijving]]),"",CONCATENATE(TInventE[[#This Row],[Code Bouwdeeltype]],"-",TInventE[[#This Row],[Volgnr.]]))</f>
        <v/>
      </c>
      <c r="B21" s="365" t="str">
        <f>IF(ISBLANK(TInventE[[#This Row],[Bouwdeel omschrijving]]),"",VLOOKUP(TInventE[[#This Row],[Bouwdeel omschrijving]],TsblE[],2,FALSE))</f>
        <v/>
      </c>
      <c r="C21" s="366"/>
      <c r="D21" s="190"/>
      <c r="E21" s="365" t="str">
        <f>IF(ISBLANK(TInventE[[#This Row],[Bouwdeel omschrijving]]),"",$B$4)</f>
        <v/>
      </c>
      <c r="F21" s="191"/>
      <c r="G21" s="190"/>
      <c r="H21" s="190"/>
      <c r="I21" s="190"/>
      <c r="J21" s="365" t="str">
        <f>IF(ISBLANK(TInventE[[#This Row],[Bouwdeel omschrijving]]),"",VLOOKUP(TInventE[[#This Row],[Bouwdeel omschrijving]],TsblE[],4,FALSE))</f>
        <v/>
      </c>
      <c r="K21" s="365" t="str">
        <f>IF(ISBLANK(TInventE[[#This Row],[Bouwdeel omschrijving]]),"",VLOOKUP(TInventE[[#This Row],[Bouwdeel omschrijving]],TsblE[],3,FALSE))</f>
        <v/>
      </c>
      <c r="L21" s="380" t="str">
        <f t="shared" si="0"/>
        <v/>
      </c>
      <c r="M21" s="193"/>
      <c r="N21" s="370"/>
      <c r="O21" s="370"/>
      <c r="P21" s="205"/>
      <c r="Q21" s="381" t="str">
        <f>IF(ISBLANK(TInventE[[#This Row],[Technische levensduur 
'[jaren']]]),"",(TInventE[[#This Row],[Datum van constructie of productie
'[jjjj-mm-dd']]]+(TInventE[[#This Row],[Technische levensduur 
'[jaren']]]*365)))</f>
        <v/>
      </c>
      <c r="R21" s="372"/>
      <c r="S21" s="195"/>
      <c r="T21" s="195"/>
      <c r="U21" s="196"/>
      <c r="V21" s="190"/>
      <c r="W21" s="601" t="str">
        <f>IF(ISBLANK(TInventE[[#This Row],[Bouwdeel omschrijving]]),"",VLOOKUP(TInventE[[#This Row],[Bouwdeel omschrijving]],TsblE[],5,FALSE))</f>
        <v/>
      </c>
      <c r="X21" s="373"/>
      <c r="Y21" s="374"/>
      <c r="Z21" s="375"/>
      <c r="AA21" s="200"/>
      <c r="AB21" s="376"/>
      <c r="AC21" s="189"/>
      <c r="AD21" s="189"/>
      <c r="AE21" s="189"/>
      <c r="AF21" s="196" t="s">
        <v>739</v>
      </c>
      <c r="AG21" s="201" t="s">
        <v>739</v>
      </c>
      <c r="AH21" s="604"/>
      <c r="AI21" s="378"/>
      <c r="AJ21" s="378"/>
      <c r="AK21" s="379"/>
      <c r="AL21" s="203"/>
      <c r="AM21" s="169"/>
      <c r="AO21" s="169"/>
      <c r="AQ21" s="169"/>
      <c r="AS21" s="169"/>
      <c r="AX21" s="169"/>
      <c r="BA21" s="169"/>
      <c r="BB21" s="169"/>
    </row>
    <row r="22" spans="1:54" ht="10.5" x14ac:dyDescent="0.25">
      <c r="A22" s="369" t="str">
        <f>IF(ISBLANK(TInventE[[#This Row],[Bouwdeel omschrijving]]),"",CONCATENATE(TInventE[[#This Row],[Code Bouwdeeltype]],"-",TInventE[[#This Row],[Volgnr.]]))</f>
        <v/>
      </c>
      <c r="B22" s="365" t="str">
        <f>IF(ISBLANK(TInventE[[#This Row],[Bouwdeel omschrijving]]),"",VLOOKUP(TInventE[[#This Row],[Bouwdeel omschrijving]],TsblE[],2,FALSE))</f>
        <v/>
      </c>
      <c r="C22" s="366"/>
      <c r="D22" s="190"/>
      <c r="E22" s="365" t="str">
        <f>IF(ISBLANK(TInventE[[#This Row],[Bouwdeel omschrijving]]),"",$B$4)</f>
        <v/>
      </c>
      <c r="F22" s="191"/>
      <c r="G22" s="190"/>
      <c r="H22" s="190"/>
      <c r="I22" s="190"/>
      <c r="J22" s="365" t="str">
        <f>IF(ISBLANK(TInventE[[#This Row],[Bouwdeel omschrijving]]),"",VLOOKUP(TInventE[[#This Row],[Bouwdeel omschrijving]],TsblE[],4,FALSE))</f>
        <v/>
      </c>
      <c r="K22" s="365" t="str">
        <f>IF(ISBLANK(TInventE[[#This Row],[Bouwdeel omschrijving]]),"",VLOOKUP(TInventE[[#This Row],[Bouwdeel omschrijving]],TsblE[],3,FALSE))</f>
        <v/>
      </c>
      <c r="L22" s="382" t="str">
        <f t="shared" si="0"/>
        <v/>
      </c>
      <c r="M22" s="203"/>
      <c r="N22" s="370"/>
      <c r="O22" s="370"/>
      <c r="P22" s="205"/>
      <c r="Q22" s="381" t="str">
        <f>IF(ISBLANK(TInventE[[#This Row],[Technische levensduur 
'[jaren']]]),"",(TInventE[[#This Row],[Datum van constructie of productie
'[jjjj-mm-dd']]]+(TInventE[[#This Row],[Technische levensduur 
'[jaren']]]*365)))</f>
        <v/>
      </c>
      <c r="R22" s="372"/>
      <c r="S22" s="195"/>
      <c r="T22" s="195"/>
      <c r="U22" s="196"/>
      <c r="V22" s="190"/>
      <c r="W22" s="601" t="str">
        <f>IF(ISBLANK(TInventE[[#This Row],[Bouwdeel omschrijving]]),"",VLOOKUP(TInventE[[#This Row],[Bouwdeel omschrijving]],TsblE[],5,FALSE))</f>
        <v/>
      </c>
      <c r="X22" s="373"/>
      <c r="Y22" s="374"/>
      <c r="Z22" s="375"/>
      <c r="AA22" s="200"/>
      <c r="AB22" s="376"/>
      <c r="AC22" s="189"/>
      <c r="AD22" s="189"/>
      <c r="AE22" s="189"/>
      <c r="AF22" s="196" t="s">
        <v>739</v>
      </c>
      <c r="AG22" s="201" t="s">
        <v>739</v>
      </c>
      <c r="AH22" s="604"/>
      <c r="AI22" s="378"/>
      <c r="AJ22" s="378"/>
      <c r="AK22" s="379"/>
      <c r="AL22" s="203"/>
      <c r="AM22" s="169"/>
      <c r="AO22" s="169"/>
      <c r="AQ22" s="169"/>
      <c r="AS22" s="169"/>
      <c r="AX22" s="169"/>
      <c r="BA22" s="169"/>
      <c r="BB22" s="169"/>
    </row>
    <row r="23" spans="1:54" ht="10.5" x14ac:dyDescent="0.25">
      <c r="A23" s="369" t="str">
        <f>IF(ISBLANK(TInventE[[#This Row],[Bouwdeel omschrijving]]),"",CONCATENATE(TInventE[[#This Row],[Code Bouwdeeltype]],"-",TInventE[[#This Row],[Volgnr.]]))</f>
        <v/>
      </c>
      <c r="B23" s="365" t="str">
        <f>IF(ISBLANK(TInventE[[#This Row],[Bouwdeel omschrijving]]),"",VLOOKUP(TInventE[[#This Row],[Bouwdeel omschrijving]],TsblE[],2,FALSE))</f>
        <v/>
      </c>
      <c r="C23" s="366"/>
      <c r="D23" s="190"/>
      <c r="E23" s="365" t="str">
        <f>IF(ISBLANK(TInventE[[#This Row],[Bouwdeel omschrijving]]),"",$B$4)</f>
        <v/>
      </c>
      <c r="F23" s="191"/>
      <c r="G23" s="190"/>
      <c r="H23" s="190"/>
      <c r="I23" s="190"/>
      <c r="J23" s="365" t="str">
        <f>IF(ISBLANK(TInventE[[#This Row],[Bouwdeel omschrijving]]),"",VLOOKUP(TInventE[[#This Row],[Bouwdeel omschrijving]],TsblE[],4,FALSE))</f>
        <v/>
      </c>
      <c r="K23" s="365" t="str">
        <f>IF(ISBLANK(TInventE[[#This Row],[Bouwdeel omschrijving]]),"",VLOOKUP(TInventE[[#This Row],[Bouwdeel omschrijving]],TsblE[],3,FALSE))</f>
        <v/>
      </c>
      <c r="L23" s="380" t="str">
        <f t="shared" si="0"/>
        <v/>
      </c>
      <c r="M23" s="193"/>
      <c r="N23" s="370"/>
      <c r="O23" s="370"/>
      <c r="P23" s="205"/>
      <c r="Q23" s="381" t="str">
        <f>IF(ISBLANK(TInventE[[#This Row],[Technische levensduur 
'[jaren']]]),"",(TInventE[[#This Row],[Datum van constructie of productie
'[jjjj-mm-dd']]]+(TInventE[[#This Row],[Technische levensduur 
'[jaren']]]*365)))</f>
        <v/>
      </c>
      <c r="R23" s="372"/>
      <c r="S23" s="195"/>
      <c r="T23" s="195"/>
      <c r="U23" s="196"/>
      <c r="V23" s="190"/>
      <c r="W23" s="601" t="str">
        <f>IF(ISBLANK(TInventE[[#This Row],[Bouwdeel omschrijving]]),"",VLOOKUP(TInventE[[#This Row],[Bouwdeel omschrijving]],TsblE[],5,FALSE))</f>
        <v/>
      </c>
      <c r="X23" s="373"/>
      <c r="Y23" s="374"/>
      <c r="Z23" s="375"/>
      <c r="AA23" s="200"/>
      <c r="AB23" s="376"/>
      <c r="AC23" s="189"/>
      <c r="AD23" s="189"/>
      <c r="AE23" s="189"/>
      <c r="AF23" s="196" t="s">
        <v>739</v>
      </c>
      <c r="AG23" s="201" t="s">
        <v>739</v>
      </c>
      <c r="AH23" s="604"/>
      <c r="AI23" s="378"/>
      <c r="AJ23" s="378"/>
      <c r="AK23" s="379"/>
      <c r="AL23" s="203"/>
      <c r="AM23" s="169"/>
      <c r="AO23" s="169"/>
      <c r="AQ23" s="169"/>
      <c r="AS23" s="169"/>
      <c r="AX23" s="169"/>
      <c r="BA23" s="169"/>
      <c r="BB23" s="169"/>
    </row>
    <row r="24" spans="1:54" ht="10.5" x14ac:dyDescent="0.25">
      <c r="A24" s="369" t="str">
        <f>IF(ISBLANK(TInventE[[#This Row],[Bouwdeel omschrijving]]),"",CONCATENATE(TInventE[[#This Row],[Code Bouwdeeltype]],"-",TInventE[[#This Row],[Volgnr.]]))</f>
        <v/>
      </c>
      <c r="B24" s="365" t="str">
        <f>IF(ISBLANK(TInventE[[#This Row],[Bouwdeel omschrijving]]),"",VLOOKUP(TInventE[[#This Row],[Bouwdeel omschrijving]],TsblE[],2,FALSE))</f>
        <v/>
      </c>
      <c r="C24" s="366"/>
      <c r="D24" s="190"/>
      <c r="E24" s="365" t="str">
        <f>IF(ISBLANK(TInventE[[#This Row],[Bouwdeel omschrijving]]),"",$B$4)</f>
        <v/>
      </c>
      <c r="F24" s="191"/>
      <c r="G24" s="190"/>
      <c r="H24" s="190"/>
      <c r="I24" s="190"/>
      <c r="J24" s="365" t="str">
        <f>IF(ISBLANK(TInventE[[#This Row],[Bouwdeel omschrijving]]),"",VLOOKUP(TInventE[[#This Row],[Bouwdeel omschrijving]],TsblE[],4,FALSE))</f>
        <v/>
      </c>
      <c r="K24" s="365" t="str">
        <f>IF(ISBLANK(TInventE[[#This Row],[Bouwdeel omschrijving]]),"",VLOOKUP(TInventE[[#This Row],[Bouwdeel omschrijving]],TsblE[],3,FALSE))</f>
        <v/>
      </c>
      <c r="L24" s="382" t="str">
        <f t="shared" si="0"/>
        <v/>
      </c>
      <c r="M24" s="203"/>
      <c r="N24" s="370"/>
      <c r="O24" s="370"/>
      <c r="P24" s="205"/>
      <c r="Q24" s="381" t="str">
        <f>IF(ISBLANK(TInventE[[#This Row],[Technische levensduur 
'[jaren']]]),"",(TInventE[[#This Row],[Datum van constructie of productie
'[jjjj-mm-dd']]]+(TInventE[[#This Row],[Technische levensduur 
'[jaren']]]*365)))</f>
        <v/>
      </c>
      <c r="R24" s="372"/>
      <c r="S24" s="195"/>
      <c r="T24" s="195"/>
      <c r="U24" s="196"/>
      <c r="V24" s="190"/>
      <c r="W24" s="601" t="str">
        <f>IF(ISBLANK(TInventE[[#This Row],[Bouwdeel omschrijving]]),"",VLOOKUP(TInventE[[#This Row],[Bouwdeel omschrijving]],TsblE[],5,FALSE))</f>
        <v/>
      </c>
      <c r="X24" s="373"/>
      <c r="Y24" s="374"/>
      <c r="Z24" s="375"/>
      <c r="AA24" s="200"/>
      <c r="AB24" s="376"/>
      <c r="AC24" s="189"/>
      <c r="AD24" s="189"/>
      <c r="AE24" s="189"/>
      <c r="AF24" s="196" t="s">
        <v>739</v>
      </c>
      <c r="AG24" s="201" t="s">
        <v>739</v>
      </c>
      <c r="AH24" s="604"/>
      <c r="AI24" s="378"/>
      <c r="AJ24" s="378"/>
      <c r="AK24" s="379"/>
      <c r="AL24" s="203"/>
      <c r="AM24" s="169"/>
      <c r="AO24" s="169"/>
      <c r="AQ24" s="169"/>
      <c r="AS24" s="169"/>
      <c r="AX24" s="169"/>
      <c r="BA24" s="169"/>
      <c r="BB24" s="169"/>
    </row>
    <row r="25" spans="1:54" ht="10.5" x14ac:dyDescent="0.25">
      <c r="A25" s="369" t="str">
        <f>IF(ISBLANK(TInventE[[#This Row],[Bouwdeel omschrijving]]),"",CONCATENATE(TInventE[[#This Row],[Code Bouwdeeltype]],"-",TInventE[[#This Row],[Volgnr.]]))</f>
        <v/>
      </c>
      <c r="B25" s="365" t="str">
        <f>IF(ISBLANK(TInventE[[#This Row],[Bouwdeel omschrijving]]),"",VLOOKUP(TInventE[[#This Row],[Bouwdeel omschrijving]],TsblE[],2,FALSE))</f>
        <v/>
      </c>
      <c r="C25" s="366"/>
      <c r="D25" s="190"/>
      <c r="E25" s="365" t="str">
        <f>IF(ISBLANK(TInventE[[#This Row],[Bouwdeel omschrijving]]),"",$B$4)</f>
        <v/>
      </c>
      <c r="F25" s="191"/>
      <c r="G25" s="190"/>
      <c r="H25" s="190"/>
      <c r="I25" s="190"/>
      <c r="J25" s="365" t="str">
        <f>IF(ISBLANK(TInventE[[#This Row],[Bouwdeel omschrijving]]),"",VLOOKUP(TInventE[[#This Row],[Bouwdeel omschrijving]],TsblE[],4,FALSE))</f>
        <v/>
      </c>
      <c r="K25" s="365" t="str">
        <f>IF(ISBLANK(TInventE[[#This Row],[Bouwdeel omschrijving]]),"",VLOOKUP(TInventE[[#This Row],[Bouwdeel omschrijving]],TsblE[],3,FALSE))</f>
        <v/>
      </c>
      <c r="L25" s="380" t="str">
        <f t="shared" si="0"/>
        <v/>
      </c>
      <c r="M25" s="193"/>
      <c r="N25" s="370"/>
      <c r="O25" s="370"/>
      <c r="P25" s="205"/>
      <c r="Q25" s="381" t="str">
        <f>IF(ISBLANK(TInventE[[#This Row],[Technische levensduur 
'[jaren']]]),"",(TInventE[[#This Row],[Datum van constructie of productie
'[jjjj-mm-dd']]]+(TInventE[[#This Row],[Technische levensduur 
'[jaren']]]*365)))</f>
        <v/>
      </c>
      <c r="R25" s="372"/>
      <c r="S25" s="195"/>
      <c r="T25" s="195"/>
      <c r="U25" s="196"/>
      <c r="V25" s="190"/>
      <c r="W25" s="601" t="str">
        <f>IF(ISBLANK(TInventE[[#This Row],[Bouwdeel omschrijving]]),"",VLOOKUP(TInventE[[#This Row],[Bouwdeel omschrijving]],TsblE[],5,FALSE))</f>
        <v/>
      </c>
      <c r="X25" s="373"/>
      <c r="Y25" s="374"/>
      <c r="Z25" s="375"/>
      <c r="AA25" s="200"/>
      <c r="AB25" s="376"/>
      <c r="AC25" s="189"/>
      <c r="AD25" s="189"/>
      <c r="AE25" s="189"/>
      <c r="AF25" s="196" t="s">
        <v>739</v>
      </c>
      <c r="AG25" s="201" t="s">
        <v>739</v>
      </c>
      <c r="AH25" s="604"/>
      <c r="AI25" s="378"/>
      <c r="AJ25" s="378"/>
      <c r="AK25" s="379"/>
      <c r="AL25" s="203"/>
      <c r="AM25" s="169"/>
      <c r="AO25" s="169"/>
      <c r="AQ25" s="169"/>
      <c r="AS25" s="169"/>
      <c r="AX25" s="169"/>
      <c r="BA25" s="169"/>
      <c r="BB25" s="169"/>
    </row>
    <row r="26" spans="1:54" ht="10.5" x14ac:dyDescent="0.25">
      <c r="A26" s="369" t="str">
        <f>IF(ISBLANK(TInventE[[#This Row],[Bouwdeel omschrijving]]),"",CONCATENATE(TInventE[[#This Row],[Code Bouwdeeltype]],"-",TInventE[[#This Row],[Volgnr.]]))</f>
        <v/>
      </c>
      <c r="B26" s="365" t="str">
        <f>IF(ISBLANK(TInventE[[#This Row],[Bouwdeel omschrijving]]),"",VLOOKUP(TInventE[[#This Row],[Bouwdeel omschrijving]],TsblE[],2,FALSE))</f>
        <v/>
      </c>
      <c r="C26" s="366"/>
      <c r="D26" s="190"/>
      <c r="E26" s="365" t="str">
        <f>IF(ISBLANK(TInventE[[#This Row],[Bouwdeel omschrijving]]),"",$B$4)</f>
        <v/>
      </c>
      <c r="F26" s="191"/>
      <c r="G26" s="190"/>
      <c r="H26" s="190"/>
      <c r="I26" s="190"/>
      <c r="J26" s="365" t="str">
        <f>IF(ISBLANK(TInventE[[#This Row],[Bouwdeel omschrijving]]),"",VLOOKUP(TInventE[[#This Row],[Bouwdeel omschrijving]],TsblE[],4,FALSE))</f>
        <v/>
      </c>
      <c r="K26" s="365" t="str">
        <f>IF(ISBLANK(TInventE[[#This Row],[Bouwdeel omschrijving]]),"",VLOOKUP(TInventE[[#This Row],[Bouwdeel omschrijving]],TsblE[],3,FALSE))</f>
        <v/>
      </c>
      <c r="L26" s="382" t="str">
        <f t="shared" si="0"/>
        <v/>
      </c>
      <c r="M26" s="203"/>
      <c r="N26" s="370"/>
      <c r="O26" s="370"/>
      <c r="P26" s="205"/>
      <c r="Q26" s="381" t="str">
        <f>IF(ISBLANK(TInventE[[#This Row],[Technische levensduur 
'[jaren']]]),"",(TInventE[[#This Row],[Datum van constructie of productie
'[jjjj-mm-dd']]]+(TInventE[[#This Row],[Technische levensduur 
'[jaren']]]*365)))</f>
        <v/>
      </c>
      <c r="R26" s="372"/>
      <c r="S26" s="195"/>
      <c r="T26" s="195"/>
      <c r="U26" s="196"/>
      <c r="V26" s="190"/>
      <c r="W26" s="601" t="str">
        <f>IF(ISBLANK(TInventE[[#This Row],[Bouwdeel omschrijving]]),"",VLOOKUP(TInventE[[#This Row],[Bouwdeel omschrijving]],TsblE[],5,FALSE))</f>
        <v/>
      </c>
      <c r="X26" s="373"/>
      <c r="Y26" s="374"/>
      <c r="Z26" s="375"/>
      <c r="AA26" s="200"/>
      <c r="AB26" s="376"/>
      <c r="AC26" s="189"/>
      <c r="AD26" s="189"/>
      <c r="AE26" s="189"/>
      <c r="AF26" s="196" t="s">
        <v>739</v>
      </c>
      <c r="AG26" s="201" t="s">
        <v>739</v>
      </c>
      <c r="AH26" s="604"/>
      <c r="AI26" s="378"/>
      <c r="AJ26" s="378"/>
      <c r="AK26" s="379"/>
      <c r="AL26" s="203"/>
      <c r="AM26" s="169"/>
      <c r="AO26" s="169"/>
      <c r="AQ26" s="169"/>
      <c r="AS26" s="169"/>
      <c r="AX26" s="169"/>
      <c r="BA26" s="169"/>
      <c r="BB26" s="169"/>
    </row>
    <row r="27" spans="1:54" ht="10.5" x14ac:dyDescent="0.25">
      <c r="A27" s="369" t="str">
        <f>IF(ISBLANK(TInventE[[#This Row],[Bouwdeel omschrijving]]),"",CONCATENATE(TInventE[[#This Row],[Code Bouwdeeltype]],"-",TInventE[[#This Row],[Volgnr.]]))</f>
        <v/>
      </c>
      <c r="B27" s="365" t="str">
        <f>IF(ISBLANK(TInventE[[#This Row],[Bouwdeel omschrijving]]),"",VLOOKUP(TInventE[[#This Row],[Bouwdeel omschrijving]],TsblE[],2,FALSE))</f>
        <v/>
      </c>
      <c r="C27" s="366"/>
      <c r="D27" s="190"/>
      <c r="E27" s="365" t="str">
        <f>IF(ISBLANK(TInventE[[#This Row],[Bouwdeel omschrijving]]),"",$B$4)</f>
        <v/>
      </c>
      <c r="F27" s="191"/>
      <c r="G27" s="190"/>
      <c r="H27" s="190"/>
      <c r="I27" s="190"/>
      <c r="J27" s="365" t="str">
        <f>IF(ISBLANK(TInventE[[#This Row],[Bouwdeel omschrijving]]),"",VLOOKUP(TInventE[[#This Row],[Bouwdeel omschrijving]],TsblE[],4,FALSE))</f>
        <v/>
      </c>
      <c r="K27" s="365" t="str">
        <f>IF(ISBLANK(TInventE[[#This Row],[Bouwdeel omschrijving]]),"",VLOOKUP(TInventE[[#This Row],[Bouwdeel omschrijving]],TsblE[],3,FALSE))</f>
        <v/>
      </c>
      <c r="L27" s="380" t="str">
        <f t="shared" si="0"/>
        <v/>
      </c>
      <c r="M27" s="193"/>
      <c r="N27" s="370"/>
      <c r="O27" s="370"/>
      <c r="P27" s="205"/>
      <c r="Q27" s="381" t="str">
        <f>IF(ISBLANK(TInventE[[#This Row],[Technische levensduur 
'[jaren']]]),"",(TInventE[[#This Row],[Datum van constructie of productie
'[jjjj-mm-dd']]]+(TInventE[[#This Row],[Technische levensduur 
'[jaren']]]*365)))</f>
        <v/>
      </c>
      <c r="R27" s="372"/>
      <c r="S27" s="195"/>
      <c r="T27" s="195"/>
      <c r="U27" s="196"/>
      <c r="V27" s="190"/>
      <c r="W27" s="601" t="str">
        <f>IF(ISBLANK(TInventE[[#This Row],[Bouwdeel omschrijving]]),"",VLOOKUP(TInventE[[#This Row],[Bouwdeel omschrijving]],TsblE[],5,FALSE))</f>
        <v/>
      </c>
      <c r="X27" s="373"/>
      <c r="Y27" s="374"/>
      <c r="Z27" s="375"/>
      <c r="AA27" s="200"/>
      <c r="AB27" s="376"/>
      <c r="AC27" s="189"/>
      <c r="AD27" s="189"/>
      <c r="AE27" s="189"/>
      <c r="AF27" s="196" t="s">
        <v>739</v>
      </c>
      <c r="AG27" s="201" t="s">
        <v>739</v>
      </c>
      <c r="AH27" s="604"/>
      <c r="AI27" s="378"/>
      <c r="AJ27" s="378"/>
      <c r="AK27" s="379"/>
      <c r="AL27" s="203"/>
      <c r="AM27" s="169"/>
      <c r="AO27" s="169"/>
      <c r="AQ27" s="169"/>
      <c r="AS27" s="169"/>
      <c r="AX27" s="169"/>
      <c r="BA27" s="169"/>
      <c r="BB27" s="169"/>
    </row>
    <row r="28" spans="1:54" ht="10.5" x14ac:dyDescent="0.25">
      <c r="A28" s="369" t="str">
        <f>IF(ISBLANK(TInventE[[#This Row],[Bouwdeel omschrijving]]),"",CONCATENATE(TInventE[[#This Row],[Code Bouwdeeltype]],"-",TInventE[[#This Row],[Volgnr.]]))</f>
        <v/>
      </c>
      <c r="B28" s="365" t="str">
        <f>IF(ISBLANK(TInventE[[#This Row],[Bouwdeel omschrijving]]),"",VLOOKUP(TInventE[[#This Row],[Bouwdeel omschrijving]],TsblE[],2,FALSE))</f>
        <v/>
      </c>
      <c r="C28" s="366"/>
      <c r="D28" s="190"/>
      <c r="E28" s="365" t="str">
        <f>IF(ISBLANK(TInventE[[#This Row],[Bouwdeel omschrijving]]),"",$B$4)</f>
        <v/>
      </c>
      <c r="F28" s="191"/>
      <c r="G28" s="190"/>
      <c r="H28" s="190"/>
      <c r="I28" s="190"/>
      <c r="J28" s="365" t="str">
        <f>IF(ISBLANK(TInventE[[#This Row],[Bouwdeel omschrijving]]),"",VLOOKUP(TInventE[[#This Row],[Bouwdeel omschrijving]],TsblE[],4,FALSE))</f>
        <v/>
      </c>
      <c r="K28" s="365" t="str">
        <f>IF(ISBLANK(TInventE[[#This Row],[Bouwdeel omschrijving]]),"",VLOOKUP(TInventE[[#This Row],[Bouwdeel omschrijving]],TsblE[],3,FALSE))</f>
        <v/>
      </c>
      <c r="L28" s="382" t="str">
        <f t="shared" si="0"/>
        <v/>
      </c>
      <c r="M28" s="203"/>
      <c r="N28" s="370"/>
      <c r="O28" s="370"/>
      <c r="P28" s="205"/>
      <c r="Q28" s="381" t="str">
        <f>IF(ISBLANK(TInventE[[#This Row],[Technische levensduur 
'[jaren']]]),"",(TInventE[[#This Row],[Datum van constructie of productie
'[jjjj-mm-dd']]]+(TInventE[[#This Row],[Technische levensduur 
'[jaren']]]*365)))</f>
        <v/>
      </c>
      <c r="R28" s="372"/>
      <c r="S28" s="195"/>
      <c r="T28" s="195"/>
      <c r="U28" s="196"/>
      <c r="V28" s="190"/>
      <c r="W28" s="601" t="str">
        <f>IF(ISBLANK(TInventE[[#This Row],[Bouwdeel omschrijving]]),"",VLOOKUP(TInventE[[#This Row],[Bouwdeel omschrijving]],TsblE[],5,FALSE))</f>
        <v/>
      </c>
      <c r="X28" s="373"/>
      <c r="Y28" s="374"/>
      <c r="Z28" s="375"/>
      <c r="AA28" s="200"/>
      <c r="AB28" s="376"/>
      <c r="AC28" s="189"/>
      <c r="AD28" s="189"/>
      <c r="AE28" s="189"/>
      <c r="AF28" s="196" t="s">
        <v>739</v>
      </c>
      <c r="AG28" s="201" t="s">
        <v>739</v>
      </c>
      <c r="AH28" s="604"/>
      <c r="AI28" s="378"/>
      <c r="AJ28" s="378"/>
      <c r="AK28" s="379"/>
      <c r="AL28" s="203"/>
      <c r="AM28" s="169"/>
      <c r="AO28" s="169"/>
      <c r="AQ28" s="169"/>
      <c r="AS28" s="169"/>
      <c r="AX28" s="169"/>
      <c r="BA28" s="169"/>
      <c r="BB28" s="169"/>
    </row>
    <row r="29" spans="1:54" ht="10.5" x14ac:dyDescent="0.25">
      <c r="A29" s="369" t="str">
        <f>IF(ISBLANK(TInventE[[#This Row],[Bouwdeel omschrijving]]),"",CONCATENATE(TInventE[[#This Row],[Code Bouwdeeltype]],"-",TInventE[[#This Row],[Volgnr.]]))</f>
        <v/>
      </c>
      <c r="B29" s="365" t="str">
        <f>IF(ISBLANK(TInventE[[#This Row],[Bouwdeel omschrijving]]),"",VLOOKUP(TInventE[[#This Row],[Bouwdeel omschrijving]],TsblE[],2,FALSE))</f>
        <v/>
      </c>
      <c r="C29" s="366"/>
      <c r="D29" s="190"/>
      <c r="E29" s="365" t="str">
        <f>IF(ISBLANK(TInventE[[#This Row],[Bouwdeel omschrijving]]),"",$B$4)</f>
        <v/>
      </c>
      <c r="F29" s="191"/>
      <c r="G29" s="190"/>
      <c r="H29" s="190"/>
      <c r="I29" s="190"/>
      <c r="J29" s="365" t="str">
        <f>IF(ISBLANK(TInventE[[#This Row],[Bouwdeel omschrijving]]),"",VLOOKUP(TInventE[[#This Row],[Bouwdeel omschrijving]],TsblE[],4,FALSE))</f>
        <v/>
      </c>
      <c r="K29" s="365" t="str">
        <f>IF(ISBLANK(TInventE[[#This Row],[Bouwdeel omschrijving]]),"",VLOOKUP(TInventE[[#This Row],[Bouwdeel omschrijving]],TsblE[],3,FALSE))</f>
        <v/>
      </c>
      <c r="L29" s="380" t="str">
        <f t="shared" si="0"/>
        <v/>
      </c>
      <c r="M29" s="193"/>
      <c r="N29" s="370"/>
      <c r="O29" s="370"/>
      <c r="P29" s="205"/>
      <c r="Q29" s="381" t="str">
        <f>IF(ISBLANK(TInventE[[#This Row],[Technische levensduur 
'[jaren']]]),"",(TInventE[[#This Row],[Datum van constructie of productie
'[jjjj-mm-dd']]]+(TInventE[[#This Row],[Technische levensduur 
'[jaren']]]*365)))</f>
        <v/>
      </c>
      <c r="R29" s="372"/>
      <c r="S29" s="195"/>
      <c r="T29" s="195"/>
      <c r="U29" s="196"/>
      <c r="V29" s="190"/>
      <c r="W29" s="601" t="str">
        <f>IF(ISBLANK(TInventE[[#This Row],[Bouwdeel omschrijving]]),"",VLOOKUP(TInventE[[#This Row],[Bouwdeel omschrijving]],TsblE[],5,FALSE))</f>
        <v/>
      </c>
      <c r="X29" s="373"/>
      <c r="Y29" s="374"/>
      <c r="Z29" s="375"/>
      <c r="AA29" s="200"/>
      <c r="AB29" s="376"/>
      <c r="AC29" s="189"/>
      <c r="AD29" s="189"/>
      <c r="AE29" s="189"/>
      <c r="AF29" s="196" t="s">
        <v>739</v>
      </c>
      <c r="AG29" s="201" t="s">
        <v>739</v>
      </c>
      <c r="AH29" s="604"/>
      <c r="AI29" s="378"/>
      <c r="AJ29" s="378"/>
      <c r="AK29" s="379"/>
      <c r="AL29" s="203"/>
      <c r="AM29" s="169"/>
      <c r="AO29" s="169"/>
      <c r="AQ29" s="169"/>
      <c r="AS29" s="169"/>
      <c r="AX29" s="169"/>
      <c r="BA29" s="169"/>
      <c r="BB29" s="169"/>
    </row>
    <row r="30" spans="1:54" ht="10.5" x14ac:dyDescent="0.25">
      <c r="A30" s="369" t="str">
        <f>IF(ISBLANK(TInventE[[#This Row],[Bouwdeel omschrijving]]),"",CONCATENATE(TInventE[[#This Row],[Code Bouwdeeltype]],"-",TInventE[[#This Row],[Volgnr.]]))</f>
        <v/>
      </c>
      <c r="B30" s="365" t="str">
        <f>IF(ISBLANK(TInventE[[#This Row],[Bouwdeel omschrijving]]),"",VLOOKUP(TInventE[[#This Row],[Bouwdeel omschrijving]],TsblE[],2,FALSE))</f>
        <v/>
      </c>
      <c r="C30" s="366"/>
      <c r="D30" s="190"/>
      <c r="E30" s="365" t="str">
        <f>IF(ISBLANK(TInventE[[#This Row],[Bouwdeel omschrijving]]),"",$B$4)</f>
        <v/>
      </c>
      <c r="F30" s="191"/>
      <c r="G30" s="190"/>
      <c r="H30" s="190"/>
      <c r="I30" s="190"/>
      <c r="J30" s="365" t="str">
        <f>IF(ISBLANK(TInventE[[#This Row],[Bouwdeel omschrijving]]),"",VLOOKUP(TInventE[[#This Row],[Bouwdeel omschrijving]],TsblE[],4,FALSE))</f>
        <v/>
      </c>
      <c r="K30" s="365" t="str">
        <f>IF(ISBLANK(TInventE[[#This Row],[Bouwdeel omschrijving]]),"",VLOOKUP(TInventE[[#This Row],[Bouwdeel omschrijving]],TsblE[],3,FALSE))</f>
        <v/>
      </c>
      <c r="L30" s="382" t="str">
        <f t="shared" si="0"/>
        <v/>
      </c>
      <c r="M30" s="203"/>
      <c r="N30" s="370"/>
      <c r="O30" s="370"/>
      <c r="P30" s="205"/>
      <c r="Q30" s="381" t="str">
        <f>IF(ISBLANK(TInventE[[#This Row],[Technische levensduur 
'[jaren']]]),"",(TInventE[[#This Row],[Datum van constructie of productie
'[jjjj-mm-dd']]]+(TInventE[[#This Row],[Technische levensduur 
'[jaren']]]*365)))</f>
        <v/>
      </c>
      <c r="R30" s="372"/>
      <c r="S30" s="195"/>
      <c r="T30" s="195"/>
      <c r="U30" s="196"/>
      <c r="V30" s="190"/>
      <c r="W30" s="601" t="str">
        <f>IF(ISBLANK(TInventE[[#This Row],[Bouwdeel omschrijving]]),"",VLOOKUP(TInventE[[#This Row],[Bouwdeel omschrijving]],TsblE[],5,FALSE))</f>
        <v/>
      </c>
      <c r="X30" s="373"/>
      <c r="Y30" s="374"/>
      <c r="Z30" s="375"/>
      <c r="AA30" s="200"/>
      <c r="AB30" s="376"/>
      <c r="AC30" s="189"/>
      <c r="AD30" s="189"/>
      <c r="AE30" s="189"/>
      <c r="AF30" s="196" t="s">
        <v>739</v>
      </c>
      <c r="AG30" s="201" t="s">
        <v>739</v>
      </c>
      <c r="AH30" s="604"/>
      <c r="AI30" s="378"/>
      <c r="AJ30" s="378"/>
      <c r="AK30" s="379"/>
      <c r="AL30" s="203"/>
      <c r="AM30" s="169"/>
      <c r="AO30" s="169"/>
      <c r="AQ30" s="169"/>
      <c r="AS30" s="169"/>
      <c r="AX30" s="169"/>
      <c r="BA30" s="169"/>
      <c r="BB30" s="169"/>
    </row>
    <row r="31" spans="1:54" ht="10.5" x14ac:dyDescent="0.25">
      <c r="A31" s="369" t="str">
        <f>IF(ISBLANK(TInventE[[#This Row],[Bouwdeel omschrijving]]),"",CONCATENATE(TInventE[[#This Row],[Code Bouwdeeltype]],"-",TInventE[[#This Row],[Volgnr.]]))</f>
        <v/>
      </c>
      <c r="B31" s="365" t="str">
        <f>IF(ISBLANK(TInventE[[#This Row],[Bouwdeel omschrijving]]),"",VLOOKUP(TInventE[[#This Row],[Bouwdeel omschrijving]],TsblE[],2,FALSE))</f>
        <v/>
      </c>
      <c r="C31" s="366"/>
      <c r="D31" s="190"/>
      <c r="E31" s="365" t="str">
        <f>IF(ISBLANK(TInventE[[#This Row],[Bouwdeel omschrijving]]),"",$B$4)</f>
        <v/>
      </c>
      <c r="F31" s="191"/>
      <c r="G31" s="190"/>
      <c r="H31" s="190"/>
      <c r="I31" s="190"/>
      <c r="J31" s="365" t="str">
        <f>IF(ISBLANK(TInventE[[#This Row],[Bouwdeel omschrijving]]),"",VLOOKUP(TInventE[[#This Row],[Bouwdeel omschrijving]],TsblE[],4,FALSE))</f>
        <v/>
      </c>
      <c r="K31" s="365" t="str">
        <f>IF(ISBLANK(TInventE[[#This Row],[Bouwdeel omschrijving]]),"",VLOOKUP(TInventE[[#This Row],[Bouwdeel omschrijving]],TsblE[],3,FALSE))</f>
        <v/>
      </c>
      <c r="L31" s="380" t="str">
        <f t="shared" si="0"/>
        <v/>
      </c>
      <c r="M31" s="193"/>
      <c r="N31" s="370"/>
      <c r="O31" s="370"/>
      <c r="P31" s="205"/>
      <c r="Q31" s="381" t="str">
        <f>IF(ISBLANK(TInventE[[#This Row],[Technische levensduur 
'[jaren']]]),"",(TInventE[[#This Row],[Datum van constructie of productie
'[jjjj-mm-dd']]]+(TInventE[[#This Row],[Technische levensduur 
'[jaren']]]*365)))</f>
        <v/>
      </c>
      <c r="R31" s="372"/>
      <c r="S31" s="195"/>
      <c r="T31" s="195"/>
      <c r="U31" s="196"/>
      <c r="V31" s="190"/>
      <c r="W31" s="601" t="str">
        <f>IF(ISBLANK(TInventE[[#This Row],[Bouwdeel omschrijving]]),"",VLOOKUP(TInventE[[#This Row],[Bouwdeel omschrijving]],TsblE[],5,FALSE))</f>
        <v/>
      </c>
      <c r="X31" s="373"/>
      <c r="Y31" s="374"/>
      <c r="Z31" s="375"/>
      <c r="AA31" s="200"/>
      <c r="AB31" s="376"/>
      <c r="AC31" s="189"/>
      <c r="AD31" s="189"/>
      <c r="AE31" s="189"/>
      <c r="AF31" s="196" t="s">
        <v>739</v>
      </c>
      <c r="AG31" s="201" t="s">
        <v>739</v>
      </c>
      <c r="AH31" s="604"/>
      <c r="AI31" s="378"/>
      <c r="AJ31" s="378"/>
      <c r="AK31" s="379"/>
      <c r="AL31" s="203"/>
      <c r="AM31" s="169"/>
      <c r="AO31" s="169"/>
      <c r="AQ31" s="169"/>
      <c r="AS31" s="169"/>
      <c r="AX31" s="169"/>
      <c r="BA31" s="169"/>
      <c r="BB31" s="169"/>
    </row>
    <row r="32" spans="1:54" ht="10.5" x14ac:dyDescent="0.25">
      <c r="A32" s="369" t="str">
        <f>IF(ISBLANK(TInventE[[#This Row],[Bouwdeel omschrijving]]),"",CONCATENATE(TInventE[[#This Row],[Code Bouwdeeltype]],"-",TInventE[[#This Row],[Volgnr.]]))</f>
        <v/>
      </c>
      <c r="B32" s="365" t="str">
        <f>IF(ISBLANK(TInventE[[#This Row],[Bouwdeel omschrijving]]),"",VLOOKUP(TInventE[[#This Row],[Bouwdeel omschrijving]],TsblE[],2,FALSE))</f>
        <v/>
      </c>
      <c r="C32" s="366"/>
      <c r="D32" s="190"/>
      <c r="E32" s="365" t="str">
        <f>IF(ISBLANK(TInventE[[#This Row],[Bouwdeel omschrijving]]),"",$B$4)</f>
        <v/>
      </c>
      <c r="F32" s="191"/>
      <c r="G32" s="190"/>
      <c r="H32" s="190"/>
      <c r="I32" s="190"/>
      <c r="J32" s="365" t="str">
        <f>IF(ISBLANK(TInventE[[#This Row],[Bouwdeel omschrijving]]),"",VLOOKUP(TInventE[[#This Row],[Bouwdeel omschrijving]],TsblE[],4,FALSE))</f>
        <v/>
      </c>
      <c r="K32" s="365" t="str">
        <f>IF(ISBLANK(TInventE[[#This Row],[Bouwdeel omschrijving]]),"",VLOOKUP(TInventE[[#This Row],[Bouwdeel omschrijving]],TsblE[],3,FALSE))</f>
        <v/>
      </c>
      <c r="L32" s="382" t="str">
        <f t="shared" si="0"/>
        <v/>
      </c>
      <c r="M32" s="203"/>
      <c r="N32" s="370"/>
      <c r="O32" s="370"/>
      <c r="P32" s="205"/>
      <c r="Q32" s="381" t="str">
        <f>IF(ISBLANK(TInventE[[#This Row],[Technische levensduur 
'[jaren']]]),"",(TInventE[[#This Row],[Datum van constructie of productie
'[jjjj-mm-dd']]]+(TInventE[[#This Row],[Technische levensduur 
'[jaren']]]*365)))</f>
        <v/>
      </c>
      <c r="R32" s="372"/>
      <c r="S32" s="195"/>
      <c r="T32" s="195"/>
      <c r="U32" s="196"/>
      <c r="V32" s="190"/>
      <c r="W32" s="601" t="str">
        <f>IF(ISBLANK(TInventE[[#This Row],[Bouwdeel omschrijving]]),"",VLOOKUP(TInventE[[#This Row],[Bouwdeel omschrijving]],TsblE[],5,FALSE))</f>
        <v/>
      </c>
      <c r="X32" s="373"/>
      <c r="Y32" s="374"/>
      <c r="Z32" s="375"/>
      <c r="AA32" s="200"/>
      <c r="AB32" s="376"/>
      <c r="AC32" s="189"/>
      <c r="AD32" s="189"/>
      <c r="AE32" s="189"/>
      <c r="AF32" s="196" t="s">
        <v>739</v>
      </c>
      <c r="AG32" s="201" t="s">
        <v>739</v>
      </c>
      <c r="AH32" s="604"/>
      <c r="AI32" s="378"/>
      <c r="AJ32" s="378"/>
      <c r="AK32" s="379"/>
      <c r="AL32" s="203"/>
      <c r="AM32" s="169"/>
      <c r="AO32" s="169"/>
      <c r="AQ32" s="169"/>
      <c r="AS32" s="169"/>
      <c r="AX32" s="169"/>
      <c r="BA32" s="169"/>
      <c r="BB32" s="169"/>
    </row>
    <row r="33" spans="1:54" ht="10.5" x14ac:dyDescent="0.25">
      <c r="A33" s="369" t="str">
        <f>IF(ISBLANK(TInventE[[#This Row],[Bouwdeel omschrijving]]),"",CONCATENATE(TInventE[[#This Row],[Code Bouwdeeltype]],"-",TInventE[[#This Row],[Volgnr.]]))</f>
        <v/>
      </c>
      <c r="B33" s="365" t="str">
        <f>IF(ISBLANK(TInventE[[#This Row],[Bouwdeel omschrijving]]),"",VLOOKUP(TInventE[[#This Row],[Bouwdeel omschrijving]],TsblE[],2,FALSE))</f>
        <v/>
      </c>
      <c r="C33" s="366"/>
      <c r="D33" s="190"/>
      <c r="E33" s="365" t="str">
        <f>IF(ISBLANK(TInventE[[#This Row],[Bouwdeel omschrijving]]),"",$B$4)</f>
        <v/>
      </c>
      <c r="F33" s="191"/>
      <c r="G33" s="190"/>
      <c r="H33" s="190"/>
      <c r="I33" s="190"/>
      <c r="J33" s="365" t="str">
        <f>IF(ISBLANK(TInventE[[#This Row],[Bouwdeel omschrijving]]),"",VLOOKUP(TInventE[[#This Row],[Bouwdeel omschrijving]],TsblE[],4,FALSE))</f>
        <v/>
      </c>
      <c r="K33" s="365" t="str">
        <f>IF(ISBLANK(TInventE[[#This Row],[Bouwdeel omschrijving]]),"",VLOOKUP(TInventE[[#This Row],[Bouwdeel omschrijving]],TsblE[],3,FALSE))</f>
        <v/>
      </c>
      <c r="L33" s="380" t="str">
        <f t="shared" si="0"/>
        <v/>
      </c>
      <c r="M33" s="193"/>
      <c r="N33" s="370"/>
      <c r="O33" s="370"/>
      <c r="P33" s="205"/>
      <c r="Q33" s="381" t="str">
        <f>IF(ISBLANK(TInventE[[#This Row],[Technische levensduur 
'[jaren']]]),"",(TInventE[[#This Row],[Datum van constructie of productie
'[jjjj-mm-dd']]]+(TInventE[[#This Row],[Technische levensduur 
'[jaren']]]*365)))</f>
        <v/>
      </c>
      <c r="R33" s="372"/>
      <c r="S33" s="195"/>
      <c r="T33" s="195"/>
      <c r="U33" s="196"/>
      <c r="V33" s="190"/>
      <c r="W33" s="601" t="str">
        <f>IF(ISBLANK(TInventE[[#This Row],[Bouwdeel omschrijving]]),"",VLOOKUP(TInventE[[#This Row],[Bouwdeel omschrijving]],TsblE[],5,FALSE))</f>
        <v/>
      </c>
      <c r="X33" s="373"/>
      <c r="Y33" s="374"/>
      <c r="Z33" s="375"/>
      <c r="AA33" s="200"/>
      <c r="AB33" s="376"/>
      <c r="AC33" s="189"/>
      <c r="AD33" s="189"/>
      <c r="AE33" s="189"/>
      <c r="AF33" s="196" t="s">
        <v>739</v>
      </c>
      <c r="AG33" s="201" t="s">
        <v>739</v>
      </c>
      <c r="AH33" s="604"/>
      <c r="AI33" s="378"/>
      <c r="AJ33" s="378"/>
      <c r="AK33" s="379"/>
      <c r="AL33" s="203"/>
      <c r="AM33" s="169"/>
      <c r="AO33" s="169"/>
      <c r="AQ33" s="169"/>
      <c r="AS33" s="169"/>
      <c r="AX33" s="169"/>
      <c r="BA33" s="169"/>
      <c r="BB33" s="169"/>
    </row>
    <row r="34" spans="1:54" ht="10.5" x14ac:dyDescent="0.25">
      <c r="A34" s="369" t="str">
        <f>IF(ISBLANK(TInventE[[#This Row],[Bouwdeel omschrijving]]),"",CONCATENATE(TInventE[[#This Row],[Code Bouwdeeltype]],"-",TInventE[[#This Row],[Volgnr.]]))</f>
        <v/>
      </c>
      <c r="B34" s="365" t="str">
        <f>IF(ISBLANK(TInventE[[#This Row],[Bouwdeel omschrijving]]),"",VLOOKUP(TInventE[[#This Row],[Bouwdeel omschrijving]],TsblE[],2,FALSE))</f>
        <v/>
      </c>
      <c r="C34" s="366"/>
      <c r="D34" s="190"/>
      <c r="E34" s="365" t="str">
        <f>IF(ISBLANK(TInventE[[#This Row],[Bouwdeel omschrijving]]),"",$B$4)</f>
        <v/>
      </c>
      <c r="F34" s="191"/>
      <c r="G34" s="190"/>
      <c r="H34" s="190"/>
      <c r="I34" s="190"/>
      <c r="J34" s="365" t="str">
        <f>IF(ISBLANK(TInventE[[#This Row],[Bouwdeel omschrijving]]),"",VLOOKUP(TInventE[[#This Row],[Bouwdeel omschrijving]],TsblE[],4,FALSE))</f>
        <v/>
      </c>
      <c r="K34" s="365" t="str">
        <f>IF(ISBLANK(TInventE[[#This Row],[Bouwdeel omschrijving]]),"",VLOOKUP(TInventE[[#This Row],[Bouwdeel omschrijving]],TsblE[],3,FALSE))</f>
        <v/>
      </c>
      <c r="L34" s="382" t="str">
        <f t="shared" si="0"/>
        <v/>
      </c>
      <c r="M34" s="203"/>
      <c r="N34" s="370"/>
      <c r="O34" s="370"/>
      <c r="P34" s="205"/>
      <c r="Q34" s="381" t="str">
        <f>IF(ISBLANK(TInventE[[#This Row],[Technische levensduur 
'[jaren']]]),"",(TInventE[[#This Row],[Datum van constructie of productie
'[jjjj-mm-dd']]]+(TInventE[[#This Row],[Technische levensduur 
'[jaren']]]*365)))</f>
        <v/>
      </c>
      <c r="R34" s="372"/>
      <c r="S34" s="195"/>
      <c r="T34" s="195"/>
      <c r="U34" s="196"/>
      <c r="V34" s="190"/>
      <c r="W34" s="601" t="str">
        <f>IF(ISBLANK(TInventE[[#This Row],[Bouwdeel omschrijving]]),"",VLOOKUP(TInventE[[#This Row],[Bouwdeel omschrijving]],TsblE[],5,FALSE))</f>
        <v/>
      </c>
      <c r="X34" s="373"/>
      <c r="Y34" s="374"/>
      <c r="Z34" s="375"/>
      <c r="AA34" s="200"/>
      <c r="AB34" s="376"/>
      <c r="AC34" s="189"/>
      <c r="AD34" s="189"/>
      <c r="AE34" s="189"/>
      <c r="AF34" s="196" t="s">
        <v>739</v>
      </c>
      <c r="AG34" s="201" t="s">
        <v>739</v>
      </c>
      <c r="AH34" s="604"/>
      <c r="AI34" s="378"/>
      <c r="AJ34" s="378"/>
      <c r="AK34" s="379"/>
      <c r="AL34" s="203"/>
      <c r="AM34" s="169"/>
      <c r="AO34" s="169"/>
      <c r="AQ34" s="169"/>
      <c r="AS34" s="169"/>
      <c r="AX34" s="169"/>
      <c r="BA34" s="169"/>
      <c r="BB34" s="169"/>
    </row>
    <row r="35" spans="1:54" ht="10.5" x14ac:dyDescent="0.25">
      <c r="A35" s="369" t="str">
        <f>IF(ISBLANK(TInventE[[#This Row],[Bouwdeel omschrijving]]),"",CONCATENATE(TInventE[[#This Row],[Code Bouwdeeltype]],"-",TInventE[[#This Row],[Volgnr.]]))</f>
        <v/>
      </c>
      <c r="B35" s="365" t="str">
        <f>IF(ISBLANK(TInventE[[#This Row],[Bouwdeel omschrijving]]),"",VLOOKUP(TInventE[[#This Row],[Bouwdeel omschrijving]],TsblE[],2,FALSE))</f>
        <v/>
      </c>
      <c r="C35" s="366"/>
      <c r="D35" s="190"/>
      <c r="E35" s="365" t="str">
        <f>IF(ISBLANK(TInventE[[#This Row],[Bouwdeel omschrijving]]),"",$B$4)</f>
        <v/>
      </c>
      <c r="F35" s="191"/>
      <c r="G35" s="190"/>
      <c r="H35" s="190"/>
      <c r="I35" s="190"/>
      <c r="J35" s="365" t="str">
        <f>IF(ISBLANK(TInventE[[#This Row],[Bouwdeel omschrijving]]),"",VLOOKUP(TInventE[[#This Row],[Bouwdeel omschrijving]],TsblE[],4,FALSE))</f>
        <v/>
      </c>
      <c r="K35" s="365" t="str">
        <f>IF(ISBLANK(TInventE[[#This Row],[Bouwdeel omschrijving]]),"",VLOOKUP(TInventE[[#This Row],[Bouwdeel omschrijving]],TsblE[],3,FALSE))</f>
        <v/>
      </c>
      <c r="L35" s="382" t="str">
        <f t="shared" si="0"/>
        <v/>
      </c>
      <c r="M35" s="203"/>
      <c r="N35" s="370"/>
      <c r="O35" s="370"/>
      <c r="P35" s="205"/>
      <c r="Q35" s="381" t="str">
        <f>IF(ISBLANK(TInventE[[#This Row],[Technische levensduur 
'[jaren']]]),"",(TInventE[[#This Row],[Datum van constructie of productie
'[jjjj-mm-dd']]]+(TInventE[[#This Row],[Technische levensduur 
'[jaren']]]*365)))</f>
        <v/>
      </c>
      <c r="R35" s="372"/>
      <c r="S35" s="195"/>
      <c r="T35" s="195"/>
      <c r="U35" s="196"/>
      <c r="V35" s="190"/>
      <c r="W35" s="601" t="str">
        <f>IF(ISBLANK(TInventE[[#This Row],[Bouwdeel omschrijving]]),"",VLOOKUP(TInventE[[#This Row],[Bouwdeel omschrijving]],TsblE[],5,FALSE))</f>
        <v/>
      </c>
      <c r="X35" s="373"/>
      <c r="Y35" s="374"/>
      <c r="Z35" s="375"/>
      <c r="AA35" s="200"/>
      <c r="AB35" s="376"/>
      <c r="AC35" s="189"/>
      <c r="AD35" s="189"/>
      <c r="AE35" s="189"/>
      <c r="AF35" s="196" t="s">
        <v>739</v>
      </c>
      <c r="AG35" s="201" t="s">
        <v>739</v>
      </c>
      <c r="AH35" s="604"/>
      <c r="AI35" s="378"/>
      <c r="AJ35" s="378"/>
      <c r="AK35" s="379"/>
      <c r="AL35" s="203"/>
      <c r="AM35" s="169"/>
      <c r="AO35" s="169"/>
      <c r="AQ35" s="169"/>
      <c r="AS35" s="169"/>
      <c r="AX35" s="169"/>
      <c r="BA35" s="169"/>
      <c r="BB35" s="169"/>
    </row>
    <row r="36" spans="1:54" ht="10.5" x14ac:dyDescent="0.25">
      <c r="A36" s="369" t="str">
        <f>IF(ISBLANK(TInventE[[#This Row],[Bouwdeel omschrijving]]),"",CONCATENATE(TInventE[[#This Row],[Code Bouwdeeltype]],"-",TInventE[[#This Row],[Volgnr.]]))</f>
        <v/>
      </c>
      <c r="B36" s="365" t="str">
        <f>IF(ISBLANK(TInventE[[#This Row],[Bouwdeel omschrijving]]),"",VLOOKUP(TInventE[[#This Row],[Bouwdeel omschrijving]],TsblE[],2,FALSE))</f>
        <v/>
      </c>
      <c r="C36" s="366"/>
      <c r="D36" s="190"/>
      <c r="E36" s="365" t="str">
        <f>IF(ISBLANK(TInventE[[#This Row],[Bouwdeel omschrijving]]),"",$B$4)</f>
        <v/>
      </c>
      <c r="F36" s="191"/>
      <c r="G36" s="190"/>
      <c r="H36" s="190"/>
      <c r="I36" s="190"/>
      <c r="J36" s="365" t="str">
        <f>IF(ISBLANK(TInventE[[#This Row],[Bouwdeel omschrijving]]),"",VLOOKUP(TInventE[[#This Row],[Bouwdeel omschrijving]],TsblE[],4,FALSE))</f>
        <v/>
      </c>
      <c r="K36" s="365" t="str">
        <f>IF(ISBLANK(TInventE[[#This Row],[Bouwdeel omschrijving]]),"",VLOOKUP(TInventE[[#This Row],[Bouwdeel omschrijving]],TsblE[],3,FALSE))</f>
        <v/>
      </c>
      <c r="L36" s="382" t="str">
        <f t="shared" si="0"/>
        <v/>
      </c>
      <c r="M36" s="203"/>
      <c r="N36" s="370"/>
      <c r="O36" s="370"/>
      <c r="P36" s="205"/>
      <c r="Q36" s="381" t="str">
        <f>IF(ISBLANK(TInventE[[#This Row],[Technische levensduur 
'[jaren']]]),"",(TInventE[[#This Row],[Datum van constructie of productie
'[jjjj-mm-dd']]]+(TInventE[[#This Row],[Technische levensduur 
'[jaren']]]*365)))</f>
        <v/>
      </c>
      <c r="R36" s="372"/>
      <c r="S36" s="195"/>
      <c r="T36" s="195"/>
      <c r="U36" s="196"/>
      <c r="V36" s="190"/>
      <c r="W36" s="601" t="str">
        <f>IF(ISBLANK(TInventE[[#This Row],[Bouwdeel omschrijving]]),"",VLOOKUP(TInventE[[#This Row],[Bouwdeel omschrijving]],TsblE[],5,FALSE))</f>
        <v/>
      </c>
      <c r="X36" s="373"/>
      <c r="Y36" s="374"/>
      <c r="Z36" s="375"/>
      <c r="AA36" s="200"/>
      <c r="AB36" s="376"/>
      <c r="AC36" s="189"/>
      <c r="AD36" s="189"/>
      <c r="AE36" s="189"/>
      <c r="AF36" s="196" t="s">
        <v>739</v>
      </c>
      <c r="AG36" s="201" t="s">
        <v>739</v>
      </c>
      <c r="AH36" s="604"/>
      <c r="AI36" s="378"/>
      <c r="AJ36" s="378"/>
      <c r="AK36" s="379"/>
      <c r="AL36" s="203"/>
      <c r="AM36" s="169"/>
      <c r="AO36" s="169"/>
      <c r="AQ36" s="169"/>
      <c r="AS36" s="169"/>
      <c r="AX36" s="169"/>
      <c r="BA36" s="169"/>
      <c r="BB36" s="169"/>
    </row>
    <row r="37" spans="1:54" ht="10.5" x14ac:dyDescent="0.25">
      <c r="A37" s="369" t="str">
        <f>IF(ISBLANK(TInventE[[#This Row],[Bouwdeel omschrijving]]),"",CONCATENATE(TInventE[[#This Row],[Code Bouwdeeltype]],"-",TInventE[[#This Row],[Volgnr.]]))</f>
        <v/>
      </c>
      <c r="B37" s="365" t="str">
        <f>IF(ISBLANK(TInventE[[#This Row],[Bouwdeel omschrijving]]),"",VLOOKUP(TInventE[[#This Row],[Bouwdeel omschrijving]],TsblE[],2,FALSE))</f>
        <v/>
      </c>
      <c r="C37" s="366"/>
      <c r="D37" s="190"/>
      <c r="E37" s="365" t="str">
        <f>IF(ISBLANK(TInventE[[#This Row],[Bouwdeel omschrijving]]),"",$B$4)</f>
        <v/>
      </c>
      <c r="F37" s="191"/>
      <c r="G37" s="190"/>
      <c r="H37" s="190"/>
      <c r="I37" s="190"/>
      <c r="J37" s="365" t="str">
        <f>IF(ISBLANK(TInventE[[#This Row],[Bouwdeel omschrijving]]),"",VLOOKUP(TInventE[[#This Row],[Bouwdeel omschrijving]],TsblE[],4,FALSE))</f>
        <v/>
      </c>
      <c r="K37" s="365" t="str">
        <f>IF(ISBLANK(TInventE[[#This Row],[Bouwdeel omschrijving]]),"",VLOOKUP(TInventE[[#This Row],[Bouwdeel omschrijving]],TsblE[],3,FALSE))</f>
        <v/>
      </c>
      <c r="L37" s="382" t="str">
        <f t="shared" si="0"/>
        <v/>
      </c>
      <c r="M37" s="203"/>
      <c r="N37" s="370"/>
      <c r="O37" s="370"/>
      <c r="P37" s="205"/>
      <c r="Q37" s="381" t="str">
        <f>IF(ISBLANK(TInventE[[#This Row],[Technische levensduur 
'[jaren']]]),"",(TInventE[[#This Row],[Datum van constructie of productie
'[jjjj-mm-dd']]]+(TInventE[[#This Row],[Technische levensduur 
'[jaren']]]*365)))</f>
        <v/>
      </c>
      <c r="R37" s="372"/>
      <c r="S37" s="195"/>
      <c r="T37" s="195"/>
      <c r="U37" s="196"/>
      <c r="V37" s="190"/>
      <c r="W37" s="601" t="str">
        <f>IF(ISBLANK(TInventE[[#This Row],[Bouwdeel omschrijving]]),"",VLOOKUP(TInventE[[#This Row],[Bouwdeel omschrijving]],TsblE[],5,FALSE))</f>
        <v/>
      </c>
      <c r="X37" s="373"/>
      <c r="Y37" s="374"/>
      <c r="Z37" s="375"/>
      <c r="AA37" s="200"/>
      <c r="AB37" s="376"/>
      <c r="AC37" s="189"/>
      <c r="AD37" s="189"/>
      <c r="AE37" s="189"/>
      <c r="AF37" s="196" t="s">
        <v>739</v>
      </c>
      <c r="AG37" s="201" t="s">
        <v>739</v>
      </c>
      <c r="AH37" s="604"/>
      <c r="AI37" s="378"/>
      <c r="AJ37" s="378"/>
      <c r="AK37" s="379"/>
      <c r="AL37" s="203"/>
      <c r="AM37" s="169"/>
      <c r="AO37" s="169"/>
      <c r="AQ37" s="169"/>
      <c r="AS37" s="169"/>
      <c r="AX37" s="169"/>
      <c r="BA37" s="169"/>
      <c r="BB37" s="169"/>
    </row>
    <row r="38" spans="1:54" ht="10.5" x14ac:dyDescent="0.25">
      <c r="A38" s="369" t="str">
        <f>IF(ISBLANK(TInventE[[#This Row],[Bouwdeel omschrijving]]),"",CONCATENATE(TInventE[[#This Row],[Code Bouwdeeltype]],"-",TInventE[[#This Row],[Volgnr.]]))</f>
        <v/>
      </c>
      <c r="B38" s="365" t="str">
        <f>IF(ISBLANK(TInventE[[#This Row],[Bouwdeel omschrijving]]),"",VLOOKUP(TInventE[[#This Row],[Bouwdeel omschrijving]],TsblE[],2,FALSE))</f>
        <v/>
      </c>
      <c r="C38" s="366"/>
      <c r="D38" s="190"/>
      <c r="E38" s="365" t="str">
        <f>IF(ISBLANK(TInventE[[#This Row],[Bouwdeel omschrijving]]),"",$B$4)</f>
        <v/>
      </c>
      <c r="F38" s="191"/>
      <c r="G38" s="190"/>
      <c r="H38" s="190"/>
      <c r="I38" s="190"/>
      <c r="J38" s="365" t="str">
        <f>IF(ISBLANK(TInventE[[#This Row],[Bouwdeel omschrijving]]),"",VLOOKUP(TInventE[[#This Row],[Bouwdeel omschrijving]],TsblE[],4,FALSE))</f>
        <v/>
      </c>
      <c r="K38" s="365" t="str">
        <f>IF(ISBLANK(TInventE[[#This Row],[Bouwdeel omschrijving]]),"",VLOOKUP(TInventE[[#This Row],[Bouwdeel omschrijving]],TsblE[],3,FALSE))</f>
        <v/>
      </c>
      <c r="L38" s="382" t="str">
        <f t="shared" si="0"/>
        <v/>
      </c>
      <c r="M38" s="203"/>
      <c r="N38" s="370"/>
      <c r="O38" s="370"/>
      <c r="P38" s="205"/>
      <c r="Q38" s="381" t="str">
        <f>IF(ISBLANK(TInventE[[#This Row],[Technische levensduur 
'[jaren']]]),"",(TInventE[[#This Row],[Datum van constructie of productie
'[jjjj-mm-dd']]]+(TInventE[[#This Row],[Technische levensduur 
'[jaren']]]*365)))</f>
        <v/>
      </c>
      <c r="R38" s="372"/>
      <c r="S38" s="195"/>
      <c r="T38" s="195"/>
      <c r="U38" s="206"/>
      <c r="V38" s="190"/>
      <c r="W38" s="601" t="str">
        <f>IF(ISBLANK(TInventE[[#This Row],[Bouwdeel omschrijving]]),"",VLOOKUP(TInventE[[#This Row],[Bouwdeel omschrijving]],TsblE[],5,FALSE))</f>
        <v/>
      </c>
      <c r="X38" s="373"/>
      <c r="Y38" s="374"/>
      <c r="Z38" s="375"/>
      <c r="AA38" s="200"/>
      <c r="AB38" s="376"/>
      <c r="AC38" s="189"/>
      <c r="AD38" s="189"/>
      <c r="AE38" s="189"/>
      <c r="AF38" s="196" t="s">
        <v>739</v>
      </c>
      <c r="AG38" s="201" t="s">
        <v>739</v>
      </c>
      <c r="AH38" s="604"/>
      <c r="AI38" s="378"/>
      <c r="AJ38" s="378"/>
      <c r="AK38" s="379"/>
      <c r="AL38" s="203"/>
      <c r="AM38" s="169"/>
      <c r="AO38" s="169"/>
      <c r="AQ38" s="169"/>
      <c r="AS38" s="169"/>
      <c r="AX38" s="169"/>
      <c r="BA38" s="169"/>
      <c r="BB38" s="169"/>
    </row>
    <row r="39" spans="1:54" ht="10.5" x14ac:dyDescent="0.25">
      <c r="A39" s="369" t="str">
        <f>IF(ISBLANK(TInventE[[#This Row],[Bouwdeel omschrijving]]),"",CONCATENATE(TInventE[[#This Row],[Code Bouwdeeltype]],"-",TInventE[[#This Row],[Volgnr.]]))</f>
        <v/>
      </c>
      <c r="B39" s="365" t="str">
        <f>IF(ISBLANK(TInventE[[#This Row],[Bouwdeel omschrijving]]),"",VLOOKUP(TInventE[[#This Row],[Bouwdeel omschrijving]],TsblE[],2,FALSE))</f>
        <v/>
      </c>
      <c r="C39" s="366"/>
      <c r="D39" s="190"/>
      <c r="E39" s="365" t="str">
        <f>IF(ISBLANK(TInventE[[#This Row],[Bouwdeel omschrijving]]),"",$B$4)</f>
        <v/>
      </c>
      <c r="F39" s="191"/>
      <c r="G39" s="190"/>
      <c r="H39" s="190"/>
      <c r="I39" s="190"/>
      <c r="J39" s="365" t="str">
        <f>IF(ISBLANK(TInventE[[#This Row],[Bouwdeel omschrijving]]),"",VLOOKUP(TInventE[[#This Row],[Bouwdeel omschrijving]],TsblE[],4,FALSE))</f>
        <v/>
      </c>
      <c r="K39" s="365" t="str">
        <f>IF(ISBLANK(TInventE[[#This Row],[Bouwdeel omschrijving]]),"",VLOOKUP(TInventE[[#This Row],[Bouwdeel omschrijving]],TsblE[],3,FALSE))</f>
        <v/>
      </c>
      <c r="L39" s="382" t="str">
        <f t="shared" si="0"/>
        <v/>
      </c>
      <c r="M39" s="203"/>
      <c r="N39" s="370"/>
      <c r="O39" s="370"/>
      <c r="P39" s="205"/>
      <c r="Q39" s="381" t="str">
        <f>IF(ISBLANK(TInventE[[#This Row],[Technische levensduur 
'[jaren']]]),"",(TInventE[[#This Row],[Datum van constructie of productie
'[jjjj-mm-dd']]]+(TInventE[[#This Row],[Technische levensduur 
'[jaren']]]*365)))</f>
        <v/>
      </c>
      <c r="R39" s="372"/>
      <c r="S39" s="195"/>
      <c r="T39" s="195"/>
      <c r="U39" s="196"/>
      <c r="V39" s="190"/>
      <c r="W39" s="601" t="str">
        <f>IF(ISBLANK(TInventE[[#This Row],[Bouwdeel omschrijving]]),"",VLOOKUP(TInventE[[#This Row],[Bouwdeel omschrijving]],TsblE[],5,FALSE))</f>
        <v/>
      </c>
      <c r="X39" s="373"/>
      <c r="Y39" s="374"/>
      <c r="Z39" s="375"/>
      <c r="AA39" s="200"/>
      <c r="AB39" s="376"/>
      <c r="AC39" s="189"/>
      <c r="AD39" s="189"/>
      <c r="AE39" s="189"/>
      <c r="AF39" s="196" t="s">
        <v>739</v>
      </c>
      <c r="AG39" s="201" t="s">
        <v>739</v>
      </c>
      <c r="AH39" s="604"/>
      <c r="AI39" s="378"/>
      <c r="AJ39" s="378"/>
      <c r="AK39" s="379"/>
      <c r="AL39" s="203"/>
      <c r="AM39" s="169"/>
      <c r="AO39" s="169"/>
      <c r="AQ39" s="169"/>
      <c r="AS39" s="169"/>
      <c r="AX39" s="169"/>
      <c r="BA39" s="169"/>
      <c r="BB39" s="169"/>
    </row>
    <row r="40" spans="1:54" ht="10.5" x14ac:dyDescent="0.25">
      <c r="A40" s="369" t="str">
        <f>IF(ISBLANK(TInventE[[#This Row],[Bouwdeel omschrijving]]),"",CONCATENATE(TInventE[[#This Row],[Code Bouwdeeltype]],"-",TInventE[[#This Row],[Volgnr.]]))</f>
        <v/>
      </c>
      <c r="B40" s="365" t="str">
        <f>IF(ISBLANK(TInventE[[#This Row],[Bouwdeel omschrijving]]),"",VLOOKUP(TInventE[[#This Row],[Bouwdeel omschrijving]],TsblE[],2,FALSE))</f>
        <v/>
      </c>
      <c r="C40" s="366"/>
      <c r="D40" s="190"/>
      <c r="E40" s="365" t="str">
        <f>IF(ISBLANK(TInventE[[#This Row],[Bouwdeel omschrijving]]),"",$B$4)</f>
        <v/>
      </c>
      <c r="F40" s="191"/>
      <c r="G40" s="190"/>
      <c r="H40" s="190"/>
      <c r="I40" s="190"/>
      <c r="J40" s="365" t="str">
        <f>IF(ISBLANK(TInventE[[#This Row],[Bouwdeel omschrijving]]),"",VLOOKUP(TInventE[[#This Row],[Bouwdeel omschrijving]],TsblE[],4,FALSE))</f>
        <v/>
      </c>
      <c r="K40" s="365" t="str">
        <f>IF(ISBLANK(TInventE[[#This Row],[Bouwdeel omschrijving]]),"",VLOOKUP(TInventE[[#This Row],[Bouwdeel omschrijving]],TsblE[],3,FALSE))</f>
        <v/>
      </c>
      <c r="L40" s="382" t="str">
        <f t="shared" si="0"/>
        <v/>
      </c>
      <c r="M40" s="203"/>
      <c r="N40" s="370"/>
      <c r="O40" s="370"/>
      <c r="P40" s="205"/>
      <c r="Q40" s="381" t="str">
        <f>IF(ISBLANK(TInventE[[#This Row],[Technische levensduur 
'[jaren']]]),"",(TInventE[[#This Row],[Datum van constructie of productie
'[jjjj-mm-dd']]]+(TInventE[[#This Row],[Technische levensduur 
'[jaren']]]*365)))</f>
        <v/>
      </c>
      <c r="R40" s="372"/>
      <c r="S40" s="195"/>
      <c r="T40" s="195"/>
      <c r="U40" s="196"/>
      <c r="V40" s="190"/>
      <c r="W40" s="601" t="str">
        <f>IF(ISBLANK(TInventE[[#This Row],[Bouwdeel omschrijving]]),"",VLOOKUP(TInventE[[#This Row],[Bouwdeel omschrijving]],TsblE[],5,FALSE))</f>
        <v/>
      </c>
      <c r="X40" s="373"/>
      <c r="Y40" s="374"/>
      <c r="Z40" s="375"/>
      <c r="AA40" s="200"/>
      <c r="AB40" s="376"/>
      <c r="AC40" s="189"/>
      <c r="AD40" s="189"/>
      <c r="AE40" s="189"/>
      <c r="AF40" s="196" t="s">
        <v>739</v>
      </c>
      <c r="AG40" s="201" t="s">
        <v>739</v>
      </c>
      <c r="AH40" s="604"/>
      <c r="AI40" s="378"/>
      <c r="AJ40" s="378"/>
      <c r="AK40" s="379"/>
      <c r="AL40" s="203"/>
      <c r="AM40" s="169"/>
      <c r="AO40" s="169"/>
      <c r="AQ40" s="169"/>
      <c r="AS40" s="169"/>
      <c r="AX40" s="169"/>
      <c r="BA40" s="169"/>
      <c r="BB40" s="169"/>
    </row>
    <row r="41" spans="1:54" ht="10.5" x14ac:dyDescent="0.25">
      <c r="A41" s="369" t="str">
        <f>IF(ISBLANK(TInventE[[#This Row],[Bouwdeel omschrijving]]),"",CONCATENATE(TInventE[[#This Row],[Code Bouwdeeltype]],"-",TInventE[[#This Row],[Volgnr.]]))</f>
        <v/>
      </c>
      <c r="B41" s="365" t="str">
        <f>IF(ISBLANK(TInventE[[#This Row],[Bouwdeel omschrijving]]),"",VLOOKUP(TInventE[[#This Row],[Bouwdeel omschrijving]],TsblE[],2,FALSE))</f>
        <v/>
      </c>
      <c r="C41" s="366"/>
      <c r="D41" s="190"/>
      <c r="E41" s="365" t="str">
        <f>IF(ISBLANK(TInventE[[#This Row],[Bouwdeel omschrijving]]),"",$B$4)</f>
        <v/>
      </c>
      <c r="F41" s="191"/>
      <c r="G41" s="190"/>
      <c r="H41" s="190"/>
      <c r="I41" s="190"/>
      <c r="J41" s="365" t="str">
        <f>IF(ISBLANK(TInventE[[#This Row],[Bouwdeel omschrijving]]),"",VLOOKUP(TInventE[[#This Row],[Bouwdeel omschrijving]],TsblE[],4,FALSE))</f>
        <v/>
      </c>
      <c r="K41" s="365" t="str">
        <f>IF(ISBLANK(TInventE[[#This Row],[Bouwdeel omschrijving]]),"",VLOOKUP(TInventE[[#This Row],[Bouwdeel omschrijving]],TsblE[],3,FALSE))</f>
        <v/>
      </c>
      <c r="L41" s="382" t="str">
        <f t="shared" si="0"/>
        <v/>
      </c>
      <c r="M41" s="203"/>
      <c r="N41" s="370"/>
      <c r="O41" s="370"/>
      <c r="P41" s="205"/>
      <c r="Q41" s="381" t="str">
        <f>IF(ISBLANK(TInventE[[#This Row],[Technische levensduur 
'[jaren']]]),"",(TInventE[[#This Row],[Datum van constructie of productie
'[jjjj-mm-dd']]]+(TInventE[[#This Row],[Technische levensduur 
'[jaren']]]*365)))</f>
        <v/>
      </c>
      <c r="R41" s="372"/>
      <c r="S41" s="195"/>
      <c r="T41" s="195"/>
      <c r="U41" s="196"/>
      <c r="V41" s="190"/>
      <c r="W41" s="601" t="str">
        <f>IF(ISBLANK(TInventE[[#This Row],[Bouwdeel omschrijving]]),"",VLOOKUP(TInventE[[#This Row],[Bouwdeel omschrijving]],TsblE[],5,FALSE))</f>
        <v/>
      </c>
      <c r="X41" s="373"/>
      <c r="Y41" s="374"/>
      <c r="Z41" s="375"/>
      <c r="AA41" s="200"/>
      <c r="AB41" s="376"/>
      <c r="AC41" s="189"/>
      <c r="AD41" s="189"/>
      <c r="AE41" s="189"/>
      <c r="AF41" s="196" t="s">
        <v>739</v>
      </c>
      <c r="AG41" s="201" t="s">
        <v>739</v>
      </c>
      <c r="AH41" s="604"/>
      <c r="AI41" s="378"/>
      <c r="AJ41" s="378"/>
      <c r="AK41" s="379"/>
      <c r="AL41" s="203"/>
      <c r="AM41" s="169"/>
      <c r="AO41" s="169"/>
      <c r="AQ41" s="169"/>
      <c r="AS41" s="169"/>
      <c r="AX41" s="169"/>
      <c r="BA41" s="169"/>
      <c r="BB41" s="169"/>
    </row>
    <row r="42" spans="1:54" ht="10.5" x14ac:dyDescent="0.25">
      <c r="A42" s="369" t="str">
        <f>IF(ISBLANK(TInventE[[#This Row],[Bouwdeel omschrijving]]),"",CONCATENATE(TInventE[[#This Row],[Code Bouwdeeltype]],"-",TInventE[[#This Row],[Volgnr.]]))</f>
        <v/>
      </c>
      <c r="B42" s="365" t="str">
        <f>IF(ISBLANK(TInventE[[#This Row],[Bouwdeel omschrijving]]),"",VLOOKUP(TInventE[[#This Row],[Bouwdeel omschrijving]],TsblE[],2,FALSE))</f>
        <v/>
      </c>
      <c r="C42" s="366"/>
      <c r="D42" s="190"/>
      <c r="E42" s="365" t="str">
        <f>IF(ISBLANK(TInventE[[#This Row],[Bouwdeel omschrijving]]),"",$B$4)</f>
        <v/>
      </c>
      <c r="F42" s="191"/>
      <c r="G42" s="190"/>
      <c r="H42" s="190"/>
      <c r="I42" s="190"/>
      <c r="J42" s="365" t="str">
        <f>IF(ISBLANK(TInventE[[#This Row],[Bouwdeel omschrijving]]),"",VLOOKUP(TInventE[[#This Row],[Bouwdeel omschrijving]],TsblE[],4,FALSE))</f>
        <v/>
      </c>
      <c r="K42" s="365" t="str">
        <f>IF(ISBLANK(TInventE[[#This Row],[Bouwdeel omschrijving]]),"",VLOOKUP(TInventE[[#This Row],[Bouwdeel omschrijving]],TsblE[],3,FALSE))</f>
        <v/>
      </c>
      <c r="L42" s="382" t="str">
        <f t="shared" si="0"/>
        <v/>
      </c>
      <c r="M42" s="203"/>
      <c r="N42" s="370"/>
      <c r="O42" s="370"/>
      <c r="P42" s="205"/>
      <c r="Q42" s="381" t="str">
        <f>IF(ISBLANK(TInventE[[#This Row],[Technische levensduur 
'[jaren']]]),"",(TInventE[[#This Row],[Datum van constructie of productie
'[jjjj-mm-dd']]]+(TInventE[[#This Row],[Technische levensduur 
'[jaren']]]*365)))</f>
        <v/>
      </c>
      <c r="R42" s="372"/>
      <c r="S42" s="195"/>
      <c r="T42" s="195"/>
      <c r="U42" s="196"/>
      <c r="V42" s="190"/>
      <c r="W42" s="601" t="str">
        <f>IF(ISBLANK(TInventE[[#This Row],[Bouwdeel omschrijving]]),"",VLOOKUP(TInventE[[#This Row],[Bouwdeel omschrijving]],TsblE[],5,FALSE))</f>
        <v/>
      </c>
      <c r="X42" s="373"/>
      <c r="Y42" s="374"/>
      <c r="Z42" s="375"/>
      <c r="AA42" s="200"/>
      <c r="AB42" s="376"/>
      <c r="AC42" s="189"/>
      <c r="AD42" s="189"/>
      <c r="AE42" s="189"/>
      <c r="AF42" s="196" t="s">
        <v>739</v>
      </c>
      <c r="AG42" s="201" t="s">
        <v>739</v>
      </c>
      <c r="AH42" s="604"/>
      <c r="AI42" s="378"/>
      <c r="AJ42" s="378"/>
      <c r="AK42" s="379"/>
      <c r="AL42" s="203"/>
      <c r="AM42" s="169"/>
      <c r="AO42" s="169"/>
      <c r="AQ42" s="169"/>
      <c r="AS42" s="169"/>
      <c r="AX42" s="169"/>
      <c r="BA42" s="169"/>
      <c r="BB42" s="169"/>
    </row>
    <row r="43" spans="1:54" ht="10.5" x14ac:dyDescent="0.25">
      <c r="A43" s="369" t="str">
        <f>IF(ISBLANK(TInventE[[#This Row],[Bouwdeel omschrijving]]),"",CONCATENATE(TInventE[[#This Row],[Code Bouwdeeltype]],"-",TInventE[[#This Row],[Volgnr.]]))</f>
        <v/>
      </c>
      <c r="B43" s="365" t="str">
        <f>IF(ISBLANK(TInventE[[#This Row],[Bouwdeel omschrijving]]),"",VLOOKUP(TInventE[[#This Row],[Bouwdeel omschrijving]],TsblE[],2,FALSE))</f>
        <v/>
      </c>
      <c r="C43" s="366"/>
      <c r="D43" s="190"/>
      <c r="E43" s="365" t="str">
        <f>IF(ISBLANK(TInventE[[#This Row],[Bouwdeel omschrijving]]),"",$B$4)</f>
        <v/>
      </c>
      <c r="F43" s="191"/>
      <c r="G43" s="190"/>
      <c r="H43" s="190"/>
      <c r="I43" s="190"/>
      <c r="J43" s="365" t="str">
        <f>IF(ISBLANK(TInventE[[#This Row],[Bouwdeel omschrijving]]),"",VLOOKUP(TInventE[[#This Row],[Bouwdeel omschrijving]],TsblE[],4,FALSE))</f>
        <v/>
      </c>
      <c r="K43" s="365" t="str">
        <f>IF(ISBLANK(TInventE[[#This Row],[Bouwdeel omschrijving]]),"",VLOOKUP(TInventE[[#This Row],[Bouwdeel omschrijving]],TsblE[],3,FALSE))</f>
        <v/>
      </c>
      <c r="L43" s="382" t="str">
        <f t="shared" si="0"/>
        <v/>
      </c>
      <c r="M43" s="203"/>
      <c r="N43" s="370"/>
      <c r="O43" s="370"/>
      <c r="P43" s="205"/>
      <c r="Q43" s="381" t="str">
        <f>IF(ISBLANK(TInventE[[#This Row],[Technische levensduur 
'[jaren']]]),"",(TInventE[[#This Row],[Datum van constructie of productie
'[jjjj-mm-dd']]]+(TInventE[[#This Row],[Technische levensduur 
'[jaren']]]*365)))</f>
        <v/>
      </c>
      <c r="R43" s="372"/>
      <c r="S43" s="195"/>
      <c r="T43" s="195"/>
      <c r="U43" s="206"/>
      <c r="V43" s="190"/>
      <c r="W43" s="601" t="str">
        <f>IF(ISBLANK(TInventE[[#This Row],[Bouwdeel omschrijving]]),"",VLOOKUP(TInventE[[#This Row],[Bouwdeel omschrijving]],TsblE[],5,FALSE))</f>
        <v/>
      </c>
      <c r="X43" s="373"/>
      <c r="Y43" s="374"/>
      <c r="Z43" s="375"/>
      <c r="AA43" s="200"/>
      <c r="AB43" s="376"/>
      <c r="AC43" s="189"/>
      <c r="AD43" s="189"/>
      <c r="AE43" s="189"/>
      <c r="AF43" s="196" t="s">
        <v>739</v>
      </c>
      <c r="AG43" s="201" t="s">
        <v>739</v>
      </c>
      <c r="AH43" s="604"/>
      <c r="AI43" s="378"/>
      <c r="AJ43" s="378"/>
      <c r="AK43" s="379"/>
      <c r="AL43" s="203"/>
      <c r="AM43" s="169"/>
      <c r="AO43" s="169"/>
      <c r="AQ43" s="169"/>
      <c r="AS43" s="169"/>
      <c r="AX43" s="169"/>
      <c r="BA43" s="169"/>
      <c r="BB43" s="169"/>
    </row>
    <row r="44" spans="1:54" ht="10.5" x14ac:dyDescent="0.25">
      <c r="A44" s="369" t="str">
        <f>IF(ISBLANK(TInventE[[#This Row],[Bouwdeel omschrijving]]),"",CONCATENATE(TInventE[[#This Row],[Code Bouwdeeltype]],"-",TInventE[[#This Row],[Volgnr.]]))</f>
        <v/>
      </c>
      <c r="B44" s="365" t="str">
        <f>IF(ISBLANK(TInventE[[#This Row],[Bouwdeel omschrijving]]),"",VLOOKUP(TInventE[[#This Row],[Bouwdeel omschrijving]],TsblE[],2,FALSE))</f>
        <v/>
      </c>
      <c r="C44" s="366"/>
      <c r="D44" s="190"/>
      <c r="E44" s="365" t="str">
        <f>IF(ISBLANK(TInventE[[#This Row],[Bouwdeel omschrijving]]),"",$B$4)</f>
        <v/>
      </c>
      <c r="F44" s="191"/>
      <c r="G44" s="190"/>
      <c r="H44" s="190"/>
      <c r="I44" s="190"/>
      <c r="J44" s="365" t="str">
        <f>IF(ISBLANK(TInventE[[#This Row],[Bouwdeel omschrijving]]),"",VLOOKUP(TInventE[[#This Row],[Bouwdeel omschrijving]],TsblE[],4,FALSE))</f>
        <v/>
      </c>
      <c r="K44" s="365" t="str">
        <f>IF(ISBLANK(TInventE[[#This Row],[Bouwdeel omschrijving]]),"",VLOOKUP(TInventE[[#This Row],[Bouwdeel omschrijving]],TsblE[],3,FALSE))</f>
        <v/>
      </c>
      <c r="L44" s="382" t="str">
        <f t="shared" si="0"/>
        <v/>
      </c>
      <c r="M44" s="203"/>
      <c r="N44" s="370"/>
      <c r="O44" s="370"/>
      <c r="P44" s="205"/>
      <c r="Q44" s="381" t="str">
        <f>IF(ISBLANK(TInventE[[#This Row],[Technische levensduur 
'[jaren']]]),"",(TInventE[[#This Row],[Datum van constructie of productie
'[jjjj-mm-dd']]]+(TInventE[[#This Row],[Technische levensduur 
'[jaren']]]*365)))</f>
        <v/>
      </c>
      <c r="R44" s="372"/>
      <c r="S44" s="195"/>
      <c r="T44" s="195"/>
      <c r="U44" s="196"/>
      <c r="V44" s="190"/>
      <c r="W44" s="601" t="str">
        <f>IF(ISBLANK(TInventE[[#This Row],[Bouwdeel omschrijving]]),"",VLOOKUP(TInventE[[#This Row],[Bouwdeel omschrijving]],TsblE[],5,FALSE))</f>
        <v/>
      </c>
      <c r="X44" s="373"/>
      <c r="Y44" s="374"/>
      <c r="Z44" s="375"/>
      <c r="AA44" s="200"/>
      <c r="AB44" s="376"/>
      <c r="AC44" s="189"/>
      <c r="AD44" s="189"/>
      <c r="AE44" s="189"/>
      <c r="AF44" s="196" t="s">
        <v>739</v>
      </c>
      <c r="AG44" s="201" t="s">
        <v>739</v>
      </c>
      <c r="AH44" s="604"/>
      <c r="AI44" s="378"/>
      <c r="AJ44" s="378"/>
      <c r="AK44" s="379"/>
      <c r="AL44" s="203"/>
      <c r="AM44" s="169"/>
      <c r="AO44" s="169"/>
      <c r="AQ44" s="169"/>
      <c r="AS44" s="169"/>
      <c r="AX44" s="169"/>
      <c r="BA44" s="169"/>
      <c r="BB44" s="169"/>
    </row>
    <row r="45" spans="1:54" ht="10.5" x14ac:dyDescent="0.25">
      <c r="A45" s="369" t="str">
        <f>IF(ISBLANK(TInventE[[#This Row],[Bouwdeel omschrijving]]),"",CONCATENATE(TInventE[[#This Row],[Code Bouwdeeltype]],"-",TInventE[[#This Row],[Volgnr.]]))</f>
        <v/>
      </c>
      <c r="B45" s="365" t="str">
        <f>IF(ISBLANK(TInventE[[#This Row],[Bouwdeel omschrijving]]),"",VLOOKUP(TInventE[[#This Row],[Bouwdeel omschrijving]],TsblE[],2,FALSE))</f>
        <v/>
      </c>
      <c r="C45" s="366"/>
      <c r="D45" s="190"/>
      <c r="E45" s="365" t="str">
        <f>IF(ISBLANK(TInventE[[#This Row],[Bouwdeel omschrijving]]),"",$B$4)</f>
        <v/>
      </c>
      <c r="F45" s="191"/>
      <c r="G45" s="190"/>
      <c r="H45" s="190"/>
      <c r="I45" s="190"/>
      <c r="J45" s="365" t="str">
        <f>IF(ISBLANK(TInventE[[#This Row],[Bouwdeel omschrijving]]),"",VLOOKUP(TInventE[[#This Row],[Bouwdeel omschrijving]],TsblE[],4,FALSE))</f>
        <v/>
      </c>
      <c r="K45" s="365" t="str">
        <f>IF(ISBLANK(TInventE[[#This Row],[Bouwdeel omschrijving]]),"",VLOOKUP(TInventE[[#This Row],[Bouwdeel omschrijving]],TsblE[],3,FALSE))</f>
        <v/>
      </c>
      <c r="L45" s="382" t="str">
        <f t="shared" si="0"/>
        <v/>
      </c>
      <c r="M45" s="203"/>
      <c r="N45" s="370"/>
      <c r="O45" s="370"/>
      <c r="P45" s="205"/>
      <c r="Q45" s="381" t="str">
        <f>IF(ISBLANK(TInventE[[#This Row],[Technische levensduur 
'[jaren']]]),"",(TInventE[[#This Row],[Datum van constructie of productie
'[jjjj-mm-dd']]]+(TInventE[[#This Row],[Technische levensduur 
'[jaren']]]*365)))</f>
        <v/>
      </c>
      <c r="R45" s="372"/>
      <c r="S45" s="195"/>
      <c r="T45" s="195"/>
      <c r="U45" s="196"/>
      <c r="V45" s="190"/>
      <c r="W45" s="601" t="str">
        <f>IF(ISBLANK(TInventE[[#This Row],[Bouwdeel omschrijving]]),"",VLOOKUP(TInventE[[#This Row],[Bouwdeel omschrijving]],TsblE[],5,FALSE))</f>
        <v/>
      </c>
      <c r="X45" s="373"/>
      <c r="Y45" s="374"/>
      <c r="Z45" s="375"/>
      <c r="AA45" s="200"/>
      <c r="AB45" s="376"/>
      <c r="AC45" s="189"/>
      <c r="AD45" s="189"/>
      <c r="AE45" s="189"/>
      <c r="AF45" s="196" t="s">
        <v>739</v>
      </c>
      <c r="AG45" s="201" t="s">
        <v>739</v>
      </c>
      <c r="AH45" s="604"/>
      <c r="AI45" s="378"/>
      <c r="AJ45" s="378"/>
      <c r="AK45" s="379"/>
      <c r="AL45" s="203"/>
      <c r="AM45" s="169"/>
      <c r="AO45" s="169"/>
      <c r="AQ45" s="169"/>
      <c r="AS45" s="169"/>
      <c r="AX45" s="169"/>
      <c r="BA45" s="169"/>
      <c r="BB45" s="169"/>
    </row>
    <row r="46" spans="1:54" ht="10.5" x14ac:dyDescent="0.25">
      <c r="A46" s="369" t="str">
        <f>IF(ISBLANK(TInventE[[#This Row],[Bouwdeel omschrijving]]),"",CONCATENATE(TInventE[[#This Row],[Code Bouwdeeltype]],"-",TInventE[[#This Row],[Volgnr.]]))</f>
        <v/>
      </c>
      <c r="B46" s="365" t="str">
        <f>IF(ISBLANK(TInventE[[#This Row],[Bouwdeel omschrijving]]),"",VLOOKUP(TInventE[[#This Row],[Bouwdeel omschrijving]],TsblE[],2,FALSE))</f>
        <v/>
      </c>
      <c r="C46" s="366"/>
      <c r="D46" s="190"/>
      <c r="E46" s="365" t="str">
        <f>IF(ISBLANK(TInventE[[#This Row],[Bouwdeel omschrijving]]),"",$B$4)</f>
        <v/>
      </c>
      <c r="F46" s="191"/>
      <c r="G46" s="190"/>
      <c r="H46" s="190"/>
      <c r="I46" s="190"/>
      <c r="J46" s="365" t="str">
        <f>IF(ISBLANK(TInventE[[#This Row],[Bouwdeel omschrijving]]),"",VLOOKUP(TInventE[[#This Row],[Bouwdeel omschrijving]],TsblE[],4,FALSE))</f>
        <v/>
      </c>
      <c r="K46" s="365" t="str">
        <f>IF(ISBLANK(TInventE[[#This Row],[Bouwdeel omschrijving]]),"",VLOOKUP(TInventE[[#This Row],[Bouwdeel omschrijving]],TsblE[],3,FALSE))</f>
        <v/>
      </c>
      <c r="L46" s="369" t="str">
        <f t="shared" si="0"/>
        <v/>
      </c>
      <c r="M46" s="189"/>
      <c r="N46" s="370"/>
      <c r="O46" s="370"/>
      <c r="P46" s="205"/>
      <c r="Q46" s="381" t="str">
        <f>IF(ISBLANK(TInventE[[#This Row],[Technische levensduur 
'[jaren']]]),"",(TInventE[[#This Row],[Datum van constructie of productie
'[jjjj-mm-dd']]]+(TInventE[[#This Row],[Technische levensduur 
'[jaren']]]*365)))</f>
        <v/>
      </c>
      <c r="R46" s="372"/>
      <c r="S46" s="195"/>
      <c r="T46" s="195"/>
      <c r="U46" s="196"/>
      <c r="V46" s="190"/>
      <c r="W46" s="601" t="str">
        <f>IF(ISBLANK(TInventE[[#This Row],[Bouwdeel omschrijving]]),"",VLOOKUP(TInventE[[#This Row],[Bouwdeel omschrijving]],TsblE[],5,FALSE))</f>
        <v/>
      </c>
      <c r="X46" s="373"/>
      <c r="Y46" s="374"/>
      <c r="Z46" s="375"/>
      <c r="AA46" s="200"/>
      <c r="AB46" s="376"/>
      <c r="AC46" s="189"/>
      <c r="AD46" s="189"/>
      <c r="AE46" s="189"/>
      <c r="AF46" s="196" t="s">
        <v>739</v>
      </c>
      <c r="AG46" s="201" t="s">
        <v>739</v>
      </c>
      <c r="AH46" s="604"/>
      <c r="AI46" s="378"/>
      <c r="AJ46" s="378"/>
      <c r="AK46" s="379"/>
      <c r="AL46" s="189"/>
      <c r="AM46" s="169"/>
      <c r="AO46" s="169"/>
      <c r="AQ46" s="169"/>
      <c r="AS46" s="169"/>
      <c r="AX46" s="169"/>
      <c r="BA46" s="169"/>
      <c r="BB46" s="169"/>
    </row>
    <row r="47" spans="1:54" ht="10.5" x14ac:dyDescent="0.25">
      <c r="A47" s="369" t="str">
        <f>IF(ISBLANK(TInventE[[#This Row],[Bouwdeel omschrijving]]),"",CONCATENATE(TInventE[[#This Row],[Code Bouwdeeltype]],"-",TInventE[[#This Row],[Volgnr.]]))</f>
        <v/>
      </c>
      <c r="B47" s="365" t="str">
        <f>IF(ISBLANK(TInventE[[#This Row],[Bouwdeel omschrijving]]),"",VLOOKUP(TInventE[[#This Row],[Bouwdeel omschrijving]],TsblE[],2,FALSE))</f>
        <v/>
      </c>
      <c r="C47" s="366"/>
      <c r="D47" s="190"/>
      <c r="E47" s="365" t="str">
        <f>IF(ISBLANK(TInventE[[#This Row],[Bouwdeel omschrijving]]),"",$B$4)</f>
        <v/>
      </c>
      <c r="F47" s="191"/>
      <c r="G47" s="190"/>
      <c r="H47" s="190"/>
      <c r="I47" s="190"/>
      <c r="J47" s="365" t="str">
        <f>IF(ISBLANK(TInventE[[#This Row],[Bouwdeel omschrijving]]),"",VLOOKUP(TInventE[[#This Row],[Bouwdeel omschrijving]],TsblE[],4,FALSE))</f>
        <v/>
      </c>
      <c r="K47" s="365" t="str">
        <f>IF(ISBLANK(TInventE[[#This Row],[Bouwdeel omschrijving]]),"",VLOOKUP(TInventE[[#This Row],[Bouwdeel omschrijving]],TsblE[],3,FALSE))</f>
        <v/>
      </c>
      <c r="L47" s="369" t="str">
        <f t="shared" si="0"/>
        <v/>
      </c>
      <c r="M47" s="189"/>
      <c r="N47" s="370"/>
      <c r="O47" s="370"/>
      <c r="P47" s="205"/>
      <c r="Q47" s="381" t="str">
        <f>IF(ISBLANK(TInventE[[#This Row],[Technische levensduur 
'[jaren']]]),"",(TInventE[[#This Row],[Datum van constructie of productie
'[jjjj-mm-dd']]]+(TInventE[[#This Row],[Technische levensduur 
'[jaren']]]*365)))</f>
        <v/>
      </c>
      <c r="R47" s="372"/>
      <c r="S47" s="195"/>
      <c r="T47" s="195"/>
      <c r="U47" s="196"/>
      <c r="V47" s="190"/>
      <c r="W47" s="601" t="str">
        <f>IF(ISBLANK(TInventE[[#This Row],[Bouwdeel omschrijving]]),"",VLOOKUP(TInventE[[#This Row],[Bouwdeel omschrijving]],TsblE[],5,FALSE))</f>
        <v/>
      </c>
      <c r="X47" s="373"/>
      <c r="Y47" s="374"/>
      <c r="Z47" s="375"/>
      <c r="AA47" s="200"/>
      <c r="AB47" s="376"/>
      <c r="AC47" s="189"/>
      <c r="AD47" s="189"/>
      <c r="AE47" s="189"/>
      <c r="AF47" s="196" t="s">
        <v>739</v>
      </c>
      <c r="AG47" s="201" t="s">
        <v>739</v>
      </c>
      <c r="AH47" s="604"/>
      <c r="AI47" s="378"/>
      <c r="AJ47" s="378"/>
      <c r="AK47" s="379"/>
      <c r="AL47" s="189"/>
      <c r="AM47" s="169"/>
      <c r="AO47" s="169"/>
      <c r="AQ47" s="169"/>
      <c r="AS47" s="169"/>
      <c r="AX47" s="169"/>
      <c r="BA47" s="169"/>
      <c r="BB47" s="169"/>
    </row>
    <row r="48" spans="1:54" ht="10.5" x14ac:dyDescent="0.25">
      <c r="A48" s="369" t="str">
        <f>IF(ISBLANK(TInventE[[#This Row],[Bouwdeel omschrijving]]),"",CONCATENATE(TInventE[[#This Row],[Code Bouwdeeltype]],"-",TInventE[[#This Row],[Volgnr.]]))</f>
        <v/>
      </c>
      <c r="B48" s="365" t="str">
        <f>IF(ISBLANK(TInventE[[#This Row],[Bouwdeel omschrijving]]),"",VLOOKUP(TInventE[[#This Row],[Bouwdeel omschrijving]],TsblE[],2,FALSE))</f>
        <v/>
      </c>
      <c r="C48" s="366"/>
      <c r="D48" s="190"/>
      <c r="E48" s="365" t="str">
        <f>IF(ISBLANK(TInventE[[#This Row],[Bouwdeel omschrijving]]),"",$B$4)</f>
        <v/>
      </c>
      <c r="F48" s="383"/>
      <c r="G48" s="190"/>
      <c r="H48" s="190"/>
      <c r="I48" s="190"/>
      <c r="J48" s="365" t="str">
        <f>IF(ISBLANK(TInventE[[#This Row],[Bouwdeel omschrijving]]),"",VLOOKUP(TInventE[[#This Row],[Bouwdeel omschrijving]],TsblE[],4,FALSE))</f>
        <v/>
      </c>
      <c r="K48" s="365" t="str">
        <f>IF(ISBLANK(TInventE[[#This Row],[Bouwdeel omschrijving]]),"",VLOOKUP(TInventE[[#This Row],[Bouwdeel omschrijving]],TsblE[],3,FALSE))</f>
        <v/>
      </c>
      <c r="L48" s="369" t="str">
        <f t="shared" si="0"/>
        <v/>
      </c>
      <c r="M48" s="189"/>
      <c r="N48" s="370"/>
      <c r="O48" s="370"/>
      <c r="P48" s="205"/>
      <c r="Q48" s="381" t="str">
        <f>IF(ISBLANK(TInventE[[#This Row],[Technische levensduur 
'[jaren']]]),"",(TInventE[[#This Row],[Datum van constructie of productie
'[jjjj-mm-dd']]]+(TInventE[[#This Row],[Technische levensduur 
'[jaren']]]*365)))</f>
        <v/>
      </c>
      <c r="R48" s="372"/>
      <c r="S48" s="195"/>
      <c r="T48" s="195"/>
      <c r="U48" s="196"/>
      <c r="V48" s="190"/>
      <c r="W48" s="601" t="str">
        <f>IF(ISBLANK(TInventE[[#This Row],[Bouwdeel omschrijving]]),"",VLOOKUP(TInventE[[#This Row],[Bouwdeel omschrijving]],TsblE[],5,FALSE))</f>
        <v/>
      </c>
      <c r="X48" s="373"/>
      <c r="Y48" s="374"/>
      <c r="Z48" s="375"/>
      <c r="AA48" s="200"/>
      <c r="AB48" s="376"/>
      <c r="AC48" s="189"/>
      <c r="AD48" s="189"/>
      <c r="AE48" s="189"/>
      <c r="AF48" s="196" t="s">
        <v>739</v>
      </c>
      <c r="AG48" s="201" t="s">
        <v>739</v>
      </c>
      <c r="AH48" s="604"/>
      <c r="AI48" s="378"/>
      <c r="AJ48" s="378"/>
      <c r="AK48" s="379"/>
      <c r="AL48" s="189"/>
      <c r="AM48" s="169"/>
      <c r="AO48" s="169"/>
      <c r="AQ48" s="169"/>
      <c r="AS48" s="169"/>
      <c r="AX48" s="169"/>
      <c r="BA48" s="169"/>
      <c r="BB48" s="169"/>
    </row>
    <row r="49" spans="1:54" ht="10.5" x14ac:dyDescent="0.25">
      <c r="A49" s="369" t="str">
        <f>IF(ISBLANK(TInventE[[#This Row],[Bouwdeel omschrijving]]),"",CONCATENATE(TInventE[[#This Row],[Code Bouwdeeltype]],"-",TInventE[[#This Row],[Volgnr.]]))</f>
        <v/>
      </c>
      <c r="B49" s="365" t="str">
        <f>IF(ISBLANK(TInventE[[#This Row],[Bouwdeel omschrijving]]),"",VLOOKUP(TInventE[[#This Row],[Bouwdeel omschrijving]],TsblE[],2,FALSE))</f>
        <v/>
      </c>
      <c r="C49" s="366"/>
      <c r="D49" s="190"/>
      <c r="E49" s="365" t="str">
        <f>IF(ISBLANK(TInventE[[#This Row],[Bouwdeel omschrijving]]),"",$B$4)</f>
        <v/>
      </c>
      <c r="F49" s="191"/>
      <c r="G49" s="190"/>
      <c r="H49" s="190"/>
      <c r="I49" s="190"/>
      <c r="J49" s="365" t="str">
        <f>IF(ISBLANK(TInventE[[#This Row],[Bouwdeel omschrijving]]),"",VLOOKUP(TInventE[[#This Row],[Bouwdeel omschrijving]],TsblE[],4,FALSE))</f>
        <v/>
      </c>
      <c r="K49" s="365" t="str">
        <f>IF(ISBLANK(TInventE[[#This Row],[Bouwdeel omschrijving]]),"",VLOOKUP(TInventE[[#This Row],[Bouwdeel omschrijving]],TsblE[],3,FALSE))</f>
        <v/>
      </c>
      <c r="L49" s="369" t="str">
        <f t="shared" si="0"/>
        <v/>
      </c>
      <c r="M49" s="189"/>
      <c r="N49" s="370"/>
      <c r="O49" s="370"/>
      <c r="P49" s="205"/>
      <c r="Q49" s="381" t="str">
        <f>IF(ISBLANK(TInventE[[#This Row],[Technische levensduur 
'[jaren']]]),"",(TInventE[[#This Row],[Datum van constructie of productie
'[jjjj-mm-dd']]]+(TInventE[[#This Row],[Technische levensduur 
'[jaren']]]*365)))</f>
        <v/>
      </c>
      <c r="R49" s="372"/>
      <c r="S49" s="195"/>
      <c r="T49" s="195"/>
      <c r="U49" s="196"/>
      <c r="V49" s="190"/>
      <c r="W49" s="601" t="str">
        <f>IF(ISBLANK(TInventE[[#This Row],[Bouwdeel omschrijving]]),"",VLOOKUP(TInventE[[#This Row],[Bouwdeel omschrijving]],TsblE[],5,FALSE))</f>
        <v/>
      </c>
      <c r="X49" s="373"/>
      <c r="Y49" s="374"/>
      <c r="Z49" s="375"/>
      <c r="AA49" s="200"/>
      <c r="AB49" s="376"/>
      <c r="AC49" s="189"/>
      <c r="AD49" s="189"/>
      <c r="AE49" s="189"/>
      <c r="AF49" s="196" t="s">
        <v>739</v>
      </c>
      <c r="AG49" s="201" t="s">
        <v>739</v>
      </c>
      <c r="AH49" s="604"/>
      <c r="AI49" s="378"/>
      <c r="AJ49" s="378"/>
      <c r="AK49" s="379"/>
      <c r="AL49" s="189"/>
      <c r="AM49" s="169"/>
      <c r="AO49" s="169"/>
      <c r="AQ49" s="169"/>
      <c r="AS49" s="169"/>
      <c r="AX49" s="169"/>
      <c r="BA49" s="169"/>
      <c r="BB49" s="169"/>
    </row>
    <row r="50" spans="1:54" ht="10.5" x14ac:dyDescent="0.25">
      <c r="A50" s="369" t="str">
        <f>IF(ISBLANK(TInventE[[#This Row],[Bouwdeel omschrijving]]),"",CONCATENATE(TInventE[[#This Row],[Code Bouwdeeltype]],"-",TInventE[[#This Row],[Volgnr.]]))</f>
        <v/>
      </c>
      <c r="B50" s="365" t="str">
        <f>IF(ISBLANK(TInventE[[#This Row],[Bouwdeel omschrijving]]),"",VLOOKUP(TInventE[[#This Row],[Bouwdeel omschrijving]],TsblE[],2,FALSE))</f>
        <v/>
      </c>
      <c r="C50" s="366"/>
      <c r="D50" s="190"/>
      <c r="E50" s="365" t="str">
        <f>IF(ISBLANK(TInventE[[#This Row],[Bouwdeel omschrijving]]),"",$B$4)</f>
        <v/>
      </c>
      <c r="F50" s="191"/>
      <c r="G50" s="190"/>
      <c r="H50" s="190"/>
      <c r="I50" s="190"/>
      <c r="J50" s="365" t="str">
        <f>IF(ISBLANK(TInventE[[#This Row],[Bouwdeel omschrijving]]),"",VLOOKUP(TInventE[[#This Row],[Bouwdeel omschrijving]],TsblE[],4,FALSE))</f>
        <v/>
      </c>
      <c r="K50" s="365" t="str">
        <f>IF(ISBLANK(TInventE[[#This Row],[Bouwdeel omschrijving]]),"",VLOOKUP(TInventE[[#This Row],[Bouwdeel omschrijving]],TsblE[],3,FALSE))</f>
        <v/>
      </c>
      <c r="L50" s="369" t="str">
        <f t="shared" si="0"/>
        <v/>
      </c>
      <c r="M50" s="189"/>
      <c r="N50" s="370"/>
      <c r="O50" s="370"/>
      <c r="P50" s="205"/>
      <c r="Q50" s="381" t="str">
        <f>IF(ISBLANK(TInventE[[#This Row],[Technische levensduur 
'[jaren']]]),"",(TInventE[[#This Row],[Datum van constructie of productie
'[jjjj-mm-dd']]]+(TInventE[[#This Row],[Technische levensduur 
'[jaren']]]*365)))</f>
        <v/>
      </c>
      <c r="R50" s="372"/>
      <c r="S50" s="195"/>
      <c r="T50" s="195"/>
      <c r="U50" s="196"/>
      <c r="V50" s="190"/>
      <c r="W50" s="601" t="str">
        <f>IF(ISBLANK(TInventE[[#This Row],[Bouwdeel omschrijving]]),"",VLOOKUP(TInventE[[#This Row],[Bouwdeel omschrijving]],TsblE[],5,FALSE))</f>
        <v/>
      </c>
      <c r="X50" s="373"/>
      <c r="Y50" s="374"/>
      <c r="Z50" s="375"/>
      <c r="AA50" s="200"/>
      <c r="AB50" s="376"/>
      <c r="AC50" s="189"/>
      <c r="AD50" s="189"/>
      <c r="AE50" s="189"/>
      <c r="AF50" s="196" t="s">
        <v>739</v>
      </c>
      <c r="AG50" s="201" t="s">
        <v>739</v>
      </c>
      <c r="AH50" s="604"/>
      <c r="AI50" s="378"/>
      <c r="AJ50" s="378"/>
      <c r="AK50" s="379"/>
      <c r="AL50" s="189"/>
      <c r="AM50" s="169"/>
      <c r="AO50" s="169"/>
      <c r="AQ50" s="169"/>
      <c r="AS50" s="169"/>
      <c r="AX50" s="169"/>
      <c r="BA50" s="169"/>
      <c r="BB50" s="169"/>
    </row>
    <row r="51" spans="1:54" ht="10.5" x14ac:dyDescent="0.25">
      <c r="A51" s="369" t="str">
        <f>IF(ISBLANK(TInventE[[#This Row],[Bouwdeel omschrijving]]),"",CONCATENATE(TInventE[[#This Row],[Code Bouwdeeltype]],"-",TInventE[[#This Row],[Volgnr.]]))</f>
        <v/>
      </c>
      <c r="B51" s="365" t="str">
        <f>IF(ISBLANK(TInventE[[#This Row],[Bouwdeel omschrijving]]),"",VLOOKUP(TInventE[[#This Row],[Bouwdeel omschrijving]],TsblE[],2,FALSE))</f>
        <v/>
      </c>
      <c r="C51" s="366"/>
      <c r="D51" s="190"/>
      <c r="E51" s="365" t="str">
        <f>IF(ISBLANK(TInventE[[#This Row],[Bouwdeel omschrijving]]),"",$B$4)</f>
        <v/>
      </c>
      <c r="F51" s="191"/>
      <c r="G51" s="190"/>
      <c r="H51" s="190"/>
      <c r="I51" s="190"/>
      <c r="J51" s="365" t="str">
        <f>IF(ISBLANK(TInventE[[#This Row],[Bouwdeel omschrijving]]),"",VLOOKUP(TInventE[[#This Row],[Bouwdeel omschrijving]],TsblE[],4,FALSE))</f>
        <v/>
      </c>
      <c r="K51" s="365" t="str">
        <f>IF(ISBLANK(TInventE[[#This Row],[Bouwdeel omschrijving]]),"",VLOOKUP(TInventE[[#This Row],[Bouwdeel omschrijving]],TsblE[],3,FALSE))</f>
        <v/>
      </c>
      <c r="L51" s="369" t="str">
        <f t="shared" si="0"/>
        <v/>
      </c>
      <c r="M51" s="189"/>
      <c r="N51" s="370"/>
      <c r="O51" s="370"/>
      <c r="P51" s="205"/>
      <c r="Q51" s="381" t="str">
        <f>IF(ISBLANK(TInventE[[#This Row],[Technische levensduur 
'[jaren']]]),"",(TInventE[[#This Row],[Datum van constructie of productie
'[jjjj-mm-dd']]]+(TInventE[[#This Row],[Technische levensduur 
'[jaren']]]*365)))</f>
        <v/>
      </c>
      <c r="R51" s="372"/>
      <c r="S51" s="195"/>
      <c r="T51" s="195"/>
      <c r="U51" s="196"/>
      <c r="V51" s="190"/>
      <c r="W51" s="601" t="str">
        <f>IF(ISBLANK(TInventE[[#This Row],[Bouwdeel omschrijving]]),"",VLOOKUP(TInventE[[#This Row],[Bouwdeel omschrijving]],TsblE[],5,FALSE))</f>
        <v/>
      </c>
      <c r="X51" s="373"/>
      <c r="Y51" s="374"/>
      <c r="Z51" s="375"/>
      <c r="AA51" s="200"/>
      <c r="AB51" s="376"/>
      <c r="AC51" s="189"/>
      <c r="AD51" s="189"/>
      <c r="AE51" s="189"/>
      <c r="AF51" s="196" t="s">
        <v>739</v>
      </c>
      <c r="AG51" s="201" t="s">
        <v>739</v>
      </c>
      <c r="AH51" s="604"/>
      <c r="AI51" s="378"/>
      <c r="AJ51" s="378"/>
      <c r="AK51" s="379"/>
      <c r="AL51" s="189"/>
      <c r="AM51" s="169"/>
      <c r="AO51" s="169"/>
      <c r="AQ51" s="169"/>
      <c r="AS51" s="169"/>
      <c r="AX51" s="169"/>
      <c r="BA51" s="169"/>
      <c r="BB51" s="169"/>
    </row>
    <row r="52" spans="1:54" ht="10.5" x14ac:dyDescent="0.25">
      <c r="A52" s="369" t="str">
        <f>IF(ISBLANK(TInventE[[#This Row],[Bouwdeel omschrijving]]),"",CONCATENATE(TInventE[[#This Row],[Code Bouwdeeltype]],"-",TInventE[[#This Row],[Volgnr.]]))</f>
        <v/>
      </c>
      <c r="B52" s="365" t="str">
        <f>IF(ISBLANK(TInventE[[#This Row],[Bouwdeel omschrijving]]),"",VLOOKUP(TInventE[[#This Row],[Bouwdeel omschrijving]],TsblE[],2,FALSE))</f>
        <v/>
      </c>
      <c r="C52" s="366"/>
      <c r="D52" s="190"/>
      <c r="E52" s="365" t="str">
        <f>IF(ISBLANK(TInventE[[#This Row],[Bouwdeel omschrijving]]),"",$B$4)</f>
        <v/>
      </c>
      <c r="F52" s="191"/>
      <c r="G52" s="190"/>
      <c r="H52" s="190"/>
      <c r="I52" s="190"/>
      <c r="J52" s="365" t="str">
        <f>IF(ISBLANK(TInventE[[#This Row],[Bouwdeel omschrijving]]),"",VLOOKUP(TInventE[[#This Row],[Bouwdeel omschrijving]],TsblE[],4,FALSE))</f>
        <v/>
      </c>
      <c r="K52" s="365" t="str">
        <f>IF(ISBLANK(TInventE[[#This Row],[Bouwdeel omschrijving]]),"",VLOOKUP(TInventE[[#This Row],[Bouwdeel omschrijving]],TsblE[],3,FALSE))</f>
        <v/>
      </c>
      <c r="L52" s="369" t="str">
        <f t="shared" si="0"/>
        <v/>
      </c>
      <c r="M52" s="189"/>
      <c r="N52" s="370"/>
      <c r="O52" s="370"/>
      <c r="P52" s="205"/>
      <c r="Q52" s="381" t="str">
        <f>IF(ISBLANK(TInventE[[#This Row],[Technische levensduur 
'[jaren']]]),"",(TInventE[[#This Row],[Datum van constructie of productie
'[jjjj-mm-dd']]]+(TInventE[[#This Row],[Technische levensduur 
'[jaren']]]*365)))</f>
        <v/>
      </c>
      <c r="R52" s="372"/>
      <c r="S52" s="195"/>
      <c r="T52" s="195"/>
      <c r="U52" s="196"/>
      <c r="V52" s="190"/>
      <c r="W52" s="601" t="str">
        <f>IF(ISBLANK(TInventE[[#This Row],[Bouwdeel omschrijving]]),"",VLOOKUP(TInventE[[#This Row],[Bouwdeel omschrijving]],TsblE[],5,FALSE))</f>
        <v/>
      </c>
      <c r="X52" s="373"/>
      <c r="Y52" s="374"/>
      <c r="Z52" s="375"/>
      <c r="AA52" s="200"/>
      <c r="AB52" s="376"/>
      <c r="AC52" s="189"/>
      <c r="AD52" s="189"/>
      <c r="AE52" s="189"/>
      <c r="AF52" s="196" t="s">
        <v>739</v>
      </c>
      <c r="AG52" s="201" t="s">
        <v>739</v>
      </c>
      <c r="AH52" s="604"/>
      <c r="AI52" s="378"/>
      <c r="AJ52" s="378"/>
      <c r="AK52" s="379"/>
      <c r="AL52" s="189"/>
      <c r="AM52" s="169"/>
      <c r="AO52" s="169"/>
      <c r="AQ52" s="169"/>
      <c r="AS52" s="169"/>
      <c r="AX52" s="169"/>
      <c r="BA52" s="169"/>
      <c r="BB52" s="169"/>
    </row>
    <row r="53" spans="1:54" ht="10.5" x14ac:dyDescent="0.25">
      <c r="A53" s="369" t="str">
        <f>IF(ISBLANK(TInventE[[#This Row],[Bouwdeel omschrijving]]),"",CONCATENATE(TInventE[[#This Row],[Code Bouwdeeltype]],"-",TInventE[[#This Row],[Volgnr.]]))</f>
        <v/>
      </c>
      <c r="B53" s="365" t="str">
        <f>IF(ISBLANK(TInventE[[#This Row],[Bouwdeel omschrijving]]),"",VLOOKUP(TInventE[[#This Row],[Bouwdeel omschrijving]],TsblE[],2,FALSE))</f>
        <v/>
      </c>
      <c r="C53" s="366"/>
      <c r="D53" s="190"/>
      <c r="E53" s="365" t="str">
        <f>IF(ISBLANK(TInventE[[#This Row],[Bouwdeel omschrijving]]),"",$B$4)</f>
        <v/>
      </c>
      <c r="F53" s="191"/>
      <c r="G53" s="190"/>
      <c r="H53" s="190"/>
      <c r="I53" s="190"/>
      <c r="J53" s="365" t="str">
        <f>IF(ISBLANK(TInventE[[#This Row],[Bouwdeel omschrijving]]),"",VLOOKUP(TInventE[[#This Row],[Bouwdeel omschrijving]],TsblE[],4,FALSE))</f>
        <v/>
      </c>
      <c r="K53" s="365" t="str">
        <f>IF(ISBLANK(TInventE[[#This Row],[Bouwdeel omschrijving]]),"",VLOOKUP(TInventE[[#This Row],[Bouwdeel omschrijving]],TsblE[],3,FALSE))</f>
        <v/>
      </c>
      <c r="L53" s="369" t="str">
        <f t="shared" si="0"/>
        <v/>
      </c>
      <c r="M53" s="189"/>
      <c r="N53" s="370"/>
      <c r="O53" s="370"/>
      <c r="P53" s="205"/>
      <c r="Q53" s="381" t="str">
        <f>IF(ISBLANK(TInventE[[#This Row],[Technische levensduur 
'[jaren']]]),"",(TInventE[[#This Row],[Datum van constructie of productie
'[jjjj-mm-dd']]]+(TInventE[[#This Row],[Technische levensduur 
'[jaren']]]*365)))</f>
        <v/>
      </c>
      <c r="R53" s="372"/>
      <c r="S53" s="195"/>
      <c r="T53" s="195"/>
      <c r="U53" s="196"/>
      <c r="V53" s="190"/>
      <c r="W53" s="601" t="str">
        <f>IF(ISBLANK(TInventE[[#This Row],[Bouwdeel omschrijving]]),"",VLOOKUP(TInventE[[#This Row],[Bouwdeel omschrijving]],TsblE[],5,FALSE))</f>
        <v/>
      </c>
      <c r="X53" s="373"/>
      <c r="Y53" s="374"/>
      <c r="Z53" s="375"/>
      <c r="AA53" s="200"/>
      <c r="AB53" s="376"/>
      <c r="AC53" s="189"/>
      <c r="AD53" s="189"/>
      <c r="AE53" s="189"/>
      <c r="AF53" s="196" t="s">
        <v>739</v>
      </c>
      <c r="AG53" s="201" t="s">
        <v>739</v>
      </c>
      <c r="AH53" s="604"/>
      <c r="AI53" s="378"/>
      <c r="AJ53" s="378"/>
      <c r="AK53" s="379"/>
      <c r="AL53" s="189"/>
      <c r="AM53" s="169"/>
      <c r="AO53" s="169"/>
      <c r="AQ53" s="169"/>
      <c r="AS53" s="169"/>
      <c r="AX53" s="169"/>
      <c r="BA53" s="169"/>
      <c r="BB53" s="169"/>
    </row>
    <row r="54" spans="1:54" ht="10.5" x14ac:dyDescent="0.25">
      <c r="A54" s="369" t="str">
        <f>IF(ISBLANK(TInventE[[#This Row],[Bouwdeel omschrijving]]),"",CONCATENATE(TInventE[[#This Row],[Code Bouwdeeltype]],"-",TInventE[[#This Row],[Volgnr.]]))</f>
        <v/>
      </c>
      <c r="B54" s="365" t="str">
        <f>IF(ISBLANK(TInventE[[#This Row],[Bouwdeel omschrijving]]),"",VLOOKUP(TInventE[[#This Row],[Bouwdeel omschrijving]],TsblE[],2,FALSE))</f>
        <v/>
      </c>
      <c r="C54" s="366"/>
      <c r="D54" s="190"/>
      <c r="E54" s="365" t="str">
        <f>IF(ISBLANK(TInventE[[#This Row],[Bouwdeel omschrijving]]),"",$B$4)</f>
        <v/>
      </c>
      <c r="F54" s="191"/>
      <c r="G54" s="190"/>
      <c r="H54" s="190"/>
      <c r="I54" s="190"/>
      <c r="J54" s="365" t="str">
        <f>IF(ISBLANK(TInventE[[#This Row],[Bouwdeel omschrijving]]),"",VLOOKUP(TInventE[[#This Row],[Bouwdeel omschrijving]],TsblE[],4,FALSE))</f>
        <v/>
      </c>
      <c r="K54" s="365" t="str">
        <f>IF(ISBLANK(TInventE[[#This Row],[Bouwdeel omschrijving]]),"",VLOOKUP(TInventE[[#This Row],[Bouwdeel omschrijving]],TsblE[],3,FALSE))</f>
        <v/>
      </c>
      <c r="L54" s="369" t="str">
        <f t="shared" si="0"/>
        <v/>
      </c>
      <c r="M54" s="189"/>
      <c r="N54" s="370"/>
      <c r="O54" s="370"/>
      <c r="P54" s="205"/>
      <c r="Q54" s="381" t="str">
        <f>IF(ISBLANK(TInventE[[#This Row],[Technische levensduur 
'[jaren']]]),"",(TInventE[[#This Row],[Datum van constructie of productie
'[jjjj-mm-dd']]]+(TInventE[[#This Row],[Technische levensduur 
'[jaren']]]*365)))</f>
        <v/>
      </c>
      <c r="R54" s="372"/>
      <c r="S54" s="195"/>
      <c r="T54" s="195"/>
      <c r="U54" s="196"/>
      <c r="V54" s="190"/>
      <c r="W54" s="601" t="str">
        <f>IF(ISBLANK(TInventE[[#This Row],[Bouwdeel omschrijving]]),"",VLOOKUP(TInventE[[#This Row],[Bouwdeel omschrijving]],TsblE[],5,FALSE))</f>
        <v/>
      </c>
      <c r="X54" s="373"/>
      <c r="Y54" s="374"/>
      <c r="Z54" s="375"/>
      <c r="AA54" s="200"/>
      <c r="AB54" s="376"/>
      <c r="AC54" s="189"/>
      <c r="AD54" s="189"/>
      <c r="AE54" s="189"/>
      <c r="AF54" s="196" t="s">
        <v>739</v>
      </c>
      <c r="AG54" s="201" t="s">
        <v>739</v>
      </c>
      <c r="AH54" s="604"/>
      <c r="AI54" s="378"/>
      <c r="AJ54" s="378"/>
      <c r="AK54" s="379"/>
      <c r="AL54" s="189"/>
      <c r="AM54" s="169"/>
      <c r="AO54" s="169"/>
      <c r="AQ54" s="169"/>
      <c r="AS54" s="169"/>
      <c r="AX54" s="169"/>
      <c r="BA54" s="169"/>
      <c r="BB54" s="169"/>
    </row>
    <row r="55" spans="1:54" ht="10.5" x14ac:dyDescent="0.25">
      <c r="A55" s="369" t="str">
        <f>IF(ISBLANK(TInventE[[#This Row],[Bouwdeel omschrijving]]),"",CONCATENATE(TInventE[[#This Row],[Code Bouwdeeltype]],"-",TInventE[[#This Row],[Volgnr.]]))</f>
        <v/>
      </c>
      <c r="B55" s="365" t="str">
        <f>IF(ISBLANK(TInventE[[#This Row],[Bouwdeel omschrijving]]),"",VLOOKUP(TInventE[[#This Row],[Bouwdeel omschrijving]],TsblE[],2,FALSE))</f>
        <v/>
      </c>
      <c r="C55" s="366"/>
      <c r="D55" s="190"/>
      <c r="E55" s="365" t="str">
        <f>IF(ISBLANK(TInventE[[#This Row],[Bouwdeel omschrijving]]),"",$B$4)</f>
        <v/>
      </c>
      <c r="F55" s="191"/>
      <c r="G55" s="190"/>
      <c r="H55" s="190"/>
      <c r="I55" s="190"/>
      <c r="J55" s="365" t="str">
        <f>IF(ISBLANK(TInventE[[#This Row],[Bouwdeel omschrijving]]),"",VLOOKUP(TInventE[[#This Row],[Bouwdeel omschrijving]],TsblE[],4,FALSE))</f>
        <v/>
      </c>
      <c r="K55" s="365" t="str">
        <f>IF(ISBLANK(TInventE[[#This Row],[Bouwdeel omschrijving]]),"",VLOOKUP(TInventE[[#This Row],[Bouwdeel omschrijving]],TsblE[],3,FALSE))</f>
        <v/>
      </c>
      <c r="L55" s="369" t="str">
        <f t="shared" si="0"/>
        <v/>
      </c>
      <c r="M55" s="189"/>
      <c r="N55" s="370"/>
      <c r="O55" s="370"/>
      <c r="P55" s="205"/>
      <c r="Q55" s="381" t="str">
        <f>IF(ISBLANK(TInventE[[#This Row],[Technische levensduur 
'[jaren']]]),"",(TInventE[[#This Row],[Datum van constructie of productie
'[jjjj-mm-dd']]]+(TInventE[[#This Row],[Technische levensduur 
'[jaren']]]*365)))</f>
        <v/>
      </c>
      <c r="R55" s="372"/>
      <c r="S55" s="195"/>
      <c r="T55" s="195"/>
      <c r="U55" s="196"/>
      <c r="V55" s="190"/>
      <c r="W55" s="601" t="str">
        <f>IF(ISBLANK(TInventE[[#This Row],[Bouwdeel omschrijving]]),"",VLOOKUP(TInventE[[#This Row],[Bouwdeel omschrijving]],TsblE[],5,FALSE))</f>
        <v/>
      </c>
      <c r="X55" s="373"/>
      <c r="Y55" s="374"/>
      <c r="Z55" s="375"/>
      <c r="AA55" s="200"/>
      <c r="AB55" s="376"/>
      <c r="AC55" s="189"/>
      <c r="AD55" s="189"/>
      <c r="AE55" s="189"/>
      <c r="AF55" s="196" t="s">
        <v>739</v>
      </c>
      <c r="AG55" s="201" t="s">
        <v>739</v>
      </c>
      <c r="AH55" s="604"/>
      <c r="AI55" s="378"/>
      <c r="AJ55" s="378"/>
      <c r="AK55" s="379"/>
      <c r="AL55" s="203"/>
      <c r="AM55" s="169"/>
      <c r="AO55" s="169"/>
      <c r="AQ55" s="169"/>
      <c r="AS55" s="169"/>
      <c r="AX55" s="169"/>
      <c r="BA55" s="169"/>
      <c r="BB55" s="169"/>
    </row>
    <row r="56" spans="1:54" ht="10.5" x14ac:dyDescent="0.25">
      <c r="A56" s="369" t="str">
        <f>IF(ISBLANK(TInventE[[#This Row],[Bouwdeel omschrijving]]),"",CONCATENATE(TInventE[[#This Row],[Code Bouwdeeltype]],"-",TInventE[[#This Row],[Volgnr.]]))</f>
        <v/>
      </c>
      <c r="B56" s="384" t="str">
        <f>IF(ISBLANK(TInventE[[#This Row],[Bouwdeel omschrijving]]),"",VLOOKUP(TInventE[[#This Row],[Bouwdeel omschrijving]],TsblE[],2,FALSE))</f>
        <v/>
      </c>
      <c r="C56" s="366"/>
      <c r="D56" s="385"/>
      <c r="E56" s="384" t="str">
        <f>IF(ISBLANK(TInventE[[#This Row],[Bouwdeel omschrijving]]),"",$B$4)</f>
        <v/>
      </c>
      <c r="F56" s="386"/>
      <c r="G56" s="385"/>
      <c r="H56" s="385"/>
      <c r="I56" s="385"/>
      <c r="J56" s="384" t="str">
        <f>IF(ISBLANK(TInventE[[#This Row],[Bouwdeel omschrijving]]),"",VLOOKUP(TInventE[[#This Row],[Bouwdeel omschrijving]],TsblE[],4,FALSE))</f>
        <v/>
      </c>
      <c r="K56" s="384" t="str">
        <f>IF(ISBLANK(TInventE[[#This Row],[Bouwdeel omschrijving]]),"",VLOOKUP(TInventE[[#This Row],[Bouwdeel omschrijving]],TsblE[],3,FALSE))</f>
        <v/>
      </c>
      <c r="L56" s="387" t="str">
        <f t="shared" si="0"/>
        <v/>
      </c>
      <c r="M56" s="388"/>
      <c r="N56" s="370"/>
      <c r="O56" s="370"/>
      <c r="P56" s="389"/>
      <c r="Q56" s="390" t="str">
        <f>IF(ISBLANK(TInventE[[#This Row],[Technische levensduur 
'[jaren']]]),"",(TInventE[[#This Row],[Datum van constructie of productie
'[jjjj-mm-dd']]]+(TInventE[[#This Row],[Technische levensduur 
'[jaren']]]*365)))</f>
        <v/>
      </c>
      <c r="R56" s="372"/>
      <c r="S56" s="195"/>
      <c r="T56" s="195"/>
      <c r="U56" s="391"/>
      <c r="V56" s="385"/>
      <c r="W56" s="601" t="str">
        <f>IF(ISBLANK(TInventE[[#This Row],[Bouwdeel omschrijving]]),"",VLOOKUP(TInventE[[#This Row],[Bouwdeel omschrijving]],TsblE[],5,FALSE))</f>
        <v/>
      </c>
      <c r="X56" s="373"/>
      <c r="Y56" s="374"/>
      <c r="Z56" s="375"/>
      <c r="AA56" s="200"/>
      <c r="AB56" s="376"/>
      <c r="AC56" s="388"/>
      <c r="AD56" s="388"/>
      <c r="AE56" s="388"/>
      <c r="AF56" s="196" t="s">
        <v>739</v>
      </c>
      <c r="AG56" s="201" t="s">
        <v>739</v>
      </c>
      <c r="AH56" s="604"/>
      <c r="AI56" s="378"/>
      <c r="AJ56" s="378"/>
      <c r="AK56" s="379"/>
      <c r="AL56" s="393"/>
      <c r="AM56" s="169"/>
      <c r="AO56" s="169"/>
      <c r="AQ56" s="169"/>
      <c r="AS56" s="169"/>
      <c r="AX56" s="169"/>
      <c r="BA56" s="169"/>
      <c r="BB56" s="169"/>
    </row>
    <row r="57" spans="1:54" ht="10.5" x14ac:dyDescent="0.25">
      <c r="A57" s="369" t="str">
        <f>IF(ISBLANK(TInventE[[#This Row],[Bouwdeel omschrijving]]),"",CONCATENATE(TInventE[[#This Row],[Code Bouwdeeltype]],"-",TInventE[[#This Row],[Volgnr.]]))</f>
        <v/>
      </c>
      <c r="B57" s="365" t="str">
        <f>IF(ISBLANK(TInventE[[#This Row],[Bouwdeel omschrijving]]),"",VLOOKUP(TInventE[[#This Row],[Bouwdeel omschrijving]],TsblE[],2,FALSE))</f>
        <v/>
      </c>
      <c r="C57" s="366"/>
      <c r="D57" s="190"/>
      <c r="E57" s="365" t="str">
        <f>IF(ISBLANK(TInventE[[#This Row],[Bouwdeel omschrijving]]),"",$B$4)</f>
        <v/>
      </c>
      <c r="F57" s="191"/>
      <c r="G57" s="190"/>
      <c r="H57" s="190"/>
      <c r="I57" s="190"/>
      <c r="J57" s="365" t="str">
        <f>IF(ISBLANK(TInventE[[#This Row],[Bouwdeel omschrijving]]),"",VLOOKUP(TInventE[[#This Row],[Bouwdeel omschrijving]],TsblE[],4,FALSE))</f>
        <v/>
      </c>
      <c r="K57" s="365" t="str">
        <f>IF(ISBLANK(TInventE[[#This Row],[Bouwdeel omschrijving]]),"",VLOOKUP(TInventE[[#This Row],[Bouwdeel omschrijving]],TsblE[],3,FALSE))</f>
        <v/>
      </c>
      <c r="L57" s="369" t="str">
        <f t="shared" si="0"/>
        <v/>
      </c>
      <c r="M57" s="189"/>
      <c r="N57" s="370"/>
      <c r="O57" s="370"/>
      <c r="P57" s="205"/>
      <c r="Q57" s="381" t="str">
        <f>IF(ISBLANK(TInventE[[#This Row],[Technische levensduur 
'[jaren']]]),"",(TInventE[[#This Row],[Datum van constructie of productie
'[jjjj-mm-dd']]]+(TInventE[[#This Row],[Technische levensduur 
'[jaren']]]*365)))</f>
        <v/>
      </c>
      <c r="R57" s="372"/>
      <c r="S57" s="195"/>
      <c r="T57" s="195"/>
      <c r="U57" s="196"/>
      <c r="V57" s="190"/>
      <c r="W57" s="601" t="str">
        <f>IF(ISBLANK(TInventE[[#This Row],[Bouwdeel omschrijving]]),"",VLOOKUP(TInventE[[#This Row],[Bouwdeel omschrijving]],TsblE[],5,FALSE))</f>
        <v/>
      </c>
      <c r="X57" s="373"/>
      <c r="Y57" s="374"/>
      <c r="Z57" s="375"/>
      <c r="AA57" s="200"/>
      <c r="AB57" s="376"/>
      <c r="AC57" s="189"/>
      <c r="AD57" s="189"/>
      <c r="AE57" s="189"/>
      <c r="AF57" s="196" t="s">
        <v>739</v>
      </c>
      <c r="AG57" s="201" t="s">
        <v>739</v>
      </c>
      <c r="AH57" s="604"/>
      <c r="AI57" s="378"/>
      <c r="AJ57" s="378"/>
      <c r="AK57" s="379"/>
      <c r="AL57" s="203"/>
      <c r="AM57" s="169"/>
      <c r="AO57" s="169"/>
      <c r="AQ57" s="169"/>
      <c r="AS57" s="169"/>
      <c r="AX57" s="169"/>
      <c r="BA57" s="169"/>
      <c r="BB57" s="169"/>
    </row>
    <row r="58" spans="1:54" ht="10.5" x14ac:dyDescent="0.25">
      <c r="A58" s="369" t="str">
        <f>IF(ISBLANK(TInventE[[#This Row],[Bouwdeel omschrijving]]),"",CONCATENATE(TInventE[[#This Row],[Code Bouwdeeltype]],"-",TInventE[[#This Row],[Volgnr.]]))</f>
        <v/>
      </c>
      <c r="B58" s="365" t="str">
        <f>IF(ISBLANK(TInventE[[#This Row],[Bouwdeel omschrijving]]),"",VLOOKUP(TInventE[[#This Row],[Bouwdeel omschrijving]],TsblE[],2,FALSE))</f>
        <v/>
      </c>
      <c r="C58" s="366"/>
      <c r="D58" s="190"/>
      <c r="E58" s="365" t="str">
        <f>IF(ISBLANK(TInventE[[#This Row],[Bouwdeel omschrijving]]),"",$B$4)</f>
        <v/>
      </c>
      <c r="F58" s="383"/>
      <c r="G58" s="190"/>
      <c r="H58" s="190"/>
      <c r="I58" s="190"/>
      <c r="J58" s="365" t="str">
        <f>IF(ISBLANK(TInventE[[#This Row],[Bouwdeel omschrijving]]),"",VLOOKUP(TInventE[[#This Row],[Bouwdeel omschrijving]],TsblE[],4,FALSE))</f>
        <v/>
      </c>
      <c r="K58" s="365" t="str">
        <f>IF(ISBLANK(TInventE[[#This Row],[Bouwdeel omschrijving]]),"",VLOOKUP(TInventE[[#This Row],[Bouwdeel omschrijving]],TsblE[],3,FALSE))</f>
        <v/>
      </c>
      <c r="L58" s="394" t="str">
        <f t="shared" si="0"/>
        <v/>
      </c>
      <c r="M58" s="395"/>
      <c r="N58" s="370"/>
      <c r="O58" s="370"/>
      <c r="P58" s="205"/>
      <c r="Q58" s="381" t="str">
        <f>IF(ISBLANK(TInventE[[#This Row],[Technische levensduur 
'[jaren']]]),"",(TInventE[[#This Row],[Datum van constructie of productie
'[jjjj-mm-dd']]]+(TInventE[[#This Row],[Technische levensduur 
'[jaren']]]*365)))</f>
        <v/>
      </c>
      <c r="R58" s="372"/>
      <c r="S58" s="195"/>
      <c r="T58" s="195"/>
      <c r="U58" s="190"/>
      <c r="V58" s="190"/>
      <c r="W58" s="601" t="str">
        <f>IF(ISBLANK(TInventE[[#This Row],[Bouwdeel omschrijving]]),"",VLOOKUP(TInventE[[#This Row],[Bouwdeel omschrijving]],TsblE[],5,FALSE))</f>
        <v/>
      </c>
      <c r="X58" s="373"/>
      <c r="Y58" s="374"/>
      <c r="Z58" s="375"/>
      <c r="AA58" s="200"/>
      <c r="AB58" s="376"/>
      <c r="AC58" s="395"/>
      <c r="AD58" s="395"/>
      <c r="AE58" s="395"/>
      <c r="AF58" s="196" t="s">
        <v>739</v>
      </c>
      <c r="AG58" s="201" t="s">
        <v>739</v>
      </c>
      <c r="AH58" s="604"/>
      <c r="AI58" s="378"/>
      <c r="AJ58" s="378"/>
      <c r="AK58" s="379"/>
      <c r="AL58" s="203"/>
      <c r="AM58" s="169"/>
      <c r="AO58" s="169"/>
      <c r="AQ58" s="169"/>
      <c r="AS58" s="169"/>
      <c r="AX58" s="169"/>
      <c r="BA58" s="169"/>
      <c r="BB58" s="169"/>
    </row>
    <row r="59" spans="1:54" ht="11.25" thickBot="1" x14ac:dyDescent="0.3">
      <c r="A59" s="387" t="str">
        <f>IF(ISBLANK(TInventE[[#This Row],[Bouwdeel omschrijving]]),"",CONCATENATE(TInventE[[#This Row],[Code Bouwdeeltype]],"-",TInventE[[#This Row],[Volgnr.]]))</f>
        <v/>
      </c>
      <c r="B59" s="365" t="str">
        <f>IF(ISBLANK(TInventE[[#This Row],[Bouwdeel omschrijving]]),"",VLOOKUP(TInventE[[#This Row],[Bouwdeel omschrijving]],TsblE[],2,FALSE))</f>
        <v/>
      </c>
      <c r="C59" s="366"/>
      <c r="D59" s="190"/>
      <c r="E59" s="365" t="str">
        <f>IF(ISBLANK(TInventE[[#This Row],[Bouwdeel omschrijving]]),"",$B$4)</f>
        <v/>
      </c>
      <c r="F59" s="191"/>
      <c r="G59" s="190"/>
      <c r="H59" s="190"/>
      <c r="I59" s="190"/>
      <c r="J59" s="365" t="str">
        <f>IF(ISBLANK(TInventE[[#This Row],[Bouwdeel omschrijving]]),"",VLOOKUP(TInventE[[#This Row],[Bouwdeel omschrijving]],TsblE[],4,FALSE))</f>
        <v/>
      </c>
      <c r="K59" s="365" t="str">
        <f>IF(ISBLANK(TInventE[[#This Row],[Bouwdeel omschrijving]]),"",VLOOKUP(TInventE[[#This Row],[Bouwdeel omschrijving]],TsblE[],3,FALSE))</f>
        <v/>
      </c>
      <c r="L59" s="369" t="str">
        <f t="shared" si="0"/>
        <v/>
      </c>
      <c r="M59" s="189"/>
      <c r="N59" s="370"/>
      <c r="O59" s="370"/>
      <c r="P59" s="205"/>
      <c r="Q59" s="381" t="str">
        <f>IF(ISBLANK(TInventE[[#This Row],[Technische levensduur 
'[jaren']]]),"",(TInventE[[#This Row],[Datum van constructie of productie
'[jjjj-mm-dd']]]+(TInventE[[#This Row],[Technische levensduur 
'[jaren']]]*365)))</f>
        <v/>
      </c>
      <c r="R59" s="372"/>
      <c r="S59" s="195"/>
      <c r="T59" s="195"/>
      <c r="U59" s="196"/>
      <c r="V59" s="190"/>
      <c r="W59" s="601" t="str">
        <f>IF(ISBLANK(TInventE[[#This Row],[Bouwdeel omschrijving]]),"",VLOOKUP(TInventE[[#This Row],[Bouwdeel omschrijving]],TsblE[],5,FALSE))</f>
        <v/>
      </c>
      <c r="X59" s="373"/>
      <c r="Y59" s="374"/>
      <c r="Z59" s="375"/>
      <c r="AA59" s="200"/>
      <c r="AB59" s="376"/>
      <c r="AC59" s="189"/>
      <c r="AD59" s="189"/>
      <c r="AE59" s="189"/>
      <c r="AF59" s="196" t="s">
        <v>739</v>
      </c>
      <c r="AG59" s="201" t="s">
        <v>739</v>
      </c>
      <c r="AH59" s="605"/>
      <c r="AI59" s="378"/>
      <c r="AJ59" s="378"/>
      <c r="AK59" s="379"/>
      <c r="AL59" s="203"/>
      <c r="AM59" s="169"/>
      <c r="AO59" s="169"/>
      <c r="AQ59" s="169"/>
      <c r="AS59" s="169"/>
      <c r="AX59" s="169"/>
      <c r="BA59" s="169"/>
      <c r="BB59" s="169"/>
    </row>
  </sheetData>
  <mergeCells count="4">
    <mergeCell ref="C4:F4"/>
    <mergeCell ref="S4:W4"/>
    <mergeCell ref="X5:AA5"/>
    <mergeCell ref="AH5:AK5"/>
  </mergeCells>
  <dataValidations count="1">
    <dataValidation type="list" allowBlank="1" showInputMessage="1" showErrorMessage="1" sqref="S2 AH2:AJ2" xr:uid="{C8925B72-410D-4803-B7EC-80D2449B234F}">
      <formula1>"Concept,Definitief"</formula1>
    </dataValidation>
  </dataValidations>
  <pageMargins left="0.7" right="0.7" top="0.75" bottom="0.75" header="0.3" footer="0.3"/>
  <legacyDrawing r:id="rId1"/>
  <tableParts count="1">
    <tablePart r:id="rId2"/>
  </tableParts>
  <extLst>
    <ext xmlns:x14="http://schemas.microsoft.com/office/spreadsheetml/2009/9/main" uri="{CCE6A557-97BC-4b89-ADB6-D9C93CAAB3DF}">
      <x14:dataValidations xmlns:xm="http://schemas.microsoft.com/office/excel/2006/main" count="9">
        <x14:dataValidation type="list" allowBlank="1" showInputMessage="1" showErrorMessage="1" xr:uid="{07BA425D-F6E7-4147-B909-0BCF2FD8D424}">
          <x14:formula1>
            <xm:f>'Menu''s'!$H$287:$H$289</xm:f>
          </x14:formula1>
          <xm:sqref>AI8:AI59</xm:sqref>
        </x14:dataValidation>
        <x14:dataValidation type="list" allowBlank="1" showInputMessage="1" showErrorMessage="1" xr:uid="{576495E6-200F-4AED-B9C2-CA8AE38A7C6F}">
          <x14:formula1>
            <xm:f>'Menu''s'!$H$298:$H$300</xm:f>
          </x14:formula1>
          <xm:sqref>AK8:AK59</xm:sqref>
        </x14:dataValidation>
        <x14:dataValidation type="list" allowBlank="1" showInputMessage="1" showErrorMessage="1" xr:uid="{59AB16FF-5BA5-45FE-81B3-104BA3AFD6FF}">
          <x14:formula1>
            <xm:f>'Menu''s'!$H$292:$H$295</xm:f>
          </x14:formula1>
          <xm:sqref>AJ8:AJ59</xm:sqref>
        </x14:dataValidation>
        <x14:dataValidation type="list" allowBlank="1" showInputMessage="1" showErrorMessage="1" xr:uid="{B6EB6BEA-1003-43B6-9543-49553CF987D1}">
          <x14:formula1>
            <xm:f>'Menu''s'!$H$282:$H$284</xm:f>
          </x14:formula1>
          <xm:sqref>AH8:AH59</xm:sqref>
        </x14:dataValidation>
        <x14:dataValidation type="list" allowBlank="1" showInputMessage="1" showErrorMessage="1" xr:uid="{05C8BD89-1501-492D-8946-B3E3ED58FC04}">
          <x14:formula1>
            <xm:f>'Menu''s'!$H$260:$H$264</xm:f>
          </x14:formula1>
          <xm:sqref>AB8:AB59</xm:sqref>
        </x14:dataValidation>
        <x14:dataValidation type="list" allowBlank="1" showInputMessage="1" showErrorMessage="1" xr:uid="{E1B5DCCE-412F-4A9B-88BF-08007EBA0C92}">
          <x14:formula1>
            <xm:f>'Menu''s'!$H$275:$H$279</xm:f>
          </x14:formula1>
          <xm:sqref>Z8:Z59</xm:sqref>
        </x14:dataValidation>
        <x14:dataValidation type="list" allowBlank="1" showInputMessage="1" showErrorMessage="1" xr:uid="{29D3C4E1-FD39-4DD7-9FFE-8E9AB4F0F86E}">
          <x14:formula1>
            <xm:f>'Menu''s'!$H$271:$H$272</xm:f>
          </x14:formula1>
          <xm:sqref>Y8:Y59</xm:sqref>
        </x14:dataValidation>
        <x14:dataValidation type="list" allowBlank="1" showInputMessage="1" showErrorMessage="1" xr:uid="{8FC2E238-5299-4626-B0A5-5C756A9F1E41}">
          <x14:formula1>
            <xm:f>'Menu''s'!$H$267:$H$268</xm:f>
          </x14:formula1>
          <xm:sqref>X8:X59</xm:sqref>
        </x14:dataValidation>
        <x14:dataValidation type="list" allowBlank="1" showInputMessage="1" showErrorMessage="1" xr:uid="{E773E006-391B-49A1-B2BB-C1F2B5162C56}">
          <x14:formula1>
            <xm:f>'SBL-2024'!$B$23:$B$25</xm:f>
          </x14:formula1>
          <xm:sqref>C8:C59</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960FB-0277-41EC-8CF5-DAFBE4C0A4CE}">
  <sheetPr>
    <tabColor rgb="FFFFFF00"/>
  </sheetPr>
  <dimension ref="A1:AF195"/>
  <sheetViews>
    <sheetView zoomScaleNormal="100" workbookViewId="0">
      <pane xSplit="5" topLeftCell="S1" activePane="topRight" state="frozen"/>
      <selection activeCell="A4" sqref="A4"/>
      <selection pane="topRight" activeCell="V3" sqref="V3"/>
    </sheetView>
  </sheetViews>
  <sheetFormatPr defaultColWidth="8.85546875" defaultRowHeight="15" x14ac:dyDescent="0.25"/>
  <cols>
    <col min="1" max="1" width="15.140625" style="169" customWidth="1"/>
    <col min="2" max="2" width="14.140625" style="169" customWidth="1"/>
    <col min="3" max="3" width="8.5703125" style="169" bestFit="1" customWidth="1"/>
    <col min="4" max="4" width="34.5703125" style="169" customWidth="1"/>
    <col min="5" max="5" width="7.5703125" style="169" customWidth="1"/>
    <col min="6" max="6" width="8.5703125" style="169" customWidth="1"/>
    <col min="7" max="7" width="13.85546875" style="169" customWidth="1"/>
    <col min="8" max="8" width="17.42578125" style="169" customWidth="1"/>
    <col min="9" max="9" width="10.5703125" style="169" customWidth="1"/>
    <col min="10" max="10" width="12" style="169" customWidth="1"/>
    <col min="11" max="11" width="9.140625" style="169" customWidth="1"/>
    <col min="12" max="12" width="11.140625" style="216" bestFit="1" customWidth="1"/>
    <col min="13" max="13" width="14.42578125" style="169" customWidth="1"/>
    <col min="14" max="14" width="7.5703125" style="216" hidden="1" customWidth="1"/>
    <col min="15" max="15" width="19.5703125" style="170" customWidth="1"/>
    <col min="16" max="17" width="22.42578125" style="217" customWidth="1"/>
    <col min="18" max="18" width="22.42578125" style="217" hidden="1" customWidth="1"/>
    <col min="19" max="19" width="38.42578125" style="170" customWidth="1"/>
    <col min="20" max="20" width="12.42578125" style="170" bestFit="1" customWidth="1"/>
    <col min="21" max="23" width="35.5703125" style="170" customWidth="1"/>
    <col min="24" max="24" width="25.5703125" style="170" customWidth="1"/>
    <col min="25" max="25" width="9.140625" style="169" customWidth="1"/>
    <col min="26" max="26" width="8.5703125" style="169" bestFit="1" customWidth="1"/>
    <col min="27" max="27" width="12.42578125" style="172" bestFit="1" customWidth="1"/>
    <col min="28" max="28" width="8.85546875" hidden="1" customWidth="1"/>
    <col min="29" max="31" width="8.85546875" style="169" hidden="1" customWidth="1"/>
    <col min="32" max="32" width="11" style="169" hidden="1" customWidth="1"/>
    <col min="33" max="33" width="10.42578125" style="169" customWidth="1"/>
    <col min="34" max="16384" width="8.85546875" style="169"/>
  </cols>
  <sheetData>
    <row r="1" spans="1:32" ht="29.25" x14ac:dyDescent="0.2">
      <c r="A1" s="168" t="s">
        <v>1051</v>
      </c>
      <c r="J1" s="396"/>
      <c r="K1" s="397" t="s">
        <v>741</v>
      </c>
      <c r="L1" s="398"/>
      <c r="M1" s="397"/>
      <c r="N1" s="398"/>
      <c r="AB1" s="169"/>
    </row>
    <row r="2" spans="1:32" ht="10.5" x14ac:dyDescent="0.25">
      <c r="A2" s="399" t="s">
        <v>728</v>
      </c>
      <c r="B2" s="169" t="s">
        <v>742</v>
      </c>
      <c r="I2" s="170"/>
      <c r="J2" s="170"/>
      <c r="K2" s="170"/>
      <c r="L2" s="170"/>
      <c r="M2" s="170"/>
      <c r="N2" s="400"/>
      <c r="AB2" s="399"/>
      <c r="AC2" s="399"/>
    </row>
    <row r="3" spans="1:32" x14ac:dyDescent="0.25">
      <c r="A3" s="399" t="s">
        <v>743</v>
      </c>
      <c r="B3" s="169" t="s">
        <v>744</v>
      </c>
      <c r="J3" s="403" t="s">
        <v>380</v>
      </c>
      <c r="K3" s="530">
        <f>Advies!B34</f>
        <v>3</v>
      </c>
      <c r="L3" s="402"/>
      <c r="M3" s="170"/>
      <c r="N3" s="400"/>
      <c r="AB3" s="399"/>
      <c r="AC3" s="399"/>
    </row>
    <row r="4" spans="1:32" x14ac:dyDescent="0.25">
      <c r="A4" s="399" t="s">
        <v>737</v>
      </c>
      <c r="B4" s="169" t="s">
        <v>745</v>
      </c>
      <c r="J4" s="528" t="s">
        <v>381</v>
      </c>
      <c r="K4" s="529">
        <f>Advies!B34</f>
        <v>3</v>
      </c>
      <c r="L4" s="402"/>
      <c r="M4" s="170"/>
      <c r="N4" s="400"/>
      <c r="AB4" s="399"/>
      <c r="AC4" s="399"/>
    </row>
    <row r="5" spans="1:32" x14ac:dyDescent="0.25">
      <c r="A5" s="399" t="s">
        <v>746</v>
      </c>
      <c r="B5" s="404">
        <f>'Inventarisatie E'!N1</f>
        <v>46260</v>
      </c>
      <c r="J5" s="403" t="s">
        <v>382</v>
      </c>
      <c r="K5" s="526">
        <f>Advies!B34</f>
        <v>3</v>
      </c>
      <c r="L5" s="402"/>
      <c r="M5" s="170"/>
      <c r="N5" s="405"/>
      <c r="AB5" s="399"/>
      <c r="AC5" s="399"/>
    </row>
    <row r="6" spans="1:32" x14ac:dyDescent="0.25">
      <c r="A6" s="399" t="s">
        <v>747</v>
      </c>
      <c r="B6" s="406" t="s">
        <v>381</v>
      </c>
      <c r="C6" s="406"/>
      <c r="D6" s="406"/>
      <c r="J6" s="403" t="s">
        <v>383</v>
      </c>
      <c r="K6" s="526">
        <f>Advies!B34</f>
        <v>3</v>
      </c>
      <c r="L6" s="402"/>
      <c r="M6" s="170"/>
      <c r="N6" s="400"/>
      <c r="AB6" s="399"/>
      <c r="AC6" s="399"/>
    </row>
    <row r="7" spans="1:32" x14ac:dyDescent="0.25">
      <c r="J7" s="403" t="s">
        <v>164</v>
      </c>
      <c r="K7" s="526">
        <f>Advies!B34</f>
        <v>3</v>
      </c>
      <c r="L7" s="402"/>
      <c r="M7" s="170"/>
      <c r="N7" s="400"/>
      <c r="AB7" s="399"/>
      <c r="AC7" s="399"/>
    </row>
    <row r="8" spans="1:32" ht="10.5" x14ac:dyDescent="0.25">
      <c r="A8" s="357" t="s">
        <v>737</v>
      </c>
      <c r="B8" s="356" t="s">
        <v>736</v>
      </c>
      <c r="C8" s="356" t="s">
        <v>736</v>
      </c>
      <c r="D8" s="356" t="s">
        <v>736</v>
      </c>
      <c r="E8" s="169" t="s">
        <v>738</v>
      </c>
      <c r="F8" s="357" t="s">
        <v>737</v>
      </c>
      <c r="G8" s="356" t="s">
        <v>736</v>
      </c>
      <c r="H8" s="356" t="s">
        <v>736</v>
      </c>
      <c r="I8" s="356" t="s">
        <v>736</v>
      </c>
      <c r="J8" s="169" t="s">
        <v>738</v>
      </c>
      <c r="K8" s="356" t="s">
        <v>736</v>
      </c>
      <c r="L8" s="400" t="s">
        <v>738</v>
      </c>
      <c r="M8" s="356" t="s">
        <v>736</v>
      </c>
      <c r="N8" s="407" t="s">
        <v>738</v>
      </c>
      <c r="O8" s="170" t="s">
        <v>738</v>
      </c>
      <c r="P8" s="170" t="s">
        <v>738</v>
      </c>
      <c r="Q8" s="357" t="s">
        <v>737</v>
      </c>
      <c r="R8" s="495" t="s">
        <v>736</v>
      </c>
      <c r="S8" s="170" t="s">
        <v>738</v>
      </c>
      <c r="T8" s="357" t="s">
        <v>737</v>
      </c>
      <c r="U8" s="170" t="s">
        <v>738</v>
      </c>
      <c r="V8" s="170" t="s">
        <v>738</v>
      </c>
      <c r="W8" s="357" t="s">
        <v>737</v>
      </c>
      <c r="X8" s="357" t="s">
        <v>737</v>
      </c>
      <c r="Y8" s="169" t="s">
        <v>738</v>
      </c>
      <c r="Z8" s="169" t="s">
        <v>738</v>
      </c>
      <c r="AA8" s="356" t="s">
        <v>736</v>
      </c>
      <c r="AB8" s="356" t="s">
        <v>736</v>
      </c>
      <c r="AC8" s="356" t="s">
        <v>736</v>
      </c>
      <c r="AD8" s="356" t="s">
        <v>736</v>
      </c>
      <c r="AE8" s="356" t="s">
        <v>736</v>
      </c>
      <c r="AF8" s="356" t="s">
        <v>736</v>
      </c>
    </row>
    <row r="9" spans="1:32" ht="41.1" customHeight="1" x14ac:dyDescent="0.25">
      <c r="A9" s="208" t="s">
        <v>572</v>
      </c>
      <c r="B9" s="208" t="s">
        <v>573</v>
      </c>
      <c r="C9" s="209" t="s">
        <v>609</v>
      </c>
      <c r="D9" s="209" t="s">
        <v>610</v>
      </c>
      <c r="E9" s="210" t="s">
        <v>611</v>
      </c>
      <c r="F9" s="209" t="s">
        <v>612</v>
      </c>
      <c r="G9" s="209" t="s">
        <v>613</v>
      </c>
      <c r="H9" s="209" t="s">
        <v>614</v>
      </c>
      <c r="I9" s="209" t="s">
        <v>615</v>
      </c>
      <c r="J9" s="209" t="s">
        <v>591</v>
      </c>
      <c r="K9" s="211" t="s">
        <v>616</v>
      </c>
      <c r="L9" s="212" t="s">
        <v>617</v>
      </c>
      <c r="M9" s="213" t="s">
        <v>618</v>
      </c>
      <c r="N9" s="214" t="s">
        <v>619</v>
      </c>
      <c r="O9" s="209" t="s">
        <v>620</v>
      </c>
      <c r="P9" s="208" t="s">
        <v>621</v>
      </c>
      <c r="Q9" s="213" t="s">
        <v>1370</v>
      </c>
      <c r="R9" s="213" t="s">
        <v>1149</v>
      </c>
      <c r="S9" s="209" t="s">
        <v>622</v>
      </c>
      <c r="T9" s="209" t="s">
        <v>398</v>
      </c>
      <c r="U9" s="209" t="s">
        <v>623</v>
      </c>
      <c r="V9" s="209" t="s">
        <v>624</v>
      </c>
      <c r="W9" s="209" t="s">
        <v>1152</v>
      </c>
      <c r="X9" s="209" t="s">
        <v>748</v>
      </c>
      <c r="Y9" s="209" t="s">
        <v>626</v>
      </c>
      <c r="Z9" s="209" t="s">
        <v>355</v>
      </c>
      <c r="AA9" s="215" t="s">
        <v>627</v>
      </c>
      <c r="AB9" s="408" t="s">
        <v>749</v>
      </c>
      <c r="AC9" s="184" t="s">
        <v>750</v>
      </c>
      <c r="AD9" s="409" t="s">
        <v>751</v>
      </c>
      <c r="AE9" s="409" t="s">
        <v>752</v>
      </c>
      <c r="AF9" s="409" t="s">
        <v>753</v>
      </c>
    </row>
    <row r="10" spans="1:32" ht="63" x14ac:dyDescent="0.25">
      <c r="A10" s="337" t="str" cm="1">
        <f t="array" ref="A10">IFERROR(INDEX(TInventE[UVID],ROUNDDOWN((ROW(A1)+1)/2,0)),"")</f>
        <v>634010-1</v>
      </c>
      <c r="B10" s="410">
        <f>IF(TInspectieE[[#This Row],[UVID]]="","",VLOOKUP(TInspectieE[[#This Row],[UVID]],TInventE[],2,FALSE))</f>
        <v>634010</v>
      </c>
      <c r="C10" s="365" t="str">
        <f>IF(TInspectieE[[#This Row],[UVID]]="","",VLOOKUP(TInspectieE[[#This Row],[UVID]],TInventE[],11,FALSE))</f>
        <v>E</v>
      </c>
      <c r="D10" s="411" t="str">
        <f>IF(TInspectieE[[#This Row],[UVID]]="","",VLOOKUP(TInspectieE[[#This Row],[UVID]],TInventE[],3,FALSE))</f>
        <v>Noodverlichting centraal/decentraal</v>
      </c>
      <c r="E10" s="839" t="str">
        <f>IF(TInspectieE[[#This Row],[Omschrijving bouwdeel]]="","",IF(ISEVEN(ROW()),"O","E"))</f>
        <v>O</v>
      </c>
      <c r="F10" s="840" t="s">
        <v>830</v>
      </c>
      <c r="G10" s="413" t="str">
        <f>IF(ISBLANK(TInspectieE[[#This Row],[Soort gebrek]]),"",VLOOKUP(TInspectieE[[#This Row],[Soort gebrek]],TSoortGebrek[#Data],3,FALSE))</f>
        <v>Theoretisch</v>
      </c>
      <c r="H10" s="413" t="str">
        <f>IF(ISBLANK(TInspectieE[[#This Row],[Soort gebrek]]),"",VLOOKUP(TInspectieE[[#This Row],[Soort gebrek]],TSoortGebrek[#Data],2,FALSE))</f>
        <v>Verval &lt; 50%</v>
      </c>
      <c r="I10" s="413" t="str">
        <f>IF(TInspectieE[[#This Row],[Soort gebrek]]=0,"",VLOOKUP(TInspectieE[[#This Row],[Soort gebrek]],TSoortGebrek[],4,FALSE))</f>
        <v>Begin</v>
      </c>
      <c r="J10" s="842">
        <v>1</v>
      </c>
      <c r="K10" s="415">
        <f>IF(TInspectieE[[#This Row],[Soort gebrek]]=0,"",VLOOKUP(TInspectieE[[#This Row],[Combi]],TPrio[#Data],2,FALSE))</f>
        <v>9</v>
      </c>
      <c r="L10" s="843">
        <v>1</v>
      </c>
      <c r="M10" s="416" t="str">
        <f>IF(ISBLANK(TInspectieE[[#This Row],[Gebrek nr.]]),"",TInspectieE[[#This Row],[UVID]]&amp;"-"&amp;TInspectieE[[#This Row],[Gebrek nr.]])</f>
        <v>634010-1-1</v>
      </c>
      <c r="N10" s="417"/>
      <c r="O10" s="844" t="s">
        <v>1452</v>
      </c>
      <c r="P10" s="813" t="s">
        <v>1427</v>
      </c>
      <c r="Q10" s="819" t="s">
        <v>836</v>
      </c>
      <c r="R10" s="819" t="str">
        <f>IF(OR(TInspectieE[[#This Row],[Duurzaamheid bijdrage]]="Voldoet niet aan DZH-lijn",TInspectieE[[#This Row],[Duurzaamheid bijdrage]]="Voldoet niet aan vigerende W&amp;R"),"Voldoet niet","Voldoet")</f>
        <v>Voldoet</v>
      </c>
      <c r="S10" s="830" t="s">
        <v>1435</v>
      </c>
      <c r="T10" s="830" t="s">
        <v>776</v>
      </c>
      <c r="U10" s="830" t="s">
        <v>1437</v>
      </c>
      <c r="V10" s="830" t="s">
        <v>1439</v>
      </c>
      <c r="W10" s="830" t="s">
        <v>1147</v>
      </c>
      <c r="X10" s="830" t="s">
        <v>890</v>
      </c>
      <c r="Y10" s="845">
        <v>337</v>
      </c>
      <c r="Z10" s="846">
        <v>8</v>
      </c>
      <c r="AA10" s="421">
        <f>IF(ISBLANK(TInspectieE[[#This Row],[Aantal]]),"",ROUND(TInspectieE[[#This Row],[Kengetal]]*TInspectieE[[#This Row],[Aantal]],-1))</f>
        <v>2700</v>
      </c>
      <c r="AB10" s="422">
        <f>IF(TInspectieE[[#This Row],[Vak-groep]]="","1",VLOOKUP(C10,$J$2:$K$7,2,FALSE))</f>
        <v>3</v>
      </c>
      <c r="AC10" s="423" t="str">
        <f>CONCATENATE(TInspectieE[[#This Row],[Soort gebrek]],TInspectieE[[#This Row],[Trede]])</f>
        <v>T-03</v>
      </c>
      <c r="AD10" s="413" t="e">
        <v>#N/A</v>
      </c>
      <c r="AE10" s="413" t="e">
        <v>#N/A</v>
      </c>
      <c r="AF10" s="424">
        <v>0</v>
      </c>
    </row>
    <row r="11" spans="1:32" ht="63" x14ac:dyDescent="0.25">
      <c r="A11" s="337" t="str" cm="1">
        <f t="array" ref="A11">IFERROR(INDEX(TInventE[UVID],ROUNDDOWN((ROW(A2)+1)/2,0)),"")</f>
        <v>634010-1</v>
      </c>
      <c r="B11" s="410">
        <f>IF(TInspectieE[[#This Row],[UVID]]="","",VLOOKUP(TInspectieE[[#This Row],[UVID]],TInventE[],2,FALSE))</f>
        <v>634010</v>
      </c>
      <c r="C11" s="365" t="str">
        <f>IF(TInspectieE[[#This Row],[UVID]]="","",VLOOKUP(TInspectieE[[#This Row],[UVID]],TInventE[],11,FALSE))</f>
        <v>E</v>
      </c>
      <c r="D11" s="411" t="str">
        <f>IF(TInspectieE[[#This Row],[UVID]]="","",VLOOKUP(TInspectieE[[#This Row],[UVID]],TInventE[],3,FALSE))</f>
        <v>Noodverlichting centraal/decentraal</v>
      </c>
      <c r="E11" s="839" t="str">
        <f>IF(TInspectieE[[#This Row],[Omschrijving bouwdeel]]="","",IF(ISEVEN(ROW()),"O","E"))</f>
        <v>E</v>
      </c>
      <c r="F11" s="840" t="s">
        <v>832</v>
      </c>
      <c r="G11" s="413" t="str">
        <f>IF(ISBLANK(TInspectieE[[#This Row],[Soort gebrek]]),"",VLOOKUP(TInspectieE[[#This Row],[Soort gebrek]],TSoortGebrek[#Data],3,FALSE))</f>
        <v>Geen</v>
      </c>
      <c r="H11" s="413" t="str">
        <f>IF(ISBLANK(TInspectieE[[#This Row],[Soort gebrek]]),"",VLOOKUP(TInspectieE[[#This Row],[Soort gebrek]],TSoortGebrek[#Data],2,FALSE))</f>
        <v>Geen gebrek</v>
      </c>
      <c r="I11" s="413" t="str">
        <f>IF(TInspectieE[[#This Row],[Soort gebrek]]=0,"",VLOOKUP(TInspectieE[[#This Row],[Soort gebrek]],TSoortGebrek[],4,FALSE))</f>
        <v>Eind</v>
      </c>
      <c r="J11" s="842">
        <v>1</v>
      </c>
      <c r="K11" s="415">
        <f>IF(TInspectieE[[#This Row],[Soort gebrek]]=0,"",VLOOKUP(TInspectieE[[#This Row],[Combi]],TPrio[#Data],2,FALSE))</f>
        <v>0</v>
      </c>
      <c r="L11" s="843">
        <v>2</v>
      </c>
      <c r="M11" s="416" t="str">
        <f>IF(ISBLANK(TInspectieE[[#This Row],[Gebrek nr.]]),"",TInspectieE[[#This Row],[UVID]]&amp;"-"&amp;TInspectieE[[#This Row],[Gebrek nr.]])</f>
        <v>634010-1-2</v>
      </c>
      <c r="N11" s="417"/>
      <c r="O11" s="844" t="s">
        <v>1452</v>
      </c>
      <c r="P11" s="813" t="s">
        <v>1427</v>
      </c>
      <c r="Q11" s="819" t="s">
        <v>836</v>
      </c>
      <c r="R11" s="819" t="str">
        <f>IF(OR(TInspectieE[[#This Row],[Duurzaamheid bijdrage]]="Voldoet niet aan DZH-lijn",TInspectieE[[#This Row],[Duurzaamheid bijdrage]]="Voldoet niet aan vigerende W&amp;R"),"Voldoet niet","Voldoet")</f>
        <v>Voldoet</v>
      </c>
      <c r="S11" s="830" t="s">
        <v>1436</v>
      </c>
      <c r="T11" s="830" t="s">
        <v>113</v>
      </c>
      <c r="U11" s="830" t="s">
        <v>1438</v>
      </c>
      <c r="V11" s="830" t="s">
        <v>628</v>
      </c>
      <c r="W11" s="830"/>
      <c r="X11" s="830" t="s">
        <v>358</v>
      </c>
      <c r="Y11" s="845"/>
      <c r="Z11" s="846"/>
      <c r="AA11" s="421" t="str">
        <f>IF(ISBLANK(TInspectieE[[#This Row],[Aantal]]),"",ROUND(TInspectieE[[#This Row],[Kengetal]]*TInspectieE[[#This Row],[Aantal]],-1))</f>
        <v/>
      </c>
      <c r="AB11" s="422">
        <f>IF(TInspectieE[[#This Row],[Vak-groep]]="","1",VLOOKUP(C11,$J$2:$K$7,2,FALSE))</f>
        <v>3</v>
      </c>
      <c r="AC11" s="423" t="str">
        <f>CONCATENATE(TInspectieE[[#This Row],[Soort gebrek]],TInspectieE[[#This Row],[Trede]])</f>
        <v>GG3</v>
      </c>
      <c r="AD11" s="413" t="e">
        <v>#N/A</v>
      </c>
      <c r="AE11" s="413" t="e">
        <v>#N/A</v>
      </c>
      <c r="AF11" s="424">
        <v>0</v>
      </c>
    </row>
    <row r="12" spans="1:32" ht="90" customHeight="1" x14ac:dyDescent="0.25">
      <c r="A12" s="337" t="str" cm="1">
        <f t="array" ref="A12">IFERROR(INDEX(TInventE[UVID],ROUNDDOWN((ROW(A3)+1)/2,0)),"")</f>
        <v>632010-1</v>
      </c>
      <c r="B12" s="410">
        <f>IF(TInspectieE[[#This Row],[UVID]]="","",VLOOKUP(TInspectieE[[#This Row],[UVID]],TInventE[],2,FALSE))</f>
        <v>632010</v>
      </c>
      <c r="C12" s="365" t="str">
        <f>IF(TInspectieE[[#This Row],[UVID]]="","",VLOOKUP(TInspectieE[[#This Row],[UVID]],TInventE[],11,FALSE))</f>
        <v>E</v>
      </c>
      <c r="D12" s="411" t="str">
        <f>IF(TInspectieE[[#This Row],[UVID]]="","",VLOOKUP(TInspectieE[[#This Row],[UVID]],TInventE[],3,FALSE))</f>
        <v>Verlichting standaard armaturen</v>
      </c>
      <c r="E12" s="839" t="str">
        <f>IF(TInspectieE[[#This Row],[Omschrijving bouwdeel]]="","",IF(ISEVEN(ROW()),"O","E"))</f>
        <v>O</v>
      </c>
      <c r="F12" s="840" t="s">
        <v>822</v>
      </c>
      <c r="G12" s="413" t="str">
        <f>IF(ISBLANK(TInspectieE[[#This Row],[Soort gebrek]]),"",VLOOKUP(TInspectieE[[#This Row],[Soort gebrek]],TSoortGebrek[#Data],3,FALSE))</f>
        <v>Theoretisch</v>
      </c>
      <c r="H12" s="413" t="str">
        <f>IF(ISBLANK(TInspectieE[[#This Row],[Soort gebrek]]),"",VLOOKUP(TInspectieE[[#This Row],[Soort gebrek]],TSoortGebrek[#Data],2,FALSE))</f>
        <v>Verval  ≥ 87,5%</v>
      </c>
      <c r="I12" s="413" t="str">
        <f>IF(TInspectieE[[#This Row],[Soort gebrek]]=0,"",VLOOKUP(TInspectieE[[#This Row],[Soort gebrek]],TSoortGebrek[],4,FALSE))</f>
        <v>Eind</v>
      </c>
      <c r="J12" s="842">
        <v>1</v>
      </c>
      <c r="K12" s="415">
        <f>IF(TInspectieE[[#This Row],[Soort gebrek]]=0,"",VLOOKUP(TInspectieE[[#This Row],[Combi]],TPrio[#Data],2,FALSE))</f>
        <v>8</v>
      </c>
      <c r="L12" s="843">
        <v>1</v>
      </c>
      <c r="M12" s="416" t="str">
        <f>IF(ISBLANK(TInspectieE[[#This Row],[Gebrek nr.]]),"",TInspectieE[[#This Row],[UVID]]&amp;"-"&amp;TInspectieE[[#This Row],[Gebrek nr.]])</f>
        <v>632010-1-1</v>
      </c>
      <c r="N12" s="417"/>
      <c r="O12" s="844" t="s">
        <v>1453</v>
      </c>
      <c r="P12" s="830" t="s">
        <v>1428</v>
      </c>
      <c r="Q12" s="819" t="s">
        <v>839</v>
      </c>
      <c r="R12" s="819" t="str">
        <f>IF(OR(TInspectieE[[#This Row],[Duurzaamheid bijdrage]]="Voldoet niet aan DZH-lijn",TInspectieE[[#This Row],[Duurzaamheid bijdrage]]="Voldoet niet aan vigerende W&amp;R"),"Voldoet niet","Voldoet")</f>
        <v>Voldoet niet</v>
      </c>
      <c r="S12" s="830" t="s">
        <v>1443</v>
      </c>
      <c r="T12" s="828" t="s">
        <v>776</v>
      </c>
      <c r="U12" s="830" t="s">
        <v>1437</v>
      </c>
      <c r="V12" s="830" t="s">
        <v>1448</v>
      </c>
      <c r="W12" s="830" t="s">
        <v>1147</v>
      </c>
      <c r="X12" s="830" t="s">
        <v>901</v>
      </c>
      <c r="Y12" s="845"/>
      <c r="Z12" s="846"/>
      <c r="AA12" s="421" t="str">
        <f>IF(ISBLANK(TInspectieE[[#This Row],[Aantal]]),"",ROUND(TInspectieE[[#This Row],[Kengetal]]*TInspectieE[[#This Row],[Aantal]],-1))</f>
        <v/>
      </c>
      <c r="AB12" s="422">
        <f>IF(TInspectieE[[#This Row],[Vak-groep]]="","1",VLOOKUP(C12,$J$2:$K$7,2,FALSE))</f>
        <v>3</v>
      </c>
      <c r="AC12" s="423" t="str">
        <f>CONCATENATE(TInspectieE[[#This Row],[Soort gebrek]],TInspectieE[[#This Row],[Trede]])</f>
        <v>T-87,53</v>
      </c>
      <c r="AD12" s="413" t="e">
        <v>#N/A</v>
      </c>
      <c r="AE12" s="413" t="e">
        <v>#N/A</v>
      </c>
      <c r="AF12" s="424">
        <v>0</v>
      </c>
    </row>
    <row r="13" spans="1:32" ht="126" x14ac:dyDescent="0.25">
      <c r="A13" s="337" t="str" cm="1">
        <f t="array" ref="A13">IFERROR(INDEX(TInventE[UVID],ROUNDDOWN((ROW(A4)+1)/2,0)),"")</f>
        <v>632010-1</v>
      </c>
      <c r="B13" s="410">
        <f>IF(TInspectieE[[#This Row],[UVID]]="","",VLOOKUP(TInspectieE[[#This Row],[UVID]],TInventE[],2,FALSE))</f>
        <v>632010</v>
      </c>
      <c r="C13" s="365" t="str">
        <f>IF(TInspectieE[[#This Row],[UVID]]="","",VLOOKUP(TInspectieE[[#This Row],[UVID]],TInventE[],11,FALSE))</f>
        <v>E</v>
      </c>
      <c r="D13" s="411" t="str">
        <f>IF(TInspectieE[[#This Row],[UVID]]="","",VLOOKUP(TInspectieE[[#This Row],[UVID]],TInventE[],3,FALSE))</f>
        <v>Verlichting standaard armaturen</v>
      </c>
      <c r="E13" s="839" t="str">
        <f>IF(TInspectieE[[#This Row],[Omschrijving bouwdeel]]="","",IF(ISEVEN(ROW()),"O","E"))</f>
        <v>E</v>
      </c>
      <c r="F13" s="840" t="s">
        <v>814</v>
      </c>
      <c r="G13" s="413" t="str">
        <f>IF(ISBLANK(TInspectieE[[#This Row],[Soort gebrek]]),"",VLOOKUP(TInspectieE[[#This Row],[Soort gebrek]],TSoortGebrek[#Data],3,FALSE))</f>
        <v>Wetsgebrek</v>
      </c>
      <c r="H13" s="413" t="str">
        <f>IF(ISBLANK(TInspectieE[[#This Row],[Soort gebrek]]),"",VLOOKUP(TInspectieE[[#This Row],[Soort gebrek]],TSoortGebrek[#Data],2,FALSE))</f>
        <v>wettelijk basiskwaliteit</v>
      </c>
      <c r="I13" s="413" t="str">
        <f>IF(TInspectieE[[#This Row],[Soort gebrek]]=0,"",VLOOKUP(TInspectieE[[#This Row],[Soort gebrek]],TSoortGebrek[],4,FALSE))</f>
        <v>Eind</v>
      </c>
      <c r="J13" s="841">
        <v>0.75</v>
      </c>
      <c r="K13" s="415">
        <f>IF(TInspectieE[[#This Row],[Soort gebrek]]=0,"",VLOOKUP(TInspectieE[[#This Row],[Combi]],TPrio[#Data],2,FALSE))</f>
        <v>4</v>
      </c>
      <c r="L13" s="843">
        <v>2</v>
      </c>
      <c r="M13" s="416" t="str">
        <f>IF(ISBLANK(TInspectieE[[#This Row],[Gebrek nr.]]),"",TInspectieE[[#This Row],[UVID]]&amp;"-"&amp;TInspectieE[[#This Row],[Gebrek nr.]])</f>
        <v>632010-1-2</v>
      </c>
      <c r="N13" s="417"/>
      <c r="O13" s="844" t="s">
        <v>1454</v>
      </c>
      <c r="P13" s="830" t="s">
        <v>1428</v>
      </c>
      <c r="Q13" s="819" t="s">
        <v>839</v>
      </c>
      <c r="R13" s="819" t="str">
        <f>IF(OR(TInspectieE[[#This Row],[Duurzaamheid bijdrage]]="Voldoet niet aan DZH-lijn",TInspectieE[[#This Row],[Duurzaamheid bijdrage]]="Voldoet niet aan vigerende W&amp;R"),"Voldoet niet","Voldoet")</f>
        <v>Voldoet niet</v>
      </c>
      <c r="S13" s="828" t="s">
        <v>1444</v>
      </c>
      <c r="T13" s="828" t="s">
        <v>99</v>
      </c>
      <c r="U13" s="830" t="s">
        <v>1445</v>
      </c>
      <c r="V13" s="830" t="s">
        <v>1449</v>
      </c>
      <c r="W13" s="830" t="s">
        <v>1147</v>
      </c>
      <c r="X13" s="830" t="s">
        <v>893</v>
      </c>
      <c r="Y13" s="845">
        <v>169</v>
      </c>
      <c r="Z13" s="846">
        <v>20</v>
      </c>
      <c r="AA13" s="421">
        <f>IF(ISBLANK(TInspectieE[[#This Row],[Aantal]]),"",ROUND(TInspectieE[[#This Row],[Kengetal]]*TInspectieE[[#This Row],[Aantal]],-1))</f>
        <v>3380</v>
      </c>
      <c r="AB13" s="422">
        <f>IF(TInspectieE[[#This Row],[Vak-groep]]="","1",VLOOKUP(C13,$J$2:$K$7,2,FALSE))</f>
        <v>3</v>
      </c>
      <c r="AC13" s="423" t="str">
        <f>CONCATENATE(TInspectieE[[#This Row],[Soort gebrek]],TInspectieE[[#This Row],[Trede]])</f>
        <v>W-BK3</v>
      </c>
      <c r="AD13" s="413" t="e">
        <v>#N/A</v>
      </c>
      <c r="AE13" s="413" t="e">
        <v>#N/A</v>
      </c>
      <c r="AF13" s="424">
        <v>0</v>
      </c>
    </row>
    <row r="14" spans="1:32" ht="52.5" x14ac:dyDescent="0.25">
      <c r="A14" s="337" t="s">
        <v>1440</v>
      </c>
      <c r="B14" s="410">
        <f>IF(TInspectieE[[#This Row],[UVID]]="","",VLOOKUP(TInspectieE[[#This Row],[UVID]],TInventE[],2,FALSE))</f>
        <v>632010</v>
      </c>
      <c r="C14" s="365" t="str">
        <f>IF(TInspectieE[[#This Row],[UVID]]="","",VLOOKUP(TInspectieE[[#This Row],[UVID]],TInventE[],11,FALSE))</f>
        <v>E</v>
      </c>
      <c r="D14" s="411" t="str">
        <f>IF(TInspectieE[[#This Row],[UVID]]="","",VLOOKUP(TInspectieE[[#This Row],[UVID]],TInventE[],3,FALSE))</f>
        <v>Verlichting standaard armaturen</v>
      </c>
      <c r="E14" s="839" t="s">
        <v>381</v>
      </c>
      <c r="F14" s="840" t="s">
        <v>814</v>
      </c>
      <c r="G14" s="413" t="str">
        <f>IF(ISBLANK(TInspectieE[[#This Row],[Soort gebrek]]),"",VLOOKUP(TInspectieE[[#This Row],[Soort gebrek]],TSoortGebrek[#Data],3,FALSE))</f>
        <v>Wetsgebrek</v>
      </c>
      <c r="H14" s="413" t="str">
        <f>IF(ISBLANK(TInspectieE[[#This Row],[Soort gebrek]]),"",VLOOKUP(TInspectieE[[#This Row],[Soort gebrek]],TSoortGebrek[#Data],2,FALSE))</f>
        <v>wettelijk basiskwaliteit</v>
      </c>
      <c r="I14" s="413" t="str">
        <f>IF(TInspectieE[[#This Row],[Soort gebrek]]=0,"",VLOOKUP(TInspectieE[[#This Row],[Soort gebrek]],TSoortGebrek[],4,FALSE))</f>
        <v>Eind</v>
      </c>
      <c r="J14" s="841">
        <v>0.03</v>
      </c>
      <c r="K14" s="415">
        <f>IF(TInspectieE[[#This Row],[Soort gebrek]]=0,"",VLOOKUP(TInspectieE[[#This Row],[Combi]],TPrio[#Data],2,FALSE))</f>
        <v>4</v>
      </c>
      <c r="L14" s="843">
        <v>3</v>
      </c>
      <c r="M14" s="416" t="str">
        <f>IF(ISBLANK(TInspectieE[[#This Row],[Gebrek nr.]]),"",TInspectieE[[#This Row],[UVID]]&amp;"-"&amp;TInspectieE[[#This Row],[Gebrek nr.]])</f>
        <v>632010-1-3</v>
      </c>
      <c r="N14" s="417"/>
      <c r="O14" s="844" t="s">
        <v>1455</v>
      </c>
      <c r="P14" s="830" t="s">
        <v>1441</v>
      </c>
      <c r="Q14" s="819" t="s">
        <v>839</v>
      </c>
      <c r="R14" s="819" t="str">
        <f>IF(OR(TInspectieE[[#This Row],[Duurzaamheid bijdrage]]="Voldoet niet aan DZH-lijn",TInspectieE[[#This Row],[Duurzaamheid bijdrage]]="Voldoet niet aan vigerende W&amp;R"),"Voldoet niet","Voldoet")</f>
        <v>Voldoet niet</v>
      </c>
      <c r="S14" s="828" t="s">
        <v>1444</v>
      </c>
      <c r="T14" s="828" t="s">
        <v>104</v>
      </c>
      <c r="U14" s="828" t="s">
        <v>1446</v>
      </c>
      <c r="V14" s="830" t="s">
        <v>1450</v>
      </c>
      <c r="W14" s="830" t="s">
        <v>1147</v>
      </c>
      <c r="X14" s="830" t="s">
        <v>893</v>
      </c>
      <c r="Y14" s="845">
        <v>293</v>
      </c>
      <c r="Z14" s="846">
        <v>6</v>
      </c>
      <c r="AA14" s="421">
        <f>IF(ISBLANK(TInspectieE[[#This Row],[Aantal]]),"",ROUND(TInspectieE[[#This Row],[Kengetal]]*TInspectieE[[#This Row],[Aantal]],-1))</f>
        <v>1760</v>
      </c>
      <c r="AB14" s="422">
        <f>IF(TInspectieE[[#This Row],[Vak-groep]]="","1",VLOOKUP(C14,$J$2:$K$7,2,FALSE))</f>
        <v>3</v>
      </c>
      <c r="AC14" s="423" t="str">
        <f>CONCATENATE(TInspectieE[[#This Row],[Soort gebrek]],TInspectieE[[#This Row],[Trede]])</f>
        <v>W-BK3</v>
      </c>
      <c r="AD14" s="413" t="e">
        <v>#N/A</v>
      </c>
      <c r="AE14" s="413" t="e">
        <v>#N/A</v>
      </c>
      <c r="AF14" s="424">
        <v>0</v>
      </c>
    </row>
    <row r="15" spans="1:32" ht="126" x14ac:dyDescent="0.25">
      <c r="A15" s="337" t="s">
        <v>1440</v>
      </c>
      <c r="B15" s="410">
        <f>IF(TInspectieE[[#This Row],[UVID]]="","",VLOOKUP(TInspectieE[[#This Row],[UVID]],TInventE[],2,FALSE))</f>
        <v>632010</v>
      </c>
      <c r="C15" s="365" t="str">
        <f>IF(TInspectieE[[#This Row],[UVID]]="","",VLOOKUP(TInspectieE[[#This Row],[UVID]],TInventE[],11,FALSE))</f>
        <v>E</v>
      </c>
      <c r="D15" s="411" t="str">
        <f>IF(TInspectieE[[#This Row],[UVID]]="","",VLOOKUP(TInspectieE[[#This Row],[UVID]],TInventE[],3,FALSE))</f>
        <v>Verlichting standaard armaturen</v>
      </c>
      <c r="E15" s="839" t="str">
        <f>IF(TInspectieE[[#This Row],[Omschrijving bouwdeel]]="","",IF(ISEVEN(ROW()),"O","E"))</f>
        <v>E</v>
      </c>
      <c r="F15" s="840" t="s">
        <v>814</v>
      </c>
      <c r="G15" s="413" t="str">
        <f>IF(ISBLANK(TInspectieE[[#This Row],[Soort gebrek]]),"",VLOOKUP(TInspectieE[[#This Row],[Soort gebrek]],TSoortGebrek[#Data],3,FALSE))</f>
        <v>Wetsgebrek</v>
      </c>
      <c r="H15" s="413" t="str">
        <f>IF(ISBLANK(TInspectieE[[#This Row],[Soort gebrek]]),"",VLOOKUP(TInspectieE[[#This Row],[Soort gebrek]],TSoortGebrek[#Data],2,FALSE))</f>
        <v>wettelijk basiskwaliteit</v>
      </c>
      <c r="I15" s="413" t="str">
        <f>IF(TInspectieE[[#This Row],[Soort gebrek]]=0,"",VLOOKUP(TInspectieE[[#This Row],[Soort gebrek]],TSoortGebrek[],4,FALSE))</f>
        <v>Eind</v>
      </c>
      <c r="J15" s="841">
        <v>0.22</v>
      </c>
      <c r="K15" s="415">
        <f>IF(TInspectieE[[#This Row],[Soort gebrek]]=0,"",VLOOKUP(TInspectieE[[#This Row],[Combi]],TPrio[#Data],2,FALSE))</f>
        <v>4</v>
      </c>
      <c r="L15" s="843">
        <v>4</v>
      </c>
      <c r="M15" s="416" t="str">
        <f>IF(ISBLANK(TInspectieE[[#This Row],[Gebrek nr.]]),"",TInspectieE[[#This Row],[UVID]]&amp;"-"&amp;TInspectieE[[#This Row],[Gebrek nr.]])</f>
        <v>632010-1-4</v>
      </c>
      <c r="N15" s="417"/>
      <c r="O15" s="844" t="s">
        <v>1454</v>
      </c>
      <c r="P15" s="830" t="s">
        <v>1442</v>
      </c>
      <c r="Q15" s="819" t="s">
        <v>839</v>
      </c>
      <c r="R15" s="819" t="str">
        <f>IF(OR(TInspectieE[[#This Row],[Duurzaamheid bijdrage]]="Voldoet niet aan DZH-lijn",TInspectieE[[#This Row],[Duurzaamheid bijdrage]]="Voldoet niet aan vigerende W&amp;R"),"Voldoet niet","Voldoet")</f>
        <v>Voldoet niet</v>
      </c>
      <c r="S15" s="828" t="s">
        <v>1444</v>
      </c>
      <c r="T15" s="828" t="s">
        <v>112</v>
      </c>
      <c r="U15" s="828" t="s">
        <v>1447</v>
      </c>
      <c r="V15" s="830" t="s">
        <v>1451</v>
      </c>
      <c r="W15" s="830" t="s">
        <v>1147</v>
      </c>
      <c r="X15" s="830" t="s">
        <v>893</v>
      </c>
      <c r="Y15" s="845">
        <v>293</v>
      </c>
      <c r="Z15" s="846">
        <v>57</v>
      </c>
      <c r="AA15" s="421">
        <f>IF(ISBLANK(TInspectieE[[#This Row],[Aantal]]),"",ROUND(TInspectieE[[#This Row],[Kengetal]]*TInspectieE[[#This Row],[Aantal]],-1))</f>
        <v>16700</v>
      </c>
      <c r="AB15" s="422">
        <f>IF(TInspectieE[[#This Row],[Vak-groep]]="","1",VLOOKUP(C15,$J$2:$K$7,2,FALSE))</f>
        <v>3</v>
      </c>
      <c r="AC15" s="423" t="str">
        <f>CONCATENATE(TInspectieE[[#This Row],[Soort gebrek]],TInspectieE[[#This Row],[Trede]])</f>
        <v>W-BK3</v>
      </c>
      <c r="AD15" s="413" t="e">
        <v>#N/A</v>
      </c>
      <c r="AE15" s="413" t="e">
        <v>#N/A</v>
      </c>
      <c r="AF15" s="424">
        <v>0</v>
      </c>
    </row>
    <row r="16" spans="1:32" ht="10.5" x14ac:dyDescent="0.25">
      <c r="A16" s="337" t="str" cm="1">
        <f t="array" ref="A16">IFERROR(INDEX(TInventE[UVID],ROUNDDOWN((ROW(A7)+1)/2,0)),"")</f>
        <v/>
      </c>
      <c r="B16" s="410" t="str">
        <f>IF(TInspectieE[[#This Row],[UVID]]="","",VLOOKUP(TInspectieE[[#This Row],[UVID]],TInventE[],2,FALSE))</f>
        <v/>
      </c>
      <c r="C16" s="365" t="str">
        <f>IF(TInspectieE[[#This Row],[UVID]]="","",VLOOKUP(TInspectieE[[#This Row],[UVID]],TInventE[],11,FALSE))</f>
        <v/>
      </c>
      <c r="D16" s="411" t="str">
        <f>IF(TInspectieE[[#This Row],[UVID]]="","",VLOOKUP(TInspectieE[[#This Row],[UVID]],TInventE[],3,FALSE))</f>
        <v/>
      </c>
      <c r="E16" s="338" t="str">
        <f>IF(TInspectieE[[#This Row],[Omschrijving bouwdeel]]="","",IF(ISEVEN(ROW()),"O","E"))</f>
        <v/>
      </c>
      <c r="F16" s="412"/>
      <c r="G16" s="413" t="str">
        <f>IF(ISBLANK(TInspectieE[[#This Row],[Soort gebrek]]),"",VLOOKUP(TInspectieE[[#This Row],[Soort gebrek]],TSoortGebrek[#Data],3,FALSE))</f>
        <v/>
      </c>
      <c r="H16" s="413" t="str">
        <f>IF(ISBLANK(TInspectieE[[#This Row],[Soort gebrek]]),"",VLOOKUP(TInspectieE[[#This Row],[Soort gebrek]],TSoortGebrek[#Data],2,FALSE))</f>
        <v/>
      </c>
      <c r="I16" s="413" t="str">
        <f>IF(TInspectieE[[#This Row],[Soort gebrek]]=0,"",VLOOKUP(TInspectieE[[#This Row],[Soort gebrek]],TSoortGebrek[],4,FALSE))</f>
        <v/>
      </c>
      <c r="J16" s="425"/>
      <c r="K16" s="415" t="str">
        <f>IF(TInspectieE[[#This Row],[Soort gebrek]]=0,"",VLOOKUP(TInspectieE[[#This Row],[Combi]],TPrio[#Data],2,FALSE))</f>
        <v/>
      </c>
      <c r="L16" s="339"/>
      <c r="M16" s="416" t="str">
        <f>IF(ISBLANK(TInspectieE[[#This Row],[Gebrek nr.]]),"",TInspectieE[[#This Row],[UVID]]&amp;"-"&amp;TInspectieE[[#This Row],[Gebrek nr.]])</f>
        <v/>
      </c>
      <c r="N16" s="417"/>
      <c r="O16" s="418"/>
      <c r="P16" s="206"/>
      <c r="Q16" s="193"/>
      <c r="R16" s="193" t="str">
        <f>IF(OR(TInspectieE[[#This Row],[Duurzaamheid bijdrage]]="Voldoet niet aan DZH-lijn",TInspectieE[[#This Row],[Duurzaamheid bijdrage]]="Voldoet niet aan vigerende W&amp;R"),"Voldoet niet","Voldoet")</f>
        <v>Voldoet</v>
      </c>
      <c r="S16" s="206"/>
      <c r="T16" s="206"/>
      <c r="U16" s="206"/>
      <c r="V16" s="206"/>
      <c r="W16" s="206"/>
      <c r="X16" s="419"/>
      <c r="Y16" s="340"/>
      <c r="Z16" s="420"/>
      <c r="AA16" s="421" t="str">
        <f>IF(ISBLANK(TInspectieE[[#This Row],[Aantal]]),"",ROUND(TInspectieE[[#This Row],[Kengetal]]*TInspectieE[[#This Row],[Aantal]],-1))</f>
        <v/>
      </c>
      <c r="AB16" s="422" t="str">
        <f>IF(TInspectieE[[#This Row],[Vak-groep]]="","1",VLOOKUP(C16,$J$2:$K$7,2,FALSE))</f>
        <v>1</v>
      </c>
      <c r="AC16" s="423" t="str">
        <f>CONCATENATE(TInspectieE[[#This Row],[Soort gebrek]],TInspectieE[[#This Row],[Trede]])</f>
        <v>1</v>
      </c>
      <c r="AD16" s="413" t="e">
        <v>#N/A</v>
      </c>
      <c r="AE16" s="413" t="e">
        <v>#N/A</v>
      </c>
      <c r="AF16" s="424">
        <v>0</v>
      </c>
    </row>
    <row r="17" spans="1:32" ht="10.5" x14ac:dyDescent="0.25">
      <c r="A17" s="337" t="str" cm="1">
        <f t="array" ref="A17">IFERROR(INDEX(TInventE[UVID],ROUNDDOWN((ROW(A8)+1)/2,0)),"")</f>
        <v/>
      </c>
      <c r="B17" s="410" t="str">
        <f>IF(TInspectieE[[#This Row],[UVID]]="","",VLOOKUP(TInspectieE[[#This Row],[UVID]],TInventE[],2,FALSE))</f>
        <v/>
      </c>
      <c r="C17" s="365" t="str">
        <f>IF(TInspectieE[[#This Row],[UVID]]="","",VLOOKUP(TInspectieE[[#This Row],[UVID]],TInventE[],11,FALSE))</f>
        <v/>
      </c>
      <c r="D17" s="411" t="str">
        <f>IF(TInspectieE[[#This Row],[UVID]]="","",VLOOKUP(TInspectieE[[#This Row],[UVID]],TInventE[],3,FALSE))</f>
        <v/>
      </c>
      <c r="E17" s="338" t="str">
        <f>IF(TInspectieE[[#This Row],[Omschrijving bouwdeel]]="","",IF(ISEVEN(ROW()),"O","E"))</f>
        <v/>
      </c>
      <c r="F17" s="412"/>
      <c r="G17" s="413" t="str">
        <f>IF(ISBLANK(TInspectieE[[#This Row],[Soort gebrek]]),"",VLOOKUP(TInspectieE[[#This Row],[Soort gebrek]],TSoortGebrek[#Data],3,FALSE))</f>
        <v/>
      </c>
      <c r="H17" s="413" t="str">
        <f>IF(ISBLANK(TInspectieE[[#This Row],[Soort gebrek]]),"",VLOOKUP(TInspectieE[[#This Row],[Soort gebrek]],TSoortGebrek[#Data],2,FALSE))</f>
        <v/>
      </c>
      <c r="I17" s="413" t="str">
        <f>IF(TInspectieE[[#This Row],[Soort gebrek]]=0,"",VLOOKUP(TInspectieE[[#This Row],[Soort gebrek]],TSoortGebrek[],4,FALSE))</f>
        <v/>
      </c>
      <c r="J17" s="425"/>
      <c r="K17" s="415" t="str">
        <f>IF(TInspectieE[[#This Row],[Soort gebrek]]=0,"",VLOOKUP(TInspectieE[[#This Row],[Combi]],TPrio[#Data],2,FALSE))</f>
        <v/>
      </c>
      <c r="L17" s="339"/>
      <c r="M17" s="416" t="str">
        <f>IF(ISBLANK(TInspectieE[[#This Row],[Gebrek nr.]]),"",TInspectieE[[#This Row],[UVID]]&amp;"-"&amp;TInspectieE[[#This Row],[Gebrek nr.]])</f>
        <v/>
      </c>
      <c r="N17" s="417"/>
      <c r="O17" s="418"/>
      <c r="P17" s="206"/>
      <c r="Q17" s="193"/>
      <c r="R17" s="193" t="str">
        <f>IF(OR(TInspectieE[[#This Row],[Duurzaamheid bijdrage]]="Voldoet niet aan DZH-lijn",TInspectieE[[#This Row],[Duurzaamheid bijdrage]]="Voldoet niet aan vigerende W&amp;R"),"Voldoet niet","Voldoet")</f>
        <v>Voldoet</v>
      </c>
      <c r="S17" s="206"/>
      <c r="T17" s="206"/>
      <c r="U17" s="206"/>
      <c r="V17" s="206"/>
      <c r="W17" s="206"/>
      <c r="X17" s="419"/>
      <c r="Y17" s="340"/>
      <c r="Z17" s="420"/>
      <c r="AA17" s="421" t="str">
        <f>IF(ISBLANK(TInspectieE[[#This Row],[Aantal]]),"",ROUND(TInspectieE[[#This Row],[Kengetal]]*TInspectieE[[#This Row],[Aantal]],-1))</f>
        <v/>
      </c>
      <c r="AB17" s="422" t="str">
        <f>IF(TInspectieE[[#This Row],[Vak-groep]]="","1",VLOOKUP(C17,$J$2:$K$7,2,FALSE))</f>
        <v>1</v>
      </c>
      <c r="AC17" s="423" t="str">
        <f>CONCATENATE(TInspectieE[[#This Row],[Soort gebrek]],TInspectieE[[#This Row],[Trede]])</f>
        <v>1</v>
      </c>
      <c r="AD17" s="413" t="e">
        <v>#N/A</v>
      </c>
      <c r="AE17" s="413" t="e">
        <v>#N/A</v>
      </c>
      <c r="AF17" s="424">
        <v>0</v>
      </c>
    </row>
    <row r="18" spans="1:32" ht="10.5" x14ac:dyDescent="0.25">
      <c r="A18" s="337" t="str" cm="1">
        <f t="array" ref="A18">IFERROR(INDEX(TInventE[UVID],ROUNDDOWN((ROW(A9)+1)/2,0)),"")</f>
        <v/>
      </c>
      <c r="B18" s="410" t="str">
        <f>IF(TInspectieE[[#This Row],[UVID]]="","",VLOOKUP(TInspectieE[[#This Row],[UVID]],TInventE[],2,FALSE))</f>
        <v/>
      </c>
      <c r="C18" s="365" t="str">
        <f>IF(TInspectieE[[#This Row],[UVID]]="","",VLOOKUP(TInspectieE[[#This Row],[UVID]],TInventE[],11,FALSE))</f>
        <v/>
      </c>
      <c r="D18" s="411" t="str">
        <f>IF(TInspectieE[[#This Row],[UVID]]="","",VLOOKUP(TInspectieE[[#This Row],[UVID]],TInventE[],3,FALSE))</f>
        <v/>
      </c>
      <c r="E18" s="338" t="str">
        <f>IF(TInspectieE[[#This Row],[Omschrijving bouwdeel]]="","",IF(ISEVEN(ROW()),"O","E"))</f>
        <v/>
      </c>
      <c r="F18" s="412"/>
      <c r="G18" s="413" t="str">
        <f>IF(ISBLANK(TInspectieE[[#This Row],[Soort gebrek]]),"",VLOOKUP(TInspectieE[[#This Row],[Soort gebrek]],TSoortGebrek[#Data],3,FALSE))</f>
        <v/>
      </c>
      <c r="H18" s="413" t="str">
        <f>IF(ISBLANK(TInspectieE[[#This Row],[Soort gebrek]]),"",VLOOKUP(TInspectieE[[#This Row],[Soort gebrek]],TSoortGebrek[#Data],2,FALSE))</f>
        <v/>
      </c>
      <c r="I18" s="413" t="str">
        <f>IF(TInspectieE[[#This Row],[Soort gebrek]]=0,"",VLOOKUP(TInspectieE[[#This Row],[Soort gebrek]],TSoortGebrek[],4,FALSE))</f>
        <v/>
      </c>
      <c r="J18" s="425"/>
      <c r="K18" s="415" t="str">
        <f>IF(TInspectieE[[#This Row],[Soort gebrek]]=0,"",VLOOKUP(TInspectieE[[#This Row],[Combi]],TPrio[#Data],2,FALSE))</f>
        <v/>
      </c>
      <c r="L18" s="339"/>
      <c r="M18" s="416" t="str">
        <f>IF(ISBLANK(TInspectieE[[#This Row],[Gebrek nr.]]),"",TInspectieE[[#This Row],[UVID]]&amp;"-"&amp;TInspectieE[[#This Row],[Gebrek nr.]])</f>
        <v/>
      </c>
      <c r="N18" s="417"/>
      <c r="O18" s="418"/>
      <c r="P18" s="206"/>
      <c r="Q18" s="193"/>
      <c r="R18" s="193" t="str">
        <f>IF(OR(TInspectieE[[#This Row],[Duurzaamheid bijdrage]]="Voldoet niet aan DZH-lijn",TInspectieE[[#This Row],[Duurzaamheid bijdrage]]="Voldoet niet aan vigerende W&amp;R"),"Voldoet niet","Voldoet")</f>
        <v>Voldoet</v>
      </c>
      <c r="S18" s="206"/>
      <c r="T18" s="206"/>
      <c r="U18" s="206"/>
      <c r="V18" s="206"/>
      <c r="W18" s="206"/>
      <c r="X18" s="419"/>
      <c r="Y18" s="340"/>
      <c r="Z18" s="420"/>
      <c r="AA18" s="421" t="str">
        <f>IF(ISBLANK(TInspectieE[[#This Row],[Aantal]]),"",ROUND(TInspectieE[[#This Row],[Kengetal]]*TInspectieE[[#This Row],[Aantal]],-1))</f>
        <v/>
      </c>
      <c r="AB18" s="422" t="str">
        <f>IF(TInspectieE[[#This Row],[Vak-groep]]="","1",VLOOKUP(C18,$J$2:$K$7,2,FALSE))</f>
        <v>1</v>
      </c>
      <c r="AC18" s="423" t="str">
        <f>CONCATENATE(TInspectieE[[#This Row],[Soort gebrek]],TInspectieE[[#This Row],[Trede]])</f>
        <v>1</v>
      </c>
      <c r="AD18" s="413" t="e">
        <v>#N/A</v>
      </c>
      <c r="AE18" s="413" t="e">
        <v>#N/A</v>
      </c>
      <c r="AF18" s="424">
        <v>0</v>
      </c>
    </row>
    <row r="19" spans="1:32" ht="10.5" x14ac:dyDescent="0.25">
      <c r="A19" s="337" t="str" cm="1">
        <f t="array" ref="A19">IFERROR(INDEX(TInventE[UVID],ROUNDDOWN((ROW(A10)+1)/2,0)),"")</f>
        <v/>
      </c>
      <c r="B19" s="410" t="str">
        <f>IF(TInspectieE[[#This Row],[UVID]]="","",VLOOKUP(TInspectieE[[#This Row],[UVID]],TInventE[],2,FALSE))</f>
        <v/>
      </c>
      <c r="C19" s="365" t="str">
        <f>IF(TInspectieE[[#This Row],[UVID]]="","",VLOOKUP(TInspectieE[[#This Row],[UVID]],TInventE[],11,FALSE))</f>
        <v/>
      </c>
      <c r="D19" s="411" t="str">
        <f>IF(TInspectieE[[#This Row],[UVID]]="","",VLOOKUP(TInspectieE[[#This Row],[UVID]],TInventE[],3,FALSE))</f>
        <v/>
      </c>
      <c r="E19" s="338" t="str">
        <f>IF(TInspectieE[[#This Row],[Omschrijving bouwdeel]]="","",IF(ISEVEN(ROW()),"O","E"))</f>
        <v/>
      </c>
      <c r="F19" s="412"/>
      <c r="G19" s="413" t="str">
        <f>IF(ISBLANK(TInspectieE[[#This Row],[Soort gebrek]]),"",VLOOKUP(TInspectieE[[#This Row],[Soort gebrek]],TSoortGebrek[#Data],3,FALSE))</f>
        <v/>
      </c>
      <c r="H19" s="413" t="str">
        <f>IF(ISBLANK(TInspectieE[[#This Row],[Soort gebrek]]),"",VLOOKUP(TInspectieE[[#This Row],[Soort gebrek]],TSoortGebrek[#Data],2,FALSE))</f>
        <v/>
      </c>
      <c r="I19" s="413" t="str">
        <f>IF(TInspectieE[[#This Row],[Soort gebrek]]=0,"",VLOOKUP(TInspectieE[[#This Row],[Soort gebrek]],TSoortGebrek[],4,FALSE))</f>
        <v/>
      </c>
      <c r="J19" s="425"/>
      <c r="K19" s="415" t="str">
        <f>IF(TInspectieE[[#This Row],[Soort gebrek]]=0,"",VLOOKUP(TInspectieE[[#This Row],[Combi]],TPrio[#Data],2,FALSE))</f>
        <v/>
      </c>
      <c r="L19" s="339"/>
      <c r="M19" s="416" t="str">
        <f>IF(ISBLANK(TInspectieE[[#This Row],[Gebrek nr.]]),"",TInspectieE[[#This Row],[UVID]]&amp;"-"&amp;TInspectieE[[#This Row],[Gebrek nr.]])</f>
        <v/>
      </c>
      <c r="N19" s="417"/>
      <c r="O19" s="418"/>
      <c r="P19" s="206"/>
      <c r="Q19" s="193"/>
      <c r="R19" s="193" t="str">
        <f>IF(OR(TInspectieE[[#This Row],[Duurzaamheid bijdrage]]="Voldoet niet aan DZH-lijn",TInspectieE[[#This Row],[Duurzaamheid bijdrage]]="Voldoet niet aan vigerende W&amp;R"),"Voldoet niet","Voldoet")</f>
        <v>Voldoet</v>
      </c>
      <c r="S19" s="206"/>
      <c r="T19" s="206"/>
      <c r="U19" s="206"/>
      <c r="V19" s="206"/>
      <c r="W19" s="206"/>
      <c r="X19" s="419"/>
      <c r="Y19" s="340"/>
      <c r="Z19" s="420"/>
      <c r="AA19" s="421" t="str">
        <f>IF(ISBLANK(TInspectieE[[#This Row],[Aantal]]),"",ROUND(TInspectieE[[#This Row],[Kengetal]]*TInspectieE[[#This Row],[Aantal]],-1))</f>
        <v/>
      </c>
      <c r="AB19" s="422" t="str">
        <f>IF(TInspectieE[[#This Row],[Vak-groep]]="","1",VLOOKUP(C19,$J$2:$K$7,2,FALSE))</f>
        <v>1</v>
      </c>
      <c r="AC19" s="423" t="str">
        <f>CONCATENATE(TInspectieE[[#This Row],[Soort gebrek]],TInspectieE[[#This Row],[Trede]])</f>
        <v>1</v>
      </c>
      <c r="AD19" s="413" t="e">
        <v>#N/A</v>
      </c>
      <c r="AE19" s="413" t="e">
        <v>#N/A</v>
      </c>
      <c r="AF19" s="424">
        <v>0</v>
      </c>
    </row>
    <row r="20" spans="1:32" ht="10.5" x14ac:dyDescent="0.25">
      <c r="A20" s="337" t="str" cm="1">
        <f t="array" ref="A20">IFERROR(INDEX(TInventE[UVID],ROUNDDOWN((ROW(A11)+1)/2,0)),"")</f>
        <v/>
      </c>
      <c r="B20" s="410" t="str">
        <f>IF(TInspectieE[[#This Row],[UVID]]="","",VLOOKUP(TInspectieE[[#This Row],[UVID]],TInventE[],2,FALSE))</f>
        <v/>
      </c>
      <c r="C20" s="365" t="str">
        <f>IF(TInspectieE[[#This Row],[UVID]]="","",VLOOKUP(TInspectieE[[#This Row],[UVID]],TInventE[],11,FALSE))</f>
        <v/>
      </c>
      <c r="D20" s="411" t="str">
        <f>IF(TInspectieE[[#This Row],[UVID]]="","",VLOOKUP(TInspectieE[[#This Row],[UVID]],TInventE[],3,FALSE))</f>
        <v/>
      </c>
      <c r="E20" s="338" t="str">
        <f>IF(TInspectieE[[#This Row],[Omschrijving bouwdeel]]="","",IF(ISEVEN(ROW()),"O","E"))</f>
        <v/>
      </c>
      <c r="F20" s="412"/>
      <c r="G20" s="413" t="str">
        <f>IF(ISBLANK(TInspectieE[[#This Row],[Soort gebrek]]),"",VLOOKUP(TInspectieE[[#This Row],[Soort gebrek]],TSoortGebrek[#Data],3,FALSE))</f>
        <v/>
      </c>
      <c r="H20" s="413" t="str">
        <f>IF(ISBLANK(TInspectieE[[#This Row],[Soort gebrek]]),"",VLOOKUP(TInspectieE[[#This Row],[Soort gebrek]],TSoortGebrek[#Data],2,FALSE))</f>
        <v/>
      </c>
      <c r="I20" s="413" t="str">
        <f>IF(TInspectieE[[#This Row],[Soort gebrek]]=0,"",VLOOKUP(TInspectieE[[#This Row],[Soort gebrek]],TSoortGebrek[],4,FALSE))</f>
        <v/>
      </c>
      <c r="J20" s="425"/>
      <c r="K20" s="415" t="str">
        <f>IF(TInspectieE[[#This Row],[Soort gebrek]]=0,"",VLOOKUP(TInspectieE[[#This Row],[Combi]],TPrio[#Data],2,FALSE))</f>
        <v/>
      </c>
      <c r="L20" s="339"/>
      <c r="M20" s="416" t="str">
        <f>IF(ISBLANK(TInspectieE[[#This Row],[Gebrek nr.]]),"",TInspectieE[[#This Row],[UVID]]&amp;"-"&amp;TInspectieE[[#This Row],[Gebrek nr.]])</f>
        <v/>
      </c>
      <c r="N20" s="417"/>
      <c r="O20" s="418"/>
      <c r="P20" s="206"/>
      <c r="Q20" s="193"/>
      <c r="R20" s="193" t="str">
        <f>IF(OR(TInspectieE[[#This Row],[Duurzaamheid bijdrage]]="Voldoet niet aan DZH-lijn",TInspectieE[[#This Row],[Duurzaamheid bijdrage]]="Voldoet niet aan vigerende W&amp;R"),"Voldoet niet","Voldoet")</f>
        <v>Voldoet</v>
      </c>
      <c r="S20" s="206"/>
      <c r="T20" s="206"/>
      <c r="U20" s="206"/>
      <c r="V20" s="206"/>
      <c r="W20" s="206"/>
      <c r="X20" s="419"/>
      <c r="Y20" s="340"/>
      <c r="Z20" s="420"/>
      <c r="AA20" s="421" t="str">
        <f>IF(ISBLANK(TInspectieE[[#This Row],[Aantal]]),"",ROUND(TInspectieE[[#This Row],[Kengetal]]*TInspectieE[[#This Row],[Aantal]],-1))</f>
        <v/>
      </c>
      <c r="AB20" s="422" t="str">
        <f>IF(TInspectieE[[#This Row],[Vak-groep]]="","1",VLOOKUP(C20,$J$2:$K$7,2,FALSE))</f>
        <v>1</v>
      </c>
      <c r="AC20" s="423" t="str">
        <f>CONCATENATE(TInspectieE[[#This Row],[Soort gebrek]],TInspectieE[[#This Row],[Trede]])</f>
        <v>1</v>
      </c>
      <c r="AD20" s="413" t="e">
        <v>#N/A</v>
      </c>
      <c r="AE20" s="413" t="e">
        <v>#N/A</v>
      </c>
      <c r="AF20" s="424">
        <v>0</v>
      </c>
    </row>
    <row r="21" spans="1:32" ht="10.5" x14ac:dyDescent="0.25">
      <c r="A21" s="337" t="str" cm="1">
        <f t="array" ref="A21">IFERROR(INDEX(TInventE[UVID],ROUNDDOWN((ROW(A12)+1)/2,0)),"")</f>
        <v/>
      </c>
      <c r="B21" s="410" t="str">
        <f>IF(TInspectieE[[#This Row],[UVID]]="","",VLOOKUP(TInspectieE[[#This Row],[UVID]],TInventE[],2,FALSE))</f>
        <v/>
      </c>
      <c r="C21" s="365" t="str">
        <f>IF(TInspectieE[[#This Row],[UVID]]="","",VLOOKUP(TInspectieE[[#This Row],[UVID]],TInventE[],11,FALSE))</f>
        <v/>
      </c>
      <c r="D21" s="411" t="str">
        <f>IF(TInspectieE[[#This Row],[UVID]]="","",VLOOKUP(TInspectieE[[#This Row],[UVID]],TInventE[],3,FALSE))</f>
        <v/>
      </c>
      <c r="E21" s="338" t="str">
        <f>IF(TInspectieE[[#This Row],[Omschrijving bouwdeel]]="","",IF(ISEVEN(ROW()),"O","E"))</f>
        <v/>
      </c>
      <c r="F21" s="412"/>
      <c r="G21" s="413" t="str">
        <f>IF(ISBLANK(TInspectieE[[#This Row],[Soort gebrek]]),"",VLOOKUP(TInspectieE[[#This Row],[Soort gebrek]],TSoortGebrek[#Data],3,FALSE))</f>
        <v/>
      </c>
      <c r="H21" s="413" t="str">
        <f>IF(ISBLANK(TInspectieE[[#This Row],[Soort gebrek]]),"",VLOOKUP(TInspectieE[[#This Row],[Soort gebrek]],TSoortGebrek[#Data],2,FALSE))</f>
        <v/>
      </c>
      <c r="I21" s="413" t="str">
        <f>IF(TInspectieE[[#This Row],[Soort gebrek]]=0,"",VLOOKUP(TInspectieE[[#This Row],[Soort gebrek]],TSoortGebrek[],4,FALSE))</f>
        <v/>
      </c>
      <c r="J21" s="425"/>
      <c r="K21" s="415" t="str">
        <f>IF(TInspectieE[[#This Row],[Soort gebrek]]=0,"",VLOOKUP(TInspectieE[[#This Row],[Combi]],TPrio[#Data],2,FALSE))</f>
        <v/>
      </c>
      <c r="L21" s="339"/>
      <c r="M21" s="416" t="str">
        <f>IF(ISBLANK(TInspectieE[[#This Row],[Gebrek nr.]]),"",TInspectieE[[#This Row],[UVID]]&amp;"-"&amp;TInspectieE[[#This Row],[Gebrek nr.]])</f>
        <v/>
      </c>
      <c r="N21" s="417"/>
      <c r="O21" s="418"/>
      <c r="P21" s="206"/>
      <c r="Q21" s="193"/>
      <c r="R21" s="193" t="str">
        <f>IF(OR(TInspectieE[[#This Row],[Duurzaamheid bijdrage]]="Voldoet niet aan DZH-lijn",TInspectieE[[#This Row],[Duurzaamheid bijdrage]]="Voldoet niet aan vigerende W&amp;R"),"Voldoet niet","Voldoet")</f>
        <v>Voldoet</v>
      </c>
      <c r="S21" s="206"/>
      <c r="T21" s="206"/>
      <c r="U21" s="206"/>
      <c r="V21" s="206"/>
      <c r="W21" s="206"/>
      <c r="X21" s="419"/>
      <c r="Y21" s="340"/>
      <c r="Z21" s="420"/>
      <c r="AA21" s="421" t="str">
        <f>IF(ISBLANK(TInspectieE[[#This Row],[Aantal]]),"",ROUND(TInspectieE[[#This Row],[Kengetal]]*TInspectieE[[#This Row],[Aantal]],-1))</f>
        <v/>
      </c>
      <c r="AB21" s="422" t="str">
        <f>IF(TInspectieE[[#This Row],[Vak-groep]]="","1",VLOOKUP(C21,$J$2:$K$7,2,FALSE))</f>
        <v>1</v>
      </c>
      <c r="AC21" s="423" t="str">
        <f>CONCATENATE(TInspectieE[[#This Row],[Soort gebrek]],TInspectieE[[#This Row],[Trede]])</f>
        <v>1</v>
      </c>
      <c r="AD21" s="413" t="e">
        <v>#N/A</v>
      </c>
      <c r="AE21" s="413" t="e">
        <v>#N/A</v>
      </c>
      <c r="AF21" s="424">
        <v>0</v>
      </c>
    </row>
    <row r="22" spans="1:32" ht="10.5" x14ac:dyDescent="0.25">
      <c r="A22" s="337" t="str" cm="1">
        <f t="array" ref="A22">IFERROR(INDEX(TInventE[UVID],ROUNDDOWN((ROW(A13)+1)/2,0)),"")</f>
        <v/>
      </c>
      <c r="B22" s="410" t="str">
        <f>IF(TInspectieE[[#This Row],[UVID]]="","",VLOOKUP(TInspectieE[[#This Row],[UVID]],TInventE[],2,FALSE))</f>
        <v/>
      </c>
      <c r="C22" s="365" t="str">
        <f>IF(TInspectieE[[#This Row],[UVID]]="","",VLOOKUP(TInspectieE[[#This Row],[UVID]],TInventE[],11,FALSE))</f>
        <v/>
      </c>
      <c r="D22" s="411" t="str">
        <f>IF(TInspectieE[[#This Row],[UVID]]="","",VLOOKUP(TInspectieE[[#This Row],[UVID]],TInventE[],3,FALSE))</f>
        <v/>
      </c>
      <c r="E22" s="338" t="str">
        <f>IF(TInspectieE[[#This Row],[Omschrijving bouwdeel]]="","",IF(ISEVEN(ROW()),"O","E"))</f>
        <v/>
      </c>
      <c r="F22" s="412"/>
      <c r="G22" s="413" t="str">
        <f>IF(ISBLANK(TInspectieE[[#This Row],[Soort gebrek]]),"",VLOOKUP(TInspectieE[[#This Row],[Soort gebrek]],TSoortGebrek[#Data],3,FALSE))</f>
        <v/>
      </c>
      <c r="H22" s="413" t="str">
        <f>IF(ISBLANK(TInspectieE[[#This Row],[Soort gebrek]]),"",VLOOKUP(TInspectieE[[#This Row],[Soort gebrek]],TSoortGebrek[#Data],2,FALSE))</f>
        <v/>
      </c>
      <c r="I22" s="413" t="str">
        <f>IF(TInspectieE[[#This Row],[Soort gebrek]]=0,"",VLOOKUP(TInspectieE[[#This Row],[Soort gebrek]],TSoortGebrek[],4,FALSE))</f>
        <v/>
      </c>
      <c r="J22" s="425"/>
      <c r="K22" s="415" t="str">
        <f>IF(TInspectieE[[#This Row],[Soort gebrek]]=0,"",VLOOKUP(TInspectieE[[#This Row],[Combi]],TPrio[#Data],2,FALSE))</f>
        <v/>
      </c>
      <c r="L22" s="339"/>
      <c r="M22" s="416" t="str">
        <f>IF(ISBLANK(TInspectieE[[#This Row],[Gebrek nr.]]),"",TInspectieE[[#This Row],[UVID]]&amp;"-"&amp;TInspectieE[[#This Row],[Gebrek nr.]])</f>
        <v/>
      </c>
      <c r="N22" s="417"/>
      <c r="O22" s="418"/>
      <c r="P22" s="206"/>
      <c r="Q22" s="193"/>
      <c r="R22" s="193" t="str">
        <f>IF(OR(TInspectieE[[#This Row],[Duurzaamheid bijdrage]]="Voldoet niet aan DZH-lijn",TInspectieE[[#This Row],[Duurzaamheid bijdrage]]="Voldoet niet aan vigerende W&amp;R"),"Voldoet niet","Voldoet")</f>
        <v>Voldoet</v>
      </c>
      <c r="S22" s="206"/>
      <c r="T22" s="206"/>
      <c r="U22" s="206"/>
      <c r="V22" s="206"/>
      <c r="W22" s="206"/>
      <c r="X22" s="419"/>
      <c r="Y22" s="340"/>
      <c r="Z22" s="420"/>
      <c r="AA22" s="421" t="str">
        <f>IF(ISBLANK(TInspectieE[[#This Row],[Aantal]]),"",ROUND(TInspectieE[[#This Row],[Kengetal]]*TInspectieE[[#This Row],[Aantal]],-1))</f>
        <v/>
      </c>
      <c r="AB22" s="422" t="str">
        <f>IF(TInspectieE[[#This Row],[Vak-groep]]="","1",VLOOKUP(C22,$J$2:$K$7,2,FALSE))</f>
        <v>1</v>
      </c>
      <c r="AC22" s="423" t="str">
        <f>CONCATENATE(TInspectieE[[#This Row],[Soort gebrek]],TInspectieE[[#This Row],[Trede]])</f>
        <v>1</v>
      </c>
      <c r="AD22" s="413" t="e">
        <v>#N/A</v>
      </c>
      <c r="AE22" s="413" t="e">
        <v>#N/A</v>
      </c>
      <c r="AF22" s="424">
        <v>0</v>
      </c>
    </row>
    <row r="23" spans="1:32" ht="10.5" x14ac:dyDescent="0.25">
      <c r="A23" s="337" t="str" cm="1">
        <f t="array" ref="A23">IFERROR(INDEX(TInventE[UVID],ROUNDDOWN((ROW(A14)+1)/2,0)),"")</f>
        <v/>
      </c>
      <c r="B23" s="410" t="str">
        <f>IF(TInspectieE[[#This Row],[UVID]]="","",VLOOKUP(TInspectieE[[#This Row],[UVID]],TInventE[],2,FALSE))</f>
        <v/>
      </c>
      <c r="C23" s="365" t="str">
        <f>IF(TInspectieE[[#This Row],[UVID]]="","",VLOOKUP(TInspectieE[[#This Row],[UVID]],TInventE[],11,FALSE))</f>
        <v/>
      </c>
      <c r="D23" s="411" t="str">
        <f>IF(TInspectieE[[#This Row],[UVID]]="","",VLOOKUP(TInspectieE[[#This Row],[UVID]],TInventE[],3,FALSE))</f>
        <v/>
      </c>
      <c r="E23" s="338" t="str">
        <f>IF(TInspectieE[[#This Row],[Omschrijving bouwdeel]]="","",IF(ISEVEN(ROW()),"O","E"))</f>
        <v/>
      </c>
      <c r="F23" s="412"/>
      <c r="G23" s="413" t="str">
        <f>IF(ISBLANK(TInspectieE[[#This Row],[Soort gebrek]]),"",VLOOKUP(TInspectieE[[#This Row],[Soort gebrek]],TSoortGebrek[#Data],3,FALSE))</f>
        <v/>
      </c>
      <c r="H23" s="413" t="str">
        <f>IF(ISBLANK(TInspectieE[[#This Row],[Soort gebrek]]),"",VLOOKUP(TInspectieE[[#This Row],[Soort gebrek]],TSoortGebrek[#Data],2,FALSE))</f>
        <v/>
      </c>
      <c r="I23" s="413" t="str">
        <f>IF(TInspectieE[[#This Row],[Soort gebrek]]=0,"",VLOOKUP(TInspectieE[[#This Row],[Soort gebrek]],TSoortGebrek[],4,FALSE))</f>
        <v/>
      </c>
      <c r="J23" s="425"/>
      <c r="K23" s="415" t="str">
        <f>IF(TInspectieE[[#This Row],[Soort gebrek]]=0,"",VLOOKUP(TInspectieE[[#This Row],[Combi]],TPrio[#Data],2,FALSE))</f>
        <v/>
      </c>
      <c r="L23" s="339"/>
      <c r="M23" s="416" t="str">
        <f>IF(ISBLANK(TInspectieE[[#This Row],[Gebrek nr.]]),"",TInspectieE[[#This Row],[UVID]]&amp;"-"&amp;TInspectieE[[#This Row],[Gebrek nr.]])</f>
        <v/>
      </c>
      <c r="N23" s="417"/>
      <c r="O23" s="418"/>
      <c r="P23" s="206"/>
      <c r="Q23" s="193"/>
      <c r="R23" s="193" t="str">
        <f>IF(OR(TInspectieE[[#This Row],[Duurzaamheid bijdrage]]="Voldoet niet aan DZH-lijn",TInspectieE[[#This Row],[Duurzaamheid bijdrage]]="Voldoet niet aan vigerende W&amp;R"),"Voldoet niet","Voldoet")</f>
        <v>Voldoet</v>
      </c>
      <c r="S23" s="206"/>
      <c r="T23" s="206"/>
      <c r="U23" s="206"/>
      <c r="V23" s="206"/>
      <c r="W23" s="206"/>
      <c r="X23" s="419"/>
      <c r="Y23" s="340"/>
      <c r="Z23" s="420"/>
      <c r="AA23" s="421" t="str">
        <f>IF(ISBLANK(TInspectieE[[#This Row],[Aantal]]),"",ROUND(TInspectieE[[#This Row],[Kengetal]]*TInspectieE[[#This Row],[Aantal]],-1))</f>
        <v/>
      </c>
      <c r="AB23" s="422" t="str">
        <f>IF(TInspectieE[[#This Row],[Vak-groep]]="","1",VLOOKUP(C23,$J$2:$K$7,2,FALSE))</f>
        <v>1</v>
      </c>
      <c r="AC23" s="423" t="str">
        <f>CONCATENATE(TInspectieE[[#This Row],[Soort gebrek]],TInspectieE[[#This Row],[Trede]])</f>
        <v>1</v>
      </c>
      <c r="AD23" s="413" t="e">
        <v>#N/A</v>
      </c>
      <c r="AE23" s="413" t="e">
        <v>#N/A</v>
      </c>
      <c r="AF23" s="424">
        <v>0</v>
      </c>
    </row>
    <row r="24" spans="1:32" ht="10.5" x14ac:dyDescent="0.25">
      <c r="A24" s="337" t="str" cm="1">
        <f t="array" ref="A24">IFERROR(INDEX(TInventE[UVID],ROUNDDOWN((ROW(A15)+1)/2,0)),"")</f>
        <v/>
      </c>
      <c r="B24" s="410" t="str">
        <f>IF(TInspectieE[[#This Row],[UVID]]="","",VLOOKUP(TInspectieE[[#This Row],[UVID]],TInventE[],2,FALSE))</f>
        <v/>
      </c>
      <c r="C24" s="365" t="str">
        <f>IF(TInspectieE[[#This Row],[UVID]]="","",VLOOKUP(TInspectieE[[#This Row],[UVID]],TInventE[],11,FALSE))</f>
        <v/>
      </c>
      <c r="D24" s="411" t="str">
        <f>IF(TInspectieE[[#This Row],[UVID]]="","",VLOOKUP(TInspectieE[[#This Row],[UVID]],TInventE[],3,FALSE))</f>
        <v/>
      </c>
      <c r="E24" s="338" t="str">
        <f>IF(TInspectieE[[#This Row],[Omschrijving bouwdeel]]="","",IF(ISEVEN(ROW()),"O","E"))</f>
        <v/>
      </c>
      <c r="F24" s="412"/>
      <c r="G24" s="413" t="str">
        <f>IF(ISBLANK(TInspectieE[[#This Row],[Soort gebrek]]),"",VLOOKUP(TInspectieE[[#This Row],[Soort gebrek]],TSoortGebrek[#Data],3,FALSE))</f>
        <v/>
      </c>
      <c r="H24" s="413" t="str">
        <f>IF(ISBLANK(TInspectieE[[#This Row],[Soort gebrek]]),"",VLOOKUP(TInspectieE[[#This Row],[Soort gebrek]],TSoortGebrek[#Data],2,FALSE))</f>
        <v/>
      </c>
      <c r="I24" s="413" t="str">
        <f>IF(TInspectieE[[#This Row],[Soort gebrek]]=0,"",VLOOKUP(TInspectieE[[#This Row],[Soort gebrek]],TSoortGebrek[],4,FALSE))</f>
        <v/>
      </c>
      <c r="J24" s="425"/>
      <c r="K24" s="415" t="str">
        <f>IF(TInspectieE[[#This Row],[Soort gebrek]]=0,"",VLOOKUP(TInspectieE[[#This Row],[Combi]],TPrio[#Data],2,FALSE))</f>
        <v/>
      </c>
      <c r="L24" s="339"/>
      <c r="M24" s="416" t="str">
        <f>IF(ISBLANK(TInspectieE[[#This Row],[Gebrek nr.]]),"",TInspectieE[[#This Row],[UVID]]&amp;"-"&amp;TInspectieE[[#This Row],[Gebrek nr.]])</f>
        <v/>
      </c>
      <c r="N24" s="417"/>
      <c r="O24" s="418"/>
      <c r="P24" s="206"/>
      <c r="Q24" s="193"/>
      <c r="R24" s="193" t="str">
        <f>IF(OR(TInspectieE[[#This Row],[Duurzaamheid bijdrage]]="Voldoet niet aan DZH-lijn",TInspectieE[[#This Row],[Duurzaamheid bijdrage]]="Voldoet niet aan vigerende W&amp;R"),"Voldoet niet","Voldoet")</f>
        <v>Voldoet</v>
      </c>
      <c r="S24" s="206"/>
      <c r="T24" s="206"/>
      <c r="U24" s="206"/>
      <c r="V24" s="206"/>
      <c r="W24" s="206"/>
      <c r="X24" s="419"/>
      <c r="Y24" s="340"/>
      <c r="Z24" s="420"/>
      <c r="AA24" s="421" t="str">
        <f>IF(ISBLANK(TInspectieE[[#This Row],[Aantal]]),"",ROUND(TInspectieE[[#This Row],[Kengetal]]*TInspectieE[[#This Row],[Aantal]],-1))</f>
        <v/>
      </c>
      <c r="AB24" s="422" t="str">
        <f>IF(TInspectieE[[#This Row],[Vak-groep]]="","1",VLOOKUP(C24,$J$2:$K$7,2,FALSE))</f>
        <v>1</v>
      </c>
      <c r="AC24" s="423" t="str">
        <f>CONCATENATE(TInspectieE[[#This Row],[Soort gebrek]],TInspectieE[[#This Row],[Trede]])</f>
        <v>1</v>
      </c>
      <c r="AD24" s="413" t="e">
        <v>#N/A</v>
      </c>
      <c r="AE24" s="413" t="e">
        <v>#N/A</v>
      </c>
      <c r="AF24" s="424">
        <v>0</v>
      </c>
    </row>
    <row r="25" spans="1:32" ht="10.5" x14ac:dyDescent="0.25">
      <c r="A25" s="337" t="str" cm="1">
        <f t="array" ref="A25">IFERROR(INDEX(TInventE[UVID],ROUNDDOWN((ROW(A16)+1)/2,0)),"")</f>
        <v/>
      </c>
      <c r="B25" s="410" t="str">
        <f>IF(TInspectieE[[#This Row],[UVID]]="","",VLOOKUP(TInspectieE[[#This Row],[UVID]],TInventE[],2,FALSE))</f>
        <v/>
      </c>
      <c r="C25" s="365" t="str">
        <f>IF(TInspectieE[[#This Row],[UVID]]="","",VLOOKUP(TInspectieE[[#This Row],[UVID]],TInventE[],11,FALSE))</f>
        <v/>
      </c>
      <c r="D25" s="411" t="str">
        <f>IF(TInspectieE[[#This Row],[UVID]]="","",VLOOKUP(TInspectieE[[#This Row],[UVID]],TInventE[],3,FALSE))</f>
        <v/>
      </c>
      <c r="E25" s="338" t="str">
        <f>IF(TInspectieE[[#This Row],[Omschrijving bouwdeel]]="","",IF(ISEVEN(ROW()),"O","E"))</f>
        <v/>
      </c>
      <c r="F25" s="412"/>
      <c r="G25" s="413" t="str">
        <f>IF(ISBLANK(TInspectieE[[#This Row],[Soort gebrek]]),"",VLOOKUP(TInspectieE[[#This Row],[Soort gebrek]],TSoortGebrek[#Data],3,FALSE))</f>
        <v/>
      </c>
      <c r="H25" s="413" t="str">
        <f>IF(ISBLANK(TInspectieE[[#This Row],[Soort gebrek]]),"",VLOOKUP(TInspectieE[[#This Row],[Soort gebrek]],TSoortGebrek[#Data],2,FALSE))</f>
        <v/>
      </c>
      <c r="I25" s="413" t="str">
        <f>IF(TInspectieE[[#This Row],[Soort gebrek]]=0,"",VLOOKUP(TInspectieE[[#This Row],[Soort gebrek]],TSoortGebrek[],4,FALSE))</f>
        <v/>
      </c>
      <c r="J25" s="425"/>
      <c r="K25" s="415" t="str">
        <f>IF(TInspectieE[[#This Row],[Soort gebrek]]=0,"",VLOOKUP(TInspectieE[[#This Row],[Combi]],TPrio[#Data],2,FALSE))</f>
        <v/>
      </c>
      <c r="L25" s="339"/>
      <c r="M25" s="416" t="str">
        <f>IF(ISBLANK(TInspectieE[[#This Row],[Gebrek nr.]]),"",TInspectieE[[#This Row],[UVID]]&amp;"-"&amp;TInspectieE[[#This Row],[Gebrek nr.]])</f>
        <v/>
      </c>
      <c r="N25" s="417"/>
      <c r="O25" s="418"/>
      <c r="P25" s="206"/>
      <c r="Q25" s="193"/>
      <c r="R25" s="193" t="str">
        <f>IF(OR(TInspectieE[[#This Row],[Duurzaamheid bijdrage]]="Voldoet niet aan DZH-lijn",TInspectieE[[#This Row],[Duurzaamheid bijdrage]]="Voldoet niet aan vigerende W&amp;R"),"Voldoet niet","Voldoet")</f>
        <v>Voldoet</v>
      </c>
      <c r="S25" s="206"/>
      <c r="T25" s="206"/>
      <c r="U25" s="206"/>
      <c r="V25" s="206"/>
      <c r="W25" s="206"/>
      <c r="X25" s="419"/>
      <c r="Y25" s="340"/>
      <c r="Z25" s="420"/>
      <c r="AA25" s="421" t="str">
        <f>IF(ISBLANK(TInspectieE[[#This Row],[Aantal]]),"",ROUND(TInspectieE[[#This Row],[Kengetal]]*TInspectieE[[#This Row],[Aantal]],-1))</f>
        <v/>
      </c>
      <c r="AB25" s="422" t="str">
        <f>IF(TInspectieE[[#This Row],[Vak-groep]]="","1",VLOOKUP(C25,$J$2:$K$7,2,FALSE))</f>
        <v>1</v>
      </c>
      <c r="AC25" s="423" t="str">
        <f>CONCATENATE(TInspectieE[[#This Row],[Soort gebrek]],TInspectieE[[#This Row],[Trede]])</f>
        <v>1</v>
      </c>
      <c r="AD25" s="413" t="e">
        <v>#N/A</v>
      </c>
      <c r="AE25" s="413" t="e">
        <v>#N/A</v>
      </c>
      <c r="AF25" s="424">
        <v>0</v>
      </c>
    </row>
    <row r="26" spans="1:32" ht="10.5" x14ac:dyDescent="0.25">
      <c r="A26" s="337" t="str" cm="1">
        <f t="array" ref="A26">IFERROR(INDEX(TInventE[UVID],ROUNDDOWN((ROW(A17)+1)/2,0)),"")</f>
        <v/>
      </c>
      <c r="B26" s="410" t="str">
        <f>IF(TInspectieE[[#This Row],[UVID]]="","",VLOOKUP(TInspectieE[[#This Row],[UVID]],TInventE[],2,FALSE))</f>
        <v/>
      </c>
      <c r="C26" s="365" t="str">
        <f>IF(TInspectieE[[#This Row],[UVID]]="","",VLOOKUP(TInspectieE[[#This Row],[UVID]],TInventE[],11,FALSE))</f>
        <v/>
      </c>
      <c r="D26" s="411" t="str">
        <f>IF(TInspectieE[[#This Row],[UVID]]="","",VLOOKUP(TInspectieE[[#This Row],[UVID]],TInventE[],3,FALSE))</f>
        <v/>
      </c>
      <c r="E26" s="338" t="str">
        <f>IF(TInspectieE[[#This Row],[Omschrijving bouwdeel]]="","",IF(ISEVEN(ROW()),"O","E"))</f>
        <v/>
      </c>
      <c r="F26" s="412"/>
      <c r="G26" s="413" t="str">
        <f>IF(ISBLANK(TInspectieE[[#This Row],[Soort gebrek]]),"",VLOOKUP(TInspectieE[[#This Row],[Soort gebrek]],TSoortGebrek[#Data],3,FALSE))</f>
        <v/>
      </c>
      <c r="H26" s="413" t="str">
        <f>IF(ISBLANK(TInspectieE[[#This Row],[Soort gebrek]]),"",VLOOKUP(TInspectieE[[#This Row],[Soort gebrek]],TSoortGebrek[#Data],2,FALSE))</f>
        <v/>
      </c>
      <c r="I26" s="413" t="str">
        <f>IF(TInspectieE[[#This Row],[Soort gebrek]]=0,"",VLOOKUP(TInspectieE[[#This Row],[Soort gebrek]],TSoortGebrek[],4,FALSE))</f>
        <v/>
      </c>
      <c r="J26" s="425"/>
      <c r="K26" s="415" t="str">
        <f>IF(TInspectieE[[#This Row],[Soort gebrek]]=0,"",VLOOKUP(TInspectieE[[#This Row],[Combi]],TPrio[#Data],2,FALSE))</f>
        <v/>
      </c>
      <c r="L26" s="339"/>
      <c r="M26" s="416" t="str">
        <f>IF(ISBLANK(TInspectieE[[#This Row],[Gebrek nr.]]),"",TInspectieE[[#This Row],[UVID]]&amp;"-"&amp;TInspectieE[[#This Row],[Gebrek nr.]])</f>
        <v/>
      </c>
      <c r="N26" s="417"/>
      <c r="O26" s="418"/>
      <c r="P26" s="206"/>
      <c r="Q26" s="193"/>
      <c r="R26" s="193" t="str">
        <f>IF(OR(TInspectieE[[#This Row],[Duurzaamheid bijdrage]]="Voldoet niet aan DZH-lijn",TInspectieE[[#This Row],[Duurzaamheid bijdrage]]="Voldoet niet aan vigerende W&amp;R"),"Voldoet niet","Voldoet")</f>
        <v>Voldoet</v>
      </c>
      <c r="S26" s="206"/>
      <c r="T26" s="206"/>
      <c r="U26" s="206"/>
      <c r="V26" s="206"/>
      <c r="W26" s="206"/>
      <c r="X26" s="419"/>
      <c r="Y26" s="340"/>
      <c r="Z26" s="420"/>
      <c r="AA26" s="421" t="str">
        <f>IF(ISBLANK(TInspectieE[[#This Row],[Aantal]]),"",ROUND(TInspectieE[[#This Row],[Kengetal]]*TInspectieE[[#This Row],[Aantal]],-1))</f>
        <v/>
      </c>
      <c r="AB26" s="422" t="str">
        <f>IF(TInspectieE[[#This Row],[Vak-groep]]="","1",VLOOKUP(C26,$J$2:$K$7,2,FALSE))</f>
        <v>1</v>
      </c>
      <c r="AC26" s="423" t="str">
        <f>CONCATENATE(TInspectieE[[#This Row],[Soort gebrek]],TInspectieE[[#This Row],[Trede]])</f>
        <v>1</v>
      </c>
      <c r="AD26" s="413" t="e">
        <v>#N/A</v>
      </c>
      <c r="AE26" s="413" t="e">
        <v>#N/A</v>
      </c>
      <c r="AF26" s="424">
        <v>0</v>
      </c>
    </row>
    <row r="27" spans="1:32" ht="10.5" x14ac:dyDescent="0.25">
      <c r="A27" s="337" t="str" cm="1">
        <f t="array" ref="A27">IFERROR(INDEX(TInventE[UVID],ROUNDDOWN((ROW(A18)+1)/2,0)),"")</f>
        <v/>
      </c>
      <c r="B27" s="410" t="str">
        <f>IF(TInspectieE[[#This Row],[UVID]]="","",VLOOKUP(TInspectieE[[#This Row],[UVID]],TInventE[],2,FALSE))</f>
        <v/>
      </c>
      <c r="C27" s="365" t="str">
        <f>IF(TInspectieE[[#This Row],[UVID]]="","",VLOOKUP(TInspectieE[[#This Row],[UVID]],TInventE[],11,FALSE))</f>
        <v/>
      </c>
      <c r="D27" s="411" t="str">
        <f>IF(TInspectieE[[#This Row],[UVID]]="","",VLOOKUP(TInspectieE[[#This Row],[UVID]],TInventE[],3,FALSE))</f>
        <v/>
      </c>
      <c r="E27" s="338" t="str">
        <f>IF(TInspectieE[[#This Row],[Omschrijving bouwdeel]]="","",IF(ISEVEN(ROW()),"O","E"))</f>
        <v/>
      </c>
      <c r="F27" s="412"/>
      <c r="G27" s="413" t="str">
        <f>IF(ISBLANK(TInspectieE[[#This Row],[Soort gebrek]]),"",VLOOKUP(TInspectieE[[#This Row],[Soort gebrek]],TSoortGebrek[#Data],3,FALSE))</f>
        <v/>
      </c>
      <c r="H27" s="413" t="str">
        <f>IF(ISBLANK(TInspectieE[[#This Row],[Soort gebrek]]),"",VLOOKUP(TInspectieE[[#This Row],[Soort gebrek]],TSoortGebrek[#Data],2,FALSE))</f>
        <v/>
      </c>
      <c r="I27" s="413" t="str">
        <f>IF(TInspectieE[[#This Row],[Soort gebrek]]=0,"",VLOOKUP(TInspectieE[[#This Row],[Soort gebrek]],TSoortGebrek[],4,FALSE))</f>
        <v/>
      </c>
      <c r="J27" s="425"/>
      <c r="K27" s="415" t="str">
        <f>IF(TInspectieE[[#This Row],[Soort gebrek]]=0,"",VLOOKUP(TInspectieE[[#This Row],[Combi]],TPrio[#Data],2,FALSE))</f>
        <v/>
      </c>
      <c r="L27" s="339"/>
      <c r="M27" s="416" t="str">
        <f>IF(ISBLANK(TInspectieE[[#This Row],[Gebrek nr.]]),"",TInspectieE[[#This Row],[UVID]]&amp;"-"&amp;TInspectieE[[#This Row],[Gebrek nr.]])</f>
        <v/>
      </c>
      <c r="N27" s="417"/>
      <c r="O27" s="418"/>
      <c r="P27" s="206"/>
      <c r="Q27" s="193"/>
      <c r="R27" s="193" t="str">
        <f>IF(OR(TInspectieE[[#This Row],[Duurzaamheid bijdrage]]="Voldoet niet aan DZH-lijn",TInspectieE[[#This Row],[Duurzaamheid bijdrage]]="Voldoet niet aan vigerende W&amp;R"),"Voldoet niet","Voldoet")</f>
        <v>Voldoet</v>
      </c>
      <c r="S27" s="206"/>
      <c r="T27" s="206"/>
      <c r="U27" s="206"/>
      <c r="V27" s="206"/>
      <c r="W27" s="206"/>
      <c r="X27" s="419"/>
      <c r="Y27" s="340"/>
      <c r="Z27" s="420"/>
      <c r="AA27" s="421" t="str">
        <f>IF(ISBLANK(TInspectieE[[#This Row],[Aantal]]),"",ROUND(TInspectieE[[#This Row],[Kengetal]]*TInspectieE[[#This Row],[Aantal]],-1))</f>
        <v/>
      </c>
      <c r="AB27" s="422" t="str">
        <f>IF(TInspectieE[[#This Row],[Vak-groep]]="","1",VLOOKUP(C27,$J$2:$K$7,2,FALSE))</f>
        <v>1</v>
      </c>
      <c r="AC27" s="423" t="str">
        <f>CONCATENATE(TInspectieE[[#This Row],[Soort gebrek]],TInspectieE[[#This Row],[Trede]])</f>
        <v>1</v>
      </c>
      <c r="AD27" s="413" t="e">
        <v>#N/A</v>
      </c>
      <c r="AE27" s="413" t="e">
        <v>#N/A</v>
      </c>
      <c r="AF27" s="424">
        <v>0</v>
      </c>
    </row>
    <row r="28" spans="1:32" ht="10.5" x14ac:dyDescent="0.25">
      <c r="A28" s="337" t="str" cm="1">
        <f t="array" ref="A28">IFERROR(INDEX(TInventE[UVID],ROUNDDOWN((ROW(A19)+1)/2,0)),"")</f>
        <v/>
      </c>
      <c r="B28" s="410" t="str">
        <f>IF(TInspectieE[[#This Row],[UVID]]="","",VLOOKUP(TInspectieE[[#This Row],[UVID]],TInventE[],2,FALSE))</f>
        <v/>
      </c>
      <c r="C28" s="365" t="str">
        <f>IF(TInspectieE[[#This Row],[UVID]]="","",VLOOKUP(TInspectieE[[#This Row],[UVID]],TInventE[],11,FALSE))</f>
        <v/>
      </c>
      <c r="D28" s="411" t="str">
        <f>IF(TInspectieE[[#This Row],[UVID]]="","",VLOOKUP(TInspectieE[[#This Row],[UVID]],TInventE[],3,FALSE))</f>
        <v/>
      </c>
      <c r="E28" s="338" t="str">
        <f>IF(TInspectieE[[#This Row],[Omschrijving bouwdeel]]="","",IF(ISEVEN(ROW()),"O","E"))</f>
        <v/>
      </c>
      <c r="F28" s="412"/>
      <c r="G28" s="413" t="str">
        <f>IF(ISBLANK(TInspectieE[[#This Row],[Soort gebrek]]),"",VLOOKUP(TInspectieE[[#This Row],[Soort gebrek]],TSoortGebrek[#Data],3,FALSE))</f>
        <v/>
      </c>
      <c r="H28" s="413" t="str">
        <f>IF(ISBLANK(TInspectieE[[#This Row],[Soort gebrek]]),"",VLOOKUP(TInspectieE[[#This Row],[Soort gebrek]],TSoortGebrek[#Data],2,FALSE))</f>
        <v/>
      </c>
      <c r="I28" s="413" t="str">
        <f>IF(TInspectieE[[#This Row],[Soort gebrek]]=0,"",VLOOKUP(TInspectieE[[#This Row],[Soort gebrek]],TSoortGebrek[],4,FALSE))</f>
        <v/>
      </c>
      <c r="J28" s="425"/>
      <c r="K28" s="415" t="str">
        <f>IF(TInspectieE[[#This Row],[Soort gebrek]]=0,"",VLOOKUP(TInspectieE[[#This Row],[Combi]],TPrio[#Data],2,FALSE))</f>
        <v/>
      </c>
      <c r="L28" s="339"/>
      <c r="M28" s="416" t="str">
        <f>IF(ISBLANK(TInspectieE[[#This Row],[Gebrek nr.]]),"",TInspectieE[[#This Row],[UVID]]&amp;"-"&amp;TInspectieE[[#This Row],[Gebrek nr.]])</f>
        <v/>
      </c>
      <c r="N28" s="417"/>
      <c r="O28" s="418"/>
      <c r="P28" s="206"/>
      <c r="Q28" s="193"/>
      <c r="R28" s="193" t="str">
        <f>IF(OR(TInspectieE[[#This Row],[Duurzaamheid bijdrage]]="Voldoet niet aan DZH-lijn",TInspectieE[[#This Row],[Duurzaamheid bijdrage]]="Voldoet niet aan vigerende W&amp;R"),"Voldoet niet","Voldoet")</f>
        <v>Voldoet</v>
      </c>
      <c r="S28" s="206"/>
      <c r="T28" s="206"/>
      <c r="U28" s="206"/>
      <c r="V28" s="206"/>
      <c r="W28" s="206"/>
      <c r="X28" s="419"/>
      <c r="Y28" s="340"/>
      <c r="Z28" s="420"/>
      <c r="AA28" s="421" t="str">
        <f>IF(ISBLANK(TInspectieE[[#This Row],[Aantal]]),"",ROUND(TInspectieE[[#This Row],[Kengetal]]*TInspectieE[[#This Row],[Aantal]],-1))</f>
        <v/>
      </c>
      <c r="AB28" s="422" t="str">
        <f>IF(TInspectieE[[#This Row],[Vak-groep]]="","1",VLOOKUP(C28,$J$2:$K$7,2,FALSE))</f>
        <v>1</v>
      </c>
      <c r="AC28" s="423" t="str">
        <f>CONCATENATE(TInspectieE[[#This Row],[Soort gebrek]],TInspectieE[[#This Row],[Trede]])</f>
        <v>1</v>
      </c>
      <c r="AD28" s="413" t="e">
        <v>#N/A</v>
      </c>
      <c r="AE28" s="413" t="e">
        <v>#N/A</v>
      </c>
      <c r="AF28" s="424">
        <v>0</v>
      </c>
    </row>
    <row r="29" spans="1:32" ht="10.5" x14ac:dyDescent="0.25">
      <c r="A29" s="337" t="str" cm="1">
        <f t="array" ref="A29">IFERROR(INDEX(TInventE[UVID],ROUNDDOWN((ROW(A20)+1)/2,0)),"")</f>
        <v/>
      </c>
      <c r="B29" s="410" t="str">
        <f>IF(TInspectieE[[#This Row],[UVID]]="","",VLOOKUP(TInspectieE[[#This Row],[UVID]],TInventE[],2,FALSE))</f>
        <v/>
      </c>
      <c r="C29" s="365" t="str">
        <f>IF(TInspectieE[[#This Row],[UVID]]="","",VLOOKUP(TInspectieE[[#This Row],[UVID]],TInventE[],11,FALSE))</f>
        <v/>
      </c>
      <c r="D29" s="411" t="str">
        <f>IF(TInspectieE[[#This Row],[UVID]]="","",VLOOKUP(TInspectieE[[#This Row],[UVID]],TInventE[],3,FALSE))</f>
        <v/>
      </c>
      <c r="E29" s="338" t="str">
        <f>IF(TInspectieE[[#This Row],[Omschrijving bouwdeel]]="","",IF(ISEVEN(ROW()),"O","E"))</f>
        <v/>
      </c>
      <c r="F29" s="412"/>
      <c r="G29" s="413" t="str">
        <f>IF(ISBLANK(TInspectieE[[#This Row],[Soort gebrek]]),"",VLOOKUP(TInspectieE[[#This Row],[Soort gebrek]],TSoortGebrek[#Data],3,FALSE))</f>
        <v/>
      </c>
      <c r="H29" s="413" t="str">
        <f>IF(ISBLANK(TInspectieE[[#This Row],[Soort gebrek]]),"",VLOOKUP(TInspectieE[[#This Row],[Soort gebrek]],TSoortGebrek[#Data],2,FALSE))</f>
        <v/>
      </c>
      <c r="I29" s="413" t="str">
        <f>IF(TInspectieE[[#This Row],[Soort gebrek]]=0,"",VLOOKUP(TInspectieE[[#This Row],[Soort gebrek]],TSoortGebrek[],4,FALSE))</f>
        <v/>
      </c>
      <c r="J29" s="425"/>
      <c r="K29" s="415" t="str">
        <f>IF(TInspectieE[[#This Row],[Soort gebrek]]=0,"",VLOOKUP(TInspectieE[[#This Row],[Combi]],TPrio[#Data],2,FALSE))</f>
        <v/>
      </c>
      <c r="L29" s="339"/>
      <c r="M29" s="416" t="str">
        <f>IF(ISBLANK(TInspectieE[[#This Row],[Gebrek nr.]]),"",TInspectieE[[#This Row],[UVID]]&amp;"-"&amp;TInspectieE[[#This Row],[Gebrek nr.]])</f>
        <v/>
      </c>
      <c r="N29" s="417"/>
      <c r="O29" s="418"/>
      <c r="P29" s="206"/>
      <c r="Q29" s="193"/>
      <c r="R29" s="193" t="str">
        <f>IF(OR(TInspectieE[[#This Row],[Duurzaamheid bijdrage]]="Voldoet niet aan DZH-lijn",TInspectieE[[#This Row],[Duurzaamheid bijdrage]]="Voldoet niet aan vigerende W&amp;R"),"Voldoet niet","Voldoet")</f>
        <v>Voldoet</v>
      </c>
      <c r="S29" s="206"/>
      <c r="T29" s="206"/>
      <c r="U29" s="206"/>
      <c r="V29" s="206"/>
      <c r="W29" s="206"/>
      <c r="X29" s="419"/>
      <c r="Y29" s="340"/>
      <c r="Z29" s="420"/>
      <c r="AA29" s="421" t="str">
        <f>IF(ISBLANK(TInspectieE[[#This Row],[Aantal]]),"",ROUND(TInspectieE[[#This Row],[Kengetal]]*TInspectieE[[#This Row],[Aantal]],-1))</f>
        <v/>
      </c>
      <c r="AB29" s="422" t="str">
        <f>IF(TInspectieE[[#This Row],[Vak-groep]]="","1",VLOOKUP(C29,$J$2:$K$7,2,FALSE))</f>
        <v>1</v>
      </c>
      <c r="AC29" s="423" t="str">
        <f>CONCATENATE(TInspectieE[[#This Row],[Soort gebrek]],TInspectieE[[#This Row],[Trede]])</f>
        <v>1</v>
      </c>
      <c r="AD29" s="413" t="e">
        <v>#N/A</v>
      </c>
      <c r="AE29" s="413" t="e">
        <v>#N/A</v>
      </c>
      <c r="AF29" s="424">
        <v>0</v>
      </c>
    </row>
    <row r="30" spans="1:32" ht="10.5" x14ac:dyDescent="0.25">
      <c r="A30" s="337" t="str" cm="1">
        <f t="array" ref="A30">IFERROR(INDEX(TInventE[UVID],ROUNDDOWN((ROW(A21)+1)/2,0)),"")</f>
        <v/>
      </c>
      <c r="B30" s="410" t="str">
        <f>IF(TInspectieE[[#This Row],[UVID]]="","",VLOOKUP(TInspectieE[[#This Row],[UVID]],TInventE[],2,FALSE))</f>
        <v/>
      </c>
      <c r="C30" s="365" t="str">
        <f>IF(TInspectieE[[#This Row],[UVID]]="","",VLOOKUP(TInspectieE[[#This Row],[UVID]],TInventE[],11,FALSE))</f>
        <v/>
      </c>
      <c r="D30" s="411" t="str">
        <f>IF(TInspectieE[[#This Row],[UVID]]="","",VLOOKUP(TInspectieE[[#This Row],[UVID]],TInventE[],3,FALSE))</f>
        <v/>
      </c>
      <c r="E30" s="338" t="str">
        <f>IF(TInspectieE[[#This Row],[Omschrijving bouwdeel]]="","",IF(ISEVEN(ROW()),"O","E"))</f>
        <v/>
      </c>
      <c r="F30" s="412"/>
      <c r="G30" s="413" t="str">
        <f>IF(ISBLANK(TInspectieE[[#This Row],[Soort gebrek]]),"",VLOOKUP(TInspectieE[[#This Row],[Soort gebrek]],TSoortGebrek[#Data],3,FALSE))</f>
        <v/>
      </c>
      <c r="H30" s="413" t="str">
        <f>IF(ISBLANK(TInspectieE[[#This Row],[Soort gebrek]]),"",VLOOKUP(TInspectieE[[#This Row],[Soort gebrek]],TSoortGebrek[#Data],2,FALSE))</f>
        <v/>
      </c>
      <c r="I30" s="413" t="str">
        <f>IF(TInspectieE[[#This Row],[Soort gebrek]]=0,"",VLOOKUP(TInspectieE[[#This Row],[Soort gebrek]],TSoortGebrek[],4,FALSE))</f>
        <v/>
      </c>
      <c r="J30" s="425"/>
      <c r="K30" s="415" t="str">
        <f>IF(TInspectieE[[#This Row],[Soort gebrek]]=0,"",VLOOKUP(TInspectieE[[#This Row],[Combi]],TPrio[#Data],2,FALSE))</f>
        <v/>
      </c>
      <c r="L30" s="339"/>
      <c r="M30" s="416" t="str">
        <f>IF(ISBLANK(TInspectieE[[#This Row],[Gebrek nr.]]),"",TInspectieE[[#This Row],[UVID]]&amp;"-"&amp;TInspectieE[[#This Row],[Gebrek nr.]])</f>
        <v/>
      </c>
      <c r="N30" s="417"/>
      <c r="O30" s="418"/>
      <c r="P30" s="206"/>
      <c r="Q30" s="193"/>
      <c r="R30" s="193" t="str">
        <f>IF(OR(TInspectieE[[#This Row],[Duurzaamheid bijdrage]]="Voldoet niet aan DZH-lijn",TInspectieE[[#This Row],[Duurzaamheid bijdrage]]="Voldoet niet aan vigerende W&amp;R"),"Voldoet niet","Voldoet")</f>
        <v>Voldoet</v>
      </c>
      <c r="S30" s="206"/>
      <c r="T30" s="206"/>
      <c r="U30" s="206"/>
      <c r="V30" s="206"/>
      <c r="W30" s="206"/>
      <c r="X30" s="419"/>
      <c r="Y30" s="340"/>
      <c r="Z30" s="420"/>
      <c r="AA30" s="421" t="str">
        <f>IF(ISBLANK(TInspectieE[[#This Row],[Aantal]]),"",ROUND(TInspectieE[[#This Row],[Kengetal]]*TInspectieE[[#This Row],[Aantal]],-1))</f>
        <v/>
      </c>
      <c r="AB30" s="422" t="str">
        <f>IF(TInspectieE[[#This Row],[Vak-groep]]="","1",VLOOKUP(C30,$J$2:$K$7,2,FALSE))</f>
        <v>1</v>
      </c>
      <c r="AC30" s="423" t="str">
        <f>CONCATENATE(TInspectieE[[#This Row],[Soort gebrek]],TInspectieE[[#This Row],[Trede]])</f>
        <v>1</v>
      </c>
      <c r="AD30" s="413" t="e">
        <v>#N/A</v>
      </c>
      <c r="AE30" s="413" t="e">
        <v>#N/A</v>
      </c>
      <c r="AF30" s="424">
        <v>0</v>
      </c>
    </row>
    <row r="31" spans="1:32" ht="10.5" x14ac:dyDescent="0.25">
      <c r="A31" s="337" t="str" cm="1">
        <f t="array" ref="A31">IFERROR(INDEX(TInventE[UVID],ROUNDDOWN((ROW(A22)+1)/2,0)),"")</f>
        <v/>
      </c>
      <c r="B31" s="410" t="str">
        <f>IF(TInspectieE[[#This Row],[UVID]]="","",VLOOKUP(TInspectieE[[#This Row],[UVID]],TInventE[],2,FALSE))</f>
        <v/>
      </c>
      <c r="C31" s="365" t="str">
        <f>IF(TInspectieE[[#This Row],[UVID]]="","",VLOOKUP(TInspectieE[[#This Row],[UVID]],TInventE[],11,FALSE))</f>
        <v/>
      </c>
      <c r="D31" s="411" t="str">
        <f>IF(TInspectieE[[#This Row],[UVID]]="","",VLOOKUP(TInspectieE[[#This Row],[UVID]],TInventE[],3,FALSE))</f>
        <v/>
      </c>
      <c r="E31" s="338" t="str">
        <f>IF(TInspectieE[[#This Row],[Omschrijving bouwdeel]]="","",IF(ISEVEN(ROW()),"O","E"))</f>
        <v/>
      </c>
      <c r="F31" s="412"/>
      <c r="G31" s="413" t="str">
        <f>IF(ISBLANK(TInspectieE[[#This Row],[Soort gebrek]]),"",VLOOKUP(TInspectieE[[#This Row],[Soort gebrek]],TSoortGebrek[#Data],3,FALSE))</f>
        <v/>
      </c>
      <c r="H31" s="413" t="str">
        <f>IF(ISBLANK(TInspectieE[[#This Row],[Soort gebrek]]),"",VLOOKUP(TInspectieE[[#This Row],[Soort gebrek]],TSoortGebrek[#Data],2,FALSE))</f>
        <v/>
      </c>
      <c r="I31" s="413" t="str">
        <f>IF(TInspectieE[[#This Row],[Soort gebrek]]=0,"",VLOOKUP(TInspectieE[[#This Row],[Soort gebrek]],TSoortGebrek[],4,FALSE))</f>
        <v/>
      </c>
      <c r="J31" s="425"/>
      <c r="K31" s="415" t="str">
        <f>IF(TInspectieE[[#This Row],[Soort gebrek]]=0,"",VLOOKUP(TInspectieE[[#This Row],[Combi]],TPrio[#Data],2,FALSE))</f>
        <v/>
      </c>
      <c r="L31" s="339"/>
      <c r="M31" s="416" t="str">
        <f>IF(ISBLANK(TInspectieE[[#This Row],[Gebrek nr.]]),"",TInspectieE[[#This Row],[UVID]]&amp;"-"&amp;TInspectieE[[#This Row],[Gebrek nr.]])</f>
        <v/>
      </c>
      <c r="N31" s="417"/>
      <c r="O31" s="418"/>
      <c r="P31" s="206"/>
      <c r="Q31" s="193"/>
      <c r="R31" s="193" t="str">
        <f>IF(OR(TInspectieE[[#This Row],[Duurzaamheid bijdrage]]="Voldoet niet aan DZH-lijn",TInspectieE[[#This Row],[Duurzaamheid bijdrage]]="Voldoet niet aan vigerende W&amp;R"),"Voldoet niet","Voldoet")</f>
        <v>Voldoet</v>
      </c>
      <c r="S31" s="206"/>
      <c r="T31" s="206"/>
      <c r="U31" s="206"/>
      <c r="V31" s="206"/>
      <c r="W31" s="206"/>
      <c r="X31" s="419"/>
      <c r="Y31" s="340"/>
      <c r="Z31" s="420"/>
      <c r="AA31" s="421" t="str">
        <f>IF(ISBLANK(TInspectieE[[#This Row],[Aantal]]),"",ROUND(TInspectieE[[#This Row],[Kengetal]]*TInspectieE[[#This Row],[Aantal]],-1))</f>
        <v/>
      </c>
      <c r="AB31" s="422" t="str">
        <f>IF(TInspectieE[[#This Row],[Vak-groep]]="","1",VLOOKUP(C31,$J$2:$K$7,2,FALSE))</f>
        <v>1</v>
      </c>
      <c r="AC31" s="423" t="str">
        <f>CONCATENATE(TInspectieE[[#This Row],[Soort gebrek]],TInspectieE[[#This Row],[Trede]])</f>
        <v>1</v>
      </c>
      <c r="AD31" s="413" t="e">
        <v>#N/A</v>
      </c>
      <c r="AE31" s="413" t="e">
        <v>#N/A</v>
      </c>
      <c r="AF31" s="424">
        <v>0</v>
      </c>
    </row>
    <row r="32" spans="1:32" ht="10.5" x14ac:dyDescent="0.25">
      <c r="A32" s="337" t="str" cm="1">
        <f t="array" ref="A32">IFERROR(INDEX(TInventE[UVID],ROUNDDOWN((ROW(A23)+1)/2,0)),"")</f>
        <v/>
      </c>
      <c r="B32" s="410" t="str">
        <f>IF(TInspectieE[[#This Row],[UVID]]="","",VLOOKUP(TInspectieE[[#This Row],[UVID]],TInventE[],2,FALSE))</f>
        <v/>
      </c>
      <c r="C32" s="365" t="str">
        <f>IF(TInspectieE[[#This Row],[UVID]]="","",VLOOKUP(TInspectieE[[#This Row],[UVID]],TInventE[],11,FALSE))</f>
        <v/>
      </c>
      <c r="D32" s="411" t="str">
        <f>IF(TInspectieE[[#This Row],[UVID]]="","",VLOOKUP(TInspectieE[[#This Row],[UVID]],TInventE[],3,FALSE))</f>
        <v/>
      </c>
      <c r="E32" s="338" t="str">
        <f>IF(TInspectieE[[#This Row],[Omschrijving bouwdeel]]="","",IF(ISEVEN(ROW()),"O","E"))</f>
        <v/>
      </c>
      <c r="F32" s="412"/>
      <c r="G32" s="413" t="str">
        <f>IF(ISBLANK(TInspectieE[[#This Row],[Soort gebrek]]),"",VLOOKUP(TInspectieE[[#This Row],[Soort gebrek]],TSoortGebrek[#Data],3,FALSE))</f>
        <v/>
      </c>
      <c r="H32" s="413" t="str">
        <f>IF(ISBLANK(TInspectieE[[#This Row],[Soort gebrek]]),"",VLOOKUP(TInspectieE[[#This Row],[Soort gebrek]],TSoortGebrek[#Data],2,FALSE))</f>
        <v/>
      </c>
      <c r="I32" s="413" t="str">
        <f>IF(TInspectieE[[#This Row],[Soort gebrek]]=0,"",VLOOKUP(TInspectieE[[#This Row],[Soort gebrek]],TSoortGebrek[],4,FALSE))</f>
        <v/>
      </c>
      <c r="J32" s="425"/>
      <c r="K32" s="415" t="str">
        <f>IF(TInspectieE[[#This Row],[Soort gebrek]]=0,"",VLOOKUP(TInspectieE[[#This Row],[Combi]],TPrio[#Data],2,FALSE))</f>
        <v/>
      </c>
      <c r="L32" s="339"/>
      <c r="M32" s="416" t="str">
        <f>IF(ISBLANK(TInspectieE[[#This Row],[Gebrek nr.]]),"",TInspectieE[[#This Row],[UVID]]&amp;"-"&amp;TInspectieE[[#This Row],[Gebrek nr.]])</f>
        <v/>
      </c>
      <c r="N32" s="417"/>
      <c r="O32" s="418"/>
      <c r="P32" s="206"/>
      <c r="Q32" s="193"/>
      <c r="R32" s="193" t="str">
        <f>IF(OR(TInspectieE[[#This Row],[Duurzaamheid bijdrage]]="Voldoet niet aan DZH-lijn",TInspectieE[[#This Row],[Duurzaamheid bijdrage]]="Voldoet niet aan vigerende W&amp;R"),"Voldoet niet","Voldoet")</f>
        <v>Voldoet</v>
      </c>
      <c r="S32" s="206"/>
      <c r="T32" s="206"/>
      <c r="U32" s="206"/>
      <c r="V32" s="206"/>
      <c r="W32" s="206"/>
      <c r="X32" s="419"/>
      <c r="Y32" s="340"/>
      <c r="Z32" s="420"/>
      <c r="AA32" s="421" t="str">
        <f>IF(ISBLANK(TInspectieE[[#This Row],[Aantal]]),"",ROUND(TInspectieE[[#This Row],[Kengetal]]*TInspectieE[[#This Row],[Aantal]],-1))</f>
        <v/>
      </c>
      <c r="AB32" s="422" t="str">
        <f>IF(TInspectieE[[#This Row],[Vak-groep]]="","1",VLOOKUP(C32,$J$2:$K$7,2,FALSE))</f>
        <v>1</v>
      </c>
      <c r="AC32" s="423" t="str">
        <f>CONCATENATE(TInspectieE[[#This Row],[Soort gebrek]],TInspectieE[[#This Row],[Trede]])</f>
        <v>1</v>
      </c>
      <c r="AD32" s="413" t="e">
        <v>#N/A</v>
      </c>
      <c r="AE32" s="413" t="e">
        <v>#N/A</v>
      </c>
      <c r="AF32" s="424">
        <v>0</v>
      </c>
    </row>
    <row r="33" spans="1:32" ht="10.5" x14ac:dyDescent="0.25">
      <c r="A33" s="337" t="str" cm="1">
        <f t="array" ref="A33">IFERROR(INDEX(TInventE[UVID],ROUNDDOWN((ROW(A24)+1)/2,0)),"")</f>
        <v/>
      </c>
      <c r="B33" s="410" t="str">
        <f>IF(TInspectieE[[#This Row],[UVID]]="","",VLOOKUP(TInspectieE[[#This Row],[UVID]],TInventE[],2,FALSE))</f>
        <v/>
      </c>
      <c r="C33" s="365" t="str">
        <f>IF(TInspectieE[[#This Row],[UVID]]="","",VLOOKUP(TInspectieE[[#This Row],[UVID]],TInventE[],11,FALSE))</f>
        <v/>
      </c>
      <c r="D33" s="411" t="str">
        <f>IF(TInspectieE[[#This Row],[UVID]]="","",VLOOKUP(TInspectieE[[#This Row],[UVID]],TInventE[],3,FALSE))</f>
        <v/>
      </c>
      <c r="E33" s="338" t="str">
        <f>IF(TInspectieE[[#This Row],[Omschrijving bouwdeel]]="","",IF(ISEVEN(ROW()),"O","E"))</f>
        <v/>
      </c>
      <c r="F33" s="412"/>
      <c r="G33" s="413" t="str">
        <f>IF(ISBLANK(TInspectieE[[#This Row],[Soort gebrek]]),"",VLOOKUP(TInspectieE[[#This Row],[Soort gebrek]],TSoortGebrek[#Data],3,FALSE))</f>
        <v/>
      </c>
      <c r="H33" s="413" t="str">
        <f>IF(ISBLANK(TInspectieE[[#This Row],[Soort gebrek]]),"",VLOOKUP(TInspectieE[[#This Row],[Soort gebrek]],TSoortGebrek[#Data],2,FALSE))</f>
        <v/>
      </c>
      <c r="I33" s="413" t="str">
        <f>IF(TInspectieE[[#This Row],[Soort gebrek]]=0,"",VLOOKUP(TInspectieE[[#This Row],[Soort gebrek]],TSoortGebrek[],4,FALSE))</f>
        <v/>
      </c>
      <c r="J33" s="425"/>
      <c r="K33" s="415" t="str">
        <f>IF(TInspectieE[[#This Row],[Soort gebrek]]=0,"",VLOOKUP(TInspectieE[[#This Row],[Combi]],TPrio[#Data],2,FALSE))</f>
        <v/>
      </c>
      <c r="L33" s="339"/>
      <c r="M33" s="416" t="str">
        <f>IF(ISBLANK(TInspectieE[[#This Row],[Gebrek nr.]]),"",TInspectieE[[#This Row],[UVID]]&amp;"-"&amp;TInspectieE[[#This Row],[Gebrek nr.]])</f>
        <v/>
      </c>
      <c r="N33" s="417"/>
      <c r="O33" s="418"/>
      <c r="P33" s="206"/>
      <c r="Q33" s="193"/>
      <c r="R33" s="193" t="str">
        <f>IF(OR(TInspectieE[[#This Row],[Duurzaamheid bijdrage]]="Voldoet niet aan DZH-lijn",TInspectieE[[#This Row],[Duurzaamheid bijdrage]]="Voldoet niet aan vigerende W&amp;R"),"Voldoet niet","Voldoet")</f>
        <v>Voldoet</v>
      </c>
      <c r="S33" s="206"/>
      <c r="T33" s="206"/>
      <c r="U33" s="206"/>
      <c r="V33" s="206"/>
      <c r="W33" s="206"/>
      <c r="X33" s="419"/>
      <c r="Y33" s="340"/>
      <c r="Z33" s="420"/>
      <c r="AA33" s="421" t="str">
        <f>IF(ISBLANK(TInspectieE[[#This Row],[Aantal]]),"",ROUND(TInspectieE[[#This Row],[Kengetal]]*TInspectieE[[#This Row],[Aantal]],-1))</f>
        <v/>
      </c>
      <c r="AB33" s="422" t="str">
        <f>IF(TInspectieE[[#This Row],[Vak-groep]]="","1",VLOOKUP(C33,$J$2:$K$7,2,FALSE))</f>
        <v>1</v>
      </c>
      <c r="AC33" s="423" t="str">
        <f>CONCATENATE(TInspectieE[[#This Row],[Soort gebrek]],TInspectieE[[#This Row],[Trede]])</f>
        <v>1</v>
      </c>
      <c r="AD33" s="413" t="e">
        <v>#N/A</v>
      </c>
      <c r="AE33" s="413" t="e">
        <v>#N/A</v>
      </c>
      <c r="AF33" s="424">
        <v>0</v>
      </c>
    </row>
    <row r="34" spans="1:32" ht="10.5" x14ac:dyDescent="0.25">
      <c r="A34" s="337" t="str" cm="1">
        <f t="array" ref="A34">IFERROR(INDEX(TInventE[UVID],ROUNDDOWN((ROW(A25)+1)/2,0)),"")</f>
        <v/>
      </c>
      <c r="B34" s="410" t="str">
        <f>IF(TInspectieE[[#This Row],[UVID]]="","",VLOOKUP(TInspectieE[[#This Row],[UVID]],TInventE[],2,FALSE))</f>
        <v/>
      </c>
      <c r="C34" s="365" t="str">
        <f>IF(TInspectieE[[#This Row],[UVID]]="","",VLOOKUP(TInspectieE[[#This Row],[UVID]],TInventE[],11,FALSE))</f>
        <v/>
      </c>
      <c r="D34" s="411" t="str">
        <f>IF(TInspectieE[[#This Row],[UVID]]="","",VLOOKUP(TInspectieE[[#This Row],[UVID]],TInventE[],3,FALSE))</f>
        <v/>
      </c>
      <c r="E34" s="338" t="str">
        <f>IF(TInspectieE[[#This Row],[Omschrijving bouwdeel]]="","",IF(ISEVEN(ROW()),"O","E"))</f>
        <v/>
      </c>
      <c r="F34" s="412"/>
      <c r="G34" s="413" t="str">
        <f>IF(ISBLANK(TInspectieE[[#This Row],[Soort gebrek]]),"",VLOOKUP(TInspectieE[[#This Row],[Soort gebrek]],TSoortGebrek[#Data],3,FALSE))</f>
        <v/>
      </c>
      <c r="H34" s="413" t="str">
        <f>IF(ISBLANK(TInspectieE[[#This Row],[Soort gebrek]]),"",VLOOKUP(TInspectieE[[#This Row],[Soort gebrek]],TSoortGebrek[#Data],2,FALSE))</f>
        <v/>
      </c>
      <c r="I34" s="413" t="str">
        <f>IF(TInspectieE[[#This Row],[Soort gebrek]]=0,"",VLOOKUP(TInspectieE[[#This Row],[Soort gebrek]],TSoortGebrek[],4,FALSE))</f>
        <v/>
      </c>
      <c r="J34" s="425"/>
      <c r="K34" s="415" t="str">
        <f>IF(TInspectieE[[#This Row],[Soort gebrek]]=0,"",VLOOKUP(TInspectieE[[#This Row],[Combi]],TPrio[#Data],2,FALSE))</f>
        <v/>
      </c>
      <c r="L34" s="339"/>
      <c r="M34" s="416" t="str">
        <f>IF(ISBLANK(TInspectieE[[#This Row],[Gebrek nr.]]),"",TInspectieE[[#This Row],[UVID]]&amp;"-"&amp;TInspectieE[[#This Row],[Gebrek nr.]])</f>
        <v/>
      </c>
      <c r="N34" s="417"/>
      <c r="O34" s="418"/>
      <c r="P34" s="206"/>
      <c r="Q34" s="193"/>
      <c r="R34" s="193" t="str">
        <f>IF(OR(TInspectieE[[#This Row],[Duurzaamheid bijdrage]]="Voldoet niet aan DZH-lijn",TInspectieE[[#This Row],[Duurzaamheid bijdrage]]="Voldoet niet aan vigerende W&amp;R"),"Voldoet niet","Voldoet")</f>
        <v>Voldoet</v>
      </c>
      <c r="S34" s="206"/>
      <c r="T34" s="206"/>
      <c r="U34" s="206"/>
      <c r="V34" s="206"/>
      <c r="W34" s="206"/>
      <c r="X34" s="419"/>
      <c r="Y34" s="340"/>
      <c r="Z34" s="420"/>
      <c r="AA34" s="421" t="str">
        <f>IF(ISBLANK(TInspectieE[[#This Row],[Aantal]]),"",ROUND(TInspectieE[[#This Row],[Kengetal]]*TInspectieE[[#This Row],[Aantal]],-1))</f>
        <v/>
      </c>
      <c r="AB34" s="422" t="str">
        <f>IF(TInspectieE[[#This Row],[Vak-groep]]="","1",VLOOKUP(C34,$J$2:$K$7,2,FALSE))</f>
        <v>1</v>
      </c>
      <c r="AC34" s="423" t="str">
        <f>CONCATENATE(TInspectieE[[#This Row],[Soort gebrek]],TInspectieE[[#This Row],[Trede]])</f>
        <v>1</v>
      </c>
      <c r="AD34" s="413" t="e">
        <v>#N/A</v>
      </c>
      <c r="AE34" s="413" t="e">
        <v>#N/A</v>
      </c>
      <c r="AF34" s="424">
        <v>0</v>
      </c>
    </row>
    <row r="35" spans="1:32" ht="10.5" x14ac:dyDescent="0.25">
      <c r="A35" s="337" t="str" cm="1">
        <f t="array" ref="A35">IFERROR(INDEX(TInventE[UVID],ROUNDDOWN((ROW(A26)+1)/2,0)),"")</f>
        <v/>
      </c>
      <c r="B35" s="410" t="str">
        <f>IF(TInspectieE[[#This Row],[UVID]]="","",VLOOKUP(TInspectieE[[#This Row],[UVID]],TInventE[],2,FALSE))</f>
        <v/>
      </c>
      <c r="C35" s="365" t="str">
        <f>IF(TInspectieE[[#This Row],[UVID]]="","",VLOOKUP(TInspectieE[[#This Row],[UVID]],TInventE[],11,FALSE))</f>
        <v/>
      </c>
      <c r="D35" s="411" t="str">
        <f>IF(TInspectieE[[#This Row],[UVID]]="","",VLOOKUP(TInspectieE[[#This Row],[UVID]],TInventE[],3,FALSE))</f>
        <v/>
      </c>
      <c r="E35" s="338" t="str">
        <f>IF(TInspectieE[[#This Row],[Omschrijving bouwdeel]]="","",IF(ISEVEN(ROW()),"O","E"))</f>
        <v/>
      </c>
      <c r="F35" s="412"/>
      <c r="G35" s="413" t="str">
        <f>IF(ISBLANK(TInspectieE[[#This Row],[Soort gebrek]]),"",VLOOKUP(TInspectieE[[#This Row],[Soort gebrek]],TSoortGebrek[#Data],3,FALSE))</f>
        <v/>
      </c>
      <c r="H35" s="413" t="str">
        <f>IF(ISBLANK(TInspectieE[[#This Row],[Soort gebrek]]),"",VLOOKUP(TInspectieE[[#This Row],[Soort gebrek]],TSoortGebrek[#Data],2,FALSE))</f>
        <v/>
      </c>
      <c r="I35" s="413" t="str">
        <f>IF(TInspectieE[[#This Row],[Soort gebrek]]=0,"",VLOOKUP(TInspectieE[[#This Row],[Soort gebrek]],TSoortGebrek[],4,FALSE))</f>
        <v/>
      </c>
      <c r="J35" s="425"/>
      <c r="K35" s="415" t="str">
        <f>IF(TInspectieE[[#This Row],[Soort gebrek]]=0,"",VLOOKUP(TInspectieE[[#This Row],[Combi]],TPrio[#Data],2,FALSE))</f>
        <v/>
      </c>
      <c r="L35" s="339"/>
      <c r="M35" s="416" t="str">
        <f>IF(ISBLANK(TInspectieE[[#This Row],[Gebrek nr.]]),"",TInspectieE[[#This Row],[UVID]]&amp;"-"&amp;TInspectieE[[#This Row],[Gebrek nr.]])</f>
        <v/>
      </c>
      <c r="N35" s="417"/>
      <c r="O35" s="418"/>
      <c r="P35" s="206"/>
      <c r="Q35" s="193"/>
      <c r="R35" s="193" t="str">
        <f>IF(OR(TInspectieE[[#This Row],[Duurzaamheid bijdrage]]="Voldoet niet aan DZH-lijn",TInspectieE[[#This Row],[Duurzaamheid bijdrage]]="Voldoet niet aan vigerende W&amp;R"),"Voldoet niet","Voldoet")</f>
        <v>Voldoet</v>
      </c>
      <c r="S35" s="206"/>
      <c r="T35" s="206"/>
      <c r="U35" s="206"/>
      <c r="V35" s="206"/>
      <c r="W35" s="206"/>
      <c r="X35" s="419"/>
      <c r="Y35" s="340"/>
      <c r="Z35" s="420"/>
      <c r="AA35" s="421" t="str">
        <f>IF(ISBLANK(TInspectieE[[#This Row],[Aantal]]),"",ROUND(TInspectieE[[#This Row],[Kengetal]]*TInspectieE[[#This Row],[Aantal]],-1))</f>
        <v/>
      </c>
      <c r="AB35" s="422" t="str">
        <f>IF(TInspectieE[[#This Row],[Vak-groep]]="","1",VLOOKUP(C35,$J$2:$K$7,2,FALSE))</f>
        <v>1</v>
      </c>
      <c r="AC35" s="423" t="str">
        <f>CONCATENATE(TInspectieE[[#This Row],[Soort gebrek]],TInspectieE[[#This Row],[Trede]])</f>
        <v>1</v>
      </c>
      <c r="AD35" s="413" t="e">
        <v>#N/A</v>
      </c>
      <c r="AE35" s="413" t="e">
        <v>#N/A</v>
      </c>
      <c r="AF35" s="424">
        <v>0</v>
      </c>
    </row>
    <row r="36" spans="1:32" ht="10.5" x14ac:dyDescent="0.25">
      <c r="A36" s="337" t="str" cm="1">
        <f t="array" ref="A36">IFERROR(INDEX(TInventE[UVID],ROUNDDOWN((ROW(A27)+1)/2,0)),"")</f>
        <v/>
      </c>
      <c r="B36" s="410" t="str">
        <f>IF(TInspectieE[[#This Row],[UVID]]="","",VLOOKUP(TInspectieE[[#This Row],[UVID]],TInventE[],2,FALSE))</f>
        <v/>
      </c>
      <c r="C36" s="365" t="str">
        <f>IF(TInspectieE[[#This Row],[UVID]]="","",VLOOKUP(TInspectieE[[#This Row],[UVID]],TInventE[],11,FALSE))</f>
        <v/>
      </c>
      <c r="D36" s="411" t="str">
        <f>IF(TInspectieE[[#This Row],[UVID]]="","",VLOOKUP(TInspectieE[[#This Row],[UVID]],TInventE[],3,FALSE))</f>
        <v/>
      </c>
      <c r="E36" s="338" t="str">
        <f>IF(TInspectieE[[#This Row],[Omschrijving bouwdeel]]="","",IF(ISEVEN(ROW()),"O","E"))</f>
        <v/>
      </c>
      <c r="F36" s="412"/>
      <c r="G36" s="413" t="str">
        <f>IF(ISBLANK(TInspectieE[[#This Row],[Soort gebrek]]),"",VLOOKUP(TInspectieE[[#This Row],[Soort gebrek]],TSoortGebrek[#Data],3,FALSE))</f>
        <v/>
      </c>
      <c r="H36" s="413" t="str">
        <f>IF(ISBLANK(TInspectieE[[#This Row],[Soort gebrek]]),"",VLOOKUP(TInspectieE[[#This Row],[Soort gebrek]],TSoortGebrek[#Data],2,FALSE))</f>
        <v/>
      </c>
      <c r="I36" s="413" t="str">
        <f>IF(TInspectieE[[#This Row],[Soort gebrek]]=0,"",VLOOKUP(TInspectieE[[#This Row],[Soort gebrek]],TSoortGebrek[],4,FALSE))</f>
        <v/>
      </c>
      <c r="J36" s="425"/>
      <c r="K36" s="415" t="str">
        <f>IF(TInspectieE[[#This Row],[Soort gebrek]]=0,"",VLOOKUP(TInspectieE[[#This Row],[Combi]],TPrio[#Data],2,FALSE))</f>
        <v/>
      </c>
      <c r="L36" s="339"/>
      <c r="M36" s="416" t="str">
        <f>IF(ISBLANK(TInspectieE[[#This Row],[Gebrek nr.]]),"",TInspectieE[[#This Row],[UVID]]&amp;"-"&amp;TInspectieE[[#This Row],[Gebrek nr.]])</f>
        <v/>
      </c>
      <c r="N36" s="417"/>
      <c r="O36" s="418"/>
      <c r="P36" s="206"/>
      <c r="Q36" s="193"/>
      <c r="R36" s="193" t="str">
        <f>IF(OR(TInspectieE[[#This Row],[Duurzaamheid bijdrage]]="Voldoet niet aan DZH-lijn",TInspectieE[[#This Row],[Duurzaamheid bijdrage]]="Voldoet niet aan vigerende W&amp;R"),"Voldoet niet","Voldoet")</f>
        <v>Voldoet</v>
      </c>
      <c r="S36" s="206"/>
      <c r="T36" s="206"/>
      <c r="U36" s="206"/>
      <c r="V36" s="206"/>
      <c r="W36" s="206"/>
      <c r="X36" s="419"/>
      <c r="Y36" s="340"/>
      <c r="Z36" s="420"/>
      <c r="AA36" s="421" t="str">
        <f>IF(ISBLANK(TInspectieE[[#This Row],[Aantal]]),"",ROUND(TInspectieE[[#This Row],[Kengetal]]*TInspectieE[[#This Row],[Aantal]],-1))</f>
        <v/>
      </c>
      <c r="AB36" s="422" t="str">
        <f>IF(TInspectieE[[#This Row],[Vak-groep]]="","1",VLOOKUP(C36,$J$2:$K$7,2,FALSE))</f>
        <v>1</v>
      </c>
      <c r="AC36" s="423" t="str">
        <f>CONCATENATE(TInspectieE[[#This Row],[Soort gebrek]],TInspectieE[[#This Row],[Trede]])</f>
        <v>1</v>
      </c>
      <c r="AD36" s="413" t="e">
        <v>#N/A</v>
      </c>
      <c r="AE36" s="413" t="e">
        <v>#N/A</v>
      </c>
      <c r="AF36" s="424">
        <v>0</v>
      </c>
    </row>
    <row r="37" spans="1:32" ht="10.5" x14ac:dyDescent="0.25">
      <c r="A37" s="337" t="str" cm="1">
        <f t="array" ref="A37">IFERROR(INDEX(TInventE[UVID],ROUNDDOWN((ROW(A28)+1)/2,0)),"")</f>
        <v/>
      </c>
      <c r="B37" s="410" t="str">
        <f>IF(TInspectieE[[#This Row],[UVID]]="","",VLOOKUP(TInspectieE[[#This Row],[UVID]],TInventE[],2,FALSE))</f>
        <v/>
      </c>
      <c r="C37" s="365" t="str">
        <f>IF(TInspectieE[[#This Row],[UVID]]="","",VLOOKUP(TInspectieE[[#This Row],[UVID]],TInventE[],11,FALSE))</f>
        <v/>
      </c>
      <c r="D37" s="411" t="str">
        <f>IF(TInspectieE[[#This Row],[UVID]]="","",VLOOKUP(TInspectieE[[#This Row],[UVID]],TInventE[],3,FALSE))</f>
        <v/>
      </c>
      <c r="E37" s="338" t="str">
        <f>IF(TInspectieE[[#This Row],[Omschrijving bouwdeel]]="","",IF(ISEVEN(ROW()),"O","E"))</f>
        <v/>
      </c>
      <c r="F37" s="412"/>
      <c r="G37" s="413" t="str">
        <f>IF(ISBLANK(TInspectieE[[#This Row],[Soort gebrek]]),"",VLOOKUP(TInspectieE[[#This Row],[Soort gebrek]],TSoortGebrek[#Data],3,FALSE))</f>
        <v/>
      </c>
      <c r="H37" s="413" t="str">
        <f>IF(ISBLANK(TInspectieE[[#This Row],[Soort gebrek]]),"",VLOOKUP(TInspectieE[[#This Row],[Soort gebrek]],TSoortGebrek[#Data],2,FALSE))</f>
        <v/>
      </c>
      <c r="I37" s="413" t="str">
        <f>IF(TInspectieE[[#This Row],[Soort gebrek]]=0,"",VLOOKUP(TInspectieE[[#This Row],[Soort gebrek]],TSoortGebrek[],4,FALSE))</f>
        <v/>
      </c>
      <c r="J37" s="425"/>
      <c r="K37" s="415" t="str">
        <f>IF(TInspectieE[[#This Row],[Soort gebrek]]=0,"",VLOOKUP(TInspectieE[[#This Row],[Combi]],TPrio[#Data],2,FALSE))</f>
        <v/>
      </c>
      <c r="L37" s="339"/>
      <c r="M37" s="416" t="str">
        <f>IF(ISBLANK(TInspectieE[[#This Row],[Gebrek nr.]]),"",TInspectieE[[#This Row],[UVID]]&amp;"-"&amp;TInspectieE[[#This Row],[Gebrek nr.]])</f>
        <v/>
      </c>
      <c r="N37" s="417"/>
      <c r="O37" s="418"/>
      <c r="P37" s="206"/>
      <c r="Q37" s="193"/>
      <c r="R37" s="193" t="str">
        <f>IF(OR(TInspectieE[[#This Row],[Duurzaamheid bijdrage]]="Voldoet niet aan DZH-lijn",TInspectieE[[#This Row],[Duurzaamheid bijdrage]]="Voldoet niet aan vigerende W&amp;R"),"Voldoet niet","Voldoet")</f>
        <v>Voldoet</v>
      </c>
      <c r="S37" s="206"/>
      <c r="T37" s="206"/>
      <c r="U37" s="206"/>
      <c r="V37" s="206"/>
      <c r="W37" s="206"/>
      <c r="X37" s="419"/>
      <c r="Y37" s="340"/>
      <c r="Z37" s="420"/>
      <c r="AA37" s="421" t="str">
        <f>IF(ISBLANK(TInspectieE[[#This Row],[Aantal]]),"",ROUND(TInspectieE[[#This Row],[Kengetal]]*TInspectieE[[#This Row],[Aantal]],-1))</f>
        <v/>
      </c>
      <c r="AB37" s="422" t="str">
        <f>IF(TInspectieE[[#This Row],[Vak-groep]]="","1",VLOOKUP(C37,$J$2:$K$7,2,FALSE))</f>
        <v>1</v>
      </c>
      <c r="AC37" s="423" t="str">
        <f>CONCATENATE(TInspectieE[[#This Row],[Soort gebrek]],TInspectieE[[#This Row],[Trede]])</f>
        <v>1</v>
      </c>
      <c r="AD37" s="413" t="e">
        <v>#N/A</v>
      </c>
      <c r="AE37" s="413" t="e">
        <v>#N/A</v>
      </c>
      <c r="AF37" s="424">
        <v>0</v>
      </c>
    </row>
    <row r="38" spans="1:32" ht="10.5" x14ac:dyDescent="0.25">
      <c r="A38" s="337" t="str" cm="1">
        <f t="array" ref="A38">IFERROR(INDEX(TInventE[UVID],ROUNDDOWN((ROW(A29)+1)/2,0)),"")</f>
        <v/>
      </c>
      <c r="B38" s="410" t="str">
        <f>IF(TInspectieE[[#This Row],[UVID]]="","",VLOOKUP(TInspectieE[[#This Row],[UVID]],TInventE[],2,FALSE))</f>
        <v/>
      </c>
      <c r="C38" s="365" t="str">
        <f>IF(TInspectieE[[#This Row],[UVID]]="","",VLOOKUP(TInspectieE[[#This Row],[UVID]],TInventE[],11,FALSE))</f>
        <v/>
      </c>
      <c r="D38" s="411" t="str">
        <f>IF(TInspectieE[[#This Row],[UVID]]="","",VLOOKUP(TInspectieE[[#This Row],[UVID]],TInventE[],3,FALSE))</f>
        <v/>
      </c>
      <c r="E38" s="338" t="str">
        <f>IF(TInspectieE[[#This Row],[Omschrijving bouwdeel]]="","",IF(ISEVEN(ROW()),"O","E"))</f>
        <v/>
      </c>
      <c r="F38" s="412"/>
      <c r="G38" s="413" t="str">
        <f>IF(ISBLANK(TInspectieE[[#This Row],[Soort gebrek]]),"",VLOOKUP(TInspectieE[[#This Row],[Soort gebrek]],TSoortGebrek[#Data],3,FALSE))</f>
        <v/>
      </c>
      <c r="H38" s="413" t="str">
        <f>IF(ISBLANK(TInspectieE[[#This Row],[Soort gebrek]]),"",VLOOKUP(TInspectieE[[#This Row],[Soort gebrek]],TSoortGebrek[#Data],2,FALSE))</f>
        <v/>
      </c>
      <c r="I38" s="413" t="str">
        <f>IF(TInspectieE[[#This Row],[Soort gebrek]]=0,"",VLOOKUP(TInspectieE[[#This Row],[Soort gebrek]],TSoortGebrek[],4,FALSE))</f>
        <v/>
      </c>
      <c r="J38" s="425"/>
      <c r="K38" s="415" t="str">
        <f>IF(TInspectieE[[#This Row],[Soort gebrek]]=0,"",VLOOKUP(TInspectieE[[#This Row],[Combi]],TPrio[#Data],2,FALSE))</f>
        <v/>
      </c>
      <c r="L38" s="339"/>
      <c r="M38" s="416" t="str">
        <f>IF(ISBLANK(TInspectieE[[#This Row],[Gebrek nr.]]),"",TInspectieE[[#This Row],[UVID]]&amp;"-"&amp;TInspectieE[[#This Row],[Gebrek nr.]])</f>
        <v/>
      </c>
      <c r="N38" s="417"/>
      <c r="O38" s="418"/>
      <c r="P38" s="206"/>
      <c r="Q38" s="193"/>
      <c r="R38" s="193" t="str">
        <f>IF(OR(TInspectieE[[#This Row],[Duurzaamheid bijdrage]]="Voldoet niet aan DZH-lijn",TInspectieE[[#This Row],[Duurzaamheid bijdrage]]="Voldoet niet aan vigerende W&amp;R"),"Voldoet niet","Voldoet")</f>
        <v>Voldoet</v>
      </c>
      <c r="S38" s="206"/>
      <c r="T38" s="206"/>
      <c r="U38" s="206"/>
      <c r="V38" s="206"/>
      <c r="W38" s="206"/>
      <c r="X38" s="419"/>
      <c r="Y38" s="340"/>
      <c r="Z38" s="420"/>
      <c r="AA38" s="421" t="str">
        <f>IF(ISBLANK(TInspectieE[[#This Row],[Aantal]]),"",ROUND(TInspectieE[[#This Row],[Kengetal]]*TInspectieE[[#This Row],[Aantal]],-1))</f>
        <v/>
      </c>
      <c r="AB38" s="422" t="str">
        <f>IF(TInspectieE[[#This Row],[Vak-groep]]="","1",VLOOKUP(C38,$J$2:$K$7,2,FALSE))</f>
        <v>1</v>
      </c>
      <c r="AC38" s="423" t="str">
        <f>CONCATENATE(TInspectieE[[#This Row],[Soort gebrek]],TInspectieE[[#This Row],[Trede]])</f>
        <v>1</v>
      </c>
      <c r="AD38" s="413" t="e">
        <v>#N/A</v>
      </c>
      <c r="AE38" s="413" t="e">
        <v>#N/A</v>
      </c>
      <c r="AF38" s="424">
        <v>0</v>
      </c>
    </row>
    <row r="39" spans="1:32" ht="10.5" x14ac:dyDescent="0.25">
      <c r="A39" s="337" t="str" cm="1">
        <f t="array" ref="A39">IFERROR(INDEX(TInventE[UVID],ROUNDDOWN((ROW(A30)+1)/2,0)),"")</f>
        <v/>
      </c>
      <c r="B39" s="410" t="str">
        <f>IF(TInspectieE[[#This Row],[UVID]]="","",VLOOKUP(TInspectieE[[#This Row],[UVID]],TInventE[],2,FALSE))</f>
        <v/>
      </c>
      <c r="C39" s="365" t="str">
        <f>IF(TInspectieE[[#This Row],[UVID]]="","",VLOOKUP(TInspectieE[[#This Row],[UVID]],TInventE[],11,FALSE))</f>
        <v/>
      </c>
      <c r="D39" s="411" t="str">
        <f>IF(TInspectieE[[#This Row],[UVID]]="","",VLOOKUP(TInspectieE[[#This Row],[UVID]],TInventE[],3,FALSE))</f>
        <v/>
      </c>
      <c r="E39" s="338" t="str">
        <f>IF(TInspectieE[[#This Row],[Omschrijving bouwdeel]]="","",IF(ISEVEN(ROW()),"O","E"))</f>
        <v/>
      </c>
      <c r="F39" s="412"/>
      <c r="G39" s="413" t="str">
        <f>IF(ISBLANK(TInspectieE[[#This Row],[Soort gebrek]]),"",VLOOKUP(TInspectieE[[#This Row],[Soort gebrek]],TSoortGebrek[#Data],3,FALSE))</f>
        <v/>
      </c>
      <c r="H39" s="413" t="str">
        <f>IF(ISBLANK(TInspectieE[[#This Row],[Soort gebrek]]),"",VLOOKUP(TInspectieE[[#This Row],[Soort gebrek]],TSoortGebrek[#Data],2,FALSE))</f>
        <v/>
      </c>
      <c r="I39" s="413" t="str">
        <f>IF(TInspectieE[[#This Row],[Soort gebrek]]=0,"",VLOOKUP(TInspectieE[[#This Row],[Soort gebrek]],TSoortGebrek[],4,FALSE))</f>
        <v/>
      </c>
      <c r="J39" s="425"/>
      <c r="K39" s="415" t="str">
        <f>IF(TInspectieE[[#This Row],[Soort gebrek]]=0,"",VLOOKUP(TInspectieE[[#This Row],[Combi]],TPrio[#Data],2,FALSE))</f>
        <v/>
      </c>
      <c r="L39" s="339"/>
      <c r="M39" s="416" t="str">
        <f>IF(ISBLANK(TInspectieE[[#This Row],[Gebrek nr.]]),"",TInspectieE[[#This Row],[UVID]]&amp;"-"&amp;TInspectieE[[#This Row],[Gebrek nr.]])</f>
        <v/>
      </c>
      <c r="N39" s="417"/>
      <c r="O39" s="418"/>
      <c r="P39" s="206"/>
      <c r="Q39" s="193"/>
      <c r="R39" s="193" t="str">
        <f>IF(OR(TInspectieE[[#This Row],[Duurzaamheid bijdrage]]="Voldoet niet aan DZH-lijn",TInspectieE[[#This Row],[Duurzaamheid bijdrage]]="Voldoet niet aan vigerende W&amp;R"),"Voldoet niet","Voldoet")</f>
        <v>Voldoet</v>
      </c>
      <c r="S39" s="206"/>
      <c r="T39" s="206"/>
      <c r="U39" s="206"/>
      <c r="V39" s="206"/>
      <c r="W39" s="206"/>
      <c r="X39" s="419"/>
      <c r="Y39" s="340"/>
      <c r="Z39" s="420"/>
      <c r="AA39" s="421" t="str">
        <f>IF(ISBLANK(TInspectieE[[#This Row],[Aantal]]),"",ROUND(TInspectieE[[#This Row],[Kengetal]]*TInspectieE[[#This Row],[Aantal]],-1))</f>
        <v/>
      </c>
      <c r="AB39" s="422" t="str">
        <f>IF(TInspectieE[[#This Row],[Vak-groep]]="","1",VLOOKUP(C39,$J$2:$K$7,2,FALSE))</f>
        <v>1</v>
      </c>
      <c r="AC39" s="423" t="str">
        <f>CONCATENATE(TInspectieE[[#This Row],[Soort gebrek]],TInspectieE[[#This Row],[Trede]])</f>
        <v>1</v>
      </c>
      <c r="AD39" s="413" t="e">
        <v>#N/A</v>
      </c>
      <c r="AE39" s="413" t="e">
        <v>#N/A</v>
      </c>
      <c r="AF39" s="424">
        <v>0</v>
      </c>
    </row>
    <row r="40" spans="1:32" ht="10.5" x14ac:dyDescent="0.25">
      <c r="A40" s="337" t="str" cm="1">
        <f t="array" ref="A40">IFERROR(INDEX(TInventE[UVID],ROUNDDOWN((ROW(A31)+1)/2,0)),"")</f>
        <v/>
      </c>
      <c r="B40" s="410" t="str">
        <f>IF(TInspectieE[[#This Row],[UVID]]="","",VLOOKUP(TInspectieE[[#This Row],[UVID]],TInventE[],2,FALSE))</f>
        <v/>
      </c>
      <c r="C40" s="365" t="str">
        <f>IF(TInspectieE[[#This Row],[UVID]]="","",VLOOKUP(TInspectieE[[#This Row],[UVID]],TInventE[],11,FALSE))</f>
        <v/>
      </c>
      <c r="D40" s="411" t="str">
        <f>IF(TInspectieE[[#This Row],[UVID]]="","",VLOOKUP(TInspectieE[[#This Row],[UVID]],TInventE[],3,FALSE))</f>
        <v/>
      </c>
      <c r="E40" s="338" t="str">
        <f>IF(TInspectieE[[#This Row],[Omschrijving bouwdeel]]="","",IF(ISEVEN(ROW()),"O","E"))</f>
        <v/>
      </c>
      <c r="F40" s="412"/>
      <c r="G40" s="413" t="str">
        <f>IF(ISBLANK(TInspectieE[[#This Row],[Soort gebrek]]),"",VLOOKUP(TInspectieE[[#This Row],[Soort gebrek]],TSoortGebrek[#Data],3,FALSE))</f>
        <v/>
      </c>
      <c r="H40" s="413" t="str">
        <f>IF(ISBLANK(TInspectieE[[#This Row],[Soort gebrek]]),"",VLOOKUP(TInspectieE[[#This Row],[Soort gebrek]],TSoortGebrek[#Data],2,FALSE))</f>
        <v/>
      </c>
      <c r="I40" s="413" t="str">
        <f>IF(TInspectieE[[#This Row],[Soort gebrek]]=0,"",VLOOKUP(TInspectieE[[#This Row],[Soort gebrek]],TSoortGebrek[],4,FALSE))</f>
        <v/>
      </c>
      <c r="J40" s="425"/>
      <c r="K40" s="415" t="str">
        <f>IF(TInspectieE[[#This Row],[Soort gebrek]]=0,"",VLOOKUP(TInspectieE[[#This Row],[Combi]],TPrio[#Data],2,FALSE))</f>
        <v/>
      </c>
      <c r="L40" s="339"/>
      <c r="M40" s="416" t="str">
        <f>IF(ISBLANK(TInspectieE[[#This Row],[Gebrek nr.]]),"",TInspectieE[[#This Row],[UVID]]&amp;"-"&amp;TInspectieE[[#This Row],[Gebrek nr.]])</f>
        <v/>
      </c>
      <c r="N40" s="417"/>
      <c r="O40" s="418"/>
      <c r="P40" s="206"/>
      <c r="Q40" s="193"/>
      <c r="R40" s="193" t="str">
        <f>IF(OR(TInspectieE[[#This Row],[Duurzaamheid bijdrage]]="Voldoet niet aan DZH-lijn",TInspectieE[[#This Row],[Duurzaamheid bijdrage]]="Voldoet niet aan vigerende W&amp;R"),"Voldoet niet","Voldoet")</f>
        <v>Voldoet</v>
      </c>
      <c r="S40" s="206"/>
      <c r="T40" s="206"/>
      <c r="U40" s="206"/>
      <c r="V40" s="206"/>
      <c r="W40" s="206"/>
      <c r="X40" s="419"/>
      <c r="Y40" s="340"/>
      <c r="Z40" s="420"/>
      <c r="AA40" s="421" t="str">
        <f>IF(ISBLANK(TInspectieE[[#This Row],[Aantal]]),"",ROUND(TInspectieE[[#This Row],[Kengetal]]*TInspectieE[[#This Row],[Aantal]],-1))</f>
        <v/>
      </c>
      <c r="AB40" s="422" t="str">
        <f>IF(TInspectieE[[#This Row],[Vak-groep]]="","1",VLOOKUP(C40,$J$2:$K$7,2,FALSE))</f>
        <v>1</v>
      </c>
      <c r="AC40" s="423" t="str">
        <f>CONCATENATE(TInspectieE[[#This Row],[Soort gebrek]],TInspectieE[[#This Row],[Trede]])</f>
        <v>1</v>
      </c>
      <c r="AD40" s="413" t="e">
        <v>#N/A</v>
      </c>
      <c r="AE40" s="413" t="e">
        <v>#N/A</v>
      </c>
      <c r="AF40" s="424">
        <v>0</v>
      </c>
    </row>
    <row r="41" spans="1:32" ht="10.5" x14ac:dyDescent="0.25">
      <c r="A41" s="337" t="str" cm="1">
        <f t="array" ref="A41">IFERROR(INDEX(TInventE[UVID],ROUNDDOWN((ROW(A32)+1)/2,0)),"")</f>
        <v/>
      </c>
      <c r="B41" s="410" t="str">
        <f>IF(TInspectieE[[#This Row],[UVID]]="","",VLOOKUP(TInspectieE[[#This Row],[UVID]],TInventE[],2,FALSE))</f>
        <v/>
      </c>
      <c r="C41" s="365" t="str">
        <f>IF(TInspectieE[[#This Row],[UVID]]="","",VLOOKUP(TInspectieE[[#This Row],[UVID]],TInventE[],11,FALSE))</f>
        <v/>
      </c>
      <c r="D41" s="411" t="str">
        <f>IF(TInspectieE[[#This Row],[UVID]]="","",VLOOKUP(TInspectieE[[#This Row],[UVID]],TInventE[],3,FALSE))</f>
        <v/>
      </c>
      <c r="E41" s="338" t="str">
        <f>IF(TInspectieE[[#This Row],[Omschrijving bouwdeel]]="","",IF(ISEVEN(ROW()),"O","E"))</f>
        <v/>
      </c>
      <c r="F41" s="412"/>
      <c r="G41" s="413" t="str">
        <f>IF(ISBLANK(TInspectieE[[#This Row],[Soort gebrek]]),"",VLOOKUP(TInspectieE[[#This Row],[Soort gebrek]],TSoortGebrek[#Data],3,FALSE))</f>
        <v/>
      </c>
      <c r="H41" s="413" t="str">
        <f>IF(ISBLANK(TInspectieE[[#This Row],[Soort gebrek]]),"",VLOOKUP(TInspectieE[[#This Row],[Soort gebrek]],TSoortGebrek[#Data],2,FALSE))</f>
        <v/>
      </c>
      <c r="I41" s="413" t="str">
        <f>IF(TInspectieE[[#This Row],[Soort gebrek]]=0,"",VLOOKUP(TInspectieE[[#This Row],[Soort gebrek]],TSoortGebrek[],4,FALSE))</f>
        <v/>
      </c>
      <c r="J41" s="425"/>
      <c r="K41" s="415" t="str">
        <f>IF(TInspectieE[[#This Row],[Soort gebrek]]=0,"",VLOOKUP(TInspectieE[[#This Row],[Combi]],TPrio[#Data],2,FALSE))</f>
        <v/>
      </c>
      <c r="L41" s="339"/>
      <c r="M41" s="416" t="str">
        <f>IF(ISBLANK(TInspectieE[[#This Row],[Gebrek nr.]]),"",TInspectieE[[#This Row],[UVID]]&amp;"-"&amp;TInspectieE[[#This Row],[Gebrek nr.]])</f>
        <v/>
      </c>
      <c r="N41" s="417"/>
      <c r="O41" s="418"/>
      <c r="P41" s="206"/>
      <c r="Q41" s="193"/>
      <c r="R41" s="193" t="str">
        <f>IF(OR(TInspectieE[[#This Row],[Duurzaamheid bijdrage]]="Voldoet niet aan DZH-lijn",TInspectieE[[#This Row],[Duurzaamheid bijdrage]]="Voldoet niet aan vigerende W&amp;R"),"Voldoet niet","Voldoet")</f>
        <v>Voldoet</v>
      </c>
      <c r="S41" s="206"/>
      <c r="T41" s="206"/>
      <c r="U41" s="206"/>
      <c r="V41" s="206"/>
      <c r="W41" s="206"/>
      <c r="X41" s="419"/>
      <c r="Y41" s="340"/>
      <c r="Z41" s="420"/>
      <c r="AA41" s="421" t="str">
        <f>IF(ISBLANK(TInspectieE[[#This Row],[Aantal]]),"",ROUND(TInspectieE[[#This Row],[Kengetal]]*TInspectieE[[#This Row],[Aantal]],-1))</f>
        <v/>
      </c>
      <c r="AB41" s="422" t="str">
        <f>IF(TInspectieE[[#This Row],[Vak-groep]]="","1",VLOOKUP(C41,$J$2:$K$7,2,FALSE))</f>
        <v>1</v>
      </c>
      <c r="AC41" s="423" t="str">
        <f>CONCATENATE(TInspectieE[[#This Row],[Soort gebrek]],TInspectieE[[#This Row],[Trede]])</f>
        <v>1</v>
      </c>
      <c r="AD41" s="413" t="e">
        <v>#N/A</v>
      </c>
      <c r="AE41" s="413" t="e">
        <v>#N/A</v>
      </c>
      <c r="AF41" s="424">
        <v>0</v>
      </c>
    </row>
    <row r="42" spans="1:32" ht="10.5" x14ac:dyDescent="0.25">
      <c r="A42" s="337" t="str" cm="1">
        <f t="array" ref="A42">IFERROR(INDEX(TInventE[UVID],ROUNDDOWN((ROW(A33)+1)/2,0)),"")</f>
        <v/>
      </c>
      <c r="B42" s="410" t="str">
        <f>IF(TInspectieE[[#This Row],[UVID]]="","",VLOOKUP(TInspectieE[[#This Row],[UVID]],TInventE[],2,FALSE))</f>
        <v/>
      </c>
      <c r="C42" s="365" t="str">
        <f>IF(TInspectieE[[#This Row],[UVID]]="","",VLOOKUP(TInspectieE[[#This Row],[UVID]],TInventE[],11,FALSE))</f>
        <v/>
      </c>
      <c r="D42" s="411" t="str">
        <f>IF(TInspectieE[[#This Row],[UVID]]="","",VLOOKUP(TInspectieE[[#This Row],[UVID]],TInventE[],3,FALSE))</f>
        <v/>
      </c>
      <c r="E42" s="338" t="str">
        <f>IF(TInspectieE[[#This Row],[Omschrijving bouwdeel]]="","",IF(ISEVEN(ROW()),"O","E"))</f>
        <v/>
      </c>
      <c r="F42" s="412"/>
      <c r="G42" s="413" t="str">
        <f>IF(ISBLANK(TInspectieE[[#This Row],[Soort gebrek]]),"",VLOOKUP(TInspectieE[[#This Row],[Soort gebrek]],TSoortGebrek[#Data],3,FALSE))</f>
        <v/>
      </c>
      <c r="H42" s="413" t="str">
        <f>IF(ISBLANK(TInspectieE[[#This Row],[Soort gebrek]]),"",VLOOKUP(TInspectieE[[#This Row],[Soort gebrek]],TSoortGebrek[#Data],2,FALSE))</f>
        <v/>
      </c>
      <c r="I42" s="413" t="str">
        <f>IF(TInspectieE[[#This Row],[Soort gebrek]]=0,"",VLOOKUP(TInspectieE[[#This Row],[Soort gebrek]],TSoortGebrek[],4,FALSE))</f>
        <v/>
      </c>
      <c r="J42" s="425"/>
      <c r="K42" s="415" t="str">
        <f>IF(TInspectieE[[#This Row],[Soort gebrek]]=0,"",VLOOKUP(TInspectieE[[#This Row],[Combi]],TPrio[#Data],2,FALSE))</f>
        <v/>
      </c>
      <c r="L42" s="339"/>
      <c r="M42" s="416" t="str">
        <f>IF(ISBLANK(TInspectieE[[#This Row],[Gebrek nr.]]),"",TInspectieE[[#This Row],[UVID]]&amp;"-"&amp;TInspectieE[[#This Row],[Gebrek nr.]])</f>
        <v/>
      </c>
      <c r="N42" s="417"/>
      <c r="O42" s="418"/>
      <c r="P42" s="206"/>
      <c r="Q42" s="193"/>
      <c r="R42" s="193" t="str">
        <f>IF(OR(TInspectieE[[#This Row],[Duurzaamheid bijdrage]]="Voldoet niet aan DZH-lijn",TInspectieE[[#This Row],[Duurzaamheid bijdrage]]="Voldoet niet aan vigerende W&amp;R"),"Voldoet niet","Voldoet")</f>
        <v>Voldoet</v>
      </c>
      <c r="S42" s="206"/>
      <c r="T42" s="206"/>
      <c r="U42" s="206"/>
      <c r="V42" s="206"/>
      <c r="W42" s="206"/>
      <c r="X42" s="419"/>
      <c r="Y42" s="340"/>
      <c r="Z42" s="420"/>
      <c r="AA42" s="421" t="str">
        <f>IF(ISBLANK(TInspectieE[[#This Row],[Aantal]]),"",ROUND(TInspectieE[[#This Row],[Kengetal]]*TInspectieE[[#This Row],[Aantal]],-1))</f>
        <v/>
      </c>
      <c r="AB42" s="422" t="str">
        <f>IF(TInspectieE[[#This Row],[Vak-groep]]="","1",VLOOKUP(C42,$J$2:$K$7,2,FALSE))</f>
        <v>1</v>
      </c>
      <c r="AC42" s="423" t="str">
        <f>CONCATENATE(TInspectieE[[#This Row],[Soort gebrek]],TInspectieE[[#This Row],[Trede]])</f>
        <v>1</v>
      </c>
      <c r="AD42" s="413" t="e">
        <v>#N/A</v>
      </c>
      <c r="AE42" s="413" t="e">
        <v>#N/A</v>
      </c>
      <c r="AF42" s="424">
        <v>0</v>
      </c>
    </row>
    <row r="43" spans="1:32" ht="10.5" x14ac:dyDescent="0.25">
      <c r="A43" s="337" t="str" cm="1">
        <f t="array" ref="A43">IFERROR(INDEX(TInventE[UVID],ROUNDDOWN((ROW(A34)+1)/2,0)),"")</f>
        <v/>
      </c>
      <c r="B43" s="410" t="str">
        <f>IF(TInspectieE[[#This Row],[UVID]]="","",VLOOKUP(TInspectieE[[#This Row],[UVID]],TInventE[],2,FALSE))</f>
        <v/>
      </c>
      <c r="C43" s="365" t="str">
        <f>IF(TInspectieE[[#This Row],[UVID]]="","",VLOOKUP(TInspectieE[[#This Row],[UVID]],TInventE[],11,FALSE))</f>
        <v/>
      </c>
      <c r="D43" s="411" t="str">
        <f>IF(TInspectieE[[#This Row],[UVID]]="","",VLOOKUP(TInspectieE[[#This Row],[UVID]],TInventE[],3,FALSE))</f>
        <v/>
      </c>
      <c r="E43" s="338" t="str">
        <f>IF(TInspectieE[[#This Row],[Omschrijving bouwdeel]]="","",IF(ISEVEN(ROW()),"O","E"))</f>
        <v/>
      </c>
      <c r="F43" s="412"/>
      <c r="G43" s="413" t="str">
        <f>IF(ISBLANK(TInspectieE[[#This Row],[Soort gebrek]]),"",VLOOKUP(TInspectieE[[#This Row],[Soort gebrek]],TSoortGebrek[#Data],3,FALSE))</f>
        <v/>
      </c>
      <c r="H43" s="413" t="str">
        <f>IF(ISBLANK(TInspectieE[[#This Row],[Soort gebrek]]),"",VLOOKUP(TInspectieE[[#This Row],[Soort gebrek]],TSoortGebrek[#Data],2,FALSE))</f>
        <v/>
      </c>
      <c r="I43" s="413" t="str">
        <f>IF(TInspectieE[[#This Row],[Soort gebrek]]=0,"",VLOOKUP(TInspectieE[[#This Row],[Soort gebrek]],TSoortGebrek[],4,FALSE))</f>
        <v/>
      </c>
      <c r="J43" s="425"/>
      <c r="K43" s="415" t="str">
        <f>IF(TInspectieE[[#This Row],[Soort gebrek]]=0,"",VLOOKUP(TInspectieE[[#This Row],[Combi]],TPrio[#Data],2,FALSE))</f>
        <v/>
      </c>
      <c r="L43" s="339"/>
      <c r="M43" s="416" t="str">
        <f>IF(ISBLANK(TInspectieE[[#This Row],[Gebrek nr.]]),"",TInspectieE[[#This Row],[UVID]]&amp;"-"&amp;TInspectieE[[#This Row],[Gebrek nr.]])</f>
        <v/>
      </c>
      <c r="N43" s="417"/>
      <c r="O43" s="418"/>
      <c r="P43" s="206"/>
      <c r="Q43" s="193"/>
      <c r="R43" s="193" t="str">
        <f>IF(OR(TInspectieE[[#This Row],[Duurzaamheid bijdrage]]="Voldoet niet aan DZH-lijn",TInspectieE[[#This Row],[Duurzaamheid bijdrage]]="Voldoet niet aan vigerende W&amp;R"),"Voldoet niet","Voldoet")</f>
        <v>Voldoet</v>
      </c>
      <c r="S43" s="206"/>
      <c r="T43" s="206"/>
      <c r="U43" s="206"/>
      <c r="V43" s="206"/>
      <c r="W43" s="206"/>
      <c r="X43" s="419"/>
      <c r="Y43" s="340"/>
      <c r="Z43" s="420"/>
      <c r="AA43" s="421" t="str">
        <f>IF(ISBLANK(TInspectieE[[#This Row],[Aantal]]),"",ROUND(TInspectieE[[#This Row],[Kengetal]]*TInspectieE[[#This Row],[Aantal]],-1))</f>
        <v/>
      </c>
      <c r="AB43" s="422" t="str">
        <f>IF(TInspectieE[[#This Row],[Vak-groep]]="","1",VLOOKUP(C43,$J$2:$K$7,2,FALSE))</f>
        <v>1</v>
      </c>
      <c r="AC43" s="423" t="str">
        <f>CONCATENATE(TInspectieE[[#This Row],[Soort gebrek]],TInspectieE[[#This Row],[Trede]])</f>
        <v>1</v>
      </c>
      <c r="AD43" s="413" t="e">
        <v>#N/A</v>
      </c>
      <c r="AE43" s="413" t="e">
        <v>#N/A</v>
      </c>
      <c r="AF43" s="424">
        <v>0</v>
      </c>
    </row>
    <row r="44" spans="1:32" ht="10.5" x14ac:dyDescent="0.25">
      <c r="A44" s="337" t="str" cm="1">
        <f t="array" ref="A44">IFERROR(INDEX(TInventE[UVID],ROUNDDOWN((ROW(A35)+1)/2,0)),"")</f>
        <v/>
      </c>
      <c r="B44" s="410" t="str">
        <f>IF(TInspectieE[[#This Row],[UVID]]="","",VLOOKUP(TInspectieE[[#This Row],[UVID]],TInventE[],2,FALSE))</f>
        <v/>
      </c>
      <c r="C44" s="365" t="str">
        <f>IF(TInspectieE[[#This Row],[UVID]]="","",VLOOKUP(TInspectieE[[#This Row],[UVID]],TInventE[],11,FALSE))</f>
        <v/>
      </c>
      <c r="D44" s="411" t="str">
        <f>IF(TInspectieE[[#This Row],[UVID]]="","",VLOOKUP(TInspectieE[[#This Row],[UVID]],TInventE[],3,FALSE))</f>
        <v/>
      </c>
      <c r="E44" s="338" t="str">
        <f>IF(TInspectieE[[#This Row],[Omschrijving bouwdeel]]="","",IF(ISEVEN(ROW()),"O","E"))</f>
        <v/>
      </c>
      <c r="F44" s="412"/>
      <c r="G44" s="413" t="str">
        <f>IF(ISBLANK(TInspectieE[[#This Row],[Soort gebrek]]),"",VLOOKUP(TInspectieE[[#This Row],[Soort gebrek]],TSoortGebrek[#Data],3,FALSE))</f>
        <v/>
      </c>
      <c r="H44" s="413" t="str">
        <f>IF(ISBLANK(TInspectieE[[#This Row],[Soort gebrek]]),"",VLOOKUP(TInspectieE[[#This Row],[Soort gebrek]],TSoortGebrek[#Data],2,FALSE))</f>
        <v/>
      </c>
      <c r="I44" s="413" t="str">
        <f>IF(TInspectieE[[#This Row],[Soort gebrek]]=0,"",VLOOKUP(TInspectieE[[#This Row],[Soort gebrek]],TSoortGebrek[],4,FALSE))</f>
        <v/>
      </c>
      <c r="J44" s="425"/>
      <c r="K44" s="415" t="str">
        <f>IF(TInspectieE[[#This Row],[Soort gebrek]]=0,"",VLOOKUP(TInspectieE[[#This Row],[Combi]],TPrio[#Data],2,FALSE))</f>
        <v/>
      </c>
      <c r="L44" s="339"/>
      <c r="M44" s="416" t="str">
        <f>IF(ISBLANK(TInspectieE[[#This Row],[Gebrek nr.]]),"",TInspectieE[[#This Row],[UVID]]&amp;"-"&amp;TInspectieE[[#This Row],[Gebrek nr.]])</f>
        <v/>
      </c>
      <c r="N44" s="417"/>
      <c r="O44" s="418"/>
      <c r="P44" s="206"/>
      <c r="Q44" s="193"/>
      <c r="R44" s="193" t="str">
        <f>IF(OR(TInspectieE[[#This Row],[Duurzaamheid bijdrage]]="Voldoet niet aan DZH-lijn",TInspectieE[[#This Row],[Duurzaamheid bijdrage]]="Voldoet niet aan vigerende W&amp;R"),"Voldoet niet","Voldoet")</f>
        <v>Voldoet</v>
      </c>
      <c r="S44" s="206"/>
      <c r="T44" s="206"/>
      <c r="U44" s="206"/>
      <c r="V44" s="206"/>
      <c r="W44" s="206"/>
      <c r="X44" s="419"/>
      <c r="Y44" s="340"/>
      <c r="Z44" s="420"/>
      <c r="AA44" s="421" t="str">
        <f>IF(ISBLANK(TInspectieE[[#This Row],[Aantal]]),"",ROUND(TInspectieE[[#This Row],[Kengetal]]*TInspectieE[[#This Row],[Aantal]],-1))</f>
        <v/>
      </c>
      <c r="AB44" s="422" t="str">
        <f>IF(TInspectieE[[#This Row],[Vak-groep]]="","1",VLOOKUP(C44,$J$2:$K$7,2,FALSE))</f>
        <v>1</v>
      </c>
      <c r="AC44" s="423" t="str">
        <f>CONCATENATE(TInspectieE[[#This Row],[Soort gebrek]],TInspectieE[[#This Row],[Trede]])</f>
        <v>1</v>
      </c>
      <c r="AD44" s="413" t="e">
        <v>#N/A</v>
      </c>
      <c r="AE44" s="413" t="e">
        <v>#N/A</v>
      </c>
      <c r="AF44" s="424">
        <v>0</v>
      </c>
    </row>
    <row r="45" spans="1:32" ht="10.5" x14ac:dyDescent="0.25">
      <c r="A45" s="337" t="str" cm="1">
        <f t="array" ref="A45">IFERROR(INDEX(TInventE[UVID],ROUNDDOWN((ROW(A36)+1)/2,0)),"")</f>
        <v/>
      </c>
      <c r="B45" s="410" t="str">
        <f>IF(TInspectieE[[#This Row],[UVID]]="","",VLOOKUP(TInspectieE[[#This Row],[UVID]],TInventE[],2,FALSE))</f>
        <v/>
      </c>
      <c r="C45" s="365" t="str">
        <f>IF(TInspectieE[[#This Row],[UVID]]="","",VLOOKUP(TInspectieE[[#This Row],[UVID]],TInventE[],11,FALSE))</f>
        <v/>
      </c>
      <c r="D45" s="411" t="str">
        <f>IF(TInspectieE[[#This Row],[UVID]]="","",VLOOKUP(TInspectieE[[#This Row],[UVID]],TInventE[],3,FALSE))</f>
        <v/>
      </c>
      <c r="E45" s="338" t="str">
        <f>IF(TInspectieE[[#This Row],[Omschrijving bouwdeel]]="","",IF(ISEVEN(ROW()),"O","E"))</f>
        <v/>
      </c>
      <c r="F45" s="412"/>
      <c r="G45" s="413" t="str">
        <f>IF(ISBLANK(TInspectieE[[#This Row],[Soort gebrek]]),"",VLOOKUP(TInspectieE[[#This Row],[Soort gebrek]],TSoortGebrek[#Data],3,FALSE))</f>
        <v/>
      </c>
      <c r="H45" s="413" t="str">
        <f>IF(ISBLANK(TInspectieE[[#This Row],[Soort gebrek]]),"",VLOOKUP(TInspectieE[[#This Row],[Soort gebrek]],TSoortGebrek[#Data],2,FALSE))</f>
        <v/>
      </c>
      <c r="I45" s="413" t="str">
        <f>IF(TInspectieE[[#This Row],[Soort gebrek]]=0,"",VLOOKUP(TInspectieE[[#This Row],[Soort gebrek]],TSoortGebrek[],4,FALSE))</f>
        <v/>
      </c>
      <c r="J45" s="425"/>
      <c r="K45" s="415" t="str">
        <f>IF(TInspectieE[[#This Row],[Soort gebrek]]=0,"",VLOOKUP(TInspectieE[[#This Row],[Combi]],TPrio[#Data],2,FALSE))</f>
        <v/>
      </c>
      <c r="L45" s="339"/>
      <c r="M45" s="416" t="str">
        <f>IF(ISBLANK(TInspectieE[[#This Row],[Gebrek nr.]]),"",TInspectieE[[#This Row],[UVID]]&amp;"-"&amp;TInspectieE[[#This Row],[Gebrek nr.]])</f>
        <v/>
      </c>
      <c r="N45" s="417"/>
      <c r="O45" s="418"/>
      <c r="P45" s="206"/>
      <c r="Q45" s="193"/>
      <c r="R45" s="193" t="str">
        <f>IF(OR(TInspectieE[[#This Row],[Duurzaamheid bijdrage]]="Voldoet niet aan DZH-lijn",TInspectieE[[#This Row],[Duurzaamheid bijdrage]]="Voldoet niet aan vigerende W&amp;R"),"Voldoet niet","Voldoet")</f>
        <v>Voldoet</v>
      </c>
      <c r="S45" s="206"/>
      <c r="T45" s="206"/>
      <c r="U45" s="206"/>
      <c r="V45" s="206"/>
      <c r="W45" s="206"/>
      <c r="X45" s="419"/>
      <c r="Y45" s="340"/>
      <c r="Z45" s="420"/>
      <c r="AA45" s="421" t="str">
        <f>IF(ISBLANK(TInspectieE[[#This Row],[Aantal]]),"",ROUND(TInspectieE[[#This Row],[Kengetal]]*TInspectieE[[#This Row],[Aantal]],-1))</f>
        <v/>
      </c>
      <c r="AB45" s="422" t="str">
        <f>IF(TInspectieE[[#This Row],[Vak-groep]]="","1",VLOOKUP(C45,$J$2:$K$7,2,FALSE))</f>
        <v>1</v>
      </c>
      <c r="AC45" s="423" t="str">
        <f>CONCATENATE(TInspectieE[[#This Row],[Soort gebrek]],TInspectieE[[#This Row],[Trede]])</f>
        <v>1</v>
      </c>
      <c r="AD45" s="413" t="e">
        <v>#N/A</v>
      </c>
      <c r="AE45" s="413" t="e">
        <v>#N/A</v>
      </c>
      <c r="AF45" s="424">
        <v>0</v>
      </c>
    </row>
    <row r="46" spans="1:32" ht="10.5" x14ac:dyDescent="0.25">
      <c r="A46" s="337" t="str" cm="1">
        <f t="array" ref="A46">IFERROR(INDEX(TInventE[UVID],ROUNDDOWN((ROW(A37)+1)/2,0)),"")</f>
        <v/>
      </c>
      <c r="B46" s="410" t="str">
        <f>IF(TInspectieE[[#This Row],[UVID]]="","",VLOOKUP(TInspectieE[[#This Row],[UVID]],TInventE[],2,FALSE))</f>
        <v/>
      </c>
      <c r="C46" s="365" t="str">
        <f>IF(TInspectieE[[#This Row],[UVID]]="","",VLOOKUP(TInspectieE[[#This Row],[UVID]],TInventE[],11,FALSE))</f>
        <v/>
      </c>
      <c r="D46" s="411" t="str">
        <f>IF(TInspectieE[[#This Row],[UVID]]="","",VLOOKUP(TInspectieE[[#This Row],[UVID]],TInventE[],3,FALSE))</f>
        <v/>
      </c>
      <c r="E46" s="338" t="str">
        <f>IF(TInspectieE[[#This Row],[Omschrijving bouwdeel]]="","",IF(ISEVEN(ROW()),"O","E"))</f>
        <v/>
      </c>
      <c r="F46" s="412"/>
      <c r="G46" s="413" t="str">
        <f>IF(ISBLANK(TInspectieE[[#This Row],[Soort gebrek]]),"",VLOOKUP(TInspectieE[[#This Row],[Soort gebrek]],TSoortGebrek[#Data],3,FALSE))</f>
        <v/>
      </c>
      <c r="H46" s="413" t="str">
        <f>IF(ISBLANK(TInspectieE[[#This Row],[Soort gebrek]]),"",VLOOKUP(TInspectieE[[#This Row],[Soort gebrek]],TSoortGebrek[#Data],2,FALSE))</f>
        <v/>
      </c>
      <c r="I46" s="413" t="str">
        <f>IF(TInspectieE[[#This Row],[Soort gebrek]]=0,"",VLOOKUP(TInspectieE[[#This Row],[Soort gebrek]],TSoortGebrek[],4,FALSE))</f>
        <v/>
      </c>
      <c r="J46" s="425"/>
      <c r="K46" s="415" t="str">
        <f>IF(TInspectieE[[#This Row],[Soort gebrek]]=0,"",VLOOKUP(TInspectieE[[#This Row],[Combi]],TPrio[#Data],2,FALSE))</f>
        <v/>
      </c>
      <c r="L46" s="339"/>
      <c r="M46" s="416" t="str">
        <f>IF(ISBLANK(TInspectieE[[#This Row],[Gebrek nr.]]),"",TInspectieE[[#This Row],[UVID]]&amp;"-"&amp;TInspectieE[[#This Row],[Gebrek nr.]])</f>
        <v/>
      </c>
      <c r="N46" s="417"/>
      <c r="O46" s="418"/>
      <c r="P46" s="206"/>
      <c r="Q46" s="193"/>
      <c r="R46" s="193" t="str">
        <f>IF(OR(TInspectieE[[#This Row],[Duurzaamheid bijdrage]]="Voldoet niet aan DZH-lijn",TInspectieE[[#This Row],[Duurzaamheid bijdrage]]="Voldoet niet aan vigerende W&amp;R"),"Voldoet niet","Voldoet")</f>
        <v>Voldoet</v>
      </c>
      <c r="S46" s="206"/>
      <c r="T46" s="206"/>
      <c r="U46" s="206"/>
      <c r="V46" s="206"/>
      <c r="W46" s="206"/>
      <c r="X46" s="419"/>
      <c r="Y46" s="340"/>
      <c r="Z46" s="420"/>
      <c r="AA46" s="421" t="str">
        <f>IF(ISBLANK(TInspectieE[[#This Row],[Aantal]]),"",ROUND(TInspectieE[[#This Row],[Kengetal]]*TInspectieE[[#This Row],[Aantal]],-1))</f>
        <v/>
      </c>
      <c r="AB46" s="422" t="str">
        <f>IF(TInspectieE[[#This Row],[Vak-groep]]="","1",VLOOKUP(C46,$J$2:$K$7,2,FALSE))</f>
        <v>1</v>
      </c>
      <c r="AC46" s="423" t="str">
        <f>CONCATENATE(TInspectieE[[#This Row],[Soort gebrek]],TInspectieE[[#This Row],[Trede]])</f>
        <v>1</v>
      </c>
      <c r="AD46" s="413" t="e">
        <v>#N/A</v>
      </c>
      <c r="AE46" s="413" t="e">
        <v>#N/A</v>
      </c>
      <c r="AF46" s="424">
        <v>0</v>
      </c>
    </row>
    <row r="47" spans="1:32" ht="10.5" x14ac:dyDescent="0.25">
      <c r="A47" s="337" t="str" cm="1">
        <f t="array" ref="A47">IFERROR(INDEX(TInventE[UVID],ROUNDDOWN((ROW(A38)+1)/2,0)),"")</f>
        <v/>
      </c>
      <c r="B47" s="410" t="str">
        <f>IF(TInspectieE[[#This Row],[UVID]]="","",VLOOKUP(TInspectieE[[#This Row],[UVID]],TInventE[],2,FALSE))</f>
        <v/>
      </c>
      <c r="C47" s="365" t="str">
        <f>IF(TInspectieE[[#This Row],[UVID]]="","",VLOOKUP(TInspectieE[[#This Row],[UVID]],TInventE[],11,FALSE))</f>
        <v/>
      </c>
      <c r="D47" s="411" t="str">
        <f>IF(TInspectieE[[#This Row],[UVID]]="","",VLOOKUP(TInspectieE[[#This Row],[UVID]],TInventE[],3,FALSE))</f>
        <v/>
      </c>
      <c r="E47" s="338" t="str">
        <f>IF(TInspectieE[[#This Row],[Omschrijving bouwdeel]]="","",IF(ISEVEN(ROW()),"O","E"))</f>
        <v/>
      </c>
      <c r="F47" s="412"/>
      <c r="G47" s="413" t="str">
        <f>IF(ISBLANK(TInspectieE[[#This Row],[Soort gebrek]]),"",VLOOKUP(TInspectieE[[#This Row],[Soort gebrek]],TSoortGebrek[#Data],3,FALSE))</f>
        <v/>
      </c>
      <c r="H47" s="413" t="str">
        <f>IF(ISBLANK(TInspectieE[[#This Row],[Soort gebrek]]),"",VLOOKUP(TInspectieE[[#This Row],[Soort gebrek]],TSoortGebrek[#Data],2,FALSE))</f>
        <v/>
      </c>
      <c r="I47" s="413" t="str">
        <f>IF(TInspectieE[[#This Row],[Soort gebrek]]=0,"",VLOOKUP(TInspectieE[[#This Row],[Soort gebrek]],TSoortGebrek[],4,FALSE))</f>
        <v/>
      </c>
      <c r="J47" s="425"/>
      <c r="K47" s="415" t="str">
        <f>IF(TInspectieE[[#This Row],[Soort gebrek]]=0,"",VLOOKUP(TInspectieE[[#This Row],[Combi]],TPrio[#Data],2,FALSE))</f>
        <v/>
      </c>
      <c r="L47" s="339"/>
      <c r="M47" s="416" t="str">
        <f>IF(ISBLANK(TInspectieE[[#This Row],[Gebrek nr.]]),"",TInspectieE[[#This Row],[UVID]]&amp;"-"&amp;TInspectieE[[#This Row],[Gebrek nr.]])</f>
        <v/>
      </c>
      <c r="N47" s="417"/>
      <c r="O47" s="418"/>
      <c r="P47" s="206"/>
      <c r="Q47" s="193"/>
      <c r="R47" s="193" t="str">
        <f>IF(OR(TInspectieE[[#This Row],[Duurzaamheid bijdrage]]="Voldoet niet aan DZH-lijn",TInspectieE[[#This Row],[Duurzaamheid bijdrage]]="Voldoet niet aan vigerende W&amp;R"),"Voldoet niet","Voldoet")</f>
        <v>Voldoet</v>
      </c>
      <c r="S47" s="206"/>
      <c r="T47" s="206"/>
      <c r="U47" s="206"/>
      <c r="V47" s="206"/>
      <c r="W47" s="206"/>
      <c r="X47" s="419"/>
      <c r="Y47" s="340"/>
      <c r="Z47" s="420"/>
      <c r="AA47" s="421" t="str">
        <f>IF(ISBLANK(TInspectieE[[#This Row],[Aantal]]),"",ROUND(TInspectieE[[#This Row],[Kengetal]]*TInspectieE[[#This Row],[Aantal]],-1))</f>
        <v/>
      </c>
      <c r="AB47" s="422" t="str">
        <f>IF(TInspectieE[[#This Row],[Vak-groep]]="","1",VLOOKUP(C47,$J$2:$K$7,2,FALSE))</f>
        <v>1</v>
      </c>
      <c r="AC47" s="423" t="str">
        <f>CONCATENATE(TInspectieE[[#This Row],[Soort gebrek]],TInspectieE[[#This Row],[Trede]])</f>
        <v>1</v>
      </c>
      <c r="AD47" s="413" t="e">
        <v>#N/A</v>
      </c>
      <c r="AE47" s="413" t="e">
        <v>#N/A</v>
      </c>
      <c r="AF47" s="424">
        <v>0</v>
      </c>
    </row>
    <row r="48" spans="1:32" ht="10.5" x14ac:dyDescent="0.25">
      <c r="A48" s="337" t="str" cm="1">
        <f t="array" ref="A48">IFERROR(INDEX(TInventE[UVID],ROUNDDOWN((ROW(A39)+1)/2,0)),"")</f>
        <v/>
      </c>
      <c r="B48" s="410" t="str">
        <f>IF(TInspectieE[[#This Row],[UVID]]="","",VLOOKUP(TInspectieE[[#This Row],[UVID]],TInventE[],2,FALSE))</f>
        <v/>
      </c>
      <c r="C48" s="365" t="str">
        <f>IF(TInspectieE[[#This Row],[UVID]]="","",VLOOKUP(TInspectieE[[#This Row],[UVID]],TInventE[],11,FALSE))</f>
        <v/>
      </c>
      <c r="D48" s="411" t="str">
        <f>IF(TInspectieE[[#This Row],[UVID]]="","",VLOOKUP(TInspectieE[[#This Row],[UVID]],TInventE[],3,FALSE))</f>
        <v/>
      </c>
      <c r="E48" s="338" t="str">
        <f>IF(TInspectieE[[#This Row],[Omschrijving bouwdeel]]="","",IF(ISEVEN(ROW()),"O","E"))</f>
        <v/>
      </c>
      <c r="F48" s="412"/>
      <c r="G48" s="413" t="str">
        <f>IF(ISBLANK(TInspectieE[[#This Row],[Soort gebrek]]),"",VLOOKUP(TInspectieE[[#This Row],[Soort gebrek]],TSoortGebrek[#Data],3,FALSE))</f>
        <v/>
      </c>
      <c r="H48" s="413" t="str">
        <f>IF(ISBLANK(TInspectieE[[#This Row],[Soort gebrek]]),"",VLOOKUP(TInspectieE[[#This Row],[Soort gebrek]],TSoortGebrek[#Data],2,FALSE))</f>
        <v/>
      </c>
      <c r="I48" s="413" t="str">
        <f>IF(TInspectieE[[#This Row],[Soort gebrek]]=0,"",VLOOKUP(TInspectieE[[#This Row],[Soort gebrek]],TSoortGebrek[],4,FALSE))</f>
        <v/>
      </c>
      <c r="J48" s="425"/>
      <c r="K48" s="415" t="str">
        <f>IF(TInspectieE[[#This Row],[Soort gebrek]]=0,"",VLOOKUP(TInspectieE[[#This Row],[Combi]],TPrio[#Data],2,FALSE))</f>
        <v/>
      </c>
      <c r="L48" s="339"/>
      <c r="M48" s="416" t="str">
        <f>IF(ISBLANK(TInspectieE[[#This Row],[Gebrek nr.]]),"",TInspectieE[[#This Row],[UVID]]&amp;"-"&amp;TInspectieE[[#This Row],[Gebrek nr.]])</f>
        <v/>
      </c>
      <c r="N48" s="417"/>
      <c r="O48" s="418"/>
      <c r="P48" s="206"/>
      <c r="Q48" s="193"/>
      <c r="R48" s="193" t="str">
        <f>IF(OR(TInspectieE[[#This Row],[Duurzaamheid bijdrage]]="Voldoet niet aan DZH-lijn",TInspectieE[[#This Row],[Duurzaamheid bijdrage]]="Voldoet niet aan vigerende W&amp;R"),"Voldoet niet","Voldoet")</f>
        <v>Voldoet</v>
      </c>
      <c r="S48" s="206"/>
      <c r="T48" s="206"/>
      <c r="U48" s="206"/>
      <c r="V48" s="206"/>
      <c r="W48" s="206"/>
      <c r="X48" s="419"/>
      <c r="Y48" s="340"/>
      <c r="Z48" s="420"/>
      <c r="AA48" s="421" t="str">
        <f>IF(ISBLANK(TInspectieE[[#This Row],[Aantal]]),"",ROUND(TInspectieE[[#This Row],[Kengetal]]*TInspectieE[[#This Row],[Aantal]],-1))</f>
        <v/>
      </c>
      <c r="AB48" s="422" t="str">
        <f>IF(TInspectieE[[#This Row],[Vak-groep]]="","1",VLOOKUP(C48,$J$2:$K$7,2,FALSE))</f>
        <v>1</v>
      </c>
      <c r="AC48" s="423" t="str">
        <f>CONCATENATE(TInspectieE[[#This Row],[Soort gebrek]],TInspectieE[[#This Row],[Trede]])</f>
        <v>1</v>
      </c>
      <c r="AD48" s="413" t="e">
        <v>#N/A</v>
      </c>
      <c r="AE48" s="413" t="e">
        <v>#N/A</v>
      </c>
      <c r="AF48" s="424">
        <v>0</v>
      </c>
    </row>
    <row r="49" spans="1:32" ht="10.5" x14ac:dyDescent="0.25">
      <c r="A49" s="337" t="str" cm="1">
        <f t="array" ref="A49">IFERROR(INDEX(TInventE[UVID],ROUNDDOWN((ROW(A40)+1)/2,0)),"")</f>
        <v/>
      </c>
      <c r="B49" s="410" t="str">
        <f>IF(TInspectieE[[#This Row],[UVID]]="","",VLOOKUP(TInspectieE[[#This Row],[UVID]],TInventE[],2,FALSE))</f>
        <v/>
      </c>
      <c r="C49" s="365" t="str">
        <f>IF(TInspectieE[[#This Row],[UVID]]="","",VLOOKUP(TInspectieE[[#This Row],[UVID]],TInventE[],11,FALSE))</f>
        <v/>
      </c>
      <c r="D49" s="411" t="str">
        <f>IF(TInspectieE[[#This Row],[UVID]]="","",VLOOKUP(TInspectieE[[#This Row],[UVID]],TInventE[],3,FALSE))</f>
        <v/>
      </c>
      <c r="E49" s="338" t="str">
        <f>IF(TInspectieE[[#This Row],[Omschrijving bouwdeel]]="","",IF(ISEVEN(ROW()),"O","E"))</f>
        <v/>
      </c>
      <c r="F49" s="412"/>
      <c r="G49" s="413" t="str">
        <f>IF(ISBLANK(TInspectieE[[#This Row],[Soort gebrek]]),"",VLOOKUP(TInspectieE[[#This Row],[Soort gebrek]],TSoortGebrek[#Data],3,FALSE))</f>
        <v/>
      </c>
      <c r="H49" s="413" t="str">
        <f>IF(ISBLANK(TInspectieE[[#This Row],[Soort gebrek]]),"",VLOOKUP(TInspectieE[[#This Row],[Soort gebrek]],TSoortGebrek[#Data],2,FALSE))</f>
        <v/>
      </c>
      <c r="I49" s="413" t="str">
        <f>IF(TInspectieE[[#This Row],[Soort gebrek]]=0,"",VLOOKUP(TInspectieE[[#This Row],[Soort gebrek]],TSoortGebrek[],4,FALSE))</f>
        <v/>
      </c>
      <c r="J49" s="425"/>
      <c r="K49" s="415" t="str">
        <f>IF(TInspectieE[[#This Row],[Soort gebrek]]=0,"",VLOOKUP(TInspectieE[[#This Row],[Combi]],TPrio[#Data],2,FALSE))</f>
        <v/>
      </c>
      <c r="L49" s="339"/>
      <c r="M49" s="416" t="str">
        <f>IF(ISBLANK(TInspectieE[[#This Row],[Gebrek nr.]]),"",TInspectieE[[#This Row],[UVID]]&amp;"-"&amp;TInspectieE[[#This Row],[Gebrek nr.]])</f>
        <v/>
      </c>
      <c r="N49" s="417"/>
      <c r="O49" s="418"/>
      <c r="P49" s="206"/>
      <c r="Q49" s="193"/>
      <c r="R49" s="193" t="str">
        <f>IF(OR(TInspectieE[[#This Row],[Duurzaamheid bijdrage]]="Voldoet niet aan DZH-lijn",TInspectieE[[#This Row],[Duurzaamheid bijdrage]]="Voldoet niet aan vigerende W&amp;R"),"Voldoet niet","Voldoet")</f>
        <v>Voldoet</v>
      </c>
      <c r="S49" s="206"/>
      <c r="T49" s="206"/>
      <c r="U49" s="206"/>
      <c r="V49" s="206"/>
      <c r="W49" s="206"/>
      <c r="X49" s="419"/>
      <c r="Y49" s="340"/>
      <c r="Z49" s="420"/>
      <c r="AA49" s="421" t="str">
        <f>IF(ISBLANK(TInspectieE[[#This Row],[Aantal]]),"",ROUND(TInspectieE[[#This Row],[Kengetal]]*TInspectieE[[#This Row],[Aantal]],-1))</f>
        <v/>
      </c>
      <c r="AB49" s="422" t="str">
        <f>IF(TInspectieE[[#This Row],[Vak-groep]]="","1",VLOOKUP(C49,$J$2:$K$7,2,FALSE))</f>
        <v>1</v>
      </c>
      <c r="AC49" s="423" t="str">
        <f>CONCATENATE(TInspectieE[[#This Row],[Soort gebrek]],TInspectieE[[#This Row],[Trede]])</f>
        <v>1</v>
      </c>
      <c r="AD49" s="413" t="e">
        <v>#N/A</v>
      </c>
      <c r="AE49" s="413" t="e">
        <v>#N/A</v>
      </c>
      <c r="AF49" s="424">
        <v>0</v>
      </c>
    </row>
    <row r="50" spans="1:32" ht="10.5" x14ac:dyDescent="0.25">
      <c r="A50" s="337" t="str" cm="1">
        <f t="array" ref="A50">IFERROR(INDEX(TInventE[UVID],ROUNDDOWN((ROW(A41)+1)/2,0)),"")</f>
        <v/>
      </c>
      <c r="B50" s="410" t="str">
        <f>IF(TInspectieE[[#This Row],[UVID]]="","",VLOOKUP(TInspectieE[[#This Row],[UVID]],TInventE[],2,FALSE))</f>
        <v/>
      </c>
      <c r="C50" s="365" t="str">
        <f>IF(TInspectieE[[#This Row],[UVID]]="","",VLOOKUP(TInspectieE[[#This Row],[UVID]],TInventE[],11,FALSE))</f>
        <v/>
      </c>
      <c r="D50" s="411" t="str">
        <f>IF(TInspectieE[[#This Row],[UVID]]="","",VLOOKUP(TInspectieE[[#This Row],[UVID]],TInventE[],3,FALSE))</f>
        <v/>
      </c>
      <c r="E50" s="338" t="str">
        <f>IF(TInspectieE[[#This Row],[Omschrijving bouwdeel]]="","",IF(ISEVEN(ROW()),"O","E"))</f>
        <v/>
      </c>
      <c r="F50" s="412"/>
      <c r="G50" s="413" t="str">
        <f>IF(ISBLANK(TInspectieE[[#This Row],[Soort gebrek]]),"",VLOOKUP(TInspectieE[[#This Row],[Soort gebrek]],TSoortGebrek[#Data],3,FALSE))</f>
        <v/>
      </c>
      <c r="H50" s="413" t="str">
        <f>IF(ISBLANK(TInspectieE[[#This Row],[Soort gebrek]]),"",VLOOKUP(TInspectieE[[#This Row],[Soort gebrek]],TSoortGebrek[#Data],2,FALSE))</f>
        <v/>
      </c>
      <c r="I50" s="413" t="str">
        <f>IF(TInspectieE[[#This Row],[Soort gebrek]]=0,"",VLOOKUP(TInspectieE[[#This Row],[Soort gebrek]],TSoortGebrek[],4,FALSE))</f>
        <v/>
      </c>
      <c r="J50" s="425"/>
      <c r="K50" s="415" t="str">
        <f>IF(TInspectieE[[#This Row],[Soort gebrek]]=0,"",VLOOKUP(TInspectieE[[#This Row],[Combi]],TPrio[#Data],2,FALSE))</f>
        <v/>
      </c>
      <c r="L50" s="339"/>
      <c r="M50" s="416" t="str">
        <f>IF(ISBLANK(TInspectieE[[#This Row],[Gebrek nr.]]),"",TInspectieE[[#This Row],[UVID]]&amp;"-"&amp;TInspectieE[[#This Row],[Gebrek nr.]])</f>
        <v/>
      </c>
      <c r="N50" s="417"/>
      <c r="O50" s="418"/>
      <c r="P50" s="206"/>
      <c r="Q50" s="193"/>
      <c r="R50" s="193" t="str">
        <f>IF(OR(TInspectieE[[#This Row],[Duurzaamheid bijdrage]]="Voldoet niet aan DZH-lijn",TInspectieE[[#This Row],[Duurzaamheid bijdrage]]="Voldoet niet aan vigerende W&amp;R"),"Voldoet niet","Voldoet")</f>
        <v>Voldoet</v>
      </c>
      <c r="S50" s="206"/>
      <c r="T50" s="206"/>
      <c r="U50" s="206"/>
      <c r="V50" s="206"/>
      <c r="W50" s="206"/>
      <c r="X50" s="419"/>
      <c r="Y50" s="340"/>
      <c r="Z50" s="420"/>
      <c r="AA50" s="421" t="str">
        <f>IF(ISBLANK(TInspectieE[[#This Row],[Aantal]]),"",ROUND(TInspectieE[[#This Row],[Kengetal]]*TInspectieE[[#This Row],[Aantal]],-1))</f>
        <v/>
      </c>
      <c r="AB50" s="422" t="str">
        <f>IF(TInspectieE[[#This Row],[Vak-groep]]="","1",VLOOKUP(C50,$J$2:$K$7,2,FALSE))</f>
        <v>1</v>
      </c>
      <c r="AC50" s="423" t="str">
        <f>CONCATENATE(TInspectieE[[#This Row],[Soort gebrek]],TInspectieE[[#This Row],[Trede]])</f>
        <v>1</v>
      </c>
      <c r="AD50" s="413" t="e">
        <v>#N/A</v>
      </c>
      <c r="AE50" s="413" t="e">
        <v>#N/A</v>
      </c>
      <c r="AF50" s="424">
        <v>0</v>
      </c>
    </row>
    <row r="51" spans="1:32" ht="10.5" x14ac:dyDescent="0.25">
      <c r="A51" s="337" t="str" cm="1">
        <f t="array" ref="A51">IFERROR(INDEX(TInventE[UVID],ROUNDDOWN((ROW(A42)+1)/2,0)),"")</f>
        <v/>
      </c>
      <c r="B51" s="410" t="str">
        <f>IF(TInspectieE[[#This Row],[UVID]]="","",VLOOKUP(TInspectieE[[#This Row],[UVID]],TInventE[],2,FALSE))</f>
        <v/>
      </c>
      <c r="C51" s="365" t="str">
        <f>IF(TInspectieE[[#This Row],[UVID]]="","",VLOOKUP(TInspectieE[[#This Row],[UVID]],TInventE[],11,FALSE))</f>
        <v/>
      </c>
      <c r="D51" s="411" t="str">
        <f>IF(TInspectieE[[#This Row],[UVID]]="","",VLOOKUP(TInspectieE[[#This Row],[UVID]],TInventE[],3,FALSE))</f>
        <v/>
      </c>
      <c r="E51" s="338" t="str">
        <f>IF(TInspectieE[[#This Row],[Omschrijving bouwdeel]]="","",IF(ISEVEN(ROW()),"O","E"))</f>
        <v/>
      </c>
      <c r="F51" s="412"/>
      <c r="G51" s="413" t="str">
        <f>IF(ISBLANK(TInspectieE[[#This Row],[Soort gebrek]]),"",VLOOKUP(TInspectieE[[#This Row],[Soort gebrek]],TSoortGebrek[#Data],3,FALSE))</f>
        <v/>
      </c>
      <c r="H51" s="413" t="str">
        <f>IF(ISBLANK(TInspectieE[[#This Row],[Soort gebrek]]),"",VLOOKUP(TInspectieE[[#This Row],[Soort gebrek]],TSoortGebrek[#Data],2,FALSE))</f>
        <v/>
      </c>
      <c r="I51" s="413" t="str">
        <f>IF(TInspectieE[[#This Row],[Soort gebrek]]=0,"",VLOOKUP(TInspectieE[[#This Row],[Soort gebrek]],TSoortGebrek[],4,FALSE))</f>
        <v/>
      </c>
      <c r="J51" s="425"/>
      <c r="K51" s="415" t="str">
        <f>IF(TInspectieE[[#This Row],[Soort gebrek]]=0,"",VLOOKUP(TInspectieE[[#This Row],[Combi]],TPrio[#Data],2,FALSE))</f>
        <v/>
      </c>
      <c r="L51" s="339"/>
      <c r="M51" s="416" t="str">
        <f>IF(ISBLANK(TInspectieE[[#This Row],[Gebrek nr.]]),"",TInspectieE[[#This Row],[UVID]]&amp;"-"&amp;TInspectieE[[#This Row],[Gebrek nr.]])</f>
        <v/>
      </c>
      <c r="N51" s="417"/>
      <c r="O51" s="418"/>
      <c r="P51" s="206"/>
      <c r="Q51" s="193"/>
      <c r="R51" s="193" t="str">
        <f>IF(OR(TInspectieE[[#This Row],[Duurzaamheid bijdrage]]="Voldoet niet aan DZH-lijn",TInspectieE[[#This Row],[Duurzaamheid bijdrage]]="Voldoet niet aan vigerende W&amp;R"),"Voldoet niet","Voldoet")</f>
        <v>Voldoet</v>
      </c>
      <c r="S51" s="206"/>
      <c r="T51" s="206"/>
      <c r="U51" s="206"/>
      <c r="V51" s="206"/>
      <c r="W51" s="206"/>
      <c r="X51" s="419"/>
      <c r="Y51" s="340"/>
      <c r="Z51" s="420"/>
      <c r="AA51" s="421" t="str">
        <f>IF(ISBLANK(TInspectieE[[#This Row],[Aantal]]),"",ROUND(TInspectieE[[#This Row],[Kengetal]]*TInspectieE[[#This Row],[Aantal]],-1))</f>
        <v/>
      </c>
      <c r="AB51" s="422" t="str">
        <f>IF(TInspectieE[[#This Row],[Vak-groep]]="","1",VLOOKUP(C51,$J$2:$K$7,2,FALSE))</f>
        <v>1</v>
      </c>
      <c r="AC51" s="423" t="str">
        <f>CONCATENATE(TInspectieE[[#This Row],[Soort gebrek]],TInspectieE[[#This Row],[Trede]])</f>
        <v>1</v>
      </c>
      <c r="AD51" s="413" t="e">
        <v>#N/A</v>
      </c>
      <c r="AE51" s="413" t="e">
        <v>#N/A</v>
      </c>
      <c r="AF51" s="424">
        <v>0</v>
      </c>
    </row>
    <row r="52" spans="1:32" ht="10.5" x14ac:dyDescent="0.25">
      <c r="A52" s="337" t="str" cm="1">
        <f t="array" ref="A52">IFERROR(INDEX(TInventE[UVID],ROUNDDOWN((ROW(A43)+1)/2,0)),"")</f>
        <v/>
      </c>
      <c r="B52" s="410" t="str">
        <f>IF(TInspectieE[[#This Row],[UVID]]="","",VLOOKUP(TInspectieE[[#This Row],[UVID]],TInventE[],2,FALSE))</f>
        <v/>
      </c>
      <c r="C52" s="365" t="str">
        <f>IF(TInspectieE[[#This Row],[UVID]]="","",VLOOKUP(TInspectieE[[#This Row],[UVID]],TInventE[],11,FALSE))</f>
        <v/>
      </c>
      <c r="D52" s="411" t="str">
        <f>IF(TInspectieE[[#This Row],[UVID]]="","",VLOOKUP(TInspectieE[[#This Row],[UVID]],TInventE[],3,FALSE))</f>
        <v/>
      </c>
      <c r="E52" s="338" t="str">
        <f>IF(TInspectieE[[#This Row],[Omschrijving bouwdeel]]="","",IF(ISEVEN(ROW()),"O","E"))</f>
        <v/>
      </c>
      <c r="F52" s="412"/>
      <c r="G52" s="413" t="str">
        <f>IF(ISBLANK(TInspectieE[[#This Row],[Soort gebrek]]),"",VLOOKUP(TInspectieE[[#This Row],[Soort gebrek]],TSoortGebrek[#Data],3,FALSE))</f>
        <v/>
      </c>
      <c r="H52" s="413" t="str">
        <f>IF(ISBLANK(TInspectieE[[#This Row],[Soort gebrek]]),"",VLOOKUP(TInspectieE[[#This Row],[Soort gebrek]],TSoortGebrek[#Data],2,FALSE))</f>
        <v/>
      </c>
      <c r="I52" s="413" t="str">
        <f>IF(TInspectieE[[#This Row],[Soort gebrek]]=0,"",VLOOKUP(TInspectieE[[#This Row],[Soort gebrek]],TSoortGebrek[],4,FALSE))</f>
        <v/>
      </c>
      <c r="J52" s="425"/>
      <c r="K52" s="415" t="str">
        <f>IF(TInspectieE[[#This Row],[Soort gebrek]]=0,"",VLOOKUP(TInspectieE[[#This Row],[Combi]],TPrio[#Data],2,FALSE))</f>
        <v/>
      </c>
      <c r="L52" s="339"/>
      <c r="M52" s="416" t="str">
        <f>IF(ISBLANK(TInspectieE[[#This Row],[Gebrek nr.]]),"",TInspectieE[[#This Row],[UVID]]&amp;"-"&amp;TInspectieE[[#This Row],[Gebrek nr.]])</f>
        <v/>
      </c>
      <c r="N52" s="417"/>
      <c r="O52" s="418"/>
      <c r="P52" s="206"/>
      <c r="Q52" s="193"/>
      <c r="R52" s="193" t="str">
        <f>IF(OR(TInspectieE[[#This Row],[Duurzaamheid bijdrage]]="Voldoet niet aan DZH-lijn",TInspectieE[[#This Row],[Duurzaamheid bijdrage]]="Voldoet niet aan vigerende W&amp;R"),"Voldoet niet","Voldoet")</f>
        <v>Voldoet</v>
      </c>
      <c r="S52" s="206"/>
      <c r="T52" s="206"/>
      <c r="U52" s="206"/>
      <c r="V52" s="206"/>
      <c r="W52" s="206"/>
      <c r="X52" s="419"/>
      <c r="Y52" s="340"/>
      <c r="Z52" s="420"/>
      <c r="AA52" s="421" t="str">
        <f>IF(ISBLANK(TInspectieE[[#This Row],[Aantal]]),"",ROUND(TInspectieE[[#This Row],[Kengetal]]*TInspectieE[[#This Row],[Aantal]],-1))</f>
        <v/>
      </c>
      <c r="AB52" s="422" t="str">
        <f>IF(TInspectieE[[#This Row],[Vak-groep]]="","1",VLOOKUP(C52,$J$2:$K$7,2,FALSE))</f>
        <v>1</v>
      </c>
      <c r="AC52" s="423" t="str">
        <f>CONCATENATE(TInspectieE[[#This Row],[Soort gebrek]],TInspectieE[[#This Row],[Trede]])</f>
        <v>1</v>
      </c>
      <c r="AD52" s="413" t="e">
        <v>#N/A</v>
      </c>
      <c r="AE52" s="413" t="e">
        <v>#N/A</v>
      </c>
      <c r="AF52" s="424">
        <v>0</v>
      </c>
    </row>
    <row r="53" spans="1:32" ht="10.5" x14ac:dyDescent="0.25">
      <c r="A53" s="337" t="str" cm="1">
        <f t="array" ref="A53">IFERROR(INDEX(TInventE[UVID],ROUNDDOWN((ROW(A44)+1)/2,0)),"")</f>
        <v/>
      </c>
      <c r="B53" s="410" t="str">
        <f>IF(TInspectieE[[#This Row],[UVID]]="","",VLOOKUP(TInspectieE[[#This Row],[UVID]],TInventE[],2,FALSE))</f>
        <v/>
      </c>
      <c r="C53" s="365" t="str">
        <f>IF(TInspectieE[[#This Row],[UVID]]="","",VLOOKUP(TInspectieE[[#This Row],[UVID]],TInventE[],11,FALSE))</f>
        <v/>
      </c>
      <c r="D53" s="411" t="str">
        <f>IF(TInspectieE[[#This Row],[UVID]]="","",VLOOKUP(TInspectieE[[#This Row],[UVID]],TInventE[],3,FALSE))</f>
        <v/>
      </c>
      <c r="E53" s="338" t="str">
        <f>IF(TInspectieE[[#This Row],[Omschrijving bouwdeel]]="","",IF(ISEVEN(ROW()),"O","E"))</f>
        <v/>
      </c>
      <c r="F53" s="412"/>
      <c r="G53" s="413" t="str">
        <f>IF(ISBLANK(TInspectieE[[#This Row],[Soort gebrek]]),"",VLOOKUP(TInspectieE[[#This Row],[Soort gebrek]],TSoortGebrek[#Data],3,FALSE))</f>
        <v/>
      </c>
      <c r="H53" s="413" t="str">
        <f>IF(ISBLANK(TInspectieE[[#This Row],[Soort gebrek]]),"",VLOOKUP(TInspectieE[[#This Row],[Soort gebrek]],TSoortGebrek[#Data],2,FALSE))</f>
        <v/>
      </c>
      <c r="I53" s="413" t="str">
        <f>IF(TInspectieE[[#This Row],[Soort gebrek]]=0,"",VLOOKUP(TInspectieE[[#This Row],[Soort gebrek]],TSoortGebrek[],4,FALSE))</f>
        <v/>
      </c>
      <c r="J53" s="425"/>
      <c r="K53" s="415" t="str">
        <f>IF(TInspectieE[[#This Row],[Soort gebrek]]=0,"",VLOOKUP(TInspectieE[[#This Row],[Combi]],TPrio[#Data],2,FALSE))</f>
        <v/>
      </c>
      <c r="L53" s="339"/>
      <c r="M53" s="416" t="str">
        <f>IF(ISBLANK(TInspectieE[[#This Row],[Gebrek nr.]]),"",TInspectieE[[#This Row],[UVID]]&amp;"-"&amp;TInspectieE[[#This Row],[Gebrek nr.]])</f>
        <v/>
      </c>
      <c r="N53" s="417"/>
      <c r="O53" s="418"/>
      <c r="P53" s="206"/>
      <c r="Q53" s="193"/>
      <c r="R53" s="193" t="str">
        <f>IF(OR(TInspectieE[[#This Row],[Duurzaamheid bijdrage]]="Voldoet niet aan DZH-lijn",TInspectieE[[#This Row],[Duurzaamheid bijdrage]]="Voldoet niet aan vigerende W&amp;R"),"Voldoet niet","Voldoet")</f>
        <v>Voldoet</v>
      </c>
      <c r="S53" s="206"/>
      <c r="T53" s="206"/>
      <c r="U53" s="206"/>
      <c r="V53" s="206"/>
      <c r="W53" s="206"/>
      <c r="X53" s="419"/>
      <c r="Y53" s="340"/>
      <c r="Z53" s="420"/>
      <c r="AA53" s="421" t="str">
        <f>IF(ISBLANK(TInspectieE[[#This Row],[Aantal]]),"",ROUND(TInspectieE[[#This Row],[Kengetal]]*TInspectieE[[#This Row],[Aantal]],-1))</f>
        <v/>
      </c>
      <c r="AB53" s="422" t="str">
        <f>IF(TInspectieE[[#This Row],[Vak-groep]]="","1",VLOOKUP(C53,$J$2:$K$7,2,FALSE))</f>
        <v>1</v>
      </c>
      <c r="AC53" s="423" t="str">
        <f>CONCATENATE(TInspectieE[[#This Row],[Soort gebrek]],TInspectieE[[#This Row],[Trede]])</f>
        <v>1</v>
      </c>
      <c r="AD53" s="413" t="e">
        <v>#N/A</v>
      </c>
      <c r="AE53" s="413" t="e">
        <v>#N/A</v>
      </c>
      <c r="AF53" s="424">
        <v>0</v>
      </c>
    </row>
    <row r="54" spans="1:32" ht="10.5" x14ac:dyDescent="0.25">
      <c r="A54" s="337" t="str" cm="1">
        <f t="array" ref="A54">IFERROR(INDEX(TInventE[UVID],ROUNDDOWN((ROW(A45)+1)/2,0)),"")</f>
        <v/>
      </c>
      <c r="B54" s="410" t="str">
        <f>IF(TInspectieE[[#This Row],[UVID]]="","",VLOOKUP(TInspectieE[[#This Row],[UVID]],TInventE[],2,FALSE))</f>
        <v/>
      </c>
      <c r="C54" s="365" t="str">
        <f>IF(TInspectieE[[#This Row],[UVID]]="","",VLOOKUP(TInspectieE[[#This Row],[UVID]],TInventE[],11,FALSE))</f>
        <v/>
      </c>
      <c r="D54" s="411" t="str">
        <f>IF(TInspectieE[[#This Row],[UVID]]="","",VLOOKUP(TInspectieE[[#This Row],[UVID]],TInventE[],3,FALSE))</f>
        <v/>
      </c>
      <c r="E54" s="338" t="str">
        <f>IF(TInspectieE[[#This Row],[Omschrijving bouwdeel]]="","",IF(ISEVEN(ROW()),"O","E"))</f>
        <v/>
      </c>
      <c r="F54" s="412"/>
      <c r="G54" s="413" t="str">
        <f>IF(ISBLANK(TInspectieE[[#This Row],[Soort gebrek]]),"",VLOOKUP(TInspectieE[[#This Row],[Soort gebrek]],TSoortGebrek[#Data],3,FALSE))</f>
        <v/>
      </c>
      <c r="H54" s="413" t="str">
        <f>IF(ISBLANK(TInspectieE[[#This Row],[Soort gebrek]]),"",VLOOKUP(TInspectieE[[#This Row],[Soort gebrek]],TSoortGebrek[#Data],2,FALSE))</f>
        <v/>
      </c>
      <c r="I54" s="413" t="str">
        <f>IF(TInspectieE[[#This Row],[Soort gebrek]]=0,"",VLOOKUP(TInspectieE[[#This Row],[Soort gebrek]],TSoortGebrek[],4,FALSE))</f>
        <v/>
      </c>
      <c r="J54" s="425"/>
      <c r="K54" s="415" t="str">
        <f>IF(TInspectieE[[#This Row],[Soort gebrek]]=0,"",VLOOKUP(TInspectieE[[#This Row],[Combi]],TPrio[#Data],2,FALSE))</f>
        <v/>
      </c>
      <c r="L54" s="339"/>
      <c r="M54" s="416" t="str">
        <f>IF(ISBLANK(TInspectieE[[#This Row],[Gebrek nr.]]),"",TInspectieE[[#This Row],[UVID]]&amp;"-"&amp;TInspectieE[[#This Row],[Gebrek nr.]])</f>
        <v/>
      </c>
      <c r="N54" s="417"/>
      <c r="O54" s="418"/>
      <c r="P54" s="206"/>
      <c r="Q54" s="193"/>
      <c r="R54" s="193" t="str">
        <f>IF(OR(TInspectieE[[#This Row],[Duurzaamheid bijdrage]]="Voldoet niet aan DZH-lijn",TInspectieE[[#This Row],[Duurzaamheid bijdrage]]="Voldoet niet aan vigerende W&amp;R"),"Voldoet niet","Voldoet")</f>
        <v>Voldoet</v>
      </c>
      <c r="S54" s="206"/>
      <c r="T54" s="206"/>
      <c r="U54" s="206"/>
      <c r="V54" s="206"/>
      <c r="W54" s="206"/>
      <c r="X54" s="419"/>
      <c r="Y54" s="340"/>
      <c r="Z54" s="420"/>
      <c r="AA54" s="421" t="str">
        <f>IF(ISBLANK(TInspectieE[[#This Row],[Aantal]]),"",ROUND(TInspectieE[[#This Row],[Kengetal]]*TInspectieE[[#This Row],[Aantal]],-1))</f>
        <v/>
      </c>
      <c r="AB54" s="422" t="str">
        <f>IF(TInspectieE[[#This Row],[Vak-groep]]="","1",VLOOKUP(C54,$J$2:$K$7,2,FALSE))</f>
        <v>1</v>
      </c>
      <c r="AC54" s="423" t="str">
        <f>CONCATENATE(TInspectieE[[#This Row],[Soort gebrek]],TInspectieE[[#This Row],[Trede]])</f>
        <v>1</v>
      </c>
      <c r="AD54" s="413" t="e">
        <v>#N/A</v>
      </c>
      <c r="AE54" s="413" t="e">
        <v>#N/A</v>
      </c>
      <c r="AF54" s="424">
        <v>0</v>
      </c>
    </row>
    <row r="55" spans="1:32" ht="10.5" x14ac:dyDescent="0.25">
      <c r="A55" s="337" t="str" cm="1">
        <f t="array" ref="A55">IFERROR(INDEX(TInventE[UVID],ROUNDDOWN((ROW(A46)+1)/2,0)),"")</f>
        <v/>
      </c>
      <c r="B55" s="410" t="str">
        <f>IF(TInspectieE[[#This Row],[UVID]]="","",VLOOKUP(TInspectieE[[#This Row],[UVID]],TInventE[],2,FALSE))</f>
        <v/>
      </c>
      <c r="C55" s="365" t="str">
        <f>IF(TInspectieE[[#This Row],[UVID]]="","",VLOOKUP(TInspectieE[[#This Row],[UVID]],TInventE[],11,FALSE))</f>
        <v/>
      </c>
      <c r="D55" s="411" t="str">
        <f>IF(TInspectieE[[#This Row],[UVID]]="","",VLOOKUP(TInspectieE[[#This Row],[UVID]],TInventE[],3,FALSE))</f>
        <v/>
      </c>
      <c r="E55" s="338" t="str">
        <f>IF(TInspectieE[[#This Row],[Omschrijving bouwdeel]]="","",IF(ISEVEN(ROW()),"O","E"))</f>
        <v/>
      </c>
      <c r="F55" s="412"/>
      <c r="G55" s="413" t="str">
        <f>IF(ISBLANK(TInspectieE[[#This Row],[Soort gebrek]]),"",VLOOKUP(TInspectieE[[#This Row],[Soort gebrek]],TSoortGebrek[#Data],3,FALSE))</f>
        <v/>
      </c>
      <c r="H55" s="413" t="str">
        <f>IF(ISBLANK(TInspectieE[[#This Row],[Soort gebrek]]),"",VLOOKUP(TInspectieE[[#This Row],[Soort gebrek]],TSoortGebrek[#Data],2,FALSE))</f>
        <v/>
      </c>
      <c r="I55" s="413" t="str">
        <f>IF(TInspectieE[[#This Row],[Soort gebrek]]=0,"",VLOOKUP(TInspectieE[[#This Row],[Soort gebrek]],TSoortGebrek[],4,FALSE))</f>
        <v/>
      </c>
      <c r="J55" s="425"/>
      <c r="K55" s="415" t="str">
        <f>IF(TInspectieE[[#This Row],[Soort gebrek]]=0,"",VLOOKUP(TInspectieE[[#This Row],[Combi]],TPrio[#Data],2,FALSE))</f>
        <v/>
      </c>
      <c r="L55" s="339"/>
      <c r="M55" s="416" t="str">
        <f>IF(ISBLANK(TInspectieE[[#This Row],[Gebrek nr.]]),"",TInspectieE[[#This Row],[UVID]]&amp;"-"&amp;TInspectieE[[#This Row],[Gebrek nr.]])</f>
        <v/>
      </c>
      <c r="N55" s="417"/>
      <c r="O55" s="418"/>
      <c r="P55" s="206"/>
      <c r="Q55" s="193"/>
      <c r="R55" s="193" t="str">
        <f>IF(OR(TInspectieE[[#This Row],[Duurzaamheid bijdrage]]="Voldoet niet aan DZH-lijn",TInspectieE[[#This Row],[Duurzaamheid bijdrage]]="Voldoet niet aan vigerende W&amp;R"),"Voldoet niet","Voldoet")</f>
        <v>Voldoet</v>
      </c>
      <c r="S55" s="206"/>
      <c r="T55" s="206"/>
      <c r="U55" s="206"/>
      <c r="V55" s="206"/>
      <c r="W55" s="206"/>
      <c r="X55" s="419"/>
      <c r="Y55" s="340"/>
      <c r="Z55" s="420"/>
      <c r="AA55" s="421" t="str">
        <f>IF(ISBLANK(TInspectieE[[#This Row],[Aantal]]),"",ROUND(TInspectieE[[#This Row],[Kengetal]]*TInspectieE[[#This Row],[Aantal]],-1))</f>
        <v/>
      </c>
      <c r="AB55" s="422" t="str">
        <f>IF(TInspectieE[[#This Row],[Vak-groep]]="","1",VLOOKUP(C55,$J$2:$K$7,2,FALSE))</f>
        <v>1</v>
      </c>
      <c r="AC55" s="423" t="str">
        <f>CONCATENATE(TInspectieE[[#This Row],[Soort gebrek]],TInspectieE[[#This Row],[Trede]])</f>
        <v>1</v>
      </c>
      <c r="AD55" s="413" t="e">
        <v>#N/A</v>
      </c>
      <c r="AE55" s="413" t="e">
        <v>#N/A</v>
      </c>
      <c r="AF55" s="424">
        <v>0</v>
      </c>
    </row>
    <row r="56" spans="1:32" ht="10.5" x14ac:dyDescent="0.25">
      <c r="A56" s="337" t="str" cm="1">
        <f t="array" ref="A56">IFERROR(INDEX(TInventE[UVID],ROUNDDOWN((ROW(A47)+1)/2,0)),"")</f>
        <v/>
      </c>
      <c r="B56" s="410" t="str">
        <f>IF(TInspectieE[[#This Row],[UVID]]="","",VLOOKUP(TInspectieE[[#This Row],[UVID]],TInventE[],2,FALSE))</f>
        <v/>
      </c>
      <c r="C56" s="365" t="str">
        <f>IF(TInspectieE[[#This Row],[UVID]]="","",VLOOKUP(TInspectieE[[#This Row],[UVID]],TInventE[],11,FALSE))</f>
        <v/>
      </c>
      <c r="D56" s="411" t="str">
        <f>IF(TInspectieE[[#This Row],[UVID]]="","",VLOOKUP(TInspectieE[[#This Row],[UVID]],TInventE[],3,FALSE))</f>
        <v/>
      </c>
      <c r="E56" s="338" t="str">
        <f>IF(TInspectieE[[#This Row],[Omschrijving bouwdeel]]="","",IF(ISEVEN(ROW()),"O","E"))</f>
        <v/>
      </c>
      <c r="F56" s="412"/>
      <c r="G56" s="413" t="str">
        <f>IF(ISBLANK(TInspectieE[[#This Row],[Soort gebrek]]),"",VLOOKUP(TInspectieE[[#This Row],[Soort gebrek]],TSoortGebrek[#Data],3,FALSE))</f>
        <v/>
      </c>
      <c r="H56" s="413" t="str">
        <f>IF(ISBLANK(TInspectieE[[#This Row],[Soort gebrek]]),"",VLOOKUP(TInspectieE[[#This Row],[Soort gebrek]],TSoortGebrek[#Data],2,FALSE))</f>
        <v/>
      </c>
      <c r="I56" s="413" t="str">
        <f>IF(TInspectieE[[#This Row],[Soort gebrek]]=0,"",VLOOKUP(TInspectieE[[#This Row],[Soort gebrek]],TSoortGebrek[],4,FALSE))</f>
        <v/>
      </c>
      <c r="J56" s="425"/>
      <c r="K56" s="415" t="str">
        <f>IF(TInspectieE[[#This Row],[Soort gebrek]]=0,"",VLOOKUP(TInspectieE[[#This Row],[Combi]],TPrio[#Data],2,FALSE))</f>
        <v/>
      </c>
      <c r="L56" s="339"/>
      <c r="M56" s="416" t="str">
        <f>IF(ISBLANK(TInspectieE[[#This Row],[Gebrek nr.]]),"",TInspectieE[[#This Row],[UVID]]&amp;"-"&amp;TInspectieE[[#This Row],[Gebrek nr.]])</f>
        <v/>
      </c>
      <c r="N56" s="417"/>
      <c r="O56" s="418"/>
      <c r="P56" s="206"/>
      <c r="Q56" s="193"/>
      <c r="R56" s="193" t="str">
        <f>IF(OR(TInspectieE[[#This Row],[Duurzaamheid bijdrage]]="Voldoet niet aan DZH-lijn",TInspectieE[[#This Row],[Duurzaamheid bijdrage]]="Voldoet niet aan vigerende W&amp;R"),"Voldoet niet","Voldoet")</f>
        <v>Voldoet</v>
      </c>
      <c r="S56" s="206"/>
      <c r="T56" s="206"/>
      <c r="U56" s="206"/>
      <c r="V56" s="206"/>
      <c r="W56" s="206"/>
      <c r="X56" s="419"/>
      <c r="Y56" s="340"/>
      <c r="Z56" s="420"/>
      <c r="AA56" s="421" t="str">
        <f>IF(ISBLANK(TInspectieE[[#This Row],[Aantal]]),"",ROUND(TInspectieE[[#This Row],[Kengetal]]*TInspectieE[[#This Row],[Aantal]],-1))</f>
        <v/>
      </c>
      <c r="AB56" s="422" t="str">
        <f>IF(TInspectieE[[#This Row],[Vak-groep]]="","1",VLOOKUP(C56,$J$2:$K$7,2,FALSE))</f>
        <v>1</v>
      </c>
      <c r="AC56" s="423" t="str">
        <f>CONCATENATE(TInspectieE[[#This Row],[Soort gebrek]],TInspectieE[[#This Row],[Trede]])</f>
        <v>1</v>
      </c>
      <c r="AD56" s="413" t="e">
        <v>#N/A</v>
      </c>
      <c r="AE56" s="413" t="e">
        <v>#N/A</v>
      </c>
      <c r="AF56" s="424">
        <v>0</v>
      </c>
    </row>
    <row r="57" spans="1:32" ht="10.5" x14ac:dyDescent="0.25">
      <c r="A57" s="337" t="str" cm="1">
        <f t="array" ref="A57">IFERROR(INDEX(TInventE[UVID],ROUNDDOWN((ROW(A48)+1)/2,0)),"")</f>
        <v/>
      </c>
      <c r="B57" s="410" t="str">
        <f>IF(TInspectieE[[#This Row],[UVID]]="","",VLOOKUP(TInspectieE[[#This Row],[UVID]],TInventE[],2,FALSE))</f>
        <v/>
      </c>
      <c r="C57" s="365" t="str">
        <f>IF(TInspectieE[[#This Row],[UVID]]="","",VLOOKUP(TInspectieE[[#This Row],[UVID]],TInventE[],11,FALSE))</f>
        <v/>
      </c>
      <c r="D57" s="411" t="str">
        <f>IF(TInspectieE[[#This Row],[UVID]]="","",VLOOKUP(TInspectieE[[#This Row],[UVID]],TInventE[],3,FALSE))</f>
        <v/>
      </c>
      <c r="E57" s="338" t="str">
        <f>IF(TInspectieE[[#This Row],[Omschrijving bouwdeel]]="","",IF(ISEVEN(ROW()),"O","E"))</f>
        <v/>
      </c>
      <c r="F57" s="412"/>
      <c r="G57" s="413" t="str">
        <f>IF(ISBLANK(TInspectieE[[#This Row],[Soort gebrek]]),"",VLOOKUP(TInspectieE[[#This Row],[Soort gebrek]],TSoortGebrek[#Data],3,FALSE))</f>
        <v/>
      </c>
      <c r="H57" s="413" t="str">
        <f>IF(ISBLANK(TInspectieE[[#This Row],[Soort gebrek]]),"",VLOOKUP(TInspectieE[[#This Row],[Soort gebrek]],TSoortGebrek[#Data],2,FALSE))</f>
        <v/>
      </c>
      <c r="I57" s="413" t="str">
        <f>IF(TInspectieE[[#This Row],[Soort gebrek]]=0,"",VLOOKUP(TInspectieE[[#This Row],[Soort gebrek]],TSoortGebrek[],4,FALSE))</f>
        <v/>
      </c>
      <c r="J57" s="425"/>
      <c r="K57" s="415" t="str">
        <f>IF(TInspectieE[[#This Row],[Soort gebrek]]=0,"",VLOOKUP(TInspectieE[[#This Row],[Combi]],TPrio[#Data],2,FALSE))</f>
        <v/>
      </c>
      <c r="L57" s="339"/>
      <c r="M57" s="416" t="str">
        <f>IF(ISBLANK(TInspectieE[[#This Row],[Gebrek nr.]]),"",TInspectieE[[#This Row],[UVID]]&amp;"-"&amp;TInspectieE[[#This Row],[Gebrek nr.]])</f>
        <v/>
      </c>
      <c r="N57" s="417"/>
      <c r="O57" s="418"/>
      <c r="P57" s="206"/>
      <c r="Q57" s="193"/>
      <c r="R57" s="193" t="str">
        <f>IF(OR(TInspectieE[[#This Row],[Duurzaamheid bijdrage]]="Voldoet niet aan DZH-lijn",TInspectieE[[#This Row],[Duurzaamheid bijdrage]]="Voldoet niet aan vigerende W&amp;R"),"Voldoet niet","Voldoet")</f>
        <v>Voldoet</v>
      </c>
      <c r="S57" s="206"/>
      <c r="T57" s="206"/>
      <c r="U57" s="206"/>
      <c r="V57" s="206"/>
      <c r="W57" s="206"/>
      <c r="X57" s="419"/>
      <c r="Y57" s="340"/>
      <c r="Z57" s="420"/>
      <c r="AA57" s="421" t="str">
        <f>IF(ISBLANK(TInspectieE[[#This Row],[Aantal]]),"",ROUND(TInspectieE[[#This Row],[Kengetal]]*TInspectieE[[#This Row],[Aantal]],-1))</f>
        <v/>
      </c>
      <c r="AB57" s="422" t="str">
        <f>IF(TInspectieE[[#This Row],[Vak-groep]]="","1",VLOOKUP(C57,$J$2:$K$7,2,FALSE))</f>
        <v>1</v>
      </c>
      <c r="AC57" s="423" t="str">
        <f>CONCATENATE(TInspectieE[[#This Row],[Soort gebrek]],TInspectieE[[#This Row],[Trede]])</f>
        <v>1</v>
      </c>
      <c r="AD57" s="413" t="e">
        <v>#N/A</v>
      </c>
      <c r="AE57" s="413" t="e">
        <v>#N/A</v>
      </c>
      <c r="AF57" s="424">
        <v>0</v>
      </c>
    </row>
    <row r="58" spans="1:32" ht="10.5" x14ac:dyDescent="0.25">
      <c r="A58" s="337" t="str" cm="1">
        <f t="array" ref="A58">IFERROR(INDEX(TInventE[UVID],ROUNDDOWN((ROW(A49)+1)/2,0)),"")</f>
        <v/>
      </c>
      <c r="B58" s="410" t="str">
        <f>IF(TInspectieE[[#This Row],[UVID]]="","",VLOOKUP(TInspectieE[[#This Row],[UVID]],TInventE[],2,FALSE))</f>
        <v/>
      </c>
      <c r="C58" s="365" t="str">
        <f>IF(TInspectieE[[#This Row],[UVID]]="","",VLOOKUP(TInspectieE[[#This Row],[UVID]],TInventE[],11,FALSE))</f>
        <v/>
      </c>
      <c r="D58" s="411" t="str">
        <f>IF(TInspectieE[[#This Row],[UVID]]="","",VLOOKUP(TInspectieE[[#This Row],[UVID]],TInventE[],3,FALSE))</f>
        <v/>
      </c>
      <c r="E58" s="338" t="str">
        <f>IF(TInspectieE[[#This Row],[Omschrijving bouwdeel]]="","",IF(ISEVEN(ROW()),"O","E"))</f>
        <v/>
      </c>
      <c r="F58" s="412"/>
      <c r="G58" s="413" t="str">
        <f>IF(ISBLANK(TInspectieE[[#This Row],[Soort gebrek]]),"",VLOOKUP(TInspectieE[[#This Row],[Soort gebrek]],TSoortGebrek[#Data],3,FALSE))</f>
        <v/>
      </c>
      <c r="H58" s="413" t="str">
        <f>IF(ISBLANK(TInspectieE[[#This Row],[Soort gebrek]]),"",VLOOKUP(TInspectieE[[#This Row],[Soort gebrek]],TSoortGebrek[#Data],2,FALSE))</f>
        <v/>
      </c>
      <c r="I58" s="413" t="str">
        <f>IF(TInspectieE[[#This Row],[Soort gebrek]]=0,"",VLOOKUP(TInspectieE[[#This Row],[Soort gebrek]],TSoortGebrek[],4,FALSE))</f>
        <v/>
      </c>
      <c r="J58" s="425"/>
      <c r="K58" s="415" t="str">
        <f>IF(TInspectieE[[#This Row],[Soort gebrek]]=0,"",VLOOKUP(TInspectieE[[#This Row],[Combi]],TPrio[#Data],2,FALSE))</f>
        <v/>
      </c>
      <c r="L58" s="339"/>
      <c r="M58" s="416" t="str">
        <f>IF(ISBLANK(TInspectieE[[#This Row],[Gebrek nr.]]),"",TInspectieE[[#This Row],[UVID]]&amp;"-"&amp;TInspectieE[[#This Row],[Gebrek nr.]])</f>
        <v/>
      </c>
      <c r="N58" s="417"/>
      <c r="O58" s="418"/>
      <c r="P58" s="206"/>
      <c r="Q58" s="193"/>
      <c r="R58" s="193" t="str">
        <f>IF(OR(TInspectieE[[#This Row],[Duurzaamheid bijdrage]]="Voldoet niet aan DZH-lijn",TInspectieE[[#This Row],[Duurzaamheid bijdrage]]="Voldoet niet aan vigerende W&amp;R"),"Voldoet niet","Voldoet")</f>
        <v>Voldoet</v>
      </c>
      <c r="S58" s="206"/>
      <c r="T58" s="206"/>
      <c r="U58" s="206"/>
      <c r="V58" s="206"/>
      <c r="W58" s="206"/>
      <c r="X58" s="419"/>
      <c r="Y58" s="340"/>
      <c r="Z58" s="420"/>
      <c r="AA58" s="421" t="str">
        <f>IF(ISBLANK(TInspectieE[[#This Row],[Aantal]]),"",ROUND(TInspectieE[[#This Row],[Kengetal]]*TInspectieE[[#This Row],[Aantal]],-1))</f>
        <v/>
      </c>
      <c r="AB58" s="422" t="str">
        <f>IF(TInspectieE[[#This Row],[Vak-groep]]="","1",VLOOKUP(C58,$J$2:$K$7,2,FALSE))</f>
        <v>1</v>
      </c>
      <c r="AC58" s="423" t="str">
        <f>CONCATENATE(TInspectieE[[#This Row],[Soort gebrek]],TInspectieE[[#This Row],[Trede]])</f>
        <v>1</v>
      </c>
      <c r="AD58" s="413" t="e">
        <v>#N/A</v>
      </c>
      <c r="AE58" s="413" t="e">
        <v>#N/A</v>
      </c>
      <c r="AF58" s="424">
        <v>0</v>
      </c>
    </row>
    <row r="59" spans="1:32" ht="10.5" x14ac:dyDescent="0.25">
      <c r="A59" s="337" t="str" cm="1">
        <f t="array" ref="A59">IFERROR(INDEX(TInventE[UVID],ROUNDDOWN((ROW(A50)+1)/2,0)),"")</f>
        <v/>
      </c>
      <c r="B59" s="410" t="str">
        <f>IF(TInspectieE[[#This Row],[UVID]]="","",VLOOKUP(TInspectieE[[#This Row],[UVID]],TInventE[],2,FALSE))</f>
        <v/>
      </c>
      <c r="C59" s="365" t="str">
        <f>IF(TInspectieE[[#This Row],[UVID]]="","",VLOOKUP(TInspectieE[[#This Row],[UVID]],TInventE[],11,FALSE))</f>
        <v/>
      </c>
      <c r="D59" s="411" t="str">
        <f>IF(TInspectieE[[#This Row],[UVID]]="","",VLOOKUP(TInspectieE[[#This Row],[UVID]],TInventE[],3,FALSE))</f>
        <v/>
      </c>
      <c r="E59" s="338" t="str">
        <f>IF(TInspectieE[[#This Row],[Omschrijving bouwdeel]]="","",IF(ISEVEN(ROW()),"O","E"))</f>
        <v/>
      </c>
      <c r="F59" s="412"/>
      <c r="G59" s="413" t="str">
        <f>IF(ISBLANK(TInspectieE[[#This Row],[Soort gebrek]]),"",VLOOKUP(TInspectieE[[#This Row],[Soort gebrek]],TSoortGebrek[#Data],3,FALSE))</f>
        <v/>
      </c>
      <c r="H59" s="413" t="str">
        <f>IF(ISBLANK(TInspectieE[[#This Row],[Soort gebrek]]),"",VLOOKUP(TInspectieE[[#This Row],[Soort gebrek]],TSoortGebrek[#Data],2,FALSE))</f>
        <v/>
      </c>
      <c r="I59" s="413" t="str">
        <f>IF(TInspectieE[[#This Row],[Soort gebrek]]=0,"",VLOOKUP(TInspectieE[[#This Row],[Soort gebrek]],TSoortGebrek[],4,FALSE))</f>
        <v/>
      </c>
      <c r="J59" s="425"/>
      <c r="K59" s="415" t="str">
        <f>IF(TInspectieE[[#This Row],[Soort gebrek]]=0,"",VLOOKUP(TInspectieE[[#This Row],[Combi]],TPrio[#Data],2,FALSE))</f>
        <v/>
      </c>
      <c r="L59" s="339"/>
      <c r="M59" s="416" t="str">
        <f>IF(ISBLANK(TInspectieE[[#This Row],[Gebrek nr.]]),"",TInspectieE[[#This Row],[UVID]]&amp;"-"&amp;TInspectieE[[#This Row],[Gebrek nr.]])</f>
        <v/>
      </c>
      <c r="N59" s="417"/>
      <c r="O59" s="418"/>
      <c r="P59" s="206"/>
      <c r="Q59" s="193"/>
      <c r="R59" s="193" t="str">
        <f>IF(OR(TInspectieE[[#This Row],[Duurzaamheid bijdrage]]="Voldoet niet aan DZH-lijn",TInspectieE[[#This Row],[Duurzaamheid bijdrage]]="Voldoet niet aan vigerende W&amp;R"),"Voldoet niet","Voldoet")</f>
        <v>Voldoet</v>
      </c>
      <c r="S59" s="206"/>
      <c r="T59" s="206"/>
      <c r="U59" s="206"/>
      <c r="V59" s="206"/>
      <c r="W59" s="206"/>
      <c r="X59" s="419"/>
      <c r="Y59" s="340"/>
      <c r="Z59" s="420"/>
      <c r="AA59" s="421" t="str">
        <f>IF(ISBLANK(TInspectieE[[#This Row],[Aantal]]),"",ROUND(TInspectieE[[#This Row],[Kengetal]]*TInspectieE[[#This Row],[Aantal]],-1))</f>
        <v/>
      </c>
      <c r="AB59" s="422" t="str">
        <f>IF(TInspectieE[[#This Row],[Vak-groep]]="","1",VLOOKUP(C59,$J$2:$K$7,2,FALSE))</f>
        <v>1</v>
      </c>
      <c r="AC59" s="423" t="str">
        <f>CONCATENATE(TInspectieE[[#This Row],[Soort gebrek]],TInspectieE[[#This Row],[Trede]])</f>
        <v>1</v>
      </c>
      <c r="AD59" s="413" t="e">
        <v>#N/A</v>
      </c>
      <c r="AE59" s="413" t="e">
        <v>#N/A</v>
      </c>
      <c r="AF59" s="424">
        <v>0</v>
      </c>
    </row>
    <row r="60" spans="1:32" ht="10.5" x14ac:dyDescent="0.25">
      <c r="A60" s="337" t="str" cm="1">
        <f t="array" ref="A60">IFERROR(INDEX(TInventE[UVID],ROUNDDOWN((ROW(A51)+1)/2,0)),"")</f>
        <v/>
      </c>
      <c r="B60" s="410" t="str">
        <f>IF(TInspectieE[[#This Row],[UVID]]="","",VLOOKUP(TInspectieE[[#This Row],[UVID]],TInventE[],2,FALSE))</f>
        <v/>
      </c>
      <c r="C60" s="365" t="str">
        <f>IF(TInspectieE[[#This Row],[UVID]]="","",VLOOKUP(TInspectieE[[#This Row],[UVID]],TInventE[],11,FALSE))</f>
        <v/>
      </c>
      <c r="D60" s="411" t="str">
        <f>IF(TInspectieE[[#This Row],[UVID]]="","",VLOOKUP(TInspectieE[[#This Row],[UVID]],TInventE[],3,FALSE))</f>
        <v/>
      </c>
      <c r="E60" s="338" t="str">
        <f>IF(TInspectieE[[#This Row],[Omschrijving bouwdeel]]="","",IF(ISEVEN(ROW()),"O","E"))</f>
        <v/>
      </c>
      <c r="F60" s="412"/>
      <c r="G60" s="413" t="str">
        <f>IF(ISBLANK(TInspectieE[[#This Row],[Soort gebrek]]),"",VLOOKUP(TInspectieE[[#This Row],[Soort gebrek]],TSoortGebrek[#Data],3,FALSE))</f>
        <v/>
      </c>
      <c r="H60" s="413" t="str">
        <f>IF(ISBLANK(TInspectieE[[#This Row],[Soort gebrek]]),"",VLOOKUP(TInspectieE[[#This Row],[Soort gebrek]],TSoortGebrek[#Data],2,FALSE))</f>
        <v/>
      </c>
      <c r="I60" s="413" t="str">
        <f>IF(TInspectieE[[#This Row],[Soort gebrek]]=0,"",VLOOKUP(TInspectieE[[#This Row],[Soort gebrek]],TSoortGebrek[],4,FALSE))</f>
        <v/>
      </c>
      <c r="J60" s="425"/>
      <c r="K60" s="415" t="str">
        <f>IF(TInspectieE[[#This Row],[Soort gebrek]]=0,"",VLOOKUP(TInspectieE[[#This Row],[Combi]],TPrio[#Data],2,FALSE))</f>
        <v/>
      </c>
      <c r="L60" s="339"/>
      <c r="M60" s="416" t="str">
        <f>IF(ISBLANK(TInspectieE[[#This Row],[Gebrek nr.]]),"",TInspectieE[[#This Row],[UVID]]&amp;"-"&amp;TInspectieE[[#This Row],[Gebrek nr.]])</f>
        <v/>
      </c>
      <c r="N60" s="417"/>
      <c r="O60" s="418"/>
      <c r="P60" s="497"/>
      <c r="Q60" s="193"/>
      <c r="R60" s="193" t="str">
        <f>IF(OR(TInspectieE[[#This Row],[Duurzaamheid bijdrage]]="Voldoet niet aan DZH-lijn",TInspectieE[[#This Row],[Duurzaamheid bijdrage]]="Voldoet niet aan vigerende W&amp;R"),"Voldoet niet","Voldoet")</f>
        <v>Voldoet</v>
      </c>
      <c r="S60" s="206"/>
      <c r="T60" s="206"/>
      <c r="U60" s="206"/>
      <c r="V60" s="206"/>
      <c r="W60" s="206"/>
      <c r="X60" s="419"/>
      <c r="Y60" s="340"/>
      <c r="Z60" s="420"/>
      <c r="AA60" s="421" t="str">
        <f>IF(ISBLANK(TInspectieE[[#This Row],[Aantal]]),"",ROUND(TInspectieE[[#This Row],[Kengetal]]*TInspectieE[[#This Row],[Aantal]],-1))</f>
        <v/>
      </c>
      <c r="AB60" s="422" t="str">
        <f>IF(TInspectieE[[#This Row],[Vak-groep]]="","1",VLOOKUP(C60,$J$2:$K$7,2,FALSE))</f>
        <v>1</v>
      </c>
      <c r="AC60" s="423" t="str">
        <f>CONCATENATE(TInspectieE[[#This Row],[Soort gebrek]],TInspectieE[[#This Row],[Trede]])</f>
        <v>1</v>
      </c>
      <c r="AD60" s="413" t="e">
        <v>#N/A</v>
      </c>
      <c r="AE60" s="413" t="e">
        <v>#N/A</v>
      </c>
      <c r="AF60" s="424">
        <v>0</v>
      </c>
    </row>
    <row r="61" spans="1:32" ht="10.5" x14ac:dyDescent="0.25">
      <c r="A61" s="337" t="str" cm="1">
        <f t="array" ref="A61">IFERROR(INDEX(TInventE[UVID],ROUNDDOWN((ROW(A52)+1)/2,0)),"")</f>
        <v/>
      </c>
      <c r="B61" s="410" t="str">
        <f>IF(TInspectieE[[#This Row],[UVID]]="","",VLOOKUP(TInspectieE[[#This Row],[UVID]],TInventE[],2,FALSE))</f>
        <v/>
      </c>
      <c r="C61" s="365" t="str">
        <f>IF(TInspectieE[[#This Row],[UVID]]="","",VLOOKUP(TInspectieE[[#This Row],[UVID]],TInventE[],11,FALSE))</f>
        <v/>
      </c>
      <c r="D61" s="411" t="str">
        <f>IF(TInspectieE[[#This Row],[UVID]]="","",VLOOKUP(TInspectieE[[#This Row],[UVID]],TInventE[],3,FALSE))</f>
        <v/>
      </c>
      <c r="E61" s="338" t="str">
        <f>IF(TInspectieE[[#This Row],[Omschrijving bouwdeel]]="","",IF(ISEVEN(ROW()),"O","E"))</f>
        <v/>
      </c>
      <c r="F61" s="412"/>
      <c r="G61" s="413" t="str">
        <f>IF(ISBLANK(TInspectieE[[#This Row],[Soort gebrek]]),"",VLOOKUP(TInspectieE[[#This Row],[Soort gebrek]],TSoortGebrek[#Data],3,FALSE))</f>
        <v/>
      </c>
      <c r="H61" s="413" t="str">
        <f>IF(ISBLANK(TInspectieE[[#This Row],[Soort gebrek]]),"",VLOOKUP(TInspectieE[[#This Row],[Soort gebrek]],TSoortGebrek[#Data],2,FALSE))</f>
        <v/>
      </c>
      <c r="I61" s="413" t="str">
        <f>IF(TInspectieE[[#This Row],[Soort gebrek]]=0,"",VLOOKUP(TInspectieE[[#This Row],[Soort gebrek]],TSoortGebrek[],4,FALSE))</f>
        <v/>
      </c>
      <c r="J61" s="425"/>
      <c r="K61" s="415" t="str">
        <f>IF(TInspectieE[[#This Row],[Soort gebrek]]=0,"",VLOOKUP(TInspectieE[[#This Row],[Combi]],TPrio[#Data],2,FALSE))</f>
        <v/>
      </c>
      <c r="L61" s="339"/>
      <c r="M61" s="416" t="str">
        <f>IF(ISBLANK(TInspectieE[[#This Row],[Gebrek nr.]]),"",TInspectieE[[#This Row],[UVID]]&amp;"-"&amp;TInspectieE[[#This Row],[Gebrek nr.]])</f>
        <v/>
      </c>
      <c r="N61" s="417"/>
      <c r="O61" s="418"/>
      <c r="P61" s="206"/>
      <c r="Q61" s="193"/>
      <c r="R61" s="193" t="str">
        <f>IF(OR(TInspectieE[[#This Row],[Duurzaamheid bijdrage]]="Voldoet niet aan DZH-lijn",TInspectieE[[#This Row],[Duurzaamheid bijdrage]]="Voldoet niet aan vigerende W&amp;R"),"Voldoet niet","Voldoet")</f>
        <v>Voldoet</v>
      </c>
      <c r="S61" s="206"/>
      <c r="T61" s="206"/>
      <c r="U61" s="206"/>
      <c r="V61" s="206"/>
      <c r="W61" s="206"/>
      <c r="X61" s="419"/>
      <c r="Y61" s="340"/>
      <c r="Z61" s="420"/>
      <c r="AA61" s="421" t="str">
        <f>IF(ISBLANK(TInspectieE[[#This Row],[Aantal]]),"",ROUND(TInspectieE[[#This Row],[Kengetal]]*TInspectieE[[#This Row],[Aantal]],-1))</f>
        <v/>
      </c>
      <c r="AB61" s="422" t="str">
        <f>IF(TInspectieE[[#This Row],[Vak-groep]]="","1",VLOOKUP(C61,$J$2:$K$7,2,FALSE))</f>
        <v>1</v>
      </c>
      <c r="AC61" s="423" t="str">
        <f>CONCATENATE(TInspectieE[[#This Row],[Soort gebrek]],TInspectieE[[#This Row],[Trede]])</f>
        <v>1</v>
      </c>
      <c r="AD61" s="413" t="e">
        <v>#N/A</v>
      </c>
      <c r="AE61" s="413" t="e">
        <v>#N/A</v>
      </c>
      <c r="AF61" s="424">
        <v>0</v>
      </c>
    </row>
    <row r="62" spans="1:32" ht="10.5" x14ac:dyDescent="0.25">
      <c r="A62" s="337" t="str" cm="1">
        <f t="array" ref="A62">IFERROR(INDEX(TInventE[UVID],ROUNDDOWN((ROW(A53)+1)/2,0)),"")</f>
        <v/>
      </c>
      <c r="B62" s="410" t="str">
        <f>IF(TInspectieE[[#This Row],[UVID]]="","",VLOOKUP(TInspectieE[[#This Row],[UVID]],TInventE[],2,FALSE))</f>
        <v/>
      </c>
      <c r="C62" s="365" t="str">
        <f>IF(TInspectieE[[#This Row],[UVID]]="","",VLOOKUP(TInspectieE[[#This Row],[UVID]],TInventE[],11,FALSE))</f>
        <v/>
      </c>
      <c r="D62" s="411" t="str">
        <f>IF(TInspectieE[[#This Row],[UVID]]="","",VLOOKUP(TInspectieE[[#This Row],[UVID]],TInventE[],3,FALSE))</f>
        <v/>
      </c>
      <c r="E62" s="338" t="str">
        <f>IF(TInspectieE[[#This Row],[Omschrijving bouwdeel]]="","",IF(ISEVEN(ROW()),"O","E"))</f>
        <v/>
      </c>
      <c r="F62" s="412"/>
      <c r="G62" s="413" t="str">
        <f>IF(ISBLANK(TInspectieE[[#This Row],[Soort gebrek]]),"",VLOOKUP(TInspectieE[[#This Row],[Soort gebrek]],TSoortGebrek[#Data],3,FALSE))</f>
        <v/>
      </c>
      <c r="H62" s="413" t="str">
        <f>IF(ISBLANK(TInspectieE[[#This Row],[Soort gebrek]]),"",VLOOKUP(TInspectieE[[#This Row],[Soort gebrek]],TSoortGebrek[#Data],2,FALSE))</f>
        <v/>
      </c>
      <c r="I62" s="413" t="str">
        <f>IF(TInspectieE[[#This Row],[Soort gebrek]]=0,"",VLOOKUP(TInspectieE[[#This Row],[Soort gebrek]],TSoortGebrek[],4,FALSE))</f>
        <v/>
      </c>
      <c r="J62" s="425"/>
      <c r="K62" s="415" t="str">
        <f>IF(TInspectieE[[#This Row],[Soort gebrek]]=0,"",VLOOKUP(TInspectieE[[#This Row],[Combi]],TPrio[#Data],2,FALSE))</f>
        <v/>
      </c>
      <c r="L62" s="339"/>
      <c r="M62" s="416" t="str">
        <f>IF(ISBLANK(TInspectieE[[#This Row],[Gebrek nr.]]),"",TInspectieE[[#This Row],[UVID]]&amp;"-"&amp;TInspectieE[[#This Row],[Gebrek nr.]])</f>
        <v/>
      </c>
      <c r="N62" s="417"/>
      <c r="O62" s="418"/>
      <c r="P62" s="206"/>
      <c r="Q62" s="193"/>
      <c r="R62" s="193" t="str">
        <f>IF(OR(TInspectieE[[#This Row],[Duurzaamheid bijdrage]]="Voldoet niet aan DZH-lijn",TInspectieE[[#This Row],[Duurzaamheid bijdrage]]="Voldoet niet aan vigerende W&amp;R"),"Voldoet niet","Voldoet")</f>
        <v>Voldoet</v>
      </c>
      <c r="S62" s="206"/>
      <c r="T62" s="206"/>
      <c r="U62" s="206"/>
      <c r="V62" s="206"/>
      <c r="W62" s="206"/>
      <c r="X62" s="419"/>
      <c r="Y62" s="340"/>
      <c r="Z62" s="420"/>
      <c r="AA62" s="421" t="str">
        <f>IF(ISBLANK(TInspectieE[[#This Row],[Aantal]]),"",ROUND(TInspectieE[[#This Row],[Kengetal]]*TInspectieE[[#This Row],[Aantal]],-1))</f>
        <v/>
      </c>
      <c r="AB62" s="422" t="str">
        <f>IF(TInspectieE[[#This Row],[Vak-groep]]="","1",VLOOKUP(C62,$J$2:$K$7,2,FALSE))</f>
        <v>1</v>
      </c>
      <c r="AC62" s="423" t="str">
        <f>CONCATENATE(TInspectieE[[#This Row],[Soort gebrek]],TInspectieE[[#This Row],[Trede]])</f>
        <v>1</v>
      </c>
      <c r="AD62" s="413" t="e">
        <v>#N/A</v>
      </c>
      <c r="AE62" s="413" t="e">
        <v>#N/A</v>
      </c>
      <c r="AF62" s="424">
        <v>0</v>
      </c>
    </row>
    <row r="63" spans="1:32" ht="10.5" x14ac:dyDescent="0.25">
      <c r="A63" s="337" t="str" cm="1">
        <f t="array" ref="A63">IFERROR(INDEX(TInventE[UVID],ROUNDDOWN((ROW(A54)+1)/2,0)),"")</f>
        <v/>
      </c>
      <c r="B63" s="410" t="str">
        <f>IF(TInspectieE[[#This Row],[UVID]]="","",VLOOKUP(TInspectieE[[#This Row],[UVID]],TInventE[],2,FALSE))</f>
        <v/>
      </c>
      <c r="C63" s="365" t="str">
        <f>IF(TInspectieE[[#This Row],[UVID]]="","",VLOOKUP(TInspectieE[[#This Row],[UVID]],TInventE[],11,FALSE))</f>
        <v/>
      </c>
      <c r="D63" s="411" t="str">
        <f>IF(TInspectieE[[#This Row],[UVID]]="","",VLOOKUP(TInspectieE[[#This Row],[UVID]],TInventE[],3,FALSE))</f>
        <v/>
      </c>
      <c r="E63" s="338" t="str">
        <f>IF(TInspectieE[[#This Row],[Omschrijving bouwdeel]]="","",IF(ISEVEN(ROW()),"O","E"))</f>
        <v/>
      </c>
      <c r="F63" s="412"/>
      <c r="G63" s="413" t="str">
        <f>IF(ISBLANK(TInspectieE[[#This Row],[Soort gebrek]]),"",VLOOKUP(TInspectieE[[#This Row],[Soort gebrek]],TSoortGebrek[#Data],3,FALSE))</f>
        <v/>
      </c>
      <c r="H63" s="413" t="str">
        <f>IF(ISBLANK(TInspectieE[[#This Row],[Soort gebrek]]),"",VLOOKUP(TInspectieE[[#This Row],[Soort gebrek]],TSoortGebrek[#Data],2,FALSE))</f>
        <v/>
      </c>
      <c r="I63" s="413" t="str">
        <f>IF(TInspectieE[[#This Row],[Soort gebrek]]=0,"",VLOOKUP(TInspectieE[[#This Row],[Soort gebrek]],TSoortGebrek[],4,FALSE))</f>
        <v/>
      </c>
      <c r="J63" s="425"/>
      <c r="K63" s="415" t="str">
        <f>IF(TInspectieE[[#This Row],[Soort gebrek]]=0,"",VLOOKUP(TInspectieE[[#This Row],[Combi]],TPrio[#Data],2,FALSE))</f>
        <v/>
      </c>
      <c r="L63" s="339"/>
      <c r="M63" s="416" t="str">
        <f>IF(ISBLANK(TInspectieE[[#This Row],[Gebrek nr.]]),"",TInspectieE[[#This Row],[UVID]]&amp;"-"&amp;TInspectieE[[#This Row],[Gebrek nr.]])</f>
        <v/>
      </c>
      <c r="N63" s="417"/>
      <c r="O63" s="418"/>
      <c r="P63" s="206"/>
      <c r="Q63" s="193"/>
      <c r="R63" s="193" t="str">
        <f>IF(OR(TInspectieE[[#This Row],[Duurzaamheid bijdrage]]="Voldoet niet aan DZH-lijn",TInspectieE[[#This Row],[Duurzaamheid bijdrage]]="Voldoet niet aan vigerende W&amp;R"),"Voldoet niet","Voldoet")</f>
        <v>Voldoet</v>
      </c>
      <c r="S63" s="206"/>
      <c r="T63" s="206"/>
      <c r="U63" s="206"/>
      <c r="V63" s="206"/>
      <c r="W63" s="206"/>
      <c r="X63" s="419"/>
      <c r="Y63" s="340"/>
      <c r="Z63" s="420"/>
      <c r="AA63" s="421" t="str">
        <f>IF(ISBLANK(TInspectieE[[#This Row],[Aantal]]),"",ROUND(TInspectieE[[#This Row],[Kengetal]]*TInspectieE[[#This Row],[Aantal]],-1))</f>
        <v/>
      </c>
      <c r="AB63" s="422" t="str">
        <f>IF(TInspectieE[[#This Row],[Vak-groep]]="","1",VLOOKUP(C63,$J$2:$K$7,2,FALSE))</f>
        <v>1</v>
      </c>
      <c r="AC63" s="423" t="str">
        <f>CONCATENATE(TInspectieE[[#This Row],[Soort gebrek]],TInspectieE[[#This Row],[Trede]])</f>
        <v>1</v>
      </c>
      <c r="AD63" s="413" t="e">
        <v>#N/A</v>
      </c>
      <c r="AE63" s="413" t="e">
        <v>#N/A</v>
      </c>
      <c r="AF63" s="424">
        <v>0</v>
      </c>
    </row>
    <row r="64" spans="1:32" ht="10.5" x14ac:dyDescent="0.25">
      <c r="A64" s="337" t="str" cm="1">
        <f t="array" ref="A64">IFERROR(INDEX(TInventE[UVID],ROUNDDOWN((ROW(A55)+1)/2,0)),"")</f>
        <v/>
      </c>
      <c r="B64" s="410" t="str">
        <f>IF(TInspectieE[[#This Row],[UVID]]="","",VLOOKUP(TInspectieE[[#This Row],[UVID]],TInventE[],2,FALSE))</f>
        <v/>
      </c>
      <c r="C64" s="365" t="str">
        <f>IF(TInspectieE[[#This Row],[UVID]]="","",VLOOKUP(TInspectieE[[#This Row],[UVID]],TInventE[],11,FALSE))</f>
        <v/>
      </c>
      <c r="D64" s="411" t="str">
        <f>IF(TInspectieE[[#This Row],[UVID]]="","",VLOOKUP(TInspectieE[[#This Row],[UVID]],TInventE[],3,FALSE))</f>
        <v/>
      </c>
      <c r="E64" s="338" t="str">
        <f>IF(TInspectieE[[#This Row],[Omschrijving bouwdeel]]="","",IF(ISEVEN(ROW()),"O","E"))</f>
        <v/>
      </c>
      <c r="F64" s="412"/>
      <c r="G64" s="413" t="str">
        <f>IF(ISBLANK(TInspectieE[[#This Row],[Soort gebrek]]),"",VLOOKUP(TInspectieE[[#This Row],[Soort gebrek]],TSoortGebrek[#Data],3,FALSE))</f>
        <v/>
      </c>
      <c r="H64" s="413" t="str">
        <f>IF(ISBLANK(TInspectieE[[#This Row],[Soort gebrek]]),"",VLOOKUP(TInspectieE[[#This Row],[Soort gebrek]],TSoortGebrek[#Data],2,FALSE))</f>
        <v/>
      </c>
      <c r="I64" s="413" t="str">
        <f>IF(TInspectieE[[#This Row],[Soort gebrek]]=0,"",VLOOKUP(TInspectieE[[#This Row],[Soort gebrek]],TSoortGebrek[],4,FALSE))</f>
        <v/>
      </c>
      <c r="J64" s="425"/>
      <c r="K64" s="415" t="str">
        <f>IF(TInspectieE[[#This Row],[Soort gebrek]]=0,"",VLOOKUP(TInspectieE[[#This Row],[Combi]],TPrio[#Data],2,FALSE))</f>
        <v/>
      </c>
      <c r="L64" s="339"/>
      <c r="M64" s="416" t="str">
        <f>IF(ISBLANK(TInspectieE[[#This Row],[Gebrek nr.]]),"",TInspectieE[[#This Row],[UVID]]&amp;"-"&amp;TInspectieE[[#This Row],[Gebrek nr.]])</f>
        <v/>
      </c>
      <c r="N64" s="417"/>
      <c r="O64" s="418"/>
      <c r="P64" s="206"/>
      <c r="Q64" s="193"/>
      <c r="R64" s="193" t="str">
        <f>IF(OR(TInspectieE[[#This Row],[Duurzaamheid bijdrage]]="Voldoet niet aan DZH-lijn",TInspectieE[[#This Row],[Duurzaamheid bijdrage]]="Voldoet niet aan vigerende W&amp;R"),"Voldoet niet","Voldoet")</f>
        <v>Voldoet</v>
      </c>
      <c r="S64" s="206"/>
      <c r="T64" s="206"/>
      <c r="U64" s="206"/>
      <c r="V64" s="206"/>
      <c r="W64" s="206"/>
      <c r="X64" s="419"/>
      <c r="Y64" s="340"/>
      <c r="Z64" s="420"/>
      <c r="AA64" s="421" t="str">
        <f>IF(ISBLANK(TInspectieE[[#This Row],[Aantal]]),"",ROUND(TInspectieE[[#This Row],[Kengetal]]*TInspectieE[[#This Row],[Aantal]],-1))</f>
        <v/>
      </c>
      <c r="AB64" s="422" t="str">
        <f>IF(TInspectieE[[#This Row],[Vak-groep]]="","1",VLOOKUP(C64,$J$2:$K$7,2,FALSE))</f>
        <v>1</v>
      </c>
      <c r="AC64" s="423" t="str">
        <f>CONCATENATE(TInspectieE[[#This Row],[Soort gebrek]],TInspectieE[[#This Row],[Trede]])</f>
        <v>1</v>
      </c>
      <c r="AD64" s="413" t="e">
        <v>#N/A</v>
      </c>
      <c r="AE64" s="413" t="e">
        <v>#N/A</v>
      </c>
      <c r="AF64" s="424">
        <v>0</v>
      </c>
    </row>
    <row r="65" spans="1:32" ht="10.5" x14ac:dyDescent="0.25">
      <c r="A65" s="337" t="str" cm="1">
        <f t="array" ref="A65">IFERROR(INDEX(TInventE[UVID],ROUNDDOWN((ROW(A56)+1)/2,0)),"")</f>
        <v/>
      </c>
      <c r="B65" s="410" t="str">
        <f>IF(TInspectieE[[#This Row],[UVID]]="","",VLOOKUP(TInspectieE[[#This Row],[UVID]],TInventE[],2,FALSE))</f>
        <v/>
      </c>
      <c r="C65" s="365" t="str">
        <f>IF(TInspectieE[[#This Row],[UVID]]="","",VLOOKUP(TInspectieE[[#This Row],[UVID]],TInventE[],11,FALSE))</f>
        <v/>
      </c>
      <c r="D65" s="411" t="str">
        <f>IF(TInspectieE[[#This Row],[UVID]]="","",VLOOKUP(TInspectieE[[#This Row],[UVID]],TInventE[],3,FALSE))</f>
        <v/>
      </c>
      <c r="E65" s="338" t="str">
        <f>IF(TInspectieE[[#This Row],[Omschrijving bouwdeel]]="","",IF(ISEVEN(ROW()),"O","E"))</f>
        <v/>
      </c>
      <c r="F65" s="412"/>
      <c r="G65" s="413" t="str">
        <f>IF(ISBLANK(TInspectieE[[#This Row],[Soort gebrek]]),"",VLOOKUP(TInspectieE[[#This Row],[Soort gebrek]],TSoortGebrek[#Data],3,FALSE))</f>
        <v/>
      </c>
      <c r="H65" s="413" t="str">
        <f>IF(ISBLANK(TInspectieE[[#This Row],[Soort gebrek]]),"",VLOOKUP(TInspectieE[[#This Row],[Soort gebrek]],TSoortGebrek[#Data],2,FALSE))</f>
        <v/>
      </c>
      <c r="I65" s="413" t="str">
        <f>IF(TInspectieE[[#This Row],[Soort gebrek]]=0,"",VLOOKUP(TInspectieE[[#This Row],[Soort gebrek]],TSoortGebrek[],4,FALSE))</f>
        <v/>
      </c>
      <c r="J65" s="425"/>
      <c r="K65" s="415" t="str">
        <f>IF(TInspectieE[[#This Row],[Soort gebrek]]=0,"",VLOOKUP(TInspectieE[[#This Row],[Combi]],TPrio[#Data],2,FALSE))</f>
        <v/>
      </c>
      <c r="L65" s="339"/>
      <c r="M65" s="416" t="str">
        <f>IF(ISBLANK(TInspectieE[[#This Row],[Gebrek nr.]]),"",TInspectieE[[#This Row],[UVID]]&amp;"-"&amp;TInspectieE[[#This Row],[Gebrek nr.]])</f>
        <v/>
      </c>
      <c r="N65" s="417"/>
      <c r="O65" s="418"/>
      <c r="P65" s="206"/>
      <c r="Q65" s="193"/>
      <c r="R65" s="193" t="str">
        <f>IF(OR(TInspectieE[[#This Row],[Duurzaamheid bijdrage]]="Voldoet niet aan DZH-lijn",TInspectieE[[#This Row],[Duurzaamheid bijdrage]]="Voldoet niet aan vigerende W&amp;R"),"Voldoet niet","Voldoet")</f>
        <v>Voldoet</v>
      </c>
      <c r="S65" s="206"/>
      <c r="T65" s="206"/>
      <c r="U65" s="206"/>
      <c r="V65" s="206"/>
      <c r="W65" s="206"/>
      <c r="X65" s="419"/>
      <c r="Y65" s="340"/>
      <c r="Z65" s="420"/>
      <c r="AA65" s="421" t="str">
        <f>IF(ISBLANK(TInspectieE[[#This Row],[Aantal]]),"",ROUND(TInspectieE[[#This Row],[Kengetal]]*TInspectieE[[#This Row],[Aantal]],-1))</f>
        <v/>
      </c>
      <c r="AB65" s="422" t="str">
        <f>IF(TInspectieE[[#This Row],[Vak-groep]]="","1",VLOOKUP(C65,$J$2:$K$7,2,FALSE))</f>
        <v>1</v>
      </c>
      <c r="AC65" s="423" t="str">
        <f>CONCATENATE(TInspectieE[[#This Row],[Soort gebrek]],TInspectieE[[#This Row],[Trede]])</f>
        <v>1</v>
      </c>
      <c r="AD65" s="413" t="e">
        <v>#N/A</v>
      </c>
      <c r="AE65" s="413" t="e">
        <v>#N/A</v>
      </c>
      <c r="AF65" s="424">
        <v>0</v>
      </c>
    </row>
    <row r="66" spans="1:32" ht="10.5" x14ac:dyDescent="0.25">
      <c r="A66" s="337" t="str" cm="1">
        <f t="array" ref="A66">IFERROR(INDEX(TInventE[UVID],ROUNDDOWN((ROW(A57)+1)/2,0)),"")</f>
        <v/>
      </c>
      <c r="B66" s="410" t="str">
        <f>IF(TInspectieE[[#This Row],[UVID]]="","",VLOOKUP(TInspectieE[[#This Row],[UVID]],TInventE[],2,FALSE))</f>
        <v/>
      </c>
      <c r="C66" s="365" t="str">
        <f>IF(TInspectieE[[#This Row],[UVID]]="","",VLOOKUP(TInspectieE[[#This Row],[UVID]],TInventE[],11,FALSE))</f>
        <v/>
      </c>
      <c r="D66" s="411" t="str">
        <f>IF(TInspectieE[[#This Row],[UVID]]="","",VLOOKUP(TInspectieE[[#This Row],[UVID]],TInventE[],3,FALSE))</f>
        <v/>
      </c>
      <c r="E66" s="338" t="str">
        <f>IF(TInspectieE[[#This Row],[Omschrijving bouwdeel]]="","",IF(ISEVEN(ROW()),"O","E"))</f>
        <v/>
      </c>
      <c r="F66" s="412"/>
      <c r="G66" s="413" t="str">
        <f>IF(ISBLANK(TInspectieE[[#This Row],[Soort gebrek]]),"",VLOOKUP(TInspectieE[[#This Row],[Soort gebrek]],TSoortGebrek[#Data],3,FALSE))</f>
        <v/>
      </c>
      <c r="H66" s="413" t="str">
        <f>IF(ISBLANK(TInspectieE[[#This Row],[Soort gebrek]]),"",VLOOKUP(TInspectieE[[#This Row],[Soort gebrek]],TSoortGebrek[#Data],2,FALSE))</f>
        <v/>
      </c>
      <c r="I66" s="413" t="str">
        <f>IF(TInspectieE[[#This Row],[Soort gebrek]]=0,"",VLOOKUP(TInspectieE[[#This Row],[Soort gebrek]],TSoortGebrek[],4,FALSE))</f>
        <v/>
      </c>
      <c r="J66" s="425"/>
      <c r="K66" s="415" t="str">
        <f>IF(TInspectieE[[#This Row],[Soort gebrek]]=0,"",VLOOKUP(TInspectieE[[#This Row],[Combi]],TPrio[#Data],2,FALSE))</f>
        <v/>
      </c>
      <c r="L66" s="339"/>
      <c r="M66" s="416" t="str">
        <f>IF(ISBLANK(TInspectieE[[#This Row],[Gebrek nr.]]),"",TInspectieE[[#This Row],[UVID]]&amp;"-"&amp;TInspectieE[[#This Row],[Gebrek nr.]])</f>
        <v/>
      </c>
      <c r="N66" s="417"/>
      <c r="O66" s="418"/>
      <c r="P66" s="206"/>
      <c r="Q66" s="193"/>
      <c r="R66" s="193" t="str">
        <f>IF(OR(TInspectieE[[#This Row],[Duurzaamheid bijdrage]]="Voldoet niet aan DZH-lijn",TInspectieE[[#This Row],[Duurzaamheid bijdrage]]="Voldoet niet aan vigerende W&amp;R"),"Voldoet niet","Voldoet")</f>
        <v>Voldoet</v>
      </c>
      <c r="S66" s="206"/>
      <c r="T66" s="206"/>
      <c r="U66" s="206"/>
      <c r="V66" s="206"/>
      <c r="W66" s="206"/>
      <c r="X66" s="419"/>
      <c r="Y66" s="340"/>
      <c r="Z66" s="420"/>
      <c r="AA66" s="421" t="str">
        <f>IF(ISBLANK(TInspectieE[[#This Row],[Aantal]]),"",ROUND(TInspectieE[[#This Row],[Kengetal]]*TInspectieE[[#This Row],[Aantal]],-1))</f>
        <v/>
      </c>
      <c r="AB66" s="422" t="str">
        <f>IF(TInspectieE[[#This Row],[Vak-groep]]="","1",VLOOKUP(C66,$J$2:$K$7,2,FALSE))</f>
        <v>1</v>
      </c>
      <c r="AC66" s="423" t="str">
        <f>CONCATENATE(TInspectieE[[#This Row],[Soort gebrek]],TInspectieE[[#This Row],[Trede]])</f>
        <v>1</v>
      </c>
      <c r="AD66" s="413" t="e">
        <v>#N/A</v>
      </c>
      <c r="AE66" s="413" t="e">
        <v>#N/A</v>
      </c>
      <c r="AF66" s="424">
        <v>0</v>
      </c>
    </row>
    <row r="67" spans="1:32" ht="10.5" x14ac:dyDescent="0.25">
      <c r="A67" s="337" t="str" cm="1">
        <f t="array" ref="A67">IFERROR(INDEX(TInventE[UVID],ROUNDDOWN((ROW(A58)+1)/2,0)),"")</f>
        <v/>
      </c>
      <c r="B67" s="410" t="str">
        <f>IF(TInspectieE[[#This Row],[UVID]]="","",VLOOKUP(TInspectieE[[#This Row],[UVID]],TInventE[],2,FALSE))</f>
        <v/>
      </c>
      <c r="C67" s="365" t="str">
        <f>IF(TInspectieE[[#This Row],[UVID]]="","",VLOOKUP(TInspectieE[[#This Row],[UVID]],TInventE[],11,FALSE))</f>
        <v/>
      </c>
      <c r="D67" s="411" t="str">
        <f>IF(TInspectieE[[#This Row],[UVID]]="","",VLOOKUP(TInspectieE[[#This Row],[UVID]],TInventE[],3,FALSE))</f>
        <v/>
      </c>
      <c r="E67" s="338" t="str">
        <f>IF(TInspectieE[[#This Row],[Omschrijving bouwdeel]]="","",IF(ISEVEN(ROW()),"O","E"))</f>
        <v/>
      </c>
      <c r="F67" s="412"/>
      <c r="G67" s="413" t="str">
        <f>IF(ISBLANK(TInspectieE[[#This Row],[Soort gebrek]]),"",VLOOKUP(TInspectieE[[#This Row],[Soort gebrek]],TSoortGebrek[#Data],3,FALSE))</f>
        <v/>
      </c>
      <c r="H67" s="413" t="str">
        <f>IF(ISBLANK(TInspectieE[[#This Row],[Soort gebrek]]),"",VLOOKUP(TInspectieE[[#This Row],[Soort gebrek]],TSoortGebrek[#Data],2,FALSE))</f>
        <v/>
      </c>
      <c r="I67" s="413" t="str">
        <f>IF(TInspectieE[[#This Row],[Soort gebrek]]=0,"",VLOOKUP(TInspectieE[[#This Row],[Soort gebrek]],TSoortGebrek[],4,FALSE))</f>
        <v/>
      </c>
      <c r="J67" s="425"/>
      <c r="K67" s="415" t="str">
        <f>IF(TInspectieE[[#This Row],[Soort gebrek]]=0,"",VLOOKUP(TInspectieE[[#This Row],[Combi]],TPrio[#Data],2,FALSE))</f>
        <v/>
      </c>
      <c r="L67" s="339"/>
      <c r="M67" s="416" t="str">
        <f>IF(ISBLANK(TInspectieE[[#This Row],[Gebrek nr.]]),"",TInspectieE[[#This Row],[UVID]]&amp;"-"&amp;TInspectieE[[#This Row],[Gebrek nr.]])</f>
        <v/>
      </c>
      <c r="N67" s="417"/>
      <c r="O67" s="418"/>
      <c r="P67" s="206"/>
      <c r="Q67" s="193"/>
      <c r="R67" s="193" t="str">
        <f>IF(OR(TInspectieE[[#This Row],[Duurzaamheid bijdrage]]="Voldoet niet aan DZH-lijn",TInspectieE[[#This Row],[Duurzaamheid bijdrage]]="Voldoet niet aan vigerende W&amp;R"),"Voldoet niet","Voldoet")</f>
        <v>Voldoet</v>
      </c>
      <c r="S67" s="206"/>
      <c r="T67" s="206"/>
      <c r="U67" s="206"/>
      <c r="V67" s="206"/>
      <c r="W67" s="206"/>
      <c r="X67" s="419"/>
      <c r="Y67" s="340"/>
      <c r="Z67" s="420"/>
      <c r="AA67" s="421" t="str">
        <f>IF(ISBLANK(TInspectieE[[#This Row],[Aantal]]),"",ROUND(TInspectieE[[#This Row],[Kengetal]]*TInspectieE[[#This Row],[Aantal]],-1))</f>
        <v/>
      </c>
      <c r="AB67" s="422" t="str">
        <f>IF(TInspectieE[[#This Row],[Vak-groep]]="","1",VLOOKUP(C67,$J$2:$K$7,2,FALSE))</f>
        <v>1</v>
      </c>
      <c r="AC67" s="423" t="str">
        <f>CONCATENATE(TInspectieE[[#This Row],[Soort gebrek]],TInspectieE[[#This Row],[Trede]])</f>
        <v>1</v>
      </c>
      <c r="AD67" s="413" t="e">
        <v>#N/A</v>
      </c>
      <c r="AE67" s="413" t="e">
        <v>#N/A</v>
      </c>
      <c r="AF67" s="424">
        <v>0</v>
      </c>
    </row>
    <row r="68" spans="1:32" ht="10.5" x14ac:dyDescent="0.25">
      <c r="A68" s="337" t="str" cm="1">
        <f t="array" ref="A68">IFERROR(INDEX(TInventE[UVID],ROUNDDOWN((ROW(A59)+1)/2,0)),"")</f>
        <v/>
      </c>
      <c r="B68" s="410" t="str">
        <f>IF(TInspectieE[[#This Row],[UVID]]="","",VLOOKUP(TInspectieE[[#This Row],[UVID]],TInventE[],2,FALSE))</f>
        <v/>
      </c>
      <c r="C68" s="365" t="str">
        <f>IF(TInspectieE[[#This Row],[UVID]]="","",VLOOKUP(TInspectieE[[#This Row],[UVID]],TInventE[],11,FALSE))</f>
        <v/>
      </c>
      <c r="D68" s="411" t="str">
        <f>IF(TInspectieE[[#This Row],[UVID]]="","",VLOOKUP(TInspectieE[[#This Row],[UVID]],TInventE[],3,FALSE))</f>
        <v/>
      </c>
      <c r="E68" s="338" t="str">
        <f>IF(TInspectieE[[#This Row],[Omschrijving bouwdeel]]="","",IF(ISEVEN(ROW()),"O","E"))</f>
        <v/>
      </c>
      <c r="F68" s="412"/>
      <c r="G68" s="413" t="str">
        <f>IF(ISBLANK(TInspectieE[[#This Row],[Soort gebrek]]),"",VLOOKUP(TInspectieE[[#This Row],[Soort gebrek]],TSoortGebrek[#Data],3,FALSE))</f>
        <v/>
      </c>
      <c r="H68" s="413" t="str">
        <f>IF(ISBLANK(TInspectieE[[#This Row],[Soort gebrek]]),"",VLOOKUP(TInspectieE[[#This Row],[Soort gebrek]],TSoortGebrek[#Data],2,FALSE))</f>
        <v/>
      </c>
      <c r="I68" s="413" t="str">
        <f>IF(TInspectieE[[#This Row],[Soort gebrek]]=0,"",VLOOKUP(TInspectieE[[#This Row],[Soort gebrek]],TSoortGebrek[],4,FALSE))</f>
        <v/>
      </c>
      <c r="J68" s="425"/>
      <c r="K68" s="415" t="str">
        <f>IF(TInspectieE[[#This Row],[Soort gebrek]]=0,"",VLOOKUP(TInspectieE[[#This Row],[Combi]],TPrio[#Data],2,FALSE))</f>
        <v/>
      </c>
      <c r="L68" s="339"/>
      <c r="M68" s="416" t="str">
        <f>IF(ISBLANK(TInspectieE[[#This Row],[Gebrek nr.]]),"",TInspectieE[[#This Row],[UVID]]&amp;"-"&amp;TInspectieE[[#This Row],[Gebrek nr.]])</f>
        <v/>
      </c>
      <c r="N68" s="417"/>
      <c r="O68" s="418"/>
      <c r="P68" s="206"/>
      <c r="Q68" s="193"/>
      <c r="R68" s="193" t="str">
        <f>IF(OR(TInspectieE[[#This Row],[Duurzaamheid bijdrage]]="Voldoet niet aan DZH-lijn",TInspectieE[[#This Row],[Duurzaamheid bijdrage]]="Voldoet niet aan vigerende W&amp;R"),"Voldoet niet","Voldoet")</f>
        <v>Voldoet</v>
      </c>
      <c r="S68" s="206"/>
      <c r="T68" s="206"/>
      <c r="U68" s="206"/>
      <c r="V68" s="206"/>
      <c r="W68" s="206"/>
      <c r="X68" s="419"/>
      <c r="Y68" s="340"/>
      <c r="Z68" s="420"/>
      <c r="AA68" s="421" t="str">
        <f>IF(ISBLANK(TInspectieE[[#This Row],[Aantal]]),"",ROUND(TInspectieE[[#This Row],[Kengetal]]*TInspectieE[[#This Row],[Aantal]],-1))</f>
        <v/>
      </c>
      <c r="AB68" s="422" t="str">
        <f>IF(TInspectieE[[#This Row],[Vak-groep]]="","1",VLOOKUP(C68,$J$2:$K$7,2,FALSE))</f>
        <v>1</v>
      </c>
      <c r="AC68" s="423" t="str">
        <f>CONCATENATE(TInspectieE[[#This Row],[Soort gebrek]],TInspectieE[[#This Row],[Trede]])</f>
        <v>1</v>
      </c>
      <c r="AD68" s="413" t="e">
        <v>#N/A</v>
      </c>
      <c r="AE68" s="413" t="e">
        <v>#N/A</v>
      </c>
      <c r="AF68" s="424">
        <v>0</v>
      </c>
    </row>
    <row r="69" spans="1:32" ht="10.5" x14ac:dyDescent="0.25">
      <c r="A69" s="337" t="str" cm="1">
        <f t="array" ref="A69">IFERROR(INDEX(TInventE[UVID],ROUNDDOWN((ROW(A60)+1)/2,0)),"")</f>
        <v/>
      </c>
      <c r="B69" s="410" t="str">
        <f>IF(TInspectieE[[#This Row],[UVID]]="","",VLOOKUP(TInspectieE[[#This Row],[UVID]],TInventE[],2,FALSE))</f>
        <v/>
      </c>
      <c r="C69" s="365" t="str">
        <f>IF(TInspectieE[[#This Row],[UVID]]="","",VLOOKUP(TInspectieE[[#This Row],[UVID]],TInventE[],11,FALSE))</f>
        <v/>
      </c>
      <c r="D69" s="411" t="str">
        <f>IF(TInspectieE[[#This Row],[UVID]]="","",VLOOKUP(TInspectieE[[#This Row],[UVID]],TInventE[],3,FALSE))</f>
        <v/>
      </c>
      <c r="E69" s="338" t="str">
        <f>IF(TInspectieE[[#This Row],[Omschrijving bouwdeel]]="","",IF(ISEVEN(ROW()),"O","E"))</f>
        <v/>
      </c>
      <c r="F69" s="412"/>
      <c r="G69" s="413" t="str">
        <f>IF(ISBLANK(TInspectieE[[#This Row],[Soort gebrek]]),"",VLOOKUP(TInspectieE[[#This Row],[Soort gebrek]],TSoortGebrek[#Data],3,FALSE))</f>
        <v/>
      </c>
      <c r="H69" s="413" t="str">
        <f>IF(ISBLANK(TInspectieE[[#This Row],[Soort gebrek]]),"",VLOOKUP(TInspectieE[[#This Row],[Soort gebrek]],TSoortGebrek[#Data],2,FALSE))</f>
        <v/>
      </c>
      <c r="I69" s="413" t="str">
        <f>IF(TInspectieE[[#This Row],[Soort gebrek]]=0,"",VLOOKUP(TInspectieE[[#This Row],[Soort gebrek]],TSoortGebrek[],4,FALSE))</f>
        <v/>
      </c>
      <c r="J69" s="425"/>
      <c r="K69" s="415" t="str">
        <f>IF(TInspectieE[[#This Row],[Soort gebrek]]=0,"",VLOOKUP(TInspectieE[[#This Row],[Combi]],TPrio[#Data],2,FALSE))</f>
        <v/>
      </c>
      <c r="L69" s="339"/>
      <c r="M69" s="416" t="str">
        <f>IF(ISBLANK(TInspectieE[[#This Row],[Gebrek nr.]]),"",TInspectieE[[#This Row],[UVID]]&amp;"-"&amp;TInspectieE[[#This Row],[Gebrek nr.]])</f>
        <v/>
      </c>
      <c r="N69" s="417"/>
      <c r="O69" s="418"/>
      <c r="P69" s="206"/>
      <c r="Q69" s="193"/>
      <c r="R69" s="193" t="str">
        <f>IF(OR(TInspectieE[[#This Row],[Duurzaamheid bijdrage]]="Voldoet niet aan DZH-lijn",TInspectieE[[#This Row],[Duurzaamheid bijdrage]]="Voldoet niet aan vigerende W&amp;R"),"Voldoet niet","Voldoet")</f>
        <v>Voldoet</v>
      </c>
      <c r="S69" s="206"/>
      <c r="T69" s="206"/>
      <c r="U69" s="206"/>
      <c r="V69" s="206"/>
      <c r="W69" s="206"/>
      <c r="X69" s="419"/>
      <c r="Y69" s="340"/>
      <c r="Z69" s="420"/>
      <c r="AA69" s="421" t="str">
        <f>IF(ISBLANK(TInspectieE[[#This Row],[Aantal]]),"",ROUND(TInspectieE[[#This Row],[Kengetal]]*TInspectieE[[#This Row],[Aantal]],-1))</f>
        <v/>
      </c>
      <c r="AB69" s="422" t="str">
        <f>IF(TInspectieE[[#This Row],[Vak-groep]]="","1",VLOOKUP(C69,$J$2:$K$7,2,FALSE))</f>
        <v>1</v>
      </c>
      <c r="AC69" s="423" t="str">
        <f>CONCATENATE(TInspectieE[[#This Row],[Soort gebrek]],TInspectieE[[#This Row],[Trede]])</f>
        <v>1</v>
      </c>
      <c r="AD69" s="413" t="e">
        <v>#N/A</v>
      </c>
      <c r="AE69" s="413" t="e">
        <v>#N/A</v>
      </c>
      <c r="AF69" s="424">
        <v>0</v>
      </c>
    </row>
    <row r="70" spans="1:32" ht="10.5" x14ac:dyDescent="0.25">
      <c r="A70" s="337" t="str" cm="1">
        <f t="array" ref="A70">IFERROR(INDEX(TInventE[UVID],ROUNDDOWN((ROW(A61)+1)/2,0)),"")</f>
        <v/>
      </c>
      <c r="B70" s="410" t="str">
        <f>IF(TInspectieE[[#This Row],[UVID]]="","",VLOOKUP(TInspectieE[[#This Row],[UVID]],TInventE[],2,FALSE))</f>
        <v/>
      </c>
      <c r="C70" s="365" t="str">
        <f>IF(TInspectieE[[#This Row],[UVID]]="","",VLOOKUP(TInspectieE[[#This Row],[UVID]],TInventE[],11,FALSE))</f>
        <v/>
      </c>
      <c r="D70" s="411" t="str">
        <f>IF(TInspectieE[[#This Row],[UVID]]="","",VLOOKUP(TInspectieE[[#This Row],[UVID]],TInventE[],3,FALSE))</f>
        <v/>
      </c>
      <c r="E70" s="338" t="str">
        <f>IF(TInspectieE[[#This Row],[Omschrijving bouwdeel]]="","",IF(ISEVEN(ROW()),"O","E"))</f>
        <v/>
      </c>
      <c r="F70" s="412"/>
      <c r="G70" s="413" t="str">
        <f>IF(ISBLANK(TInspectieE[[#This Row],[Soort gebrek]]),"",VLOOKUP(TInspectieE[[#This Row],[Soort gebrek]],TSoortGebrek[#Data],3,FALSE))</f>
        <v/>
      </c>
      <c r="H70" s="413" t="str">
        <f>IF(ISBLANK(TInspectieE[[#This Row],[Soort gebrek]]),"",VLOOKUP(TInspectieE[[#This Row],[Soort gebrek]],TSoortGebrek[#Data],2,FALSE))</f>
        <v/>
      </c>
      <c r="I70" s="413" t="str">
        <f>IF(TInspectieE[[#This Row],[Soort gebrek]]=0,"",VLOOKUP(TInspectieE[[#This Row],[Soort gebrek]],TSoortGebrek[],4,FALSE))</f>
        <v/>
      </c>
      <c r="J70" s="425"/>
      <c r="K70" s="415" t="str">
        <f>IF(TInspectieE[[#This Row],[Soort gebrek]]=0,"",VLOOKUP(TInspectieE[[#This Row],[Combi]],TPrio[#Data],2,FALSE))</f>
        <v/>
      </c>
      <c r="L70" s="339"/>
      <c r="M70" s="416" t="str">
        <f>IF(ISBLANK(TInspectieE[[#This Row],[Gebrek nr.]]),"",TInspectieE[[#This Row],[UVID]]&amp;"-"&amp;TInspectieE[[#This Row],[Gebrek nr.]])</f>
        <v/>
      </c>
      <c r="N70" s="417"/>
      <c r="O70" s="418"/>
      <c r="P70" s="206"/>
      <c r="Q70" s="193"/>
      <c r="R70" s="193" t="str">
        <f>IF(OR(TInspectieE[[#This Row],[Duurzaamheid bijdrage]]="Voldoet niet aan DZH-lijn",TInspectieE[[#This Row],[Duurzaamheid bijdrage]]="Voldoet niet aan vigerende W&amp;R"),"Voldoet niet","Voldoet")</f>
        <v>Voldoet</v>
      </c>
      <c r="S70" s="206"/>
      <c r="T70" s="206"/>
      <c r="U70" s="206"/>
      <c r="V70" s="206"/>
      <c r="W70" s="206"/>
      <c r="X70" s="419"/>
      <c r="Y70" s="340"/>
      <c r="Z70" s="420"/>
      <c r="AA70" s="421" t="str">
        <f>IF(ISBLANK(TInspectieE[[#This Row],[Aantal]]),"",ROUND(TInspectieE[[#This Row],[Kengetal]]*TInspectieE[[#This Row],[Aantal]],-1))</f>
        <v/>
      </c>
      <c r="AB70" s="422" t="str">
        <f>IF(TInspectieE[[#This Row],[Vak-groep]]="","1",VLOOKUP(C70,$J$2:$K$7,2,FALSE))</f>
        <v>1</v>
      </c>
      <c r="AC70" s="423" t="str">
        <f>CONCATENATE(TInspectieE[[#This Row],[Soort gebrek]],TInspectieE[[#This Row],[Trede]])</f>
        <v>1</v>
      </c>
      <c r="AD70" s="413" t="e">
        <v>#N/A</v>
      </c>
      <c r="AE70" s="413" t="e">
        <v>#N/A</v>
      </c>
      <c r="AF70" s="424">
        <v>0</v>
      </c>
    </row>
    <row r="71" spans="1:32" ht="10.5" x14ac:dyDescent="0.25">
      <c r="A71" s="337" t="str" cm="1">
        <f t="array" ref="A71">IFERROR(INDEX(TInventE[UVID],ROUNDDOWN((ROW(A62)+1)/2,0)),"")</f>
        <v/>
      </c>
      <c r="B71" s="410" t="str">
        <f>IF(TInspectieE[[#This Row],[UVID]]="","",VLOOKUP(TInspectieE[[#This Row],[UVID]],TInventE[],2,FALSE))</f>
        <v/>
      </c>
      <c r="C71" s="365" t="str">
        <f>IF(TInspectieE[[#This Row],[UVID]]="","",VLOOKUP(TInspectieE[[#This Row],[UVID]],TInventE[],11,FALSE))</f>
        <v/>
      </c>
      <c r="D71" s="411" t="str">
        <f>IF(TInspectieE[[#This Row],[UVID]]="","",VLOOKUP(TInspectieE[[#This Row],[UVID]],TInventE[],3,FALSE))</f>
        <v/>
      </c>
      <c r="E71" s="338" t="str">
        <f>IF(TInspectieE[[#This Row],[Omschrijving bouwdeel]]="","",IF(ISEVEN(ROW()),"O","E"))</f>
        <v/>
      </c>
      <c r="F71" s="412"/>
      <c r="G71" s="413" t="str">
        <f>IF(ISBLANK(TInspectieE[[#This Row],[Soort gebrek]]),"",VLOOKUP(TInspectieE[[#This Row],[Soort gebrek]],TSoortGebrek[#Data],3,FALSE))</f>
        <v/>
      </c>
      <c r="H71" s="413" t="str">
        <f>IF(ISBLANK(TInspectieE[[#This Row],[Soort gebrek]]),"",VLOOKUP(TInspectieE[[#This Row],[Soort gebrek]],TSoortGebrek[#Data],2,FALSE))</f>
        <v/>
      </c>
      <c r="I71" s="413" t="str">
        <f>IF(TInspectieE[[#This Row],[Soort gebrek]]=0,"",VLOOKUP(TInspectieE[[#This Row],[Soort gebrek]],TSoortGebrek[],4,FALSE))</f>
        <v/>
      </c>
      <c r="J71" s="425"/>
      <c r="K71" s="415" t="str">
        <f>IF(TInspectieE[[#This Row],[Soort gebrek]]=0,"",VLOOKUP(TInspectieE[[#This Row],[Combi]],TPrio[#Data],2,FALSE))</f>
        <v/>
      </c>
      <c r="L71" s="339"/>
      <c r="M71" s="416" t="str">
        <f>IF(ISBLANK(TInspectieE[[#This Row],[Gebrek nr.]]),"",TInspectieE[[#This Row],[UVID]]&amp;"-"&amp;TInspectieE[[#This Row],[Gebrek nr.]])</f>
        <v/>
      </c>
      <c r="N71" s="417"/>
      <c r="O71" s="418"/>
      <c r="P71" s="206"/>
      <c r="Q71" s="193"/>
      <c r="R71" s="193" t="str">
        <f>IF(OR(TInspectieE[[#This Row],[Duurzaamheid bijdrage]]="Voldoet niet aan DZH-lijn",TInspectieE[[#This Row],[Duurzaamheid bijdrage]]="Voldoet niet aan vigerende W&amp;R"),"Voldoet niet","Voldoet")</f>
        <v>Voldoet</v>
      </c>
      <c r="S71" s="206"/>
      <c r="T71" s="206"/>
      <c r="U71" s="206"/>
      <c r="V71" s="206"/>
      <c r="W71" s="206"/>
      <c r="X71" s="419"/>
      <c r="Y71" s="340"/>
      <c r="Z71" s="420"/>
      <c r="AA71" s="421" t="str">
        <f>IF(ISBLANK(TInspectieE[[#This Row],[Aantal]]),"",ROUND(TInspectieE[[#This Row],[Kengetal]]*TInspectieE[[#This Row],[Aantal]],-1))</f>
        <v/>
      </c>
      <c r="AB71" s="422" t="str">
        <f>IF(TInspectieE[[#This Row],[Vak-groep]]="","1",VLOOKUP(C71,$J$2:$K$7,2,FALSE))</f>
        <v>1</v>
      </c>
      <c r="AC71" s="423" t="str">
        <f>CONCATENATE(TInspectieE[[#This Row],[Soort gebrek]],TInspectieE[[#This Row],[Trede]])</f>
        <v>1</v>
      </c>
      <c r="AD71" s="413" t="e">
        <v>#N/A</v>
      </c>
      <c r="AE71" s="413" t="e">
        <v>#N/A</v>
      </c>
      <c r="AF71" s="424">
        <v>0</v>
      </c>
    </row>
    <row r="72" spans="1:32" ht="10.5" x14ac:dyDescent="0.25">
      <c r="A72" s="337" t="str" cm="1">
        <f t="array" ref="A72">IFERROR(INDEX(TInventE[UVID],ROUNDDOWN((ROW(A63)+1)/2,0)),"")</f>
        <v/>
      </c>
      <c r="B72" s="410" t="str">
        <f>IF(TInspectieE[[#This Row],[UVID]]="","",VLOOKUP(TInspectieE[[#This Row],[UVID]],TInventE[],2,FALSE))</f>
        <v/>
      </c>
      <c r="C72" s="365" t="str">
        <f>IF(TInspectieE[[#This Row],[UVID]]="","",VLOOKUP(TInspectieE[[#This Row],[UVID]],TInventE[],11,FALSE))</f>
        <v/>
      </c>
      <c r="D72" s="411" t="str">
        <f>IF(TInspectieE[[#This Row],[UVID]]="","",VLOOKUP(TInspectieE[[#This Row],[UVID]],TInventE[],3,FALSE))</f>
        <v/>
      </c>
      <c r="E72" s="338" t="str">
        <f>IF(TInspectieE[[#This Row],[Omschrijving bouwdeel]]="","",IF(ISEVEN(ROW()),"O","E"))</f>
        <v/>
      </c>
      <c r="F72" s="412"/>
      <c r="G72" s="413" t="str">
        <f>IF(ISBLANK(TInspectieE[[#This Row],[Soort gebrek]]),"",VLOOKUP(TInspectieE[[#This Row],[Soort gebrek]],TSoortGebrek[#Data],3,FALSE))</f>
        <v/>
      </c>
      <c r="H72" s="413" t="str">
        <f>IF(ISBLANK(TInspectieE[[#This Row],[Soort gebrek]]),"",VLOOKUP(TInspectieE[[#This Row],[Soort gebrek]],TSoortGebrek[#Data],2,FALSE))</f>
        <v/>
      </c>
      <c r="I72" s="413" t="str">
        <f>IF(TInspectieE[[#This Row],[Soort gebrek]]=0,"",VLOOKUP(TInspectieE[[#This Row],[Soort gebrek]],TSoortGebrek[],4,FALSE))</f>
        <v/>
      </c>
      <c r="J72" s="425"/>
      <c r="K72" s="415" t="str">
        <f>IF(TInspectieE[[#This Row],[Soort gebrek]]=0,"",VLOOKUP(TInspectieE[[#This Row],[Combi]],TPrio[#Data],2,FALSE))</f>
        <v/>
      </c>
      <c r="L72" s="339"/>
      <c r="M72" s="416" t="str">
        <f>IF(ISBLANK(TInspectieE[[#This Row],[Gebrek nr.]]),"",TInspectieE[[#This Row],[UVID]]&amp;"-"&amp;TInspectieE[[#This Row],[Gebrek nr.]])</f>
        <v/>
      </c>
      <c r="N72" s="417"/>
      <c r="O72" s="418"/>
      <c r="P72" s="206"/>
      <c r="Q72" s="193"/>
      <c r="R72" s="193" t="str">
        <f>IF(OR(TInspectieE[[#This Row],[Duurzaamheid bijdrage]]="Voldoet niet aan DZH-lijn",TInspectieE[[#This Row],[Duurzaamheid bijdrage]]="Voldoet niet aan vigerende W&amp;R"),"Voldoet niet","Voldoet")</f>
        <v>Voldoet</v>
      </c>
      <c r="S72" s="206"/>
      <c r="T72" s="206"/>
      <c r="U72" s="206"/>
      <c r="V72" s="206"/>
      <c r="W72" s="206"/>
      <c r="X72" s="419"/>
      <c r="Y72" s="340"/>
      <c r="Z72" s="420"/>
      <c r="AA72" s="421" t="str">
        <f>IF(ISBLANK(TInspectieE[[#This Row],[Aantal]]),"",ROUND(TInspectieE[[#This Row],[Kengetal]]*TInspectieE[[#This Row],[Aantal]],-1))</f>
        <v/>
      </c>
      <c r="AB72" s="422" t="str">
        <f>IF(TInspectieE[[#This Row],[Vak-groep]]="","1",VLOOKUP(C72,$J$2:$K$7,2,FALSE))</f>
        <v>1</v>
      </c>
      <c r="AC72" s="423" t="str">
        <f>CONCATENATE(TInspectieE[[#This Row],[Soort gebrek]],TInspectieE[[#This Row],[Trede]])</f>
        <v>1</v>
      </c>
      <c r="AD72" s="413" t="e">
        <v>#N/A</v>
      </c>
      <c r="AE72" s="413" t="e">
        <v>#N/A</v>
      </c>
      <c r="AF72" s="424">
        <v>0</v>
      </c>
    </row>
    <row r="73" spans="1:32" ht="10.5" x14ac:dyDescent="0.25">
      <c r="A73" s="337" t="str" cm="1">
        <f t="array" ref="A73">IFERROR(INDEX(TInventE[UVID],ROUNDDOWN((ROW(A64)+1)/2,0)),"")</f>
        <v/>
      </c>
      <c r="B73" s="410" t="str">
        <f>IF(TInspectieE[[#This Row],[UVID]]="","",VLOOKUP(TInspectieE[[#This Row],[UVID]],TInventE[],2,FALSE))</f>
        <v/>
      </c>
      <c r="C73" s="365" t="str">
        <f>IF(TInspectieE[[#This Row],[UVID]]="","",VLOOKUP(TInspectieE[[#This Row],[UVID]],TInventE[],11,FALSE))</f>
        <v/>
      </c>
      <c r="D73" s="411" t="str">
        <f>IF(TInspectieE[[#This Row],[UVID]]="","",VLOOKUP(TInspectieE[[#This Row],[UVID]],TInventE[],3,FALSE))</f>
        <v/>
      </c>
      <c r="E73" s="338" t="str">
        <f>IF(TInspectieE[[#This Row],[Omschrijving bouwdeel]]="","",IF(ISEVEN(ROW()),"O","E"))</f>
        <v/>
      </c>
      <c r="F73" s="412"/>
      <c r="G73" s="413" t="str">
        <f>IF(ISBLANK(TInspectieE[[#This Row],[Soort gebrek]]),"",VLOOKUP(TInspectieE[[#This Row],[Soort gebrek]],TSoortGebrek[#Data],3,FALSE))</f>
        <v/>
      </c>
      <c r="H73" s="413" t="str">
        <f>IF(ISBLANK(TInspectieE[[#This Row],[Soort gebrek]]),"",VLOOKUP(TInspectieE[[#This Row],[Soort gebrek]],TSoortGebrek[#Data],2,FALSE))</f>
        <v/>
      </c>
      <c r="I73" s="413" t="str">
        <f>IF(TInspectieE[[#This Row],[Soort gebrek]]=0,"",VLOOKUP(TInspectieE[[#This Row],[Soort gebrek]],TSoortGebrek[],4,FALSE))</f>
        <v/>
      </c>
      <c r="J73" s="425"/>
      <c r="K73" s="415" t="str">
        <f>IF(TInspectieE[[#This Row],[Soort gebrek]]=0,"",VLOOKUP(TInspectieE[[#This Row],[Combi]],TPrio[#Data],2,FALSE))</f>
        <v/>
      </c>
      <c r="L73" s="339"/>
      <c r="M73" s="416" t="str">
        <f>IF(ISBLANK(TInspectieE[[#This Row],[Gebrek nr.]]),"",TInspectieE[[#This Row],[UVID]]&amp;"-"&amp;TInspectieE[[#This Row],[Gebrek nr.]])</f>
        <v/>
      </c>
      <c r="N73" s="417"/>
      <c r="O73" s="418"/>
      <c r="P73" s="206"/>
      <c r="Q73" s="193"/>
      <c r="R73" s="193" t="str">
        <f>IF(OR(TInspectieE[[#This Row],[Duurzaamheid bijdrage]]="Voldoet niet aan DZH-lijn",TInspectieE[[#This Row],[Duurzaamheid bijdrage]]="Voldoet niet aan vigerende W&amp;R"),"Voldoet niet","Voldoet")</f>
        <v>Voldoet</v>
      </c>
      <c r="S73" s="206"/>
      <c r="T73" s="206"/>
      <c r="U73" s="206"/>
      <c r="V73" s="206"/>
      <c r="W73" s="206"/>
      <c r="X73" s="419"/>
      <c r="Y73" s="340"/>
      <c r="Z73" s="420"/>
      <c r="AA73" s="421" t="str">
        <f>IF(ISBLANK(TInspectieE[[#This Row],[Aantal]]),"",ROUND(TInspectieE[[#This Row],[Kengetal]]*TInspectieE[[#This Row],[Aantal]],-1))</f>
        <v/>
      </c>
      <c r="AB73" s="422" t="str">
        <f>IF(TInspectieE[[#This Row],[Vak-groep]]="","1",VLOOKUP(C73,$J$2:$K$7,2,FALSE))</f>
        <v>1</v>
      </c>
      <c r="AC73" s="423" t="str">
        <f>CONCATENATE(TInspectieE[[#This Row],[Soort gebrek]],TInspectieE[[#This Row],[Trede]])</f>
        <v>1</v>
      </c>
      <c r="AD73" s="413" t="e">
        <v>#N/A</v>
      </c>
      <c r="AE73" s="413" t="e">
        <v>#N/A</v>
      </c>
      <c r="AF73" s="424">
        <v>0</v>
      </c>
    </row>
    <row r="74" spans="1:32" ht="10.5" x14ac:dyDescent="0.25">
      <c r="A74" s="337" t="str" cm="1">
        <f t="array" ref="A74">IFERROR(INDEX(TInventE[UVID],ROUNDDOWN((ROW(A65)+1)/2,0)),"")</f>
        <v/>
      </c>
      <c r="B74" s="410" t="str">
        <f>IF(TInspectieE[[#This Row],[UVID]]="","",VLOOKUP(TInspectieE[[#This Row],[UVID]],TInventE[],2,FALSE))</f>
        <v/>
      </c>
      <c r="C74" s="365" t="str">
        <f>IF(TInspectieE[[#This Row],[UVID]]="","",VLOOKUP(TInspectieE[[#This Row],[UVID]],TInventE[],11,FALSE))</f>
        <v/>
      </c>
      <c r="D74" s="411" t="str">
        <f>IF(TInspectieE[[#This Row],[UVID]]="","",VLOOKUP(TInspectieE[[#This Row],[UVID]],TInventE[],3,FALSE))</f>
        <v/>
      </c>
      <c r="E74" s="338" t="str">
        <f>IF(TInspectieE[[#This Row],[Omschrijving bouwdeel]]="","",IF(ISEVEN(ROW()),"O","E"))</f>
        <v/>
      </c>
      <c r="F74" s="412"/>
      <c r="G74" s="413" t="str">
        <f>IF(ISBLANK(TInspectieE[[#This Row],[Soort gebrek]]),"",VLOOKUP(TInspectieE[[#This Row],[Soort gebrek]],TSoortGebrek[#Data],3,FALSE))</f>
        <v/>
      </c>
      <c r="H74" s="413" t="str">
        <f>IF(ISBLANK(TInspectieE[[#This Row],[Soort gebrek]]),"",VLOOKUP(TInspectieE[[#This Row],[Soort gebrek]],TSoortGebrek[#Data],2,FALSE))</f>
        <v/>
      </c>
      <c r="I74" s="413" t="str">
        <f>IF(TInspectieE[[#This Row],[Soort gebrek]]=0,"",VLOOKUP(TInspectieE[[#This Row],[Soort gebrek]],TSoortGebrek[],4,FALSE))</f>
        <v/>
      </c>
      <c r="J74" s="425"/>
      <c r="K74" s="415" t="str">
        <f>IF(TInspectieE[[#This Row],[Soort gebrek]]=0,"",VLOOKUP(TInspectieE[[#This Row],[Combi]],TPrio[#Data],2,FALSE))</f>
        <v/>
      </c>
      <c r="L74" s="339"/>
      <c r="M74" s="416" t="str">
        <f>IF(ISBLANK(TInspectieE[[#This Row],[Gebrek nr.]]),"",TInspectieE[[#This Row],[UVID]]&amp;"-"&amp;TInspectieE[[#This Row],[Gebrek nr.]])</f>
        <v/>
      </c>
      <c r="N74" s="417"/>
      <c r="O74" s="418"/>
      <c r="P74" s="206"/>
      <c r="Q74" s="193"/>
      <c r="R74" s="193" t="str">
        <f>IF(OR(TInspectieE[[#This Row],[Duurzaamheid bijdrage]]="Voldoet niet aan DZH-lijn",TInspectieE[[#This Row],[Duurzaamheid bijdrage]]="Voldoet niet aan vigerende W&amp;R"),"Voldoet niet","Voldoet")</f>
        <v>Voldoet</v>
      </c>
      <c r="S74" s="206"/>
      <c r="T74" s="206"/>
      <c r="U74" s="206"/>
      <c r="V74" s="206"/>
      <c r="W74" s="206"/>
      <c r="X74" s="419"/>
      <c r="Y74" s="340"/>
      <c r="Z74" s="420"/>
      <c r="AA74" s="421" t="str">
        <f>IF(ISBLANK(TInspectieE[[#This Row],[Aantal]]),"",ROUND(TInspectieE[[#This Row],[Kengetal]]*TInspectieE[[#This Row],[Aantal]],-1))</f>
        <v/>
      </c>
      <c r="AB74" s="422" t="str">
        <f>IF(TInspectieE[[#This Row],[Vak-groep]]="","1",VLOOKUP(C74,$J$2:$K$7,2,FALSE))</f>
        <v>1</v>
      </c>
      <c r="AC74" s="423" t="str">
        <f>CONCATENATE(TInspectieE[[#This Row],[Soort gebrek]],TInspectieE[[#This Row],[Trede]])</f>
        <v>1</v>
      </c>
      <c r="AD74" s="413" t="e">
        <v>#N/A</v>
      </c>
      <c r="AE74" s="413" t="e">
        <v>#N/A</v>
      </c>
      <c r="AF74" s="424">
        <v>0</v>
      </c>
    </row>
    <row r="75" spans="1:32" ht="10.5" x14ac:dyDescent="0.25">
      <c r="A75" s="337" t="str" cm="1">
        <f t="array" ref="A75">IFERROR(INDEX(TInventE[UVID],ROUNDDOWN((ROW(A66)+1)/2,0)),"")</f>
        <v/>
      </c>
      <c r="B75" s="410" t="str">
        <f>IF(TInspectieE[[#This Row],[UVID]]="","",VLOOKUP(TInspectieE[[#This Row],[UVID]],TInventE[],2,FALSE))</f>
        <v/>
      </c>
      <c r="C75" s="365" t="str">
        <f>IF(TInspectieE[[#This Row],[UVID]]="","",VLOOKUP(TInspectieE[[#This Row],[UVID]],TInventE[],11,FALSE))</f>
        <v/>
      </c>
      <c r="D75" s="411" t="str">
        <f>IF(TInspectieE[[#This Row],[UVID]]="","",VLOOKUP(TInspectieE[[#This Row],[UVID]],TInventE[],3,FALSE))</f>
        <v/>
      </c>
      <c r="E75" s="338" t="str">
        <f>IF(TInspectieE[[#This Row],[Omschrijving bouwdeel]]="","",IF(ISEVEN(ROW()),"O","E"))</f>
        <v/>
      </c>
      <c r="F75" s="412"/>
      <c r="G75" s="413" t="str">
        <f>IF(ISBLANK(TInspectieE[[#This Row],[Soort gebrek]]),"",VLOOKUP(TInspectieE[[#This Row],[Soort gebrek]],TSoortGebrek[#Data],3,FALSE))</f>
        <v/>
      </c>
      <c r="H75" s="413" t="str">
        <f>IF(ISBLANK(TInspectieE[[#This Row],[Soort gebrek]]),"",VLOOKUP(TInspectieE[[#This Row],[Soort gebrek]],TSoortGebrek[#Data],2,FALSE))</f>
        <v/>
      </c>
      <c r="I75" s="413" t="str">
        <f>IF(TInspectieE[[#This Row],[Soort gebrek]]=0,"",VLOOKUP(TInspectieE[[#This Row],[Soort gebrek]],TSoortGebrek[],4,FALSE))</f>
        <v/>
      </c>
      <c r="J75" s="425"/>
      <c r="K75" s="415" t="str">
        <f>IF(TInspectieE[[#This Row],[Soort gebrek]]=0,"",VLOOKUP(TInspectieE[[#This Row],[Combi]],TPrio[#Data],2,FALSE))</f>
        <v/>
      </c>
      <c r="L75" s="339"/>
      <c r="M75" s="416" t="str">
        <f>IF(ISBLANK(TInspectieE[[#This Row],[Gebrek nr.]]),"",TInspectieE[[#This Row],[UVID]]&amp;"-"&amp;TInspectieE[[#This Row],[Gebrek nr.]])</f>
        <v/>
      </c>
      <c r="N75" s="417"/>
      <c r="O75" s="418"/>
      <c r="P75" s="206"/>
      <c r="Q75" s="193"/>
      <c r="R75" s="193" t="str">
        <f>IF(OR(TInspectieE[[#This Row],[Duurzaamheid bijdrage]]="Voldoet niet aan DZH-lijn",TInspectieE[[#This Row],[Duurzaamheid bijdrage]]="Voldoet niet aan vigerende W&amp;R"),"Voldoet niet","Voldoet")</f>
        <v>Voldoet</v>
      </c>
      <c r="S75" s="206"/>
      <c r="T75" s="206"/>
      <c r="U75" s="206"/>
      <c r="V75" s="206"/>
      <c r="W75" s="206"/>
      <c r="X75" s="419"/>
      <c r="Y75" s="340"/>
      <c r="Z75" s="420"/>
      <c r="AA75" s="421" t="str">
        <f>IF(ISBLANK(TInspectieE[[#This Row],[Aantal]]),"",ROUND(TInspectieE[[#This Row],[Kengetal]]*TInspectieE[[#This Row],[Aantal]],-1))</f>
        <v/>
      </c>
      <c r="AB75" s="422" t="str">
        <f>IF(TInspectieE[[#This Row],[Vak-groep]]="","1",VLOOKUP(C75,$J$2:$K$7,2,FALSE))</f>
        <v>1</v>
      </c>
      <c r="AC75" s="423" t="str">
        <f>CONCATENATE(TInspectieE[[#This Row],[Soort gebrek]],TInspectieE[[#This Row],[Trede]])</f>
        <v>1</v>
      </c>
      <c r="AD75" s="413" t="e">
        <v>#N/A</v>
      </c>
      <c r="AE75" s="413" t="e">
        <v>#N/A</v>
      </c>
      <c r="AF75" s="424">
        <v>0</v>
      </c>
    </row>
    <row r="76" spans="1:32" ht="10.5" x14ac:dyDescent="0.25">
      <c r="A76" s="337" t="str" cm="1">
        <f t="array" ref="A76">IFERROR(INDEX(TInventE[UVID],ROUNDDOWN((ROW(A67)+1)/2,0)),"")</f>
        <v/>
      </c>
      <c r="B76" s="410" t="str">
        <f>IF(TInspectieE[[#This Row],[UVID]]="","",VLOOKUP(TInspectieE[[#This Row],[UVID]],TInventE[],2,FALSE))</f>
        <v/>
      </c>
      <c r="C76" s="365" t="str">
        <f>IF(TInspectieE[[#This Row],[UVID]]="","",VLOOKUP(TInspectieE[[#This Row],[UVID]],TInventE[],11,FALSE))</f>
        <v/>
      </c>
      <c r="D76" s="411" t="str">
        <f>IF(TInspectieE[[#This Row],[UVID]]="","",VLOOKUP(TInspectieE[[#This Row],[UVID]],TInventE[],3,FALSE))</f>
        <v/>
      </c>
      <c r="E76" s="338" t="str">
        <f>IF(TInspectieE[[#This Row],[Omschrijving bouwdeel]]="","",IF(ISEVEN(ROW()),"O","E"))</f>
        <v/>
      </c>
      <c r="F76" s="412"/>
      <c r="G76" s="413" t="str">
        <f>IF(ISBLANK(TInspectieE[[#This Row],[Soort gebrek]]),"",VLOOKUP(TInspectieE[[#This Row],[Soort gebrek]],TSoortGebrek[#Data],3,FALSE))</f>
        <v/>
      </c>
      <c r="H76" s="413" t="str">
        <f>IF(ISBLANK(TInspectieE[[#This Row],[Soort gebrek]]),"",VLOOKUP(TInspectieE[[#This Row],[Soort gebrek]],TSoortGebrek[#Data],2,FALSE))</f>
        <v/>
      </c>
      <c r="I76" s="413" t="str">
        <f>IF(TInspectieE[[#This Row],[Soort gebrek]]=0,"",VLOOKUP(TInspectieE[[#This Row],[Soort gebrek]],TSoortGebrek[],4,FALSE))</f>
        <v/>
      </c>
      <c r="J76" s="425"/>
      <c r="K76" s="415" t="str">
        <f>IF(TInspectieE[[#This Row],[Soort gebrek]]=0,"",VLOOKUP(TInspectieE[[#This Row],[Combi]],TPrio[#Data],2,FALSE))</f>
        <v/>
      </c>
      <c r="L76" s="339"/>
      <c r="M76" s="416" t="str">
        <f>IF(ISBLANK(TInspectieE[[#This Row],[Gebrek nr.]]),"",TInspectieE[[#This Row],[UVID]]&amp;"-"&amp;TInspectieE[[#This Row],[Gebrek nr.]])</f>
        <v/>
      </c>
      <c r="N76" s="417"/>
      <c r="O76" s="418"/>
      <c r="P76" s="206"/>
      <c r="Q76" s="193"/>
      <c r="R76" s="193" t="str">
        <f>IF(OR(TInspectieE[[#This Row],[Duurzaamheid bijdrage]]="Voldoet niet aan DZH-lijn",TInspectieE[[#This Row],[Duurzaamheid bijdrage]]="Voldoet niet aan vigerende W&amp;R"),"Voldoet niet","Voldoet")</f>
        <v>Voldoet</v>
      </c>
      <c r="S76" s="206"/>
      <c r="T76" s="206"/>
      <c r="U76" s="206"/>
      <c r="V76" s="206"/>
      <c r="W76" s="206"/>
      <c r="X76" s="419"/>
      <c r="Y76" s="340"/>
      <c r="Z76" s="420"/>
      <c r="AA76" s="421" t="str">
        <f>IF(ISBLANK(TInspectieE[[#This Row],[Aantal]]),"",ROUND(TInspectieE[[#This Row],[Kengetal]]*TInspectieE[[#This Row],[Aantal]],-1))</f>
        <v/>
      </c>
      <c r="AB76" s="422" t="str">
        <f>IF(TInspectieE[[#This Row],[Vak-groep]]="","1",VLOOKUP(C76,$J$2:$K$7,2,FALSE))</f>
        <v>1</v>
      </c>
      <c r="AC76" s="423" t="str">
        <f>CONCATENATE(TInspectieE[[#This Row],[Soort gebrek]],TInspectieE[[#This Row],[Trede]])</f>
        <v>1</v>
      </c>
      <c r="AD76" s="413" t="e">
        <v>#N/A</v>
      </c>
      <c r="AE76" s="413" t="e">
        <v>#N/A</v>
      </c>
      <c r="AF76" s="424">
        <v>0</v>
      </c>
    </row>
    <row r="77" spans="1:32" ht="10.5" x14ac:dyDescent="0.25">
      <c r="A77" s="337" t="str" cm="1">
        <f t="array" ref="A77">IFERROR(INDEX(TInventE[UVID],ROUNDDOWN((ROW(A68)+1)/2,0)),"")</f>
        <v/>
      </c>
      <c r="B77" s="410" t="str">
        <f>IF(TInspectieE[[#This Row],[UVID]]="","",VLOOKUP(TInspectieE[[#This Row],[UVID]],TInventE[],2,FALSE))</f>
        <v/>
      </c>
      <c r="C77" s="365" t="str">
        <f>IF(TInspectieE[[#This Row],[UVID]]="","",VLOOKUP(TInspectieE[[#This Row],[UVID]],TInventE[],11,FALSE))</f>
        <v/>
      </c>
      <c r="D77" s="411" t="str">
        <f>IF(TInspectieE[[#This Row],[UVID]]="","",VLOOKUP(TInspectieE[[#This Row],[UVID]],TInventE[],3,FALSE))</f>
        <v/>
      </c>
      <c r="E77" s="338" t="str">
        <f>IF(TInspectieE[[#This Row],[Omschrijving bouwdeel]]="","",IF(ISEVEN(ROW()),"O","E"))</f>
        <v/>
      </c>
      <c r="F77" s="412"/>
      <c r="G77" s="413" t="str">
        <f>IF(ISBLANK(TInspectieE[[#This Row],[Soort gebrek]]),"",VLOOKUP(TInspectieE[[#This Row],[Soort gebrek]],TSoortGebrek[#Data],3,FALSE))</f>
        <v/>
      </c>
      <c r="H77" s="413" t="str">
        <f>IF(ISBLANK(TInspectieE[[#This Row],[Soort gebrek]]),"",VLOOKUP(TInspectieE[[#This Row],[Soort gebrek]],TSoortGebrek[#Data],2,FALSE))</f>
        <v/>
      </c>
      <c r="I77" s="413" t="str">
        <f>IF(TInspectieE[[#This Row],[Soort gebrek]]=0,"",VLOOKUP(TInspectieE[[#This Row],[Soort gebrek]],TSoortGebrek[],4,FALSE))</f>
        <v/>
      </c>
      <c r="J77" s="425"/>
      <c r="K77" s="415" t="str">
        <f>IF(TInspectieE[[#This Row],[Soort gebrek]]=0,"",VLOOKUP(TInspectieE[[#This Row],[Combi]],TPrio[#Data],2,FALSE))</f>
        <v/>
      </c>
      <c r="L77" s="339"/>
      <c r="M77" s="416" t="str">
        <f>IF(ISBLANK(TInspectieE[[#This Row],[Gebrek nr.]]),"",TInspectieE[[#This Row],[UVID]]&amp;"-"&amp;TInspectieE[[#This Row],[Gebrek nr.]])</f>
        <v/>
      </c>
      <c r="N77" s="417"/>
      <c r="O77" s="418"/>
      <c r="P77" s="206"/>
      <c r="Q77" s="193"/>
      <c r="R77" s="193" t="str">
        <f>IF(OR(TInspectieE[[#This Row],[Duurzaamheid bijdrage]]="Voldoet niet aan DZH-lijn",TInspectieE[[#This Row],[Duurzaamheid bijdrage]]="Voldoet niet aan vigerende W&amp;R"),"Voldoet niet","Voldoet")</f>
        <v>Voldoet</v>
      </c>
      <c r="S77" s="206"/>
      <c r="T77" s="206"/>
      <c r="U77" s="206"/>
      <c r="V77" s="206"/>
      <c r="W77" s="206"/>
      <c r="X77" s="419"/>
      <c r="Y77" s="340"/>
      <c r="Z77" s="420"/>
      <c r="AA77" s="421" t="str">
        <f>IF(ISBLANK(TInspectieE[[#This Row],[Aantal]]),"",ROUND(TInspectieE[[#This Row],[Kengetal]]*TInspectieE[[#This Row],[Aantal]],-1))</f>
        <v/>
      </c>
      <c r="AB77" s="422" t="str">
        <f>IF(TInspectieE[[#This Row],[Vak-groep]]="","1",VLOOKUP(C77,$J$2:$K$7,2,FALSE))</f>
        <v>1</v>
      </c>
      <c r="AC77" s="423" t="str">
        <f>CONCATENATE(TInspectieE[[#This Row],[Soort gebrek]],TInspectieE[[#This Row],[Trede]])</f>
        <v>1</v>
      </c>
      <c r="AD77" s="413" t="e">
        <v>#N/A</v>
      </c>
      <c r="AE77" s="413" t="e">
        <v>#N/A</v>
      </c>
      <c r="AF77" s="424">
        <v>0</v>
      </c>
    </row>
    <row r="78" spans="1:32" ht="10.5" x14ac:dyDescent="0.25">
      <c r="A78" s="337" t="str" cm="1">
        <f t="array" ref="A78">IFERROR(INDEX(TInventE[UVID],ROUNDDOWN((ROW(A69)+1)/2,0)),"")</f>
        <v/>
      </c>
      <c r="B78" s="410" t="str">
        <f>IF(TInspectieE[[#This Row],[UVID]]="","",VLOOKUP(TInspectieE[[#This Row],[UVID]],TInventE[],2,FALSE))</f>
        <v/>
      </c>
      <c r="C78" s="365" t="str">
        <f>IF(TInspectieE[[#This Row],[UVID]]="","",VLOOKUP(TInspectieE[[#This Row],[UVID]],TInventE[],11,FALSE))</f>
        <v/>
      </c>
      <c r="D78" s="411" t="str">
        <f>IF(TInspectieE[[#This Row],[UVID]]="","",VLOOKUP(TInspectieE[[#This Row],[UVID]],TInventE[],3,FALSE))</f>
        <v/>
      </c>
      <c r="E78" s="338" t="str">
        <f>IF(TInspectieE[[#This Row],[Omschrijving bouwdeel]]="","",IF(ISEVEN(ROW()),"O","E"))</f>
        <v/>
      </c>
      <c r="F78" s="412"/>
      <c r="G78" s="413" t="str">
        <f>IF(ISBLANK(TInspectieE[[#This Row],[Soort gebrek]]),"",VLOOKUP(TInspectieE[[#This Row],[Soort gebrek]],TSoortGebrek[#Data],3,FALSE))</f>
        <v/>
      </c>
      <c r="H78" s="413" t="str">
        <f>IF(ISBLANK(TInspectieE[[#This Row],[Soort gebrek]]),"",VLOOKUP(TInspectieE[[#This Row],[Soort gebrek]],TSoortGebrek[#Data],2,FALSE))</f>
        <v/>
      </c>
      <c r="I78" s="413" t="str">
        <f>IF(TInspectieE[[#This Row],[Soort gebrek]]=0,"",VLOOKUP(TInspectieE[[#This Row],[Soort gebrek]],TSoortGebrek[],4,FALSE))</f>
        <v/>
      </c>
      <c r="J78" s="425"/>
      <c r="K78" s="415" t="str">
        <f>IF(TInspectieE[[#This Row],[Soort gebrek]]=0,"",VLOOKUP(TInspectieE[[#This Row],[Combi]],TPrio[#Data],2,FALSE))</f>
        <v/>
      </c>
      <c r="L78" s="339"/>
      <c r="M78" s="416" t="str">
        <f>IF(ISBLANK(TInspectieE[[#This Row],[Gebrek nr.]]),"",TInspectieE[[#This Row],[UVID]]&amp;"-"&amp;TInspectieE[[#This Row],[Gebrek nr.]])</f>
        <v/>
      </c>
      <c r="N78" s="417"/>
      <c r="O78" s="418"/>
      <c r="P78" s="206"/>
      <c r="Q78" s="193"/>
      <c r="R78" s="193" t="str">
        <f>IF(OR(TInspectieE[[#This Row],[Duurzaamheid bijdrage]]="Voldoet niet aan DZH-lijn",TInspectieE[[#This Row],[Duurzaamheid bijdrage]]="Voldoet niet aan vigerende W&amp;R"),"Voldoet niet","Voldoet")</f>
        <v>Voldoet</v>
      </c>
      <c r="S78" s="206"/>
      <c r="T78" s="206"/>
      <c r="U78" s="206"/>
      <c r="V78" s="206"/>
      <c r="W78" s="206"/>
      <c r="X78" s="419"/>
      <c r="Y78" s="340"/>
      <c r="Z78" s="420"/>
      <c r="AA78" s="421" t="str">
        <f>IF(ISBLANK(TInspectieE[[#This Row],[Aantal]]),"",ROUND(TInspectieE[[#This Row],[Kengetal]]*TInspectieE[[#This Row],[Aantal]],-1))</f>
        <v/>
      </c>
      <c r="AB78" s="422" t="str">
        <f>IF(TInspectieE[[#This Row],[Vak-groep]]="","1",VLOOKUP(C78,$J$2:$K$7,2,FALSE))</f>
        <v>1</v>
      </c>
      <c r="AC78" s="423" t="str">
        <f>CONCATENATE(TInspectieE[[#This Row],[Soort gebrek]],TInspectieE[[#This Row],[Trede]])</f>
        <v>1</v>
      </c>
      <c r="AD78" s="413" t="e">
        <v>#N/A</v>
      </c>
      <c r="AE78" s="413" t="e">
        <v>#N/A</v>
      </c>
      <c r="AF78" s="424">
        <v>0</v>
      </c>
    </row>
    <row r="79" spans="1:32" ht="10.5" x14ac:dyDescent="0.25">
      <c r="A79" s="337" t="str" cm="1">
        <f t="array" ref="A79">IFERROR(INDEX(TInventE[UVID],ROUNDDOWN((ROW(A70)+1)/2,0)),"")</f>
        <v/>
      </c>
      <c r="B79" s="410" t="str">
        <f>IF(TInspectieE[[#This Row],[UVID]]="","",VLOOKUP(TInspectieE[[#This Row],[UVID]],TInventE[],2,FALSE))</f>
        <v/>
      </c>
      <c r="C79" s="365" t="str">
        <f>IF(TInspectieE[[#This Row],[UVID]]="","",VLOOKUP(TInspectieE[[#This Row],[UVID]],TInventE[],11,FALSE))</f>
        <v/>
      </c>
      <c r="D79" s="411" t="str">
        <f>IF(TInspectieE[[#This Row],[UVID]]="","",VLOOKUP(TInspectieE[[#This Row],[UVID]],TInventE[],3,FALSE))</f>
        <v/>
      </c>
      <c r="E79" s="338" t="str">
        <f>IF(TInspectieE[[#This Row],[Omschrijving bouwdeel]]="","",IF(ISEVEN(ROW()),"O","E"))</f>
        <v/>
      </c>
      <c r="F79" s="412"/>
      <c r="G79" s="413" t="str">
        <f>IF(ISBLANK(TInspectieE[[#This Row],[Soort gebrek]]),"",VLOOKUP(TInspectieE[[#This Row],[Soort gebrek]],TSoortGebrek[#Data],3,FALSE))</f>
        <v/>
      </c>
      <c r="H79" s="413" t="str">
        <f>IF(ISBLANK(TInspectieE[[#This Row],[Soort gebrek]]),"",VLOOKUP(TInspectieE[[#This Row],[Soort gebrek]],TSoortGebrek[#Data],2,FALSE))</f>
        <v/>
      </c>
      <c r="I79" s="413" t="str">
        <f>IF(TInspectieE[[#This Row],[Soort gebrek]]=0,"",VLOOKUP(TInspectieE[[#This Row],[Soort gebrek]],TSoortGebrek[],4,FALSE))</f>
        <v/>
      </c>
      <c r="J79" s="425"/>
      <c r="K79" s="415" t="str">
        <f>IF(TInspectieE[[#This Row],[Soort gebrek]]=0,"",VLOOKUP(TInspectieE[[#This Row],[Combi]],TPrio[#Data],2,FALSE))</f>
        <v/>
      </c>
      <c r="L79" s="339"/>
      <c r="M79" s="416" t="str">
        <f>IF(ISBLANK(TInspectieE[[#This Row],[Gebrek nr.]]),"",TInspectieE[[#This Row],[UVID]]&amp;"-"&amp;TInspectieE[[#This Row],[Gebrek nr.]])</f>
        <v/>
      </c>
      <c r="N79" s="417"/>
      <c r="O79" s="418"/>
      <c r="P79" s="206"/>
      <c r="Q79" s="193"/>
      <c r="R79" s="193" t="str">
        <f>IF(OR(TInspectieE[[#This Row],[Duurzaamheid bijdrage]]="Voldoet niet aan DZH-lijn",TInspectieE[[#This Row],[Duurzaamheid bijdrage]]="Voldoet niet aan vigerende W&amp;R"),"Voldoet niet","Voldoet")</f>
        <v>Voldoet</v>
      </c>
      <c r="S79" s="206"/>
      <c r="T79" s="206"/>
      <c r="U79" s="206"/>
      <c r="V79" s="206"/>
      <c r="W79" s="206"/>
      <c r="X79" s="419"/>
      <c r="Y79" s="340"/>
      <c r="Z79" s="420"/>
      <c r="AA79" s="421" t="str">
        <f>IF(ISBLANK(TInspectieE[[#This Row],[Aantal]]),"",ROUND(TInspectieE[[#This Row],[Kengetal]]*TInspectieE[[#This Row],[Aantal]],-1))</f>
        <v/>
      </c>
      <c r="AB79" s="422" t="str">
        <f>IF(TInspectieE[[#This Row],[Vak-groep]]="","1",VLOOKUP(C79,$J$2:$K$7,2,FALSE))</f>
        <v>1</v>
      </c>
      <c r="AC79" s="423" t="str">
        <f>CONCATENATE(TInspectieE[[#This Row],[Soort gebrek]],TInspectieE[[#This Row],[Trede]])</f>
        <v>1</v>
      </c>
      <c r="AD79" s="413" t="e">
        <v>#N/A</v>
      </c>
      <c r="AE79" s="413" t="e">
        <v>#N/A</v>
      </c>
      <c r="AF79" s="424">
        <v>0</v>
      </c>
    </row>
    <row r="80" spans="1:32" ht="10.5" x14ac:dyDescent="0.25">
      <c r="A80" s="337" t="str" cm="1">
        <f t="array" ref="A80">IFERROR(INDEX(TInventE[UVID],ROUNDDOWN((ROW(A71)+1)/2,0)),"")</f>
        <v/>
      </c>
      <c r="B80" s="410" t="str">
        <f>IF(TInspectieE[[#This Row],[UVID]]="","",VLOOKUP(TInspectieE[[#This Row],[UVID]],TInventE[],2,FALSE))</f>
        <v/>
      </c>
      <c r="C80" s="365" t="str">
        <f>IF(TInspectieE[[#This Row],[UVID]]="","",VLOOKUP(TInspectieE[[#This Row],[UVID]],TInventE[],11,FALSE))</f>
        <v/>
      </c>
      <c r="D80" s="411" t="str">
        <f>IF(TInspectieE[[#This Row],[UVID]]="","",VLOOKUP(TInspectieE[[#This Row],[UVID]],TInventE[],3,FALSE))</f>
        <v/>
      </c>
      <c r="E80" s="338" t="str">
        <f>IF(TInspectieE[[#This Row],[Omschrijving bouwdeel]]="","",IF(ISEVEN(ROW()),"O","E"))</f>
        <v/>
      </c>
      <c r="F80" s="412"/>
      <c r="G80" s="413" t="str">
        <f>IF(ISBLANK(TInspectieE[[#This Row],[Soort gebrek]]),"",VLOOKUP(TInspectieE[[#This Row],[Soort gebrek]],TSoortGebrek[#Data],3,FALSE))</f>
        <v/>
      </c>
      <c r="H80" s="413" t="str">
        <f>IF(ISBLANK(TInspectieE[[#This Row],[Soort gebrek]]),"",VLOOKUP(TInspectieE[[#This Row],[Soort gebrek]],TSoortGebrek[#Data],2,FALSE))</f>
        <v/>
      </c>
      <c r="I80" s="413" t="str">
        <f>IF(TInspectieE[[#This Row],[Soort gebrek]]=0,"",VLOOKUP(TInspectieE[[#This Row],[Soort gebrek]],TSoortGebrek[],4,FALSE))</f>
        <v/>
      </c>
      <c r="J80" s="425"/>
      <c r="K80" s="415" t="str">
        <f>IF(TInspectieE[[#This Row],[Soort gebrek]]=0,"",VLOOKUP(TInspectieE[[#This Row],[Combi]],TPrio[#Data],2,FALSE))</f>
        <v/>
      </c>
      <c r="L80" s="339"/>
      <c r="M80" s="416" t="str">
        <f>IF(ISBLANK(TInspectieE[[#This Row],[Gebrek nr.]]),"",TInspectieE[[#This Row],[UVID]]&amp;"-"&amp;TInspectieE[[#This Row],[Gebrek nr.]])</f>
        <v/>
      </c>
      <c r="N80" s="417"/>
      <c r="O80" s="418"/>
      <c r="P80" s="206"/>
      <c r="Q80" s="193"/>
      <c r="R80" s="193" t="str">
        <f>IF(OR(TInspectieE[[#This Row],[Duurzaamheid bijdrage]]="Voldoet niet aan DZH-lijn",TInspectieE[[#This Row],[Duurzaamheid bijdrage]]="Voldoet niet aan vigerende W&amp;R"),"Voldoet niet","Voldoet")</f>
        <v>Voldoet</v>
      </c>
      <c r="S80" s="206"/>
      <c r="T80" s="206"/>
      <c r="U80" s="206"/>
      <c r="V80" s="206"/>
      <c r="W80" s="206"/>
      <c r="X80" s="419"/>
      <c r="Y80" s="340"/>
      <c r="Z80" s="420"/>
      <c r="AA80" s="421" t="str">
        <f>IF(ISBLANK(TInspectieE[[#This Row],[Aantal]]),"",ROUND(TInspectieE[[#This Row],[Kengetal]]*TInspectieE[[#This Row],[Aantal]],-1))</f>
        <v/>
      </c>
      <c r="AB80" s="422" t="str">
        <f>IF(TInspectieE[[#This Row],[Vak-groep]]="","1",VLOOKUP(C80,$J$2:$K$7,2,FALSE))</f>
        <v>1</v>
      </c>
      <c r="AC80" s="423" t="str">
        <f>CONCATENATE(TInspectieE[[#This Row],[Soort gebrek]],TInspectieE[[#This Row],[Trede]])</f>
        <v>1</v>
      </c>
      <c r="AD80" s="413" t="e">
        <v>#N/A</v>
      </c>
      <c r="AE80" s="413" t="e">
        <v>#N/A</v>
      </c>
      <c r="AF80" s="424">
        <v>0</v>
      </c>
    </row>
    <row r="81" spans="1:32" ht="10.5" x14ac:dyDescent="0.25">
      <c r="A81" s="337" t="str" cm="1">
        <f t="array" ref="A81">IFERROR(INDEX(TInventE[UVID],ROUNDDOWN((ROW(A72)+1)/2,0)),"")</f>
        <v/>
      </c>
      <c r="B81" s="410" t="str">
        <f>IF(TInspectieE[[#This Row],[UVID]]="","",VLOOKUP(TInspectieE[[#This Row],[UVID]],TInventE[],2,FALSE))</f>
        <v/>
      </c>
      <c r="C81" s="365" t="str">
        <f>IF(TInspectieE[[#This Row],[UVID]]="","",VLOOKUP(TInspectieE[[#This Row],[UVID]],TInventE[],11,FALSE))</f>
        <v/>
      </c>
      <c r="D81" s="411" t="str">
        <f>IF(TInspectieE[[#This Row],[UVID]]="","",VLOOKUP(TInspectieE[[#This Row],[UVID]],TInventE[],3,FALSE))</f>
        <v/>
      </c>
      <c r="E81" s="338" t="str">
        <f>IF(TInspectieE[[#This Row],[Omschrijving bouwdeel]]="","",IF(ISEVEN(ROW()),"O","E"))</f>
        <v/>
      </c>
      <c r="F81" s="412"/>
      <c r="G81" s="413" t="str">
        <f>IF(ISBLANK(TInspectieE[[#This Row],[Soort gebrek]]),"",VLOOKUP(TInspectieE[[#This Row],[Soort gebrek]],TSoortGebrek[#Data],3,FALSE))</f>
        <v/>
      </c>
      <c r="H81" s="413" t="str">
        <f>IF(ISBLANK(TInspectieE[[#This Row],[Soort gebrek]]),"",VLOOKUP(TInspectieE[[#This Row],[Soort gebrek]],TSoortGebrek[#Data],2,FALSE))</f>
        <v/>
      </c>
      <c r="I81" s="413" t="str">
        <f>IF(TInspectieE[[#This Row],[Soort gebrek]]=0,"",VLOOKUP(TInspectieE[[#This Row],[Soort gebrek]],TSoortGebrek[],4,FALSE))</f>
        <v/>
      </c>
      <c r="J81" s="425"/>
      <c r="K81" s="415" t="str">
        <f>IF(TInspectieE[[#This Row],[Soort gebrek]]=0,"",VLOOKUP(TInspectieE[[#This Row],[Combi]],TPrio[#Data],2,FALSE))</f>
        <v/>
      </c>
      <c r="L81" s="339"/>
      <c r="M81" s="416" t="str">
        <f>IF(ISBLANK(TInspectieE[[#This Row],[Gebrek nr.]]),"",TInspectieE[[#This Row],[UVID]]&amp;"-"&amp;TInspectieE[[#This Row],[Gebrek nr.]])</f>
        <v/>
      </c>
      <c r="N81" s="417"/>
      <c r="O81" s="418"/>
      <c r="P81" s="206"/>
      <c r="Q81" s="193"/>
      <c r="R81" s="193" t="str">
        <f>IF(OR(TInspectieE[[#This Row],[Duurzaamheid bijdrage]]="Voldoet niet aan DZH-lijn",TInspectieE[[#This Row],[Duurzaamheid bijdrage]]="Voldoet niet aan vigerende W&amp;R"),"Voldoet niet","Voldoet")</f>
        <v>Voldoet</v>
      </c>
      <c r="S81" s="206"/>
      <c r="T81" s="206"/>
      <c r="U81" s="206"/>
      <c r="V81" s="206"/>
      <c r="W81" s="206"/>
      <c r="X81" s="419"/>
      <c r="Y81" s="340"/>
      <c r="Z81" s="420"/>
      <c r="AA81" s="421" t="str">
        <f>IF(ISBLANK(TInspectieE[[#This Row],[Aantal]]),"",ROUND(TInspectieE[[#This Row],[Kengetal]]*TInspectieE[[#This Row],[Aantal]],-1))</f>
        <v/>
      </c>
      <c r="AB81" s="422" t="str">
        <f>IF(TInspectieE[[#This Row],[Vak-groep]]="","1",VLOOKUP(C81,$J$2:$K$7,2,FALSE))</f>
        <v>1</v>
      </c>
      <c r="AC81" s="423" t="str">
        <f>CONCATENATE(TInspectieE[[#This Row],[Soort gebrek]],TInspectieE[[#This Row],[Trede]])</f>
        <v>1</v>
      </c>
      <c r="AD81" s="413" t="e">
        <v>#N/A</v>
      </c>
      <c r="AE81" s="413" t="e">
        <v>#N/A</v>
      </c>
      <c r="AF81" s="424">
        <v>0</v>
      </c>
    </row>
    <row r="82" spans="1:32" ht="10.5" x14ac:dyDescent="0.25">
      <c r="A82" s="337" t="str" cm="1">
        <f t="array" ref="A82">IFERROR(INDEX(TInventE[UVID],ROUNDDOWN((ROW(A73)+1)/2,0)),"")</f>
        <v/>
      </c>
      <c r="B82" s="410" t="str">
        <f>IF(TInspectieE[[#This Row],[UVID]]="","",VLOOKUP(TInspectieE[[#This Row],[UVID]],TInventE[],2,FALSE))</f>
        <v/>
      </c>
      <c r="C82" s="365" t="str">
        <f>IF(TInspectieE[[#This Row],[UVID]]="","",VLOOKUP(TInspectieE[[#This Row],[UVID]],TInventE[],11,FALSE))</f>
        <v/>
      </c>
      <c r="D82" s="411" t="str">
        <f>IF(TInspectieE[[#This Row],[UVID]]="","",VLOOKUP(TInspectieE[[#This Row],[UVID]],TInventE[],3,FALSE))</f>
        <v/>
      </c>
      <c r="E82" s="338" t="str">
        <f>IF(TInspectieE[[#This Row],[Omschrijving bouwdeel]]="","",IF(ISEVEN(ROW()),"O","E"))</f>
        <v/>
      </c>
      <c r="F82" s="412"/>
      <c r="G82" s="413" t="str">
        <f>IF(ISBLANK(TInspectieE[[#This Row],[Soort gebrek]]),"",VLOOKUP(TInspectieE[[#This Row],[Soort gebrek]],TSoortGebrek[#Data],3,FALSE))</f>
        <v/>
      </c>
      <c r="H82" s="413" t="str">
        <f>IF(ISBLANK(TInspectieE[[#This Row],[Soort gebrek]]),"",VLOOKUP(TInspectieE[[#This Row],[Soort gebrek]],TSoortGebrek[#Data],2,FALSE))</f>
        <v/>
      </c>
      <c r="I82" s="413" t="str">
        <f>IF(TInspectieE[[#This Row],[Soort gebrek]]=0,"",VLOOKUP(TInspectieE[[#This Row],[Soort gebrek]],TSoortGebrek[],4,FALSE))</f>
        <v/>
      </c>
      <c r="J82" s="425"/>
      <c r="K82" s="415" t="str">
        <f>IF(TInspectieE[[#This Row],[Soort gebrek]]=0,"",VLOOKUP(TInspectieE[[#This Row],[Combi]],TPrio[#Data],2,FALSE))</f>
        <v/>
      </c>
      <c r="L82" s="339"/>
      <c r="M82" s="416" t="str">
        <f>IF(ISBLANK(TInspectieE[[#This Row],[Gebrek nr.]]),"",TInspectieE[[#This Row],[UVID]]&amp;"-"&amp;TInspectieE[[#This Row],[Gebrek nr.]])</f>
        <v/>
      </c>
      <c r="N82" s="417"/>
      <c r="O82" s="418"/>
      <c r="P82" s="206"/>
      <c r="Q82" s="193"/>
      <c r="R82" s="193" t="str">
        <f>IF(OR(TInspectieE[[#This Row],[Duurzaamheid bijdrage]]="Voldoet niet aan DZH-lijn",TInspectieE[[#This Row],[Duurzaamheid bijdrage]]="Voldoet niet aan vigerende W&amp;R"),"Voldoet niet","Voldoet")</f>
        <v>Voldoet</v>
      </c>
      <c r="S82" s="206"/>
      <c r="T82" s="206"/>
      <c r="U82" s="206"/>
      <c r="V82" s="206"/>
      <c r="W82" s="206"/>
      <c r="X82" s="419"/>
      <c r="Y82" s="340"/>
      <c r="Z82" s="420"/>
      <c r="AA82" s="421" t="str">
        <f>IF(ISBLANK(TInspectieE[[#This Row],[Aantal]]),"",ROUND(TInspectieE[[#This Row],[Kengetal]]*TInspectieE[[#This Row],[Aantal]],-1))</f>
        <v/>
      </c>
      <c r="AB82" s="422" t="str">
        <f>IF(TInspectieE[[#This Row],[Vak-groep]]="","1",VLOOKUP(C82,$J$2:$K$7,2,FALSE))</f>
        <v>1</v>
      </c>
      <c r="AC82" s="423" t="str">
        <f>CONCATENATE(TInspectieE[[#This Row],[Soort gebrek]],TInspectieE[[#This Row],[Trede]])</f>
        <v>1</v>
      </c>
      <c r="AD82" s="413" t="e">
        <v>#N/A</v>
      </c>
      <c r="AE82" s="413" t="e">
        <v>#N/A</v>
      </c>
      <c r="AF82" s="424">
        <v>0</v>
      </c>
    </row>
    <row r="83" spans="1:32" ht="10.5" x14ac:dyDescent="0.25">
      <c r="A83" s="337" t="str" cm="1">
        <f t="array" ref="A83">IFERROR(INDEX(TInventE[UVID],ROUNDDOWN((ROW(A74)+1)/2,0)),"")</f>
        <v/>
      </c>
      <c r="B83" s="410" t="str">
        <f>IF(TInspectieE[[#This Row],[UVID]]="","",VLOOKUP(TInspectieE[[#This Row],[UVID]],TInventE[],2,FALSE))</f>
        <v/>
      </c>
      <c r="C83" s="365" t="str">
        <f>IF(TInspectieE[[#This Row],[UVID]]="","",VLOOKUP(TInspectieE[[#This Row],[UVID]],TInventE[],11,FALSE))</f>
        <v/>
      </c>
      <c r="D83" s="411" t="str">
        <f>IF(TInspectieE[[#This Row],[UVID]]="","",VLOOKUP(TInspectieE[[#This Row],[UVID]],TInventE[],3,FALSE))</f>
        <v/>
      </c>
      <c r="E83" s="338" t="str">
        <f>IF(TInspectieE[[#This Row],[Omschrijving bouwdeel]]="","",IF(ISEVEN(ROW()),"O","E"))</f>
        <v/>
      </c>
      <c r="F83" s="412"/>
      <c r="G83" s="413" t="str">
        <f>IF(ISBLANK(TInspectieE[[#This Row],[Soort gebrek]]),"",VLOOKUP(TInspectieE[[#This Row],[Soort gebrek]],TSoortGebrek[#Data],3,FALSE))</f>
        <v/>
      </c>
      <c r="H83" s="413" t="str">
        <f>IF(ISBLANK(TInspectieE[[#This Row],[Soort gebrek]]),"",VLOOKUP(TInspectieE[[#This Row],[Soort gebrek]],TSoortGebrek[#Data],2,FALSE))</f>
        <v/>
      </c>
      <c r="I83" s="413" t="str">
        <f>IF(TInspectieE[[#This Row],[Soort gebrek]]=0,"",VLOOKUP(TInspectieE[[#This Row],[Soort gebrek]],TSoortGebrek[],4,FALSE))</f>
        <v/>
      </c>
      <c r="J83" s="425"/>
      <c r="K83" s="415" t="str">
        <f>IF(TInspectieE[[#This Row],[Soort gebrek]]=0,"",VLOOKUP(TInspectieE[[#This Row],[Combi]],TPrio[#Data],2,FALSE))</f>
        <v/>
      </c>
      <c r="L83" s="339"/>
      <c r="M83" s="416" t="str">
        <f>IF(ISBLANK(TInspectieE[[#This Row],[Gebrek nr.]]),"",TInspectieE[[#This Row],[UVID]]&amp;"-"&amp;TInspectieE[[#This Row],[Gebrek nr.]])</f>
        <v/>
      </c>
      <c r="N83" s="417"/>
      <c r="O83" s="418"/>
      <c r="P83" s="206"/>
      <c r="Q83" s="193"/>
      <c r="R83" s="193" t="str">
        <f>IF(OR(TInspectieE[[#This Row],[Duurzaamheid bijdrage]]="Voldoet niet aan DZH-lijn",TInspectieE[[#This Row],[Duurzaamheid bijdrage]]="Voldoet niet aan vigerende W&amp;R"),"Voldoet niet","Voldoet")</f>
        <v>Voldoet</v>
      </c>
      <c r="S83" s="206"/>
      <c r="T83" s="206"/>
      <c r="U83" s="206"/>
      <c r="V83" s="206"/>
      <c r="W83" s="206"/>
      <c r="X83" s="419"/>
      <c r="Y83" s="340"/>
      <c r="Z83" s="420"/>
      <c r="AA83" s="421" t="str">
        <f>IF(ISBLANK(TInspectieE[[#This Row],[Aantal]]),"",ROUND(TInspectieE[[#This Row],[Kengetal]]*TInspectieE[[#This Row],[Aantal]],-1))</f>
        <v/>
      </c>
      <c r="AB83" s="422" t="str">
        <f>IF(TInspectieE[[#This Row],[Vak-groep]]="","1",VLOOKUP(C83,$J$2:$K$7,2,FALSE))</f>
        <v>1</v>
      </c>
      <c r="AC83" s="423" t="str">
        <f>CONCATENATE(TInspectieE[[#This Row],[Soort gebrek]],TInspectieE[[#This Row],[Trede]])</f>
        <v>1</v>
      </c>
      <c r="AD83" s="413" t="e">
        <v>#N/A</v>
      </c>
      <c r="AE83" s="413" t="e">
        <v>#N/A</v>
      </c>
      <c r="AF83" s="424">
        <v>0</v>
      </c>
    </row>
    <row r="84" spans="1:32" ht="10.5" x14ac:dyDescent="0.25">
      <c r="A84" s="337" t="str" cm="1">
        <f t="array" ref="A84">IFERROR(INDEX(TInventE[UVID],ROUNDDOWN((ROW(A75)+1)/2,0)),"")</f>
        <v/>
      </c>
      <c r="B84" s="410" t="str">
        <f>IF(TInspectieE[[#This Row],[UVID]]="","",VLOOKUP(TInspectieE[[#This Row],[UVID]],TInventE[],2,FALSE))</f>
        <v/>
      </c>
      <c r="C84" s="365" t="str">
        <f>IF(TInspectieE[[#This Row],[UVID]]="","",VLOOKUP(TInspectieE[[#This Row],[UVID]],TInventE[],11,FALSE))</f>
        <v/>
      </c>
      <c r="D84" s="411" t="str">
        <f>IF(TInspectieE[[#This Row],[UVID]]="","",VLOOKUP(TInspectieE[[#This Row],[UVID]],TInventE[],3,FALSE))</f>
        <v/>
      </c>
      <c r="E84" s="338" t="str">
        <f>IF(TInspectieE[[#This Row],[Omschrijving bouwdeel]]="","",IF(ISEVEN(ROW()),"O","E"))</f>
        <v/>
      </c>
      <c r="F84" s="412"/>
      <c r="G84" s="413" t="str">
        <f>IF(ISBLANK(TInspectieE[[#This Row],[Soort gebrek]]),"",VLOOKUP(TInspectieE[[#This Row],[Soort gebrek]],TSoortGebrek[#Data],3,FALSE))</f>
        <v/>
      </c>
      <c r="H84" s="413" t="str">
        <f>IF(ISBLANK(TInspectieE[[#This Row],[Soort gebrek]]),"",VLOOKUP(TInspectieE[[#This Row],[Soort gebrek]],TSoortGebrek[#Data],2,FALSE))</f>
        <v/>
      </c>
      <c r="I84" s="413" t="str">
        <f>IF(TInspectieE[[#This Row],[Soort gebrek]]=0,"",VLOOKUP(TInspectieE[[#This Row],[Soort gebrek]],TSoortGebrek[],4,FALSE))</f>
        <v/>
      </c>
      <c r="J84" s="425"/>
      <c r="K84" s="415" t="str">
        <f>IF(TInspectieE[[#This Row],[Soort gebrek]]=0,"",VLOOKUP(TInspectieE[[#This Row],[Combi]],TPrio[#Data],2,FALSE))</f>
        <v/>
      </c>
      <c r="L84" s="339"/>
      <c r="M84" s="416" t="str">
        <f>IF(ISBLANK(TInspectieE[[#This Row],[Gebrek nr.]]),"",TInspectieE[[#This Row],[UVID]]&amp;"-"&amp;TInspectieE[[#This Row],[Gebrek nr.]])</f>
        <v/>
      </c>
      <c r="N84" s="417"/>
      <c r="O84" s="418"/>
      <c r="P84" s="206"/>
      <c r="Q84" s="193"/>
      <c r="R84" s="193" t="str">
        <f>IF(OR(TInspectieE[[#This Row],[Duurzaamheid bijdrage]]="Voldoet niet aan DZH-lijn",TInspectieE[[#This Row],[Duurzaamheid bijdrage]]="Voldoet niet aan vigerende W&amp;R"),"Voldoet niet","Voldoet")</f>
        <v>Voldoet</v>
      </c>
      <c r="S84" s="206"/>
      <c r="T84" s="206"/>
      <c r="U84" s="206"/>
      <c r="V84" s="206"/>
      <c r="W84" s="206"/>
      <c r="X84" s="419"/>
      <c r="Y84" s="340"/>
      <c r="Z84" s="420"/>
      <c r="AA84" s="421" t="str">
        <f>IF(ISBLANK(TInspectieE[[#This Row],[Aantal]]),"",ROUND(TInspectieE[[#This Row],[Kengetal]]*TInspectieE[[#This Row],[Aantal]],-1))</f>
        <v/>
      </c>
      <c r="AB84" s="422" t="str">
        <f>IF(TInspectieE[[#This Row],[Vak-groep]]="","1",VLOOKUP(C84,$J$2:$K$7,2,FALSE))</f>
        <v>1</v>
      </c>
      <c r="AC84" s="423" t="str">
        <f>CONCATENATE(TInspectieE[[#This Row],[Soort gebrek]],TInspectieE[[#This Row],[Trede]])</f>
        <v>1</v>
      </c>
      <c r="AD84" s="413" t="e">
        <v>#N/A</v>
      </c>
      <c r="AE84" s="413" t="e">
        <v>#N/A</v>
      </c>
      <c r="AF84" s="424">
        <v>0</v>
      </c>
    </row>
    <row r="85" spans="1:32" ht="10.5" x14ac:dyDescent="0.25">
      <c r="A85" s="337" t="str" cm="1">
        <f t="array" ref="A85">IFERROR(INDEX(TInventE[UVID],ROUNDDOWN((ROW(A76)+1)/2,0)),"")</f>
        <v/>
      </c>
      <c r="B85" s="410" t="str">
        <f>IF(TInspectieE[[#This Row],[UVID]]="","",VLOOKUP(TInspectieE[[#This Row],[UVID]],TInventE[],2,FALSE))</f>
        <v/>
      </c>
      <c r="C85" s="365" t="str">
        <f>IF(TInspectieE[[#This Row],[UVID]]="","",VLOOKUP(TInspectieE[[#This Row],[UVID]],TInventE[],11,FALSE))</f>
        <v/>
      </c>
      <c r="D85" s="411" t="str">
        <f>IF(TInspectieE[[#This Row],[UVID]]="","",VLOOKUP(TInspectieE[[#This Row],[UVID]],TInventE[],3,FALSE))</f>
        <v/>
      </c>
      <c r="E85" s="338" t="str">
        <f>IF(TInspectieE[[#This Row],[Omschrijving bouwdeel]]="","",IF(ISEVEN(ROW()),"O","E"))</f>
        <v/>
      </c>
      <c r="F85" s="412"/>
      <c r="G85" s="413" t="str">
        <f>IF(ISBLANK(TInspectieE[[#This Row],[Soort gebrek]]),"",VLOOKUP(TInspectieE[[#This Row],[Soort gebrek]],TSoortGebrek[#Data],3,FALSE))</f>
        <v/>
      </c>
      <c r="H85" s="413" t="str">
        <f>IF(ISBLANK(TInspectieE[[#This Row],[Soort gebrek]]),"",VLOOKUP(TInspectieE[[#This Row],[Soort gebrek]],TSoortGebrek[#Data],2,FALSE))</f>
        <v/>
      </c>
      <c r="I85" s="413" t="str">
        <f>IF(TInspectieE[[#This Row],[Soort gebrek]]=0,"",VLOOKUP(TInspectieE[[#This Row],[Soort gebrek]],TSoortGebrek[],4,FALSE))</f>
        <v/>
      </c>
      <c r="J85" s="425"/>
      <c r="K85" s="415" t="str">
        <f>IF(TInspectieE[[#This Row],[Soort gebrek]]=0,"",VLOOKUP(TInspectieE[[#This Row],[Combi]],TPrio[#Data],2,FALSE))</f>
        <v/>
      </c>
      <c r="L85" s="339"/>
      <c r="M85" s="416" t="str">
        <f>IF(ISBLANK(TInspectieE[[#This Row],[Gebrek nr.]]),"",TInspectieE[[#This Row],[UVID]]&amp;"-"&amp;TInspectieE[[#This Row],[Gebrek nr.]])</f>
        <v/>
      </c>
      <c r="N85" s="417"/>
      <c r="O85" s="418"/>
      <c r="P85" s="206"/>
      <c r="Q85" s="193"/>
      <c r="R85" s="193" t="str">
        <f>IF(OR(TInspectieE[[#This Row],[Duurzaamheid bijdrage]]="Voldoet niet aan DZH-lijn",TInspectieE[[#This Row],[Duurzaamheid bijdrage]]="Voldoet niet aan vigerende W&amp;R"),"Voldoet niet","Voldoet")</f>
        <v>Voldoet</v>
      </c>
      <c r="S85" s="206"/>
      <c r="T85" s="206"/>
      <c r="U85" s="206"/>
      <c r="V85" s="206"/>
      <c r="W85" s="206"/>
      <c r="X85" s="419"/>
      <c r="Y85" s="340"/>
      <c r="Z85" s="420"/>
      <c r="AA85" s="421" t="str">
        <f>IF(ISBLANK(TInspectieE[[#This Row],[Aantal]]),"",ROUND(TInspectieE[[#This Row],[Kengetal]]*TInspectieE[[#This Row],[Aantal]],-1))</f>
        <v/>
      </c>
      <c r="AB85" s="422" t="str">
        <f>IF(TInspectieE[[#This Row],[Vak-groep]]="","1",VLOOKUP(C85,$J$2:$K$7,2,FALSE))</f>
        <v>1</v>
      </c>
      <c r="AC85" s="423" t="str">
        <f>CONCATENATE(TInspectieE[[#This Row],[Soort gebrek]],TInspectieE[[#This Row],[Trede]])</f>
        <v>1</v>
      </c>
      <c r="AD85" s="413" t="e">
        <v>#N/A</v>
      </c>
      <c r="AE85" s="413" t="e">
        <v>#N/A</v>
      </c>
      <c r="AF85" s="424">
        <v>0</v>
      </c>
    </row>
    <row r="86" spans="1:32" ht="10.5" x14ac:dyDescent="0.25">
      <c r="A86" s="337" t="str" cm="1">
        <f t="array" ref="A86">IFERROR(INDEX(TInventE[UVID],ROUNDDOWN((ROW(A77)+1)/2,0)),"")</f>
        <v/>
      </c>
      <c r="B86" s="410" t="str">
        <f>IF(TInspectieE[[#This Row],[UVID]]="","",VLOOKUP(TInspectieE[[#This Row],[UVID]],TInventE[],2,FALSE))</f>
        <v/>
      </c>
      <c r="C86" s="365" t="str">
        <f>IF(TInspectieE[[#This Row],[UVID]]="","",VLOOKUP(TInspectieE[[#This Row],[UVID]],TInventE[],11,FALSE))</f>
        <v/>
      </c>
      <c r="D86" s="411" t="str">
        <f>IF(TInspectieE[[#This Row],[UVID]]="","",VLOOKUP(TInspectieE[[#This Row],[UVID]],TInventE[],3,FALSE))</f>
        <v/>
      </c>
      <c r="E86" s="338" t="str">
        <f>IF(TInspectieE[[#This Row],[Omschrijving bouwdeel]]="","",IF(ISEVEN(ROW()),"O","E"))</f>
        <v/>
      </c>
      <c r="F86" s="412"/>
      <c r="G86" s="413" t="str">
        <f>IF(ISBLANK(TInspectieE[[#This Row],[Soort gebrek]]),"",VLOOKUP(TInspectieE[[#This Row],[Soort gebrek]],TSoortGebrek[#Data],3,FALSE))</f>
        <v/>
      </c>
      <c r="H86" s="413" t="str">
        <f>IF(ISBLANK(TInspectieE[[#This Row],[Soort gebrek]]),"",VLOOKUP(TInspectieE[[#This Row],[Soort gebrek]],TSoortGebrek[#Data],2,FALSE))</f>
        <v/>
      </c>
      <c r="I86" s="413" t="str">
        <f>IF(TInspectieE[[#This Row],[Soort gebrek]]=0,"",VLOOKUP(TInspectieE[[#This Row],[Soort gebrek]],TSoortGebrek[],4,FALSE))</f>
        <v/>
      </c>
      <c r="J86" s="425"/>
      <c r="K86" s="415" t="str">
        <f>IF(TInspectieE[[#This Row],[Soort gebrek]]=0,"",VLOOKUP(TInspectieE[[#This Row],[Combi]],TPrio[#Data],2,FALSE))</f>
        <v/>
      </c>
      <c r="L86" s="339"/>
      <c r="M86" s="416" t="str">
        <f>IF(ISBLANK(TInspectieE[[#This Row],[Gebrek nr.]]),"",TInspectieE[[#This Row],[UVID]]&amp;"-"&amp;TInspectieE[[#This Row],[Gebrek nr.]])</f>
        <v/>
      </c>
      <c r="N86" s="417"/>
      <c r="O86" s="418"/>
      <c r="P86" s="206"/>
      <c r="Q86" s="193"/>
      <c r="R86" s="193" t="str">
        <f>IF(OR(TInspectieE[[#This Row],[Duurzaamheid bijdrage]]="Voldoet niet aan DZH-lijn",TInspectieE[[#This Row],[Duurzaamheid bijdrage]]="Voldoet niet aan vigerende W&amp;R"),"Voldoet niet","Voldoet")</f>
        <v>Voldoet</v>
      </c>
      <c r="S86" s="206"/>
      <c r="T86" s="206"/>
      <c r="U86" s="206"/>
      <c r="V86" s="206"/>
      <c r="W86" s="206"/>
      <c r="X86" s="419"/>
      <c r="Y86" s="340"/>
      <c r="Z86" s="420"/>
      <c r="AA86" s="421" t="str">
        <f>IF(ISBLANK(TInspectieE[[#This Row],[Aantal]]),"",ROUND(TInspectieE[[#This Row],[Kengetal]]*TInspectieE[[#This Row],[Aantal]],-1))</f>
        <v/>
      </c>
      <c r="AB86" s="422" t="str">
        <f>IF(TInspectieE[[#This Row],[Vak-groep]]="","1",VLOOKUP(C86,$J$2:$K$7,2,FALSE))</f>
        <v>1</v>
      </c>
      <c r="AC86" s="423" t="str">
        <f>CONCATENATE(TInspectieE[[#This Row],[Soort gebrek]],TInspectieE[[#This Row],[Trede]])</f>
        <v>1</v>
      </c>
      <c r="AD86" s="413" t="e">
        <v>#N/A</v>
      </c>
      <c r="AE86" s="413" t="e">
        <v>#N/A</v>
      </c>
      <c r="AF86" s="424">
        <v>0</v>
      </c>
    </row>
    <row r="87" spans="1:32" ht="10.5" x14ac:dyDescent="0.25">
      <c r="A87" s="337" t="str" cm="1">
        <f t="array" ref="A87">IFERROR(INDEX(TInventE[UVID],ROUNDDOWN((ROW(A78)+1)/2,0)),"")</f>
        <v/>
      </c>
      <c r="B87" s="410" t="str">
        <f>IF(TInspectieE[[#This Row],[UVID]]="","",VLOOKUP(TInspectieE[[#This Row],[UVID]],TInventE[],2,FALSE))</f>
        <v/>
      </c>
      <c r="C87" s="365" t="str">
        <f>IF(TInspectieE[[#This Row],[UVID]]="","",VLOOKUP(TInspectieE[[#This Row],[UVID]],TInventE[],11,FALSE))</f>
        <v/>
      </c>
      <c r="D87" s="411" t="str">
        <f>IF(TInspectieE[[#This Row],[UVID]]="","",VLOOKUP(TInspectieE[[#This Row],[UVID]],TInventE[],3,FALSE))</f>
        <v/>
      </c>
      <c r="E87" s="338" t="str">
        <f>IF(TInspectieE[[#This Row],[Omschrijving bouwdeel]]="","",IF(ISEVEN(ROW()),"O","E"))</f>
        <v/>
      </c>
      <c r="F87" s="412"/>
      <c r="G87" s="413" t="str">
        <f>IF(ISBLANK(TInspectieE[[#This Row],[Soort gebrek]]),"",VLOOKUP(TInspectieE[[#This Row],[Soort gebrek]],TSoortGebrek[#Data],3,FALSE))</f>
        <v/>
      </c>
      <c r="H87" s="413" t="str">
        <f>IF(ISBLANK(TInspectieE[[#This Row],[Soort gebrek]]),"",VLOOKUP(TInspectieE[[#This Row],[Soort gebrek]],TSoortGebrek[#Data],2,FALSE))</f>
        <v/>
      </c>
      <c r="I87" s="413" t="str">
        <f>IF(TInspectieE[[#This Row],[Soort gebrek]]=0,"",VLOOKUP(TInspectieE[[#This Row],[Soort gebrek]],TSoortGebrek[],4,FALSE))</f>
        <v/>
      </c>
      <c r="J87" s="425"/>
      <c r="K87" s="415" t="str">
        <f>IF(TInspectieE[[#This Row],[Soort gebrek]]=0,"",VLOOKUP(TInspectieE[[#This Row],[Combi]],TPrio[#Data],2,FALSE))</f>
        <v/>
      </c>
      <c r="L87" s="339"/>
      <c r="M87" s="416" t="str">
        <f>IF(ISBLANK(TInspectieE[[#This Row],[Gebrek nr.]]),"",TInspectieE[[#This Row],[UVID]]&amp;"-"&amp;TInspectieE[[#This Row],[Gebrek nr.]])</f>
        <v/>
      </c>
      <c r="N87" s="417"/>
      <c r="O87" s="418"/>
      <c r="P87" s="206"/>
      <c r="Q87" s="193"/>
      <c r="R87" s="193" t="str">
        <f>IF(OR(TInspectieE[[#This Row],[Duurzaamheid bijdrage]]="Voldoet niet aan DZH-lijn",TInspectieE[[#This Row],[Duurzaamheid bijdrage]]="Voldoet niet aan vigerende W&amp;R"),"Voldoet niet","Voldoet")</f>
        <v>Voldoet</v>
      </c>
      <c r="S87" s="206"/>
      <c r="T87" s="206"/>
      <c r="U87" s="206"/>
      <c r="V87" s="206"/>
      <c r="W87" s="206"/>
      <c r="X87" s="419"/>
      <c r="Y87" s="340"/>
      <c r="Z87" s="420"/>
      <c r="AA87" s="421" t="str">
        <f>IF(ISBLANK(TInspectieE[[#This Row],[Aantal]]),"",ROUND(TInspectieE[[#This Row],[Kengetal]]*TInspectieE[[#This Row],[Aantal]],-1))</f>
        <v/>
      </c>
      <c r="AB87" s="422" t="str">
        <f>IF(TInspectieE[[#This Row],[Vak-groep]]="","1",VLOOKUP(C87,$J$2:$K$7,2,FALSE))</f>
        <v>1</v>
      </c>
      <c r="AC87" s="423" t="str">
        <f>CONCATENATE(TInspectieE[[#This Row],[Soort gebrek]],TInspectieE[[#This Row],[Trede]])</f>
        <v>1</v>
      </c>
      <c r="AD87" s="413" t="e">
        <v>#N/A</v>
      </c>
      <c r="AE87" s="413" t="e">
        <v>#N/A</v>
      </c>
      <c r="AF87" s="424">
        <v>0</v>
      </c>
    </row>
    <row r="88" spans="1:32" ht="10.5" x14ac:dyDescent="0.25">
      <c r="A88" s="337" t="str" cm="1">
        <f t="array" ref="A88">IFERROR(INDEX(TInventE[UVID],ROUNDDOWN((ROW(A79)+1)/2,0)),"")</f>
        <v/>
      </c>
      <c r="B88" s="410" t="str">
        <f>IF(TInspectieE[[#This Row],[UVID]]="","",VLOOKUP(TInspectieE[[#This Row],[UVID]],TInventE[],2,FALSE))</f>
        <v/>
      </c>
      <c r="C88" s="365" t="str">
        <f>IF(TInspectieE[[#This Row],[UVID]]="","",VLOOKUP(TInspectieE[[#This Row],[UVID]],TInventE[],11,FALSE))</f>
        <v/>
      </c>
      <c r="D88" s="411" t="str">
        <f>IF(TInspectieE[[#This Row],[UVID]]="","",VLOOKUP(TInspectieE[[#This Row],[UVID]],TInventE[],3,FALSE))</f>
        <v/>
      </c>
      <c r="E88" s="338" t="str">
        <f>IF(TInspectieE[[#This Row],[Omschrijving bouwdeel]]="","",IF(ISEVEN(ROW()),"O","E"))</f>
        <v/>
      </c>
      <c r="F88" s="412"/>
      <c r="G88" s="413" t="str">
        <f>IF(ISBLANK(TInspectieE[[#This Row],[Soort gebrek]]),"",VLOOKUP(TInspectieE[[#This Row],[Soort gebrek]],TSoortGebrek[#Data],3,FALSE))</f>
        <v/>
      </c>
      <c r="H88" s="413" t="str">
        <f>IF(ISBLANK(TInspectieE[[#This Row],[Soort gebrek]]),"",VLOOKUP(TInspectieE[[#This Row],[Soort gebrek]],TSoortGebrek[#Data],2,FALSE))</f>
        <v/>
      </c>
      <c r="I88" s="413" t="str">
        <f>IF(TInspectieE[[#This Row],[Soort gebrek]]=0,"",VLOOKUP(TInspectieE[[#This Row],[Soort gebrek]],TSoortGebrek[],4,FALSE))</f>
        <v/>
      </c>
      <c r="J88" s="425"/>
      <c r="K88" s="415" t="str">
        <f>IF(TInspectieE[[#This Row],[Soort gebrek]]=0,"",VLOOKUP(TInspectieE[[#This Row],[Combi]],TPrio[#Data],2,FALSE))</f>
        <v/>
      </c>
      <c r="L88" s="339"/>
      <c r="M88" s="416" t="str">
        <f>IF(ISBLANK(TInspectieE[[#This Row],[Gebrek nr.]]),"",TInspectieE[[#This Row],[UVID]]&amp;"-"&amp;TInspectieE[[#This Row],[Gebrek nr.]])</f>
        <v/>
      </c>
      <c r="N88" s="417"/>
      <c r="O88" s="418"/>
      <c r="P88" s="206"/>
      <c r="Q88" s="193"/>
      <c r="R88" s="193" t="str">
        <f>IF(OR(TInspectieE[[#This Row],[Duurzaamheid bijdrage]]="Voldoet niet aan DZH-lijn",TInspectieE[[#This Row],[Duurzaamheid bijdrage]]="Voldoet niet aan vigerende W&amp;R"),"Voldoet niet","Voldoet")</f>
        <v>Voldoet</v>
      </c>
      <c r="S88" s="206"/>
      <c r="T88" s="206"/>
      <c r="U88" s="206"/>
      <c r="V88" s="206"/>
      <c r="W88" s="206"/>
      <c r="X88" s="419"/>
      <c r="Y88" s="340"/>
      <c r="Z88" s="420"/>
      <c r="AA88" s="421" t="str">
        <f>IF(ISBLANK(TInspectieE[[#This Row],[Aantal]]),"",ROUND(TInspectieE[[#This Row],[Kengetal]]*TInspectieE[[#This Row],[Aantal]],-1))</f>
        <v/>
      </c>
      <c r="AB88" s="422" t="str">
        <f>IF(TInspectieE[[#This Row],[Vak-groep]]="","1",VLOOKUP(C88,$J$2:$K$7,2,FALSE))</f>
        <v>1</v>
      </c>
      <c r="AC88" s="423" t="str">
        <f>CONCATENATE(TInspectieE[[#This Row],[Soort gebrek]],TInspectieE[[#This Row],[Trede]])</f>
        <v>1</v>
      </c>
      <c r="AD88" s="413" t="e">
        <v>#N/A</v>
      </c>
      <c r="AE88" s="413" t="e">
        <v>#N/A</v>
      </c>
      <c r="AF88" s="424">
        <v>0</v>
      </c>
    </row>
    <row r="89" spans="1:32" ht="10.5" x14ac:dyDescent="0.25">
      <c r="A89" s="337" t="str" cm="1">
        <f t="array" ref="A89">IFERROR(INDEX(TInventE[UVID],ROUNDDOWN((ROW(A80)+1)/2,0)),"")</f>
        <v/>
      </c>
      <c r="B89" s="410" t="str">
        <f>IF(TInspectieE[[#This Row],[UVID]]="","",VLOOKUP(TInspectieE[[#This Row],[UVID]],TInventE[],2,FALSE))</f>
        <v/>
      </c>
      <c r="C89" s="365" t="str">
        <f>IF(TInspectieE[[#This Row],[UVID]]="","",VLOOKUP(TInspectieE[[#This Row],[UVID]],TInventE[],11,FALSE))</f>
        <v/>
      </c>
      <c r="D89" s="411" t="str">
        <f>IF(TInspectieE[[#This Row],[UVID]]="","",VLOOKUP(TInspectieE[[#This Row],[UVID]],TInventE[],3,FALSE))</f>
        <v/>
      </c>
      <c r="E89" s="338" t="str">
        <f>IF(TInspectieE[[#This Row],[Omschrijving bouwdeel]]="","",IF(ISEVEN(ROW()),"O","E"))</f>
        <v/>
      </c>
      <c r="F89" s="412"/>
      <c r="G89" s="413" t="str">
        <f>IF(ISBLANK(TInspectieE[[#This Row],[Soort gebrek]]),"",VLOOKUP(TInspectieE[[#This Row],[Soort gebrek]],TSoortGebrek[#Data],3,FALSE))</f>
        <v/>
      </c>
      <c r="H89" s="413" t="str">
        <f>IF(ISBLANK(TInspectieE[[#This Row],[Soort gebrek]]),"",VLOOKUP(TInspectieE[[#This Row],[Soort gebrek]],TSoortGebrek[#Data],2,FALSE))</f>
        <v/>
      </c>
      <c r="I89" s="413" t="str">
        <f>IF(TInspectieE[[#This Row],[Soort gebrek]]=0,"",VLOOKUP(TInspectieE[[#This Row],[Soort gebrek]],TSoortGebrek[],4,FALSE))</f>
        <v/>
      </c>
      <c r="J89" s="425"/>
      <c r="K89" s="415" t="str">
        <f>IF(TInspectieE[[#This Row],[Soort gebrek]]=0,"",VLOOKUP(TInspectieE[[#This Row],[Combi]],TPrio[#Data],2,FALSE))</f>
        <v/>
      </c>
      <c r="L89" s="339"/>
      <c r="M89" s="416" t="str">
        <f>IF(ISBLANK(TInspectieE[[#This Row],[Gebrek nr.]]),"",TInspectieE[[#This Row],[UVID]]&amp;"-"&amp;TInspectieE[[#This Row],[Gebrek nr.]])</f>
        <v/>
      </c>
      <c r="N89" s="417"/>
      <c r="O89" s="418"/>
      <c r="P89" s="206"/>
      <c r="Q89" s="193"/>
      <c r="R89" s="193" t="str">
        <f>IF(OR(TInspectieE[[#This Row],[Duurzaamheid bijdrage]]="Voldoet niet aan DZH-lijn",TInspectieE[[#This Row],[Duurzaamheid bijdrage]]="Voldoet niet aan vigerende W&amp;R"),"Voldoet niet","Voldoet")</f>
        <v>Voldoet</v>
      </c>
      <c r="S89" s="206"/>
      <c r="T89" s="206"/>
      <c r="U89" s="206"/>
      <c r="V89" s="206"/>
      <c r="W89" s="206"/>
      <c r="X89" s="419"/>
      <c r="Y89" s="340"/>
      <c r="Z89" s="420"/>
      <c r="AA89" s="421" t="str">
        <f>IF(ISBLANK(TInspectieE[[#This Row],[Aantal]]),"",ROUND(TInspectieE[[#This Row],[Kengetal]]*TInspectieE[[#This Row],[Aantal]],-1))</f>
        <v/>
      </c>
      <c r="AB89" s="422" t="str">
        <f>IF(TInspectieE[[#This Row],[Vak-groep]]="","1",VLOOKUP(C89,$J$2:$K$7,2,FALSE))</f>
        <v>1</v>
      </c>
      <c r="AC89" s="423" t="str">
        <f>CONCATENATE(TInspectieE[[#This Row],[Soort gebrek]],TInspectieE[[#This Row],[Trede]])</f>
        <v>1</v>
      </c>
      <c r="AD89" s="413" t="e">
        <v>#N/A</v>
      </c>
      <c r="AE89" s="413" t="e">
        <v>#N/A</v>
      </c>
      <c r="AF89" s="424">
        <v>0</v>
      </c>
    </row>
    <row r="90" spans="1:32" ht="10.5" x14ac:dyDescent="0.25">
      <c r="A90" s="337" t="str" cm="1">
        <f t="array" ref="A90">IFERROR(INDEX(TInventE[UVID],ROUNDDOWN((ROW(A81)+1)/2,0)),"")</f>
        <v/>
      </c>
      <c r="B90" s="410" t="str">
        <f>IF(TInspectieE[[#This Row],[UVID]]="","",VLOOKUP(TInspectieE[[#This Row],[UVID]],TInventE[],2,FALSE))</f>
        <v/>
      </c>
      <c r="C90" s="365" t="str">
        <f>IF(TInspectieE[[#This Row],[UVID]]="","",VLOOKUP(TInspectieE[[#This Row],[UVID]],TInventE[],11,FALSE))</f>
        <v/>
      </c>
      <c r="D90" s="411" t="str">
        <f>IF(TInspectieE[[#This Row],[UVID]]="","",VLOOKUP(TInspectieE[[#This Row],[UVID]],TInventE[],3,FALSE))</f>
        <v/>
      </c>
      <c r="E90" s="338" t="str">
        <f>IF(TInspectieE[[#This Row],[Omschrijving bouwdeel]]="","",IF(ISEVEN(ROW()),"O","E"))</f>
        <v/>
      </c>
      <c r="F90" s="412"/>
      <c r="G90" s="413" t="str">
        <f>IF(ISBLANK(TInspectieE[[#This Row],[Soort gebrek]]),"",VLOOKUP(TInspectieE[[#This Row],[Soort gebrek]],TSoortGebrek[#Data],3,FALSE))</f>
        <v/>
      </c>
      <c r="H90" s="413" t="str">
        <f>IF(ISBLANK(TInspectieE[[#This Row],[Soort gebrek]]),"",VLOOKUP(TInspectieE[[#This Row],[Soort gebrek]],TSoortGebrek[#Data],2,FALSE))</f>
        <v/>
      </c>
      <c r="I90" s="413" t="str">
        <f>IF(TInspectieE[[#This Row],[Soort gebrek]]=0,"",VLOOKUP(TInspectieE[[#This Row],[Soort gebrek]],TSoortGebrek[],4,FALSE))</f>
        <v/>
      </c>
      <c r="J90" s="425"/>
      <c r="K90" s="415" t="str">
        <f>IF(TInspectieE[[#This Row],[Soort gebrek]]=0,"",VLOOKUP(TInspectieE[[#This Row],[Combi]],TPrio[#Data],2,FALSE))</f>
        <v/>
      </c>
      <c r="L90" s="339"/>
      <c r="M90" s="416" t="str">
        <f>IF(ISBLANK(TInspectieE[[#This Row],[Gebrek nr.]]),"",TInspectieE[[#This Row],[UVID]]&amp;"-"&amp;TInspectieE[[#This Row],[Gebrek nr.]])</f>
        <v/>
      </c>
      <c r="N90" s="417"/>
      <c r="O90" s="418"/>
      <c r="P90" s="206"/>
      <c r="Q90" s="193"/>
      <c r="R90" s="193" t="str">
        <f>IF(OR(TInspectieE[[#This Row],[Duurzaamheid bijdrage]]="Voldoet niet aan DZH-lijn",TInspectieE[[#This Row],[Duurzaamheid bijdrage]]="Voldoet niet aan vigerende W&amp;R"),"Voldoet niet","Voldoet")</f>
        <v>Voldoet</v>
      </c>
      <c r="S90" s="206"/>
      <c r="T90" s="206"/>
      <c r="U90" s="206"/>
      <c r="V90" s="206"/>
      <c r="W90" s="206"/>
      <c r="X90" s="419"/>
      <c r="Y90" s="340"/>
      <c r="Z90" s="420"/>
      <c r="AA90" s="421" t="str">
        <f>IF(ISBLANK(TInspectieE[[#This Row],[Aantal]]),"",ROUND(TInspectieE[[#This Row],[Kengetal]]*TInspectieE[[#This Row],[Aantal]],-1))</f>
        <v/>
      </c>
      <c r="AB90" s="422" t="str">
        <f>IF(TInspectieE[[#This Row],[Vak-groep]]="","1",VLOOKUP(C90,$J$2:$K$7,2,FALSE))</f>
        <v>1</v>
      </c>
      <c r="AC90" s="423" t="str">
        <f>CONCATENATE(TInspectieE[[#This Row],[Soort gebrek]],TInspectieE[[#This Row],[Trede]])</f>
        <v>1</v>
      </c>
      <c r="AD90" s="413" t="e">
        <v>#N/A</v>
      </c>
      <c r="AE90" s="413" t="e">
        <v>#N/A</v>
      </c>
      <c r="AF90" s="424">
        <v>0</v>
      </c>
    </row>
    <row r="91" spans="1:32" ht="10.5" x14ac:dyDescent="0.25">
      <c r="A91" s="337" t="str" cm="1">
        <f t="array" ref="A91">IFERROR(INDEX(TInventE[UVID],ROUNDDOWN((ROW(A82)+1)/2,0)),"")</f>
        <v/>
      </c>
      <c r="B91" s="410" t="str">
        <f>IF(TInspectieE[[#This Row],[UVID]]="","",VLOOKUP(TInspectieE[[#This Row],[UVID]],TInventE[],2,FALSE))</f>
        <v/>
      </c>
      <c r="C91" s="365" t="str">
        <f>IF(TInspectieE[[#This Row],[UVID]]="","",VLOOKUP(TInspectieE[[#This Row],[UVID]],TInventE[],11,FALSE))</f>
        <v/>
      </c>
      <c r="D91" s="411" t="str">
        <f>IF(TInspectieE[[#This Row],[UVID]]="","",VLOOKUP(TInspectieE[[#This Row],[UVID]],TInventE[],3,FALSE))</f>
        <v/>
      </c>
      <c r="E91" s="338" t="str">
        <f>IF(TInspectieE[[#This Row],[Omschrijving bouwdeel]]="","",IF(ISEVEN(ROW()),"O","E"))</f>
        <v/>
      </c>
      <c r="F91" s="412"/>
      <c r="G91" s="413" t="str">
        <f>IF(ISBLANK(TInspectieE[[#This Row],[Soort gebrek]]),"",VLOOKUP(TInspectieE[[#This Row],[Soort gebrek]],TSoortGebrek[#Data],3,FALSE))</f>
        <v/>
      </c>
      <c r="H91" s="413" t="str">
        <f>IF(ISBLANK(TInspectieE[[#This Row],[Soort gebrek]]),"",VLOOKUP(TInspectieE[[#This Row],[Soort gebrek]],TSoortGebrek[#Data],2,FALSE))</f>
        <v/>
      </c>
      <c r="I91" s="413" t="str">
        <f>IF(TInspectieE[[#This Row],[Soort gebrek]]=0,"",VLOOKUP(TInspectieE[[#This Row],[Soort gebrek]],TSoortGebrek[],4,FALSE))</f>
        <v/>
      </c>
      <c r="J91" s="425"/>
      <c r="K91" s="415" t="str">
        <f>IF(TInspectieE[[#This Row],[Soort gebrek]]=0,"",VLOOKUP(TInspectieE[[#This Row],[Combi]],TPrio[#Data],2,FALSE))</f>
        <v/>
      </c>
      <c r="L91" s="339"/>
      <c r="M91" s="416" t="str">
        <f>IF(ISBLANK(TInspectieE[[#This Row],[Gebrek nr.]]),"",TInspectieE[[#This Row],[UVID]]&amp;"-"&amp;TInspectieE[[#This Row],[Gebrek nr.]])</f>
        <v/>
      </c>
      <c r="N91" s="417"/>
      <c r="O91" s="418"/>
      <c r="P91" s="206"/>
      <c r="Q91" s="193"/>
      <c r="R91" s="193" t="str">
        <f>IF(OR(TInspectieE[[#This Row],[Duurzaamheid bijdrage]]="Voldoet niet aan DZH-lijn",TInspectieE[[#This Row],[Duurzaamheid bijdrage]]="Voldoet niet aan vigerende W&amp;R"),"Voldoet niet","Voldoet")</f>
        <v>Voldoet</v>
      </c>
      <c r="S91" s="206"/>
      <c r="T91" s="206"/>
      <c r="U91" s="206"/>
      <c r="V91" s="206"/>
      <c r="W91" s="206"/>
      <c r="X91" s="419"/>
      <c r="Y91" s="340"/>
      <c r="Z91" s="420"/>
      <c r="AA91" s="421" t="str">
        <f>IF(ISBLANK(TInspectieE[[#This Row],[Aantal]]),"",ROUND(TInspectieE[[#This Row],[Kengetal]]*TInspectieE[[#This Row],[Aantal]],-1))</f>
        <v/>
      </c>
      <c r="AB91" s="422" t="str">
        <f>IF(TInspectieE[[#This Row],[Vak-groep]]="","1",VLOOKUP(C91,$J$2:$K$7,2,FALSE))</f>
        <v>1</v>
      </c>
      <c r="AC91" s="423" t="str">
        <f>CONCATENATE(TInspectieE[[#This Row],[Soort gebrek]],TInspectieE[[#This Row],[Trede]])</f>
        <v>1</v>
      </c>
      <c r="AD91" s="413" t="e">
        <v>#N/A</v>
      </c>
      <c r="AE91" s="413" t="e">
        <v>#N/A</v>
      </c>
      <c r="AF91" s="424">
        <v>0</v>
      </c>
    </row>
    <row r="92" spans="1:32" ht="10.5" x14ac:dyDescent="0.25">
      <c r="A92" s="337" t="str" cm="1">
        <f t="array" ref="A92">IFERROR(INDEX(TInventE[UVID],ROUNDDOWN((ROW(A83)+1)/2,0)),"")</f>
        <v/>
      </c>
      <c r="B92" s="410" t="str">
        <f>IF(TInspectieE[[#This Row],[UVID]]="","",VLOOKUP(TInspectieE[[#This Row],[UVID]],TInventE[],2,FALSE))</f>
        <v/>
      </c>
      <c r="C92" s="365" t="str">
        <f>IF(TInspectieE[[#This Row],[UVID]]="","",VLOOKUP(TInspectieE[[#This Row],[UVID]],TInventE[],11,FALSE))</f>
        <v/>
      </c>
      <c r="D92" s="411" t="str">
        <f>IF(TInspectieE[[#This Row],[UVID]]="","",VLOOKUP(TInspectieE[[#This Row],[UVID]],TInventE[],3,FALSE))</f>
        <v/>
      </c>
      <c r="E92" s="338" t="str">
        <f>IF(TInspectieE[[#This Row],[Omschrijving bouwdeel]]="","",IF(ISEVEN(ROW()),"O","E"))</f>
        <v/>
      </c>
      <c r="F92" s="412"/>
      <c r="G92" s="413" t="str">
        <f>IF(ISBLANK(TInspectieE[[#This Row],[Soort gebrek]]),"",VLOOKUP(TInspectieE[[#This Row],[Soort gebrek]],TSoortGebrek[#Data],3,FALSE))</f>
        <v/>
      </c>
      <c r="H92" s="413" t="str">
        <f>IF(ISBLANK(TInspectieE[[#This Row],[Soort gebrek]]),"",VLOOKUP(TInspectieE[[#This Row],[Soort gebrek]],TSoortGebrek[#Data],2,FALSE))</f>
        <v/>
      </c>
      <c r="I92" s="413" t="str">
        <f>IF(TInspectieE[[#This Row],[Soort gebrek]]=0,"",VLOOKUP(TInspectieE[[#This Row],[Soort gebrek]],TSoortGebrek[],4,FALSE))</f>
        <v/>
      </c>
      <c r="J92" s="425"/>
      <c r="K92" s="415" t="str">
        <f>IF(TInspectieE[[#This Row],[Soort gebrek]]=0,"",VLOOKUP(TInspectieE[[#This Row],[Combi]],TPrio[#Data],2,FALSE))</f>
        <v/>
      </c>
      <c r="L92" s="339"/>
      <c r="M92" s="416" t="str">
        <f>IF(ISBLANK(TInspectieE[[#This Row],[Gebrek nr.]]),"",TInspectieE[[#This Row],[UVID]]&amp;"-"&amp;TInspectieE[[#This Row],[Gebrek nr.]])</f>
        <v/>
      </c>
      <c r="N92" s="417"/>
      <c r="O92" s="418"/>
      <c r="P92" s="206"/>
      <c r="Q92" s="193"/>
      <c r="R92" s="193" t="str">
        <f>IF(OR(TInspectieE[[#This Row],[Duurzaamheid bijdrage]]="Voldoet niet aan DZH-lijn",TInspectieE[[#This Row],[Duurzaamheid bijdrage]]="Voldoet niet aan vigerende W&amp;R"),"Voldoet niet","Voldoet")</f>
        <v>Voldoet</v>
      </c>
      <c r="S92" s="206"/>
      <c r="T92" s="206"/>
      <c r="U92" s="206"/>
      <c r="V92" s="206"/>
      <c r="W92" s="206"/>
      <c r="X92" s="419"/>
      <c r="Y92" s="340"/>
      <c r="Z92" s="420"/>
      <c r="AA92" s="421" t="str">
        <f>IF(ISBLANK(TInspectieE[[#This Row],[Aantal]]),"",ROUND(TInspectieE[[#This Row],[Kengetal]]*TInspectieE[[#This Row],[Aantal]],-1))</f>
        <v/>
      </c>
      <c r="AB92" s="422" t="str">
        <f>IF(TInspectieE[[#This Row],[Vak-groep]]="","1",VLOOKUP(C92,$J$2:$K$7,2,FALSE))</f>
        <v>1</v>
      </c>
      <c r="AC92" s="423" t="str">
        <f>CONCATENATE(TInspectieE[[#This Row],[Soort gebrek]],TInspectieE[[#This Row],[Trede]])</f>
        <v>1</v>
      </c>
      <c r="AD92" s="413" t="e">
        <v>#N/A</v>
      </c>
      <c r="AE92" s="413" t="e">
        <v>#N/A</v>
      </c>
      <c r="AF92" s="424">
        <v>0</v>
      </c>
    </row>
    <row r="93" spans="1:32" ht="10.5" x14ac:dyDescent="0.25">
      <c r="A93" s="337" t="str" cm="1">
        <f t="array" ref="A93">IFERROR(INDEX(TInventE[UVID],ROUNDDOWN((ROW(A84)+1)/2,0)),"")</f>
        <v/>
      </c>
      <c r="B93" s="410" t="str">
        <f>IF(TInspectieE[[#This Row],[UVID]]="","",VLOOKUP(TInspectieE[[#This Row],[UVID]],TInventE[],2,FALSE))</f>
        <v/>
      </c>
      <c r="C93" s="365" t="str">
        <f>IF(TInspectieE[[#This Row],[UVID]]="","",VLOOKUP(TInspectieE[[#This Row],[UVID]],TInventE[],11,FALSE))</f>
        <v/>
      </c>
      <c r="D93" s="411" t="str">
        <f>IF(TInspectieE[[#This Row],[UVID]]="","",VLOOKUP(TInspectieE[[#This Row],[UVID]],TInventE[],3,FALSE))</f>
        <v/>
      </c>
      <c r="E93" s="338" t="str">
        <f>IF(TInspectieE[[#This Row],[Omschrijving bouwdeel]]="","",IF(ISEVEN(ROW()),"O","E"))</f>
        <v/>
      </c>
      <c r="F93" s="412"/>
      <c r="G93" s="413" t="str">
        <f>IF(ISBLANK(TInspectieE[[#This Row],[Soort gebrek]]),"",VLOOKUP(TInspectieE[[#This Row],[Soort gebrek]],TSoortGebrek[#Data],3,FALSE))</f>
        <v/>
      </c>
      <c r="H93" s="413" t="str">
        <f>IF(ISBLANK(TInspectieE[[#This Row],[Soort gebrek]]),"",VLOOKUP(TInspectieE[[#This Row],[Soort gebrek]],TSoortGebrek[#Data],2,FALSE))</f>
        <v/>
      </c>
      <c r="I93" s="413" t="str">
        <f>IF(TInspectieE[[#This Row],[Soort gebrek]]=0,"",VLOOKUP(TInspectieE[[#This Row],[Soort gebrek]],TSoortGebrek[],4,FALSE))</f>
        <v/>
      </c>
      <c r="J93" s="425"/>
      <c r="K93" s="415" t="str">
        <f>IF(TInspectieE[[#This Row],[Soort gebrek]]=0,"",VLOOKUP(TInspectieE[[#This Row],[Combi]],TPrio[#Data],2,FALSE))</f>
        <v/>
      </c>
      <c r="L93" s="339"/>
      <c r="M93" s="416" t="str">
        <f>IF(ISBLANK(TInspectieE[[#This Row],[Gebrek nr.]]),"",TInspectieE[[#This Row],[UVID]]&amp;"-"&amp;TInspectieE[[#This Row],[Gebrek nr.]])</f>
        <v/>
      </c>
      <c r="N93" s="417"/>
      <c r="O93" s="418"/>
      <c r="P93" s="206"/>
      <c r="Q93" s="193"/>
      <c r="R93" s="193" t="str">
        <f>IF(OR(TInspectieE[[#This Row],[Duurzaamheid bijdrage]]="Voldoet niet aan DZH-lijn",TInspectieE[[#This Row],[Duurzaamheid bijdrage]]="Voldoet niet aan vigerende W&amp;R"),"Voldoet niet","Voldoet")</f>
        <v>Voldoet</v>
      </c>
      <c r="S93" s="206"/>
      <c r="T93" s="206"/>
      <c r="U93" s="206"/>
      <c r="V93" s="206"/>
      <c r="W93" s="206"/>
      <c r="X93" s="419"/>
      <c r="Y93" s="340"/>
      <c r="Z93" s="420"/>
      <c r="AA93" s="421" t="str">
        <f>IF(ISBLANK(TInspectieE[[#This Row],[Aantal]]),"",ROUND(TInspectieE[[#This Row],[Kengetal]]*TInspectieE[[#This Row],[Aantal]],-1))</f>
        <v/>
      </c>
      <c r="AB93" s="422" t="str">
        <f>IF(TInspectieE[[#This Row],[Vak-groep]]="","1",VLOOKUP(C93,$J$2:$K$7,2,FALSE))</f>
        <v>1</v>
      </c>
      <c r="AC93" s="423" t="str">
        <f>CONCATENATE(TInspectieE[[#This Row],[Soort gebrek]],TInspectieE[[#This Row],[Trede]])</f>
        <v>1</v>
      </c>
      <c r="AD93" s="413" t="e">
        <v>#N/A</v>
      </c>
      <c r="AE93" s="413" t="e">
        <v>#N/A</v>
      </c>
      <c r="AF93" s="424">
        <v>0</v>
      </c>
    </row>
    <row r="94" spans="1:32" ht="10.5" x14ac:dyDescent="0.25">
      <c r="A94" s="337" t="str" cm="1">
        <f t="array" ref="A94">IFERROR(INDEX(TInventE[UVID],ROUNDDOWN((ROW(A85)+1)/2,0)),"")</f>
        <v/>
      </c>
      <c r="B94" s="410" t="str">
        <f>IF(TInspectieE[[#This Row],[UVID]]="","",VLOOKUP(TInspectieE[[#This Row],[UVID]],TInventE[],2,FALSE))</f>
        <v/>
      </c>
      <c r="C94" s="365" t="str">
        <f>IF(TInspectieE[[#This Row],[UVID]]="","",VLOOKUP(TInspectieE[[#This Row],[UVID]],TInventE[],11,FALSE))</f>
        <v/>
      </c>
      <c r="D94" s="411" t="str">
        <f>IF(TInspectieE[[#This Row],[UVID]]="","",VLOOKUP(TInspectieE[[#This Row],[UVID]],TInventE[],3,FALSE))</f>
        <v/>
      </c>
      <c r="E94" s="338" t="str">
        <f>IF(TInspectieE[[#This Row],[Omschrijving bouwdeel]]="","",IF(ISEVEN(ROW()),"O","E"))</f>
        <v/>
      </c>
      <c r="F94" s="412"/>
      <c r="G94" s="413" t="str">
        <f>IF(ISBLANK(TInspectieE[[#This Row],[Soort gebrek]]),"",VLOOKUP(TInspectieE[[#This Row],[Soort gebrek]],TSoortGebrek[#Data],3,FALSE))</f>
        <v/>
      </c>
      <c r="H94" s="413" t="str">
        <f>IF(ISBLANK(TInspectieE[[#This Row],[Soort gebrek]]),"",VLOOKUP(TInspectieE[[#This Row],[Soort gebrek]],TSoortGebrek[#Data],2,FALSE))</f>
        <v/>
      </c>
      <c r="I94" s="413" t="str">
        <f>IF(TInspectieE[[#This Row],[Soort gebrek]]=0,"",VLOOKUP(TInspectieE[[#This Row],[Soort gebrek]],TSoortGebrek[],4,FALSE))</f>
        <v/>
      </c>
      <c r="J94" s="425"/>
      <c r="K94" s="415" t="str">
        <f>IF(TInspectieE[[#This Row],[Soort gebrek]]=0,"",VLOOKUP(TInspectieE[[#This Row],[Combi]],TPrio[#Data],2,FALSE))</f>
        <v/>
      </c>
      <c r="L94" s="339"/>
      <c r="M94" s="416" t="str">
        <f>IF(ISBLANK(TInspectieE[[#This Row],[Gebrek nr.]]),"",TInspectieE[[#This Row],[UVID]]&amp;"-"&amp;TInspectieE[[#This Row],[Gebrek nr.]])</f>
        <v/>
      </c>
      <c r="N94" s="417"/>
      <c r="O94" s="418"/>
      <c r="P94" s="206"/>
      <c r="Q94" s="193"/>
      <c r="R94" s="193" t="str">
        <f>IF(OR(TInspectieE[[#This Row],[Duurzaamheid bijdrage]]="Voldoet niet aan DZH-lijn",TInspectieE[[#This Row],[Duurzaamheid bijdrage]]="Voldoet niet aan vigerende W&amp;R"),"Voldoet niet","Voldoet")</f>
        <v>Voldoet</v>
      </c>
      <c r="S94" s="206"/>
      <c r="T94" s="206"/>
      <c r="U94" s="206"/>
      <c r="V94" s="206"/>
      <c r="W94" s="206"/>
      <c r="X94" s="419"/>
      <c r="Y94" s="340"/>
      <c r="Z94" s="420"/>
      <c r="AA94" s="421" t="str">
        <f>IF(ISBLANK(TInspectieE[[#This Row],[Aantal]]),"",ROUND(TInspectieE[[#This Row],[Kengetal]]*TInspectieE[[#This Row],[Aantal]],-1))</f>
        <v/>
      </c>
      <c r="AB94" s="422" t="str">
        <f>IF(TInspectieE[[#This Row],[Vak-groep]]="","1",VLOOKUP(C94,$J$2:$K$7,2,FALSE))</f>
        <v>1</v>
      </c>
      <c r="AC94" s="423" t="str">
        <f>CONCATENATE(TInspectieE[[#This Row],[Soort gebrek]],TInspectieE[[#This Row],[Trede]])</f>
        <v>1</v>
      </c>
      <c r="AD94" s="413" t="e">
        <v>#N/A</v>
      </c>
      <c r="AE94" s="413" t="e">
        <v>#N/A</v>
      </c>
      <c r="AF94" s="424">
        <v>0</v>
      </c>
    </row>
    <row r="95" spans="1:32" ht="10.5" x14ac:dyDescent="0.25">
      <c r="A95" s="337" t="str" cm="1">
        <f t="array" ref="A95">IFERROR(INDEX(TInventE[UVID],ROUNDDOWN((ROW(A86)+1)/2,0)),"")</f>
        <v/>
      </c>
      <c r="B95" s="410" t="str">
        <f>IF(TInspectieE[[#This Row],[UVID]]="","",VLOOKUP(TInspectieE[[#This Row],[UVID]],TInventE[],2,FALSE))</f>
        <v/>
      </c>
      <c r="C95" s="365" t="str">
        <f>IF(TInspectieE[[#This Row],[UVID]]="","",VLOOKUP(TInspectieE[[#This Row],[UVID]],TInventE[],11,FALSE))</f>
        <v/>
      </c>
      <c r="D95" s="411" t="str">
        <f>IF(TInspectieE[[#This Row],[UVID]]="","",VLOOKUP(TInspectieE[[#This Row],[UVID]],TInventE[],3,FALSE))</f>
        <v/>
      </c>
      <c r="E95" s="338" t="str">
        <f>IF(TInspectieE[[#This Row],[Omschrijving bouwdeel]]="","",IF(ISEVEN(ROW()),"O","E"))</f>
        <v/>
      </c>
      <c r="F95" s="412"/>
      <c r="G95" s="413" t="str">
        <f>IF(ISBLANK(TInspectieE[[#This Row],[Soort gebrek]]),"",VLOOKUP(TInspectieE[[#This Row],[Soort gebrek]],TSoortGebrek[#Data],3,FALSE))</f>
        <v/>
      </c>
      <c r="H95" s="413" t="str">
        <f>IF(ISBLANK(TInspectieE[[#This Row],[Soort gebrek]]),"",VLOOKUP(TInspectieE[[#This Row],[Soort gebrek]],TSoortGebrek[#Data],2,FALSE))</f>
        <v/>
      </c>
      <c r="I95" s="413" t="str">
        <f>IF(TInspectieE[[#This Row],[Soort gebrek]]=0,"",VLOOKUP(TInspectieE[[#This Row],[Soort gebrek]],TSoortGebrek[],4,FALSE))</f>
        <v/>
      </c>
      <c r="J95" s="425"/>
      <c r="K95" s="415" t="str">
        <f>IF(TInspectieE[[#This Row],[Soort gebrek]]=0,"",VLOOKUP(TInspectieE[[#This Row],[Combi]],TPrio[#Data],2,FALSE))</f>
        <v/>
      </c>
      <c r="L95" s="339"/>
      <c r="M95" s="416" t="str">
        <f>IF(ISBLANK(TInspectieE[[#This Row],[Gebrek nr.]]),"",TInspectieE[[#This Row],[UVID]]&amp;"-"&amp;TInspectieE[[#This Row],[Gebrek nr.]])</f>
        <v/>
      </c>
      <c r="N95" s="417"/>
      <c r="O95" s="418"/>
      <c r="P95" s="206"/>
      <c r="Q95" s="193"/>
      <c r="R95" s="193" t="str">
        <f>IF(OR(TInspectieE[[#This Row],[Duurzaamheid bijdrage]]="Voldoet niet aan DZH-lijn",TInspectieE[[#This Row],[Duurzaamheid bijdrage]]="Voldoet niet aan vigerende W&amp;R"),"Voldoet niet","Voldoet")</f>
        <v>Voldoet</v>
      </c>
      <c r="S95" s="206"/>
      <c r="T95" s="206"/>
      <c r="U95" s="206"/>
      <c r="V95" s="206"/>
      <c r="W95" s="206"/>
      <c r="X95" s="419"/>
      <c r="Y95" s="340"/>
      <c r="Z95" s="420"/>
      <c r="AA95" s="421" t="str">
        <f>IF(ISBLANK(TInspectieE[[#This Row],[Aantal]]),"",ROUND(TInspectieE[[#This Row],[Kengetal]]*TInspectieE[[#This Row],[Aantal]],-1))</f>
        <v/>
      </c>
      <c r="AB95" s="422" t="str">
        <f>IF(TInspectieE[[#This Row],[Vak-groep]]="","1",VLOOKUP(C95,$J$2:$K$7,2,FALSE))</f>
        <v>1</v>
      </c>
      <c r="AC95" s="423" t="str">
        <f>CONCATENATE(TInspectieE[[#This Row],[Soort gebrek]],TInspectieE[[#This Row],[Trede]])</f>
        <v>1</v>
      </c>
      <c r="AD95" s="413" t="e">
        <v>#N/A</v>
      </c>
      <c r="AE95" s="413" t="e">
        <v>#N/A</v>
      </c>
      <c r="AF95" s="424">
        <v>0</v>
      </c>
    </row>
    <row r="96" spans="1:32" ht="10.5" x14ac:dyDescent="0.25">
      <c r="A96" s="337" t="str" cm="1">
        <f t="array" ref="A96">IFERROR(INDEX(TInventE[UVID],ROUNDDOWN((ROW(A87)+1)/2,0)),"")</f>
        <v/>
      </c>
      <c r="B96" s="410" t="str">
        <f>IF(TInspectieE[[#This Row],[UVID]]="","",VLOOKUP(TInspectieE[[#This Row],[UVID]],TInventE[],2,FALSE))</f>
        <v/>
      </c>
      <c r="C96" s="365" t="str">
        <f>IF(TInspectieE[[#This Row],[UVID]]="","",VLOOKUP(TInspectieE[[#This Row],[UVID]],TInventE[],11,FALSE))</f>
        <v/>
      </c>
      <c r="D96" s="411" t="str">
        <f>IF(TInspectieE[[#This Row],[UVID]]="","",VLOOKUP(TInspectieE[[#This Row],[UVID]],TInventE[],3,FALSE))</f>
        <v/>
      </c>
      <c r="E96" s="338" t="str">
        <f>IF(TInspectieE[[#This Row],[Omschrijving bouwdeel]]="","",IF(ISEVEN(ROW()),"O","E"))</f>
        <v/>
      </c>
      <c r="F96" s="412"/>
      <c r="G96" s="413" t="str">
        <f>IF(ISBLANK(TInspectieE[[#This Row],[Soort gebrek]]),"",VLOOKUP(TInspectieE[[#This Row],[Soort gebrek]],TSoortGebrek[#Data],3,FALSE))</f>
        <v/>
      </c>
      <c r="H96" s="413" t="str">
        <f>IF(ISBLANK(TInspectieE[[#This Row],[Soort gebrek]]),"",VLOOKUP(TInspectieE[[#This Row],[Soort gebrek]],TSoortGebrek[#Data],2,FALSE))</f>
        <v/>
      </c>
      <c r="I96" s="413" t="str">
        <f>IF(TInspectieE[[#This Row],[Soort gebrek]]=0,"",VLOOKUP(TInspectieE[[#This Row],[Soort gebrek]],TSoortGebrek[],4,FALSE))</f>
        <v/>
      </c>
      <c r="J96" s="425"/>
      <c r="K96" s="415" t="str">
        <f>IF(TInspectieE[[#This Row],[Soort gebrek]]=0,"",VLOOKUP(TInspectieE[[#This Row],[Combi]],TPrio[#Data],2,FALSE))</f>
        <v/>
      </c>
      <c r="L96" s="339"/>
      <c r="M96" s="416" t="str">
        <f>IF(ISBLANK(TInspectieE[[#This Row],[Gebrek nr.]]),"",TInspectieE[[#This Row],[UVID]]&amp;"-"&amp;TInspectieE[[#This Row],[Gebrek nr.]])</f>
        <v/>
      </c>
      <c r="N96" s="417"/>
      <c r="O96" s="418"/>
      <c r="P96" s="206"/>
      <c r="Q96" s="193"/>
      <c r="R96" s="193" t="str">
        <f>IF(OR(TInspectieE[[#This Row],[Duurzaamheid bijdrage]]="Voldoet niet aan DZH-lijn",TInspectieE[[#This Row],[Duurzaamheid bijdrage]]="Voldoet niet aan vigerende W&amp;R"),"Voldoet niet","Voldoet")</f>
        <v>Voldoet</v>
      </c>
      <c r="S96" s="206"/>
      <c r="T96" s="206"/>
      <c r="U96" s="206"/>
      <c r="V96" s="206"/>
      <c r="W96" s="206"/>
      <c r="X96" s="419"/>
      <c r="Y96" s="340"/>
      <c r="Z96" s="420"/>
      <c r="AA96" s="421" t="str">
        <f>IF(ISBLANK(TInspectieE[[#This Row],[Aantal]]),"",ROUND(TInspectieE[[#This Row],[Kengetal]]*TInspectieE[[#This Row],[Aantal]],-1))</f>
        <v/>
      </c>
      <c r="AB96" s="422" t="str">
        <f>IF(TInspectieE[[#This Row],[Vak-groep]]="","1",VLOOKUP(C96,$J$2:$K$7,2,FALSE))</f>
        <v>1</v>
      </c>
      <c r="AC96" s="423" t="str">
        <f>CONCATENATE(TInspectieE[[#This Row],[Soort gebrek]],TInspectieE[[#This Row],[Trede]])</f>
        <v>1</v>
      </c>
      <c r="AD96" s="413" t="e">
        <v>#N/A</v>
      </c>
      <c r="AE96" s="413" t="e">
        <v>#N/A</v>
      </c>
      <c r="AF96" s="424">
        <v>0</v>
      </c>
    </row>
    <row r="97" spans="1:32" ht="10.5" x14ac:dyDescent="0.25">
      <c r="A97" s="337" t="str" cm="1">
        <f t="array" ref="A97">IFERROR(INDEX(TInventE[UVID],ROUNDDOWN((ROW(A88)+1)/2,0)),"")</f>
        <v/>
      </c>
      <c r="B97" s="410" t="str">
        <f>IF(TInspectieE[[#This Row],[UVID]]="","",VLOOKUP(TInspectieE[[#This Row],[UVID]],TInventE[],2,FALSE))</f>
        <v/>
      </c>
      <c r="C97" s="365" t="str">
        <f>IF(TInspectieE[[#This Row],[UVID]]="","",VLOOKUP(TInspectieE[[#This Row],[UVID]],TInventE[],11,FALSE))</f>
        <v/>
      </c>
      <c r="D97" s="411" t="str">
        <f>IF(TInspectieE[[#This Row],[UVID]]="","",VLOOKUP(TInspectieE[[#This Row],[UVID]],TInventE[],3,FALSE))</f>
        <v/>
      </c>
      <c r="E97" s="338" t="str">
        <f>IF(TInspectieE[[#This Row],[Omschrijving bouwdeel]]="","",IF(ISEVEN(ROW()),"O","E"))</f>
        <v/>
      </c>
      <c r="F97" s="412"/>
      <c r="G97" s="413" t="str">
        <f>IF(ISBLANK(TInspectieE[[#This Row],[Soort gebrek]]),"",VLOOKUP(TInspectieE[[#This Row],[Soort gebrek]],TSoortGebrek[#Data],3,FALSE))</f>
        <v/>
      </c>
      <c r="H97" s="413" t="str">
        <f>IF(ISBLANK(TInspectieE[[#This Row],[Soort gebrek]]),"",VLOOKUP(TInspectieE[[#This Row],[Soort gebrek]],TSoortGebrek[#Data],2,FALSE))</f>
        <v/>
      </c>
      <c r="I97" s="413" t="str">
        <f>IF(TInspectieE[[#This Row],[Soort gebrek]]=0,"",VLOOKUP(TInspectieE[[#This Row],[Soort gebrek]],TSoortGebrek[],4,FALSE))</f>
        <v/>
      </c>
      <c r="J97" s="425"/>
      <c r="K97" s="415" t="str">
        <f>IF(TInspectieE[[#This Row],[Soort gebrek]]=0,"",VLOOKUP(TInspectieE[[#This Row],[Combi]],TPrio[#Data],2,FALSE))</f>
        <v/>
      </c>
      <c r="L97" s="339"/>
      <c r="M97" s="416" t="str">
        <f>IF(ISBLANK(TInspectieE[[#This Row],[Gebrek nr.]]),"",TInspectieE[[#This Row],[UVID]]&amp;"-"&amp;TInspectieE[[#This Row],[Gebrek nr.]])</f>
        <v/>
      </c>
      <c r="N97" s="417"/>
      <c r="O97" s="418"/>
      <c r="P97" s="206"/>
      <c r="Q97" s="193"/>
      <c r="R97" s="193" t="str">
        <f>IF(OR(TInspectieE[[#This Row],[Duurzaamheid bijdrage]]="Voldoet niet aan DZH-lijn",TInspectieE[[#This Row],[Duurzaamheid bijdrage]]="Voldoet niet aan vigerende W&amp;R"),"Voldoet niet","Voldoet")</f>
        <v>Voldoet</v>
      </c>
      <c r="S97" s="206"/>
      <c r="T97" s="206"/>
      <c r="U97" s="206"/>
      <c r="V97" s="206"/>
      <c r="W97" s="206"/>
      <c r="X97" s="419"/>
      <c r="Y97" s="340"/>
      <c r="Z97" s="420"/>
      <c r="AA97" s="421" t="str">
        <f>IF(ISBLANK(TInspectieE[[#This Row],[Aantal]]),"",ROUND(TInspectieE[[#This Row],[Kengetal]]*TInspectieE[[#This Row],[Aantal]],-1))</f>
        <v/>
      </c>
      <c r="AB97" s="422" t="str">
        <f>IF(TInspectieE[[#This Row],[Vak-groep]]="","1",VLOOKUP(C97,$J$2:$K$7,2,FALSE))</f>
        <v>1</v>
      </c>
      <c r="AC97" s="423" t="str">
        <f>CONCATENATE(TInspectieE[[#This Row],[Soort gebrek]],TInspectieE[[#This Row],[Trede]])</f>
        <v>1</v>
      </c>
      <c r="AD97" s="413" t="e">
        <v>#N/A</v>
      </c>
      <c r="AE97" s="413" t="e">
        <v>#N/A</v>
      </c>
      <c r="AF97" s="424">
        <v>0</v>
      </c>
    </row>
    <row r="98" spans="1:32" ht="10.5" x14ac:dyDescent="0.25">
      <c r="A98" s="337" t="str" cm="1">
        <f t="array" ref="A98">IFERROR(INDEX(TInventE[UVID],ROUNDDOWN((ROW(A89)+1)/2,0)),"")</f>
        <v/>
      </c>
      <c r="B98" s="410" t="str">
        <f>IF(TInspectieE[[#This Row],[UVID]]="","",VLOOKUP(TInspectieE[[#This Row],[UVID]],TInventE[],2,FALSE))</f>
        <v/>
      </c>
      <c r="C98" s="365" t="str">
        <f>IF(TInspectieE[[#This Row],[UVID]]="","",VLOOKUP(TInspectieE[[#This Row],[UVID]],TInventE[],11,FALSE))</f>
        <v/>
      </c>
      <c r="D98" s="411" t="str">
        <f>IF(TInspectieE[[#This Row],[UVID]]="","",VLOOKUP(TInspectieE[[#This Row],[UVID]],TInventE[],3,FALSE))</f>
        <v/>
      </c>
      <c r="E98" s="338" t="str">
        <f>IF(TInspectieE[[#This Row],[Omschrijving bouwdeel]]="","",IF(ISEVEN(ROW()),"O","E"))</f>
        <v/>
      </c>
      <c r="F98" s="412"/>
      <c r="G98" s="413" t="str">
        <f>IF(ISBLANK(TInspectieE[[#This Row],[Soort gebrek]]),"",VLOOKUP(TInspectieE[[#This Row],[Soort gebrek]],TSoortGebrek[#Data],3,FALSE))</f>
        <v/>
      </c>
      <c r="H98" s="413" t="str">
        <f>IF(ISBLANK(TInspectieE[[#This Row],[Soort gebrek]]),"",VLOOKUP(TInspectieE[[#This Row],[Soort gebrek]],TSoortGebrek[#Data],2,FALSE))</f>
        <v/>
      </c>
      <c r="I98" s="413" t="str">
        <f>IF(TInspectieE[[#This Row],[Soort gebrek]]=0,"",VLOOKUP(TInspectieE[[#This Row],[Soort gebrek]],TSoortGebrek[],4,FALSE))</f>
        <v/>
      </c>
      <c r="J98" s="425"/>
      <c r="K98" s="415" t="str">
        <f>IF(TInspectieE[[#This Row],[Soort gebrek]]=0,"",VLOOKUP(TInspectieE[[#This Row],[Combi]],TPrio[#Data],2,FALSE))</f>
        <v/>
      </c>
      <c r="L98" s="339"/>
      <c r="M98" s="416" t="str">
        <f>IF(ISBLANK(TInspectieE[[#This Row],[Gebrek nr.]]),"",TInspectieE[[#This Row],[UVID]]&amp;"-"&amp;TInspectieE[[#This Row],[Gebrek nr.]])</f>
        <v/>
      </c>
      <c r="N98" s="417"/>
      <c r="O98" s="418"/>
      <c r="P98" s="206"/>
      <c r="Q98" s="193"/>
      <c r="R98" s="193" t="str">
        <f>IF(OR(TInspectieE[[#This Row],[Duurzaamheid bijdrage]]="Voldoet niet aan DZH-lijn",TInspectieE[[#This Row],[Duurzaamheid bijdrage]]="Voldoet niet aan vigerende W&amp;R"),"Voldoet niet","Voldoet")</f>
        <v>Voldoet</v>
      </c>
      <c r="S98" s="206"/>
      <c r="T98" s="206"/>
      <c r="U98" s="206"/>
      <c r="V98" s="206"/>
      <c r="W98" s="206"/>
      <c r="X98" s="419"/>
      <c r="Y98" s="340"/>
      <c r="Z98" s="420"/>
      <c r="AA98" s="421" t="str">
        <f>IF(ISBLANK(TInspectieE[[#This Row],[Aantal]]),"",ROUND(TInspectieE[[#This Row],[Kengetal]]*TInspectieE[[#This Row],[Aantal]],-1))</f>
        <v/>
      </c>
      <c r="AB98" s="422" t="str">
        <f>IF(TInspectieE[[#This Row],[Vak-groep]]="","1",VLOOKUP(C98,$J$2:$K$7,2,FALSE))</f>
        <v>1</v>
      </c>
      <c r="AC98" s="423" t="str">
        <f>CONCATENATE(TInspectieE[[#This Row],[Soort gebrek]],TInspectieE[[#This Row],[Trede]])</f>
        <v>1</v>
      </c>
      <c r="AD98" s="413" t="e">
        <v>#N/A</v>
      </c>
      <c r="AE98" s="413" t="e">
        <v>#N/A</v>
      </c>
      <c r="AF98" s="424">
        <v>0</v>
      </c>
    </row>
    <row r="99" spans="1:32" ht="10.5" x14ac:dyDescent="0.25">
      <c r="A99" s="337" t="str" cm="1">
        <f t="array" ref="A99">IFERROR(INDEX(TInventE[UVID],ROUNDDOWN((ROW(A90)+1)/2,0)),"")</f>
        <v/>
      </c>
      <c r="B99" s="410" t="str">
        <f>IF(TInspectieE[[#This Row],[UVID]]="","",VLOOKUP(TInspectieE[[#This Row],[UVID]],TInventE[],2,FALSE))</f>
        <v/>
      </c>
      <c r="C99" s="365" t="str">
        <f>IF(TInspectieE[[#This Row],[UVID]]="","",VLOOKUP(TInspectieE[[#This Row],[UVID]],TInventE[],11,FALSE))</f>
        <v/>
      </c>
      <c r="D99" s="411" t="str">
        <f>IF(TInspectieE[[#This Row],[UVID]]="","",VLOOKUP(TInspectieE[[#This Row],[UVID]],TInventE[],3,FALSE))</f>
        <v/>
      </c>
      <c r="E99" s="338" t="str">
        <f>IF(TInspectieE[[#This Row],[Omschrijving bouwdeel]]="","",IF(ISEVEN(ROW()),"O","E"))</f>
        <v/>
      </c>
      <c r="F99" s="412"/>
      <c r="G99" s="413" t="str">
        <f>IF(ISBLANK(TInspectieE[[#This Row],[Soort gebrek]]),"",VLOOKUP(TInspectieE[[#This Row],[Soort gebrek]],TSoortGebrek[#Data],3,FALSE))</f>
        <v/>
      </c>
      <c r="H99" s="413" t="str">
        <f>IF(ISBLANK(TInspectieE[[#This Row],[Soort gebrek]]),"",VLOOKUP(TInspectieE[[#This Row],[Soort gebrek]],TSoortGebrek[#Data],2,FALSE))</f>
        <v/>
      </c>
      <c r="I99" s="413" t="str">
        <f>IF(TInspectieE[[#This Row],[Soort gebrek]]=0,"",VLOOKUP(TInspectieE[[#This Row],[Soort gebrek]],TSoortGebrek[],4,FALSE))</f>
        <v/>
      </c>
      <c r="J99" s="425"/>
      <c r="K99" s="415" t="str">
        <f>IF(TInspectieE[[#This Row],[Soort gebrek]]=0,"",VLOOKUP(TInspectieE[[#This Row],[Combi]],TPrio[#Data],2,FALSE))</f>
        <v/>
      </c>
      <c r="L99" s="339"/>
      <c r="M99" s="416" t="str">
        <f>IF(ISBLANK(TInspectieE[[#This Row],[Gebrek nr.]]),"",TInspectieE[[#This Row],[UVID]]&amp;"-"&amp;TInspectieE[[#This Row],[Gebrek nr.]])</f>
        <v/>
      </c>
      <c r="N99" s="417"/>
      <c r="O99" s="418"/>
      <c r="P99" s="206"/>
      <c r="Q99" s="193"/>
      <c r="R99" s="193" t="str">
        <f>IF(OR(TInspectieE[[#This Row],[Duurzaamheid bijdrage]]="Voldoet niet aan DZH-lijn",TInspectieE[[#This Row],[Duurzaamheid bijdrage]]="Voldoet niet aan vigerende W&amp;R"),"Voldoet niet","Voldoet")</f>
        <v>Voldoet</v>
      </c>
      <c r="S99" s="206"/>
      <c r="T99" s="206"/>
      <c r="U99" s="206"/>
      <c r="V99" s="206"/>
      <c r="W99" s="206"/>
      <c r="X99" s="419"/>
      <c r="Y99" s="340"/>
      <c r="Z99" s="420"/>
      <c r="AA99" s="421" t="str">
        <f>IF(ISBLANK(TInspectieE[[#This Row],[Aantal]]),"",ROUND(TInspectieE[[#This Row],[Kengetal]]*TInspectieE[[#This Row],[Aantal]],-1))</f>
        <v/>
      </c>
      <c r="AB99" s="422" t="str">
        <f>IF(TInspectieE[[#This Row],[Vak-groep]]="","1",VLOOKUP(C99,$J$2:$K$7,2,FALSE))</f>
        <v>1</v>
      </c>
      <c r="AC99" s="423" t="str">
        <f>CONCATENATE(TInspectieE[[#This Row],[Soort gebrek]],TInspectieE[[#This Row],[Trede]])</f>
        <v>1</v>
      </c>
      <c r="AD99" s="413" t="e">
        <v>#N/A</v>
      </c>
      <c r="AE99" s="413" t="e">
        <v>#N/A</v>
      </c>
      <c r="AF99" s="424">
        <v>0</v>
      </c>
    </row>
    <row r="100" spans="1:32" ht="10.5" x14ac:dyDescent="0.25">
      <c r="A100" s="337" t="str" cm="1">
        <f t="array" ref="A100">IFERROR(INDEX(TInventE[UVID],ROUNDDOWN((ROW(A91)+1)/2,0)),"")</f>
        <v/>
      </c>
      <c r="B100" s="410" t="str">
        <f>IF(TInspectieE[[#This Row],[UVID]]="","",VLOOKUP(TInspectieE[[#This Row],[UVID]],TInventE[],2,FALSE))</f>
        <v/>
      </c>
      <c r="C100" s="365" t="str">
        <f>IF(TInspectieE[[#This Row],[UVID]]="","",VLOOKUP(TInspectieE[[#This Row],[UVID]],TInventE[],11,FALSE))</f>
        <v/>
      </c>
      <c r="D100" s="411" t="str">
        <f>IF(TInspectieE[[#This Row],[UVID]]="","",VLOOKUP(TInspectieE[[#This Row],[UVID]],TInventE[],3,FALSE))</f>
        <v/>
      </c>
      <c r="E100" s="338" t="str">
        <f>IF(TInspectieE[[#This Row],[Omschrijving bouwdeel]]="","",IF(ISEVEN(ROW()),"O","E"))</f>
        <v/>
      </c>
      <c r="F100" s="412"/>
      <c r="G100" s="413" t="str">
        <f>IF(ISBLANK(TInspectieE[[#This Row],[Soort gebrek]]),"",VLOOKUP(TInspectieE[[#This Row],[Soort gebrek]],TSoortGebrek[#Data],3,FALSE))</f>
        <v/>
      </c>
      <c r="H100" s="413" t="str">
        <f>IF(ISBLANK(TInspectieE[[#This Row],[Soort gebrek]]),"",VLOOKUP(TInspectieE[[#This Row],[Soort gebrek]],TSoortGebrek[#Data],2,FALSE))</f>
        <v/>
      </c>
      <c r="I100" s="413" t="str">
        <f>IF(TInspectieE[[#This Row],[Soort gebrek]]=0,"",VLOOKUP(TInspectieE[[#This Row],[Soort gebrek]],TSoortGebrek[],4,FALSE))</f>
        <v/>
      </c>
      <c r="J100" s="425"/>
      <c r="K100" s="415" t="str">
        <f>IF(TInspectieE[[#This Row],[Soort gebrek]]=0,"",VLOOKUP(TInspectieE[[#This Row],[Combi]],TPrio[#Data],2,FALSE))</f>
        <v/>
      </c>
      <c r="L100" s="339"/>
      <c r="M100" s="416" t="str">
        <f>IF(ISBLANK(TInspectieE[[#This Row],[Gebrek nr.]]),"",TInspectieE[[#This Row],[UVID]]&amp;"-"&amp;TInspectieE[[#This Row],[Gebrek nr.]])</f>
        <v/>
      </c>
      <c r="N100" s="417"/>
      <c r="O100" s="418"/>
      <c r="P100" s="206"/>
      <c r="Q100" s="193"/>
      <c r="R100" s="193" t="str">
        <f>IF(OR(TInspectieE[[#This Row],[Duurzaamheid bijdrage]]="Voldoet niet aan DZH-lijn",TInspectieE[[#This Row],[Duurzaamheid bijdrage]]="Voldoet niet aan vigerende W&amp;R"),"Voldoet niet","Voldoet")</f>
        <v>Voldoet</v>
      </c>
      <c r="S100" s="206"/>
      <c r="T100" s="206"/>
      <c r="U100" s="206"/>
      <c r="V100" s="206"/>
      <c r="W100" s="206"/>
      <c r="X100" s="419"/>
      <c r="Y100" s="340"/>
      <c r="Z100" s="420"/>
      <c r="AA100" s="421" t="str">
        <f>IF(ISBLANK(TInspectieE[[#This Row],[Aantal]]),"",ROUND(TInspectieE[[#This Row],[Kengetal]]*TInspectieE[[#This Row],[Aantal]],-1))</f>
        <v/>
      </c>
      <c r="AB100" s="422" t="str">
        <f>IF(TInspectieE[[#This Row],[Vak-groep]]="","1",VLOOKUP(C100,$J$2:$K$7,2,FALSE))</f>
        <v>1</v>
      </c>
      <c r="AC100" s="423" t="str">
        <f>CONCATENATE(TInspectieE[[#This Row],[Soort gebrek]],TInspectieE[[#This Row],[Trede]])</f>
        <v>1</v>
      </c>
      <c r="AD100" s="413" t="e">
        <v>#N/A</v>
      </c>
      <c r="AE100" s="413" t="e">
        <v>#N/A</v>
      </c>
      <c r="AF100" s="424">
        <v>0</v>
      </c>
    </row>
    <row r="101" spans="1:32" ht="10.5" x14ac:dyDescent="0.25">
      <c r="A101" s="337" t="str" cm="1">
        <f t="array" ref="A101">IFERROR(INDEX(TInventE[UVID],ROUNDDOWN((ROW(A92)+1)/2,0)),"")</f>
        <v/>
      </c>
      <c r="B101" s="410" t="str">
        <f>IF(TInspectieE[[#This Row],[UVID]]="","",VLOOKUP(TInspectieE[[#This Row],[UVID]],TInventE[],2,FALSE))</f>
        <v/>
      </c>
      <c r="C101" s="365" t="str">
        <f>IF(TInspectieE[[#This Row],[UVID]]="","",VLOOKUP(TInspectieE[[#This Row],[UVID]],TInventE[],11,FALSE))</f>
        <v/>
      </c>
      <c r="D101" s="411" t="str">
        <f>IF(TInspectieE[[#This Row],[UVID]]="","",VLOOKUP(TInspectieE[[#This Row],[UVID]],TInventE[],3,FALSE))</f>
        <v/>
      </c>
      <c r="E101" s="338" t="str">
        <f>IF(TInspectieE[[#This Row],[Omschrijving bouwdeel]]="","",IF(ISEVEN(ROW()),"O","E"))</f>
        <v/>
      </c>
      <c r="F101" s="412"/>
      <c r="G101" s="413" t="str">
        <f>IF(ISBLANK(TInspectieE[[#This Row],[Soort gebrek]]),"",VLOOKUP(TInspectieE[[#This Row],[Soort gebrek]],TSoortGebrek[#Data],3,FALSE))</f>
        <v/>
      </c>
      <c r="H101" s="413" t="str">
        <f>IF(ISBLANK(TInspectieE[[#This Row],[Soort gebrek]]),"",VLOOKUP(TInspectieE[[#This Row],[Soort gebrek]],TSoortGebrek[#Data],2,FALSE))</f>
        <v/>
      </c>
      <c r="I101" s="413" t="str">
        <f>IF(TInspectieE[[#This Row],[Soort gebrek]]=0,"",VLOOKUP(TInspectieE[[#This Row],[Soort gebrek]],TSoortGebrek[],4,FALSE))</f>
        <v/>
      </c>
      <c r="J101" s="425"/>
      <c r="K101" s="415" t="str">
        <f>IF(TInspectieE[[#This Row],[Soort gebrek]]=0,"",VLOOKUP(TInspectieE[[#This Row],[Combi]],TPrio[#Data],2,FALSE))</f>
        <v/>
      </c>
      <c r="L101" s="339"/>
      <c r="M101" s="416" t="str">
        <f>IF(ISBLANK(TInspectieE[[#This Row],[Gebrek nr.]]),"",TInspectieE[[#This Row],[UVID]]&amp;"-"&amp;TInspectieE[[#This Row],[Gebrek nr.]])</f>
        <v/>
      </c>
      <c r="N101" s="417"/>
      <c r="O101" s="418"/>
      <c r="P101" s="206"/>
      <c r="Q101" s="193"/>
      <c r="R101" s="193" t="str">
        <f>IF(OR(TInspectieE[[#This Row],[Duurzaamheid bijdrage]]="Voldoet niet aan DZH-lijn",TInspectieE[[#This Row],[Duurzaamheid bijdrage]]="Voldoet niet aan vigerende W&amp;R"),"Voldoet niet","Voldoet")</f>
        <v>Voldoet</v>
      </c>
      <c r="S101" s="206"/>
      <c r="T101" s="206"/>
      <c r="U101" s="206"/>
      <c r="V101" s="206"/>
      <c r="W101" s="206"/>
      <c r="X101" s="419"/>
      <c r="Y101" s="340"/>
      <c r="Z101" s="420"/>
      <c r="AA101" s="421" t="str">
        <f>IF(ISBLANK(TInspectieE[[#This Row],[Aantal]]),"",ROUND(TInspectieE[[#This Row],[Kengetal]]*TInspectieE[[#This Row],[Aantal]],-1))</f>
        <v/>
      </c>
      <c r="AB101" s="422" t="str">
        <f>IF(TInspectieE[[#This Row],[Vak-groep]]="","1",VLOOKUP(C101,$J$2:$K$7,2,FALSE))</f>
        <v>1</v>
      </c>
      <c r="AC101" s="423" t="str">
        <f>CONCATENATE(TInspectieE[[#This Row],[Soort gebrek]],TInspectieE[[#This Row],[Trede]])</f>
        <v>1</v>
      </c>
      <c r="AD101" s="413" t="e">
        <v>#N/A</v>
      </c>
      <c r="AE101" s="413" t="e">
        <v>#N/A</v>
      </c>
      <c r="AF101" s="424">
        <v>0</v>
      </c>
    </row>
    <row r="102" spans="1:32" ht="10.5" x14ac:dyDescent="0.25">
      <c r="A102" s="337" t="str" cm="1">
        <f t="array" ref="A102">IFERROR(INDEX(TInventE[UVID],ROUNDDOWN((ROW(A93)+1)/2,0)),"")</f>
        <v/>
      </c>
      <c r="B102" s="410" t="str">
        <f>IF(TInspectieE[[#This Row],[UVID]]="","",VLOOKUP(TInspectieE[[#This Row],[UVID]],TInventE[],2,FALSE))</f>
        <v/>
      </c>
      <c r="C102" s="365" t="str">
        <f>IF(TInspectieE[[#This Row],[UVID]]="","",VLOOKUP(TInspectieE[[#This Row],[UVID]],TInventE[],11,FALSE))</f>
        <v/>
      </c>
      <c r="D102" s="411" t="str">
        <f>IF(TInspectieE[[#This Row],[UVID]]="","",VLOOKUP(TInspectieE[[#This Row],[UVID]],TInventE[],3,FALSE))</f>
        <v/>
      </c>
      <c r="E102" s="338" t="str">
        <f>IF(TInspectieE[[#This Row],[Omschrijving bouwdeel]]="","",IF(ISEVEN(ROW()),"O","E"))</f>
        <v/>
      </c>
      <c r="F102" s="412"/>
      <c r="G102" s="413" t="str">
        <f>IF(ISBLANK(TInspectieE[[#This Row],[Soort gebrek]]),"",VLOOKUP(TInspectieE[[#This Row],[Soort gebrek]],TSoortGebrek[#Data],3,FALSE))</f>
        <v/>
      </c>
      <c r="H102" s="413" t="str">
        <f>IF(ISBLANK(TInspectieE[[#This Row],[Soort gebrek]]),"",VLOOKUP(TInspectieE[[#This Row],[Soort gebrek]],TSoortGebrek[#Data],2,FALSE))</f>
        <v/>
      </c>
      <c r="I102" s="413" t="str">
        <f>IF(TInspectieE[[#This Row],[Soort gebrek]]=0,"",VLOOKUP(TInspectieE[[#This Row],[Soort gebrek]],TSoortGebrek[],4,FALSE))</f>
        <v/>
      </c>
      <c r="J102" s="425"/>
      <c r="K102" s="415" t="str">
        <f>IF(TInspectieE[[#This Row],[Soort gebrek]]=0,"",VLOOKUP(TInspectieE[[#This Row],[Combi]],TPrio[#Data],2,FALSE))</f>
        <v/>
      </c>
      <c r="L102" s="339"/>
      <c r="M102" s="416" t="str">
        <f>IF(ISBLANK(TInspectieE[[#This Row],[Gebrek nr.]]),"",TInspectieE[[#This Row],[UVID]]&amp;"-"&amp;TInspectieE[[#This Row],[Gebrek nr.]])</f>
        <v/>
      </c>
      <c r="N102" s="417"/>
      <c r="O102" s="418"/>
      <c r="P102" s="206"/>
      <c r="Q102" s="193"/>
      <c r="R102" s="193" t="str">
        <f>IF(OR(TInspectieE[[#This Row],[Duurzaamheid bijdrage]]="Voldoet niet aan DZH-lijn",TInspectieE[[#This Row],[Duurzaamheid bijdrage]]="Voldoet niet aan vigerende W&amp;R"),"Voldoet niet","Voldoet")</f>
        <v>Voldoet</v>
      </c>
      <c r="S102" s="206"/>
      <c r="T102" s="206"/>
      <c r="U102" s="206"/>
      <c r="V102" s="206"/>
      <c r="W102" s="206"/>
      <c r="X102" s="419"/>
      <c r="Y102" s="340"/>
      <c r="Z102" s="420"/>
      <c r="AA102" s="421" t="str">
        <f>IF(ISBLANK(TInspectieE[[#This Row],[Aantal]]),"",ROUND(TInspectieE[[#This Row],[Kengetal]]*TInspectieE[[#This Row],[Aantal]],-1))</f>
        <v/>
      </c>
      <c r="AB102" s="422" t="str">
        <f>IF(TInspectieE[[#This Row],[Vak-groep]]="","1",VLOOKUP(C102,$J$2:$K$7,2,FALSE))</f>
        <v>1</v>
      </c>
      <c r="AC102" s="423" t="str">
        <f>CONCATENATE(TInspectieE[[#This Row],[Soort gebrek]],TInspectieE[[#This Row],[Trede]])</f>
        <v>1</v>
      </c>
      <c r="AD102" s="413" t="e">
        <v>#N/A</v>
      </c>
      <c r="AE102" s="413" t="e">
        <v>#N/A</v>
      </c>
      <c r="AF102" s="424">
        <v>0</v>
      </c>
    </row>
    <row r="103" spans="1:32" ht="10.5" x14ac:dyDescent="0.25">
      <c r="A103" s="337" t="str" cm="1">
        <f t="array" ref="A103">IFERROR(INDEX(TInventE[UVID],ROUNDDOWN((ROW(A94)+1)/2,0)),"")</f>
        <v/>
      </c>
      <c r="B103" s="410" t="str">
        <f>IF(TInspectieE[[#This Row],[UVID]]="","",VLOOKUP(TInspectieE[[#This Row],[UVID]],TInventE[],2,FALSE))</f>
        <v/>
      </c>
      <c r="C103" s="365" t="str">
        <f>IF(TInspectieE[[#This Row],[UVID]]="","",VLOOKUP(TInspectieE[[#This Row],[UVID]],TInventE[],11,FALSE))</f>
        <v/>
      </c>
      <c r="D103" s="411" t="str">
        <f>IF(TInspectieE[[#This Row],[UVID]]="","",VLOOKUP(TInspectieE[[#This Row],[UVID]],TInventE[],3,FALSE))</f>
        <v/>
      </c>
      <c r="E103" s="338" t="str">
        <f>IF(TInspectieE[[#This Row],[Omschrijving bouwdeel]]="","",IF(ISEVEN(ROW()),"O","E"))</f>
        <v/>
      </c>
      <c r="F103" s="412"/>
      <c r="G103" s="413" t="str">
        <f>IF(ISBLANK(TInspectieE[[#This Row],[Soort gebrek]]),"",VLOOKUP(TInspectieE[[#This Row],[Soort gebrek]],TSoortGebrek[#Data],3,FALSE))</f>
        <v/>
      </c>
      <c r="H103" s="413" t="str">
        <f>IF(ISBLANK(TInspectieE[[#This Row],[Soort gebrek]]),"",VLOOKUP(TInspectieE[[#This Row],[Soort gebrek]],TSoortGebrek[#Data],2,FALSE))</f>
        <v/>
      </c>
      <c r="I103" s="413" t="str">
        <f>IF(TInspectieE[[#This Row],[Soort gebrek]]=0,"",VLOOKUP(TInspectieE[[#This Row],[Soort gebrek]],TSoortGebrek[],4,FALSE))</f>
        <v/>
      </c>
      <c r="J103" s="425"/>
      <c r="K103" s="415" t="str">
        <f>IF(TInspectieE[[#This Row],[Soort gebrek]]=0,"",VLOOKUP(TInspectieE[[#This Row],[Combi]],TPrio[#Data],2,FALSE))</f>
        <v/>
      </c>
      <c r="L103" s="339"/>
      <c r="M103" s="416" t="str">
        <f>IF(ISBLANK(TInspectieE[[#This Row],[Gebrek nr.]]),"",TInspectieE[[#This Row],[UVID]]&amp;"-"&amp;TInspectieE[[#This Row],[Gebrek nr.]])</f>
        <v/>
      </c>
      <c r="N103" s="417"/>
      <c r="O103" s="418"/>
      <c r="P103" s="206"/>
      <c r="Q103" s="193"/>
      <c r="R103" s="193" t="str">
        <f>IF(OR(TInspectieE[[#This Row],[Duurzaamheid bijdrage]]="Voldoet niet aan DZH-lijn",TInspectieE[[#This Row],[Duurzaamheid bijdrage]]="Voldoet niet aan vigerende W&amp;R"),"Voldoet niet","Voldoet")</f>
        <v>Voldoet</v>
      </c>
      <c r="S103" s="206"/>
      <c r="T103" s="206"/>
      <c r="U103" s="206"/>
      <c r="V103" s="206"/>
      <c r="W103" s="206"/>
      <c r="X103" s="419"/>
      <c r="Y103" s="340"/>
      <c r="Z103" s="420"/>
      <c r="AA103" s="421" t="str">
        <f>IF(ISBLANK(TInspectieE[[#This Row],[Aantal]]),"",ROUND(TInspectieE[[#This Row],[Kengetal]]*TInspectieE[[#This Row],[Aantal]],-1))</f>
        <v/>
      </c>
      <c r="AB103" s="422" t="str">
        <f>IF(TInspectieE[[#This Row],[Vak-groep]]="","1",VLOOKUP(C103,$J$2:$K$7,2,FALSE))</f>
        <v>1</v>
      </c>
      <c r="AC103" s="423" t="str">
        <f>CONCATENATE(TInspectieE[[#This Row],[Soort gebrek]],TInspectieE[[#This Row],[Trede]])</f>
        <v>1</v>
      </c>
      <c r="AD103" s="413" t="e">
        <v>#N/A</v>
      </c>
      <c r="AE103" s="413" t="e">
        <v>#N/A</v>
      </c>
      <c r="AF103" s="424">
        <v>0</v>
      </c>
    </row>
    <row r="104" spans="1:32" ht="10.5" x14ac:dyDescent="0.25">
      <c r="A104" s="337" t="str" cm="1">
        <f t="array" ref="A104">IFERROR(INDEX(TInventE[UVID],ROUNDDOWN((ROW(A95)+1)/2,0)),"")</f>
        <v/>
      </c>
      <c r="B104" s="410" t="str">
        <f>IF(TInspectieE[[#This Row],[UVID]]="","",VLOOKUP(TInspectieE[[#This Row],[UVID]],TInventE[],2,FALSE))</f>
        <v/>
      </c>
      <c r="C104" s="365" t="str">
        <f>IF(TInspectieE[[#This Row],[UVID]]="","",VLOOKUP(TInspectieE[[#This Row],[UVID]],TInventE[],11,FALSE))</f>
        <v/>
      </c>
      <c r="D104" s="411" t="str">
        <f>IF(TInspectieE[[#This Row],[UVID]]="","",VLOOKUP(TInspectieE[[#This Row],[UVID]],TInventE[],3,FALSE))</f>
        <v/>
      </c>
      <c r="E104" s="338" t="str">
        <f>IF(TInspectieE[[#This Row],[Omschrijving bouwdeel]]="","",IF(ISEVEN(ROW()),"O","E"))</f>
        <v/>
      </c>
      <c r="F104" s="412"/>
      <c r="G104" s="413" t="str">
        <f>IF(ISBLANK(TInspectieE[[#This Row],[Soort gebrek]]),"",VLOOKUP(TInspectieE[[#This Row],[Soort gebrek]],TSoortGebrek[#Data],3,FALSE))</f>
        <v/>
      </c>
      <c r="H104" s="413" t="str">
        <f>IF(ISBLANK(TInspectieE[[#This Row],[Soort gebrek]]),"",VLOOKUP(TInspectieE[[#This Row],[Soort gebrek]],TSoortGebrek[#Data],2,FALSE))</f>
        <v/>
      </c>
      <c r="I104" s="413" t="str">
        <f>IF(TInspectieE[[#This Row],[Soort gebrek]]=0,"",VLOOKUP(TInspectieE[[#This Row],[Soort gebrek]],TSoortGebrek[],4,FALSE))</f>
        <v/>
      </c>
      <c r="J104" s="425"/>
      <c r="K104" s="415" t="str">
        <f>IF(TInspectieE[[#This Row],[Soort gebrek]]=0,"",VLOOKUP(TInspectieE[[#This Row],[Combi]],TPrio[#Data],2,FALSE))</f>
        <v/>
      </c>
      <c r="L104" s="339"/>
      <c r="M104" s="416" t="str">
        <f>IF(ISBLANK(TInspectieE[[#This Row],[Gebrek nr.]]),"",TInspectieE[[#This Row],[UVID]]&amp;"-"&amp;TInspectieE[[#This Row],[Gebrek nr.]])</f>
        <v/>
      </c>
      <c r="N104" s="417"/>
      <c r="O104" s="418"/>
      <c r="P104" s="206"/>
      <c r="Q104" s="193"/>
      <c r="R104" s="193" t="str">
        <f>IF(OR(TInspectieE[[#This Row],[Duurzaamheid bijdrage]]="Voldoet niet aan DZH-lijn",TInspectieE[[#This Row],[Duurzaamheid bijdrage]]="Voldoet niet aan vigerende W&amp;R"),"Voldoet niet","Voldoet")</f>
        <v>Voldoet</v>
      </c>
      <c r="S104" s="206"/>
      <c r="T104" s="206"/>
      <c r="U104" s="206"/>
      <c r="V104" s="206"/>
      <c r="W104" s="206"/>
      <c r="X104" s="419"/>
      <c r="Y104" s="340"/>
      <c r="Z104" s="420"/>
      <c r="AA104" s="421" t="str">
        <f>IF(ISBLANK(TInspectieE[[#This Row],[Aantal]]),"",ROUND(TInspectieE[[#This Row],[Kengetal]]*TInspectieE[[#This Row],[Aantal]],-1))</f>
        <v/>
      </c>
      <c r="AB104" s="422" t="str">
        <f>IF(TInspectieE[[#This Row],[Vak-groep]]="","1",VLOOKUP(C104,$J$2:$K$7,2,FALSE))</f>
        <v>1</v>
      </c>
      <c r="AC104" s="423" t="str">
        <f>CONCATENATE(TInspectieE[[#This Row],[Soort gebrek]],TInspectieE[[#This Row],[Trede]])</f>
        <v>1</v>
      </c>
      <c r="AD104" s="413" t="e">
        <v>#N/A</v>
      </c>
      <c r="AE104" s="413" t="e">
        <v>#N/A</v>
      </c>
      <c r="AF104" s="424">
        <v>0</v>
      </c>
    </row>
    <row r="105" spans="1:32" ht="10.5" x14ac:dyDescent="0.25">
      <c r="A105" s="337" t="str" cm="1">
        <f t="array" ref="A105">IFERROR(INDEX(TInventE[UVID],ROUNDDOWN((ROW(A96)+1)/2,0)),"")</f>
        <v/>
      </c>
      <c r="B105" s="410" t="str">
        <f>IF(TInspectieE[[#This Row],[UVID]]="","",VLOOKUP(TInspectieE[[#This Row],[UVID]],TInventE[],2,FALSE))</f>
        <v/>
      </c>
      <c r="C105" s="365" t="str">
        <f>IF(TInspectieE[[#This Row],[UVID]]="","",VLOOKUP(TInspectieE[[#This Row],[UVID]],TInventE[],11,FALSE))</f>
        <v/>
      </c>
      <c r="D105" s="411" t="str">
        <f>IF(TInspectieE[[#This Row],[UVID]]="","",VLOOKUP(TInspectieE[[#This Row],[UVID]],TInventE[],3,FALSE))</f>
        <v/>
      </c>
      <c r="E105" s="338" t="str">
        <f>IF(TInspectieE[[#This Row],[Omschrijving bouwdeel]]="","",IF(ISEVEN(ROW()),"O","E"))</f>
        <v/>
      </c>
      <c r="F105" s="412"/>
      <c r="G105" s="413" t="str">
        <f>IF(ISBLANK(TInspectieE[[#This Row],[Soort gebrek]]),"",VLOOKUP(TInspectieE[[#This Row],[Soort gebrek]],TSoortGebrek[#Data],3,FALSE))</f>
        <v/>
      </c>
      <c r="H105" s="413" t="str">
        <f>IF(ISBLANK(TInspectieE[[#This Row],[Soort gebrek]]),"",VLOOKUP(TInspectieE[[#This Row],[Soort gebrek]],TSoortGebrek[#Data],2,FALSE))</f>
        <v/>
      </c>
      <c r="I105" s="413" t="str">
        <f>IF(TInspectieE[[#This Row],[Soort gebrek]]=0,"",VLOOKUP(TInspectieE[[#This Row],[Soort gebrek]],TSoortGebrek[],4,FALSE))</f>
        <v/>
      </c>
      <c r="J105" s="425"/>
      <c r="K105" s="415" t="str">
        <f>IF(TInspectieE[[#This Row],[Soort gebrek]]=0,"",VLOOKUP(TInspectieE[[#This Row],[Combi]],TPrio[#Data],2,FALSE))</f>
        <v/>
      </c>
      <c r="L105" s="339"/>
      <c r="M105" s="416" t="str">
        <f>IF(ISBLANK(TInspectieE[[#This Row],[Gebrek nr.]]),"",TInspectieE[[#This Row],[UVID]]&amp;"-"&amp;TInspectieE[[#This Row],[Gebrek nr.]])</f>
        <v/>
      </c>
      <c r="N105" s="417"/>
      <c r="O105" s="418"/>
      <c r="P105" s="206"/>
      <c r="Q105" s="193"/>
      <c r="R105" s="193" t="str">
        <f>IF(OR(TInspectieE[[#This Row],[Duurzaamheid bijdrage]]="Voldoet niet aan DZH-lijn",TInspectieE[[#This Row],[Duurzaamheid bijdrage]]="Voldoet niet aan vigerende W&amp;R"),"Voldoet niet","Voldoet")</f>
        <v>Voldoet</v>
      </c>
      <c r="S105" s="206"/>
      <c r="T105" s="206"/>
      <c r="U105" s="206"/>
      <c r="V105" s="206"/>
      <c r="W105" s="206"/>
      <c r="X105" s="419"/>
      <c r="Y105" s="340"/>
      <c r="Z105" s="420"/>
      <c r="AA105" s="421" t="str">
        <f>IF(ISBLANK(TInspectieE[[#This Row],[Aantal]]),"",ROUND(TInspectieE[[#This Row],[Kengetal]]*TInspectieE[[#This Row],[Aantal]],-1))</f>
        <v/>
      </c>
      <c r="AB105" s="422" t="str">
        <f>IF(TInspectieE[[#This Row],[Vak-groep]]="","1",VLOOKUP(C105,$J$2:$K$7,2,FALSE))</f>
        <v>1</v>
      </c>
      <c r="AC105" s="423" t="str">
        <f>CONCATENATE(TInspectieE[[#This Row],[Soort gebrek]],TInspectieE[[#This Row],[Trede]])</f>
        <v>1</v>
      </c>
      <c r="AD105" s="413" t="e">
        <v>#N/A</v>
      </c>
      <c r="AE105" s="413" t="e">
        <v>#N/A</v>
      </c>
      <c r="AF105" s="424">
        <v>0</v>
      </c>
    </row>
    <row r="106" spans="1:32" ht="10.5" x14ac:dyDescent="0.25">
      <c r="A106" s="337" t="str" cm="1">
        <f t="array" ref="A106">IFERROR(INDEX(TInventE[UVID],ROUNDDOWN((ROW(A97)+1)/2,0)),"")</f>
        <v/>
      </c>
      <c r="B106" s="410" t="str">
        <f>IF(TInspectieE[[#This Row],[UVID]]="","",VLOOKUP(TInspectieE[[#This Row],[UVID]],TInventE[],2,FALSE))</f>
        <v/>
      </c>
      <c r="C106" s="365" t="str">
        <f>IF(TInspectieE[[#This Row],[UVID]]="","",VLOOKUP(TInspectieE[[#This Row],[UVID]],TInventE[],11,FALSE))</f>
        <v/>
      </c>
      <c r="D106" s="411" t="str">
        <f>IF(TInspectieE[[#This Row],[UVID]]="","",VLOOKUP(TInspectieE[[#This Row],[UVID]],TInventE[],3,FALSE))</f>
        <v/>
      </c>
      <c r="E106" s="338" t="str">
        <f>IF(TInspectieE[[#This Row],[Omschrijving bouwdeel]]="","",IF(ISEVEN(ROW()),"O","E"))</f>
        <v/>
      </c>
      <c r="F106" s="412"/>
      <c r="G106" s="413" t="str">
        <f>IF(ISBLANK(TInspectieE[[#This Row],[Soort gebrek]]),"",VLOOKUP(TInspectieE[[#This Row],[Soort gebrek]],TSoortGebrek[#Data],3,FALSE))</f>
        <v/>
      </c>
      <c r="H106" s="413" t="str">
        <f>IF(ISBLANK(TInspectieE[[#This Row],[Soort gebrek]]),"",VLOOKUP(TInspectieE[[#This Row],[Soort gebrek]],TSoortGebrek[#Data],2,FALSE))</f>
        <v/>
      </c>
      <c r="I106" s="413" t="str">
        <f>IF(TInspectieE[[#This Row],[Soort gebrek]]=0,"",VLOOKUP(TInspectieE[[#This Row],[Soort gebrek]],TSoortGebrek[],4,FALSE))</f>
        <v/>
      </c>
      <c r="J106" s="425"/>
      <c r="K106" s="415" t="str">
        <f>IF(TInspectieE[[#This Row],[Soort gebrek]]=0,"",VLOOKUP(TInspectieE[[#This Row],[Combi]],TPrio[#Data],2,FALSE))</f>
        <v/>
      </c>
      <c r="L106" s="339"/>
      <c r="M106" s="416" t="str">
        <f>IF(ISBLANK(TInspectieE[[#This Row],[Gebrek nr.]]),"",TInspectieE[[#This Row],[UVID]]&amp;"-"&amp;TInspectieE[[#This Row],[Gebrek nr.]])</f>
        <v/>
      </c>
      <c r="N106" s="417"/>
      <c r="O106" s="418"/>
      <c r="P106" s="206"/>
      <c r="Q106" s="193"/>
      <c r="R106" s="193" t="str">
        <f>IF(OR(TInspectieE[[#This Row],[Duurzaamheid bijdrage]]="Voldoet niet aan DZH-lijn",TInspectieE[[#This Row],[Duurzaamheid bijdrage]]="Voldoet niet aan vigerende W&amp;R"),"Voldoet niet","Voldoet")</f>
        <v>Voldoet</v>
      </c>
      <c r="S106" s="206"/>
      <c r="T106" s="206"/>
      <c r="U106" s="206"/>
      <c r="V106" s="206"/>
      <c r="W106" s="206"/>
      <c r="X106" s="419"/>
      <c r="Y106" s="340"/>
      <c r="Z106" s="420"/>
      <c r="AA106" s="421" t="str">
        <f>IF(ISBLANK(TInspectieE[[#This Row],[Aantal]]),"",ROUND(TInspectieE[[#This Row],[Kengetal]]*TInspectieE[[#This Row],[Aantal]],-1))</f>
        <v/>
      </c>
      <c r="AB106" s="422" t="str">
        <f>IF(TInspectieE[[#This Row],[Vak-groep]]="","1",VLOOKUP(C106,$J$2:$K$7,2,FALSE))</f>
        <v>1</v>
      </c>
      <c r="AC106" s="423" t="str">
        <f>CONCATENATE(TInspectieE[[#This Row],[Soort gebrek]],TInspectieE[[#This Row],[Trede]])</f>
        <v>1</v>
      </c>
      <c r="AD106" s="413" t="e">
        <v>#N/A</v>
      </c>
      <c r="AE106" s="413" t="e">
        <v>#N/A</v>
      </c>
      <c r="AF106" s="424">
        <v>0</v>
      </c>
    </row>
    <row r="107" spans="1:32" ht="10.5" x14ac:dyDescent="0.25">
      <c r="A107" s="337" t="str" cm="1">
        <f t="array" ref="A107">IFERROR(INDEX(TInventE[UVID],ROUNDDOWN((ROW(A98)+1)/2,0)),"")</f>
        <v/>
      </c>
      <c r="B107" s="410" t="str">
        <f>IF(TInspectieE[[#This Row],[UVID]]="","",VLOOKUP(TInspectieE[[#This Row],[UVID]],TInventE[],2,FALSE))</f>
        <v/>
      </c>
      <c r="C107" s="365" t="str">
        <f>IF(TInspectieE[[#This Row],[UVID]]="","",VLOOKUP(TInspectieE[[#This Row],[UVID]],TInventE[],11,FALSE))</f>
        <v/>
      </c>
      <c r="D107" s="411" t="str">
        <f>IF(TInspectieE[[#This Row],[UVID]]="","",VLOOKUP(TInspectieE[[#This Row],[UVID]],TInventE[],3,FALSE))</f>
        <v/>
      </c>
      <c r="E107" s="338" t="str">
        <f>IF(TInspectieE[[#This Row],[Omschrijving bouwdeel]]="","",IF(ISEVEN(ROW()),"O","E"))</f>
        <v/>
      </c>
      <c r="F107" s="412"/>
      <c r="G107" s="413" t="str">
        <f>IF(ISBLANK(TInspectieE[[#This Row],[Soort gebrek]]),"",VLOOKUP(TInspectieE[[#This Row],[Soort gebrek]],TSoortGebrek[#Data],3,FALSE))</f>
        <v/>
      </c>
      <c r="H107" s="413" t="str">
        <f>IF(ISBLANK(TInspectieE[[#This Row],[Soort gebrek]]),"",VLOOKUP(TInspectieE[[#This Row],[Soort gebrek]],TSoortGebrek[#Data],2,FALSE))</f>
        <v/>
      </c>
      <c r="I107" s="413" t="str">
        <f>IF(TInspectieE[[#This Row],[Soort gebrek]]=0,"",VLOOKUP(TInspectieE[[#This Row],[Soort gebrek]],TSoortGebrek[],4,FALSE))</f>
        <v/>
      </c>
      <c r="J107" s="425"/>
      <c r="K107" s="415" t="str">
        <f>IF(TInspectieE[[#This Row],[Soort gebrek]]=0,"",VLOOKUP(TInspectieE[[#This Row],[Combi]],TPrio[#Data],2,FALSE))</f>
        <v/>
      </c>
      <c r="L107" s="339"/>
      <c r="M107" s="416" t="str">
        <f>IF(ISBLANK(TInspectieE[[#This Row],[Gebrek nr.]]),"",TInspectieE[[#This Row],[UVID]]&amp;"-"&amp;TInspectieE[[#This Row],[Gebrek nr.]])</f>
        <v/>
      </c>
      <c r="N107" s="417"/>
      <c r="O107" s="418"/>
      <c r="P107" s="206"/>
      <c r="Q107" s="193"/>
      <c r="R107" s="193" t="str">
        <f>IF(OR(TInspectieE[[#This Row],[Duurzaamheid bijdrage]]="Voldoet niet aan DZH-lijn",TInspectieE[[#This Row],[Duurzaamheid bijdrage]]="Voldoet niet aan vigerende W&amp;R"),"Voldoet niet","Voldoet")</f>
        <v>Voldoet</v>
      </c>
      <c r="S107" s="206"/>
      <c r="T107" s="206"/>
      <c r="U107" s="206"/>
      <c r="V107" s="206"/>
      <c r="W107" s="206"/>
      <c r="X107" s="419"/>
      <c r="Y107" s="340"/>
      <c r="Z107" s="420"/>
      <c r="AA107" s="421" t="str">
        <f>IF(ISBLANK(TInspectieE[[#This Row],[Aantal]]),"",ROUND(TInspectieE[[#This Row],[Kengetal]]*TInspectieE[[#This Row],[Aantal]],-1))</f>
        <v/>
      </c>
      <c r="AB107" s="422" t="str">
        <f>IF(TInspectieE[[#This Row],[Vak-groep]]="","1",VLOOKUP(C107,$J$2:$K$7,2,FALSE))</f>
        <v>1</v>
      </c>
      <c r="AC107" s="423" t="str">
        <f>CONCATENATE(TInspectieE[[#This Row],[Soort gebrek]],TInspectieE[[#This Row],[Trede]])</f>
        <v>1</v>
      </c>
      <c r="AD107" s="413" t="e">
        <v>#N/A</v>
      </c>
      <c r="AE107" s="413" t="e">
        <v>#N/A</v>
      </c>
      <c r="AF107" s="424">
        <v>0</v>
      </c>
    </row>
    <row r="108" spans="1:32" ht="10.5" x14ac:dyDescent="0.25">
      <c r="A108" s="337" t="str" cm="1">
        <f t="array" ref="A108">IFERROR(INDEX(TInventE[UVID],ROUNDDOWN((ROW(A99)+1)/2,0)),"")</f>
        <v/>
      </c>
      <c r="B108" s="410" t="str">
        <f>IF(TInspectieE[[#This Row],[UVID]]="","",VLOOKUP(TInspectieE[[#This Row],[UVID]],TInventE[],2,FALSE))</f>
        <v/>
      </c>
      <c r="C108" s="365" t="str">
        <f>IF(TInspectieE[[#This Row],[UVID]]="","",VLOOKUP(TInspectieE[[#This Row],[UVID]],TInventE[],11,FALSE))</f>
        <v/>
      </c>
      <c r="D108" s="411" t="str">
        <f>IF(TInspectieE[[#This Row],[UVID]]="","",VLOOKUP(TInspectieE[[#This Row],[UVID]],TInventE[],3,FALSE))</f>
        <v/>
      </c>
      <c r="E108" s="338" t="str">
        <f>IF(TInspectieE[[#This Row],[Omschrijving bouwdeel]]="","",IF(ISEVEN(ROW()),"O","E"))</f>
        <v/>
      </c>
      <c r="F108" s="412"/>
      <c r="G108" s="413" t="str">
        <f>IF(ISBLANK(TInspectieE[[#This Row],[Soort gebrek]]),"",VLOOKUP(TInspectieE[[#This Row],[Soort gebrek]],TSoortGebrek[#Data],3,FALSE))</f>
        <v/>
      </c>
      <c r="H108" s="413" t="str">
        <f>IF(ISBLANK(TInspectieE[[#This Row],[Soort gebrek]]),"",VLOOKUP(TInspectieE[[#This Row],[Soort gebrek]],TSoortGebrek[#Data],2,FALSE))</f>
        <v/>
      </c>
      <c r="I108" s="413" t="str">
        <f>IF(TInspectieE[[#This Row],[Soort gebrek]]=0,"",VLOOKUP(TInspectieE[[#This Row],[Soort gebrek]],TSoortGebrek[],4,FALSE))</f>
        <v/>
      </c>
      <c r="J108" s="425"/>
      <c r="K108" s="415" t="str">
        <f>IF(TInspectieE[[#This Row],[Soort gebrek]]=0,"",VLOOKUP(TInspectieE[[#This Row],[Combi]],TPrio[#Data],2,FALSE))</f>
        <v/>
      </c>
      <c r="L108" s="339"/>
      <c r="M108" s="416" t="str">
        <f>IF(ISBLANK(TInspectieE[[#This Row],[Gebrek nr.]]),"",TInspectieE[[#This Row],[UVID]]&amp;"-"&amp;TInspectieE[[#This Row],[Gebrek nr.]])</f>
        <v/>
      </c>
      <c r="N108" s="417"/>
      <c r="O108" s="418"/>
      <c r="P108" s="206"/>
      <c r="Q108" s="193"/>
      <c r="R108" s="193" t="str">
        <f>IF(OR(TInspectieE[[#This Row],[Duurzaamheid bijdrage]]="Voldoet niet aan DZH-lijn",TInspectieE[[#This Row],[Duurzaamheid bijdrage]]="Voldoet niet aan vigerende W&amp;R"),"Voldoet niet","Voldoet")</f>
        <v>Voldoet</v>
      </c>
      <c r="S108" s="206"/>
      <c r="T108" s="206"/>
      <c r="U108" s="206"/>
      <c r="V108" s="206"/>
      <c r="W108" s="206"/>
      <c r="X108" s="419"/>
      <c r="Y108" s="340"/>
      <c r="Z108" s="420"/>
      <c r="AA108" s="421" t="str">
        <f>IF(ISBLANK(TInspectieE[[#This Row],[Aantal]]),"",ROUND(TInspectieE[[#This Row],[Kengetal]]*TInspectieE[[#This Row],[Aantal]],-1))</f>
        <v/>
      </c>
      <c r="AB108" s="422" t="str">
        <f>IF(TInspectieE[[#This Row],[Vak-groep]]="","1",VLOOKUP(C108,$J$2:$K$7,2,FALSE))</f>
        <v>1</v>
      </c>
      <c r="AC108" s="423" t="str">
        <f>CONCATENATE(TInspectieE[[#This Row],[Soort gebrek]],TInspectieE[[#This Row],[Trede]])</f>
        <v>1</v>
      </c>
      <c r="AD108" s="413" t="e">
        <v>#N/A</v>
      </c>
      <c r="AE108" s="413" t="e">
        <v>#N/A</v>
      </c>
      <c r="AF108" s="424">
        <v>0</v>
      </c>
    </row>
    <row r="109" spans="1:32" ht="10.5" x14ac:dyDescent="0.25">
      <c r="A109" s="337" t="str" cm="1">
        <f t="array" ref="A109">IFERROR(INDEX(TInventE[UVID],ROUNDDOWN((ROW(A100)+1)/2,0)),"")</f>
        <v/>
      </c>
      <c r="B109" s="410" t="str">
        <f>IF(TInspectieE[[#This Row],[UVID]]="","",VLOOKUP(TInspectieE[[#This Row],[UVID]],TInventE[],2,FALSE))</f>
        <v/>
      </c>
      <c r="C109" s="365" t="str">
        <f>IF(TInspectieE[[#This Row],[UVID]]="","",VLOOKUP(TInspectieE[[#This Row],[UVID]],TInventE[],11,FALSE))</f>
        <v/>
      </c>
      <c r="D109" s="411" t="str">
        <f>IF(TInspectieE[[#This Row],[UVID]]="","",VLOOKUP(TInspectieE[[#This Row],[UVID]],TInventE[],3,FALSE))</f>
        <v/>
      </c>
      <c r="E109" s="338" t="str">
        <f>IF(TInspectieE[[#This Row],[Omschrijving bouwdeel]]="","",IF(ISEVEN(ROW()),"O","E"))</f>
        <v/>
      </c>
      <c r="F109" s="412"/>
      <c r="G109" s="413" t="str">
        <f>IF(ISBLANK(TInspectieE[[#This Row],[Soort gebrek]]),"",VLOOKUP(TInspectieE[[#This Row],[Soort gebrek]],TSoortGebrek[#Data],3,FALSE))</f>
        <v/>
      </c>
      <c r="H109" s="413" t="str">
        <f>IF(ISBLANK(TInspectieE[[#This Row],[Soort gebrek]]),"",VLOOKUP(TInspectieE[[#This Row],[Soort gebrek]],TSoortGebrek[#Data],2,FALSE))</f>
        <v/>
      </c>
      <c r="I109" s="413" t="str">
        <f>IF(TInspectieE[[#This Row],[Soort gebrek]]=0,"",VLOOKUP(TInspectieE[[#This Row],[Soort gebrek]],TSoortGebrek[],4,FALSE))</f>
        <v/>
      </c>
      <c r="J109" s="425"/>
      <c r="K109" s="415" t="str">
        <f>IF(TInspectieE[[#This Row],[Soort gebrek]]=0,"",VLOOKUP(TInspectieE[[#This Row],[Combi]],TPrio[#Data],2,FALSE))</f>
        <v/>
      </c>
      <c r="L109" s="339"/>
      <c r="M109" s="416" t="str">
        <f>IF(ISBLANK(TInspectieE[[#This Row],[Gebrek nr.]]),"",TInspectieE[[#This Row],[UVID]]&amp;"-"&amp;TInspectieE[[#This Row],[Gebrek nr.]])</f>
        <v/>
      </c>
      <c r="N109" s="417"/>
      <c r="O109" s="418"/>
      <c r="P109" s="206"/>
      <c r="Q109" s="193"/>
      <c r="R109" s="193" t="str">
        <f>IF(OR(TInspectieE[[#This Row],[Duurzaamheid bijdrage]]="Voldoet niet aan DZH-lijn",TInspectieE[[#This Row],[Duurzaamheid bijdrage]]="Voldoet niet aan vigerende W&amp;R"),"Voldoet niet","Voldoet")</f>
        <v>Voldoet</v>
      </c>
      <c r="S109" s="206"/>
      <c r="T109" s="206"/>
      <c r="U109" s="206"/>
      <c r="V109" s="206"/>
      <c r="W109" s="206"/>
      <c r="X109" s="419"/>
      <c r="Y109" s="340"/>
      <c r="Z109" s="420"/>
      <c r="AA109" s="421" t="str">
        <f>IF(ISBLANK(TInspectieE[[#This Row],[Aantal]]),"",ROUND(TInspectieE[[#This Row],[Kengetal]]*TInspectieE[[#This Row],[Aantal]],-1))</f>
        <v/>
      </c>
      <c r="AB109" s="422" t="str">
        <f>IF(TInspectieE[[#This Row],[Vak-groep]]="","1",VLOOKUP(C109,$J$2:$K$7,2,FALSE))</f>
        <v>1</v>
      </c>
      <c r="AC109" s="423" t="str">
        <f>CONCATENATE(TInspectieE[[#This Row],[Soort gebrek]],TInspectieE[[#This Row],[Trede]])</f>
        <v>1</v>
      </c>
      <c r="AD109" s="413" t="e">
        <v>#N/A</v>
      </c>
      <c r="AE109" s="413" t="e">
        <v>#N/A</v>
      </c>
      <c r="AF109" s="424">
        <v>0</v>
      </c>
    </row>
    <row r="110" spans="1:32" ht="10.5" x14ac:dyDescent="0.25">
      <c r="A110" s="337" t="str" cm="1">
        <f t="array" ref="A110">IFERROR(INDEX(TInventE[UVID],ROUNDDOWN((ROW(A101)+1)/2,0)),"")</f>
        <v/>
      </c>
      <c r="B110" s="410" t="str">
        <f>IF(TInspectieE[[#This Row],[UVID]]="","",VLOOKUP(TInspectieE[[#This Row],[UVID]],TInventE[],2,FALSE))</f>
        <v/>
      </c>
      <c r="C110" s="365" t="str">
        <f>IF(TInspectieE[[#This Row],[UVID]]="","",VLOOKUP(TInspectieE[[#This Row],[UVID]],TInventE[],11,FALSE))</f>
        <v/>
      </c>
      <c r="D110" s="411" t="str">
        <f>IF(TInspectieE[[#This Row],[UVID]]="","",VLOOKUP(TInspectieE[[#This Row],[UVID]],TInventE[],3,FALSE))</f>
        <v/>
      </c>
      <c r="E110" s="338" t="str">
        <f>IF(TInspectieE[[#This Row],[Omschrijving bouwdeel]]="","",IF(ISEVEN(ROW()),"O","E"))</f>
        <v/>
      </c>
      <c r="F110" s="412"/>
      <c r="G110" s="413" t="str">
        <f>IF(ISBLANK(TInspectieE[[#This Row],[Soort gebrek]]),"",VLOOKUP(TInspectieE[[#This Row],[Soort gebrek]],TSoortGebrek[#Data],3,FALSE))</f>
        <v/>
      </c>
      <c r="H110" s="413" t="str">
        <f>IF(ISBLANK(TInspectieE[[#This Row],[Soort gebrek]]),"",VLOOKUP(TInspectieE[[#This Row],[Soort gebrek]],TSoortGebrek[#Data],2,FALSE))</f>
        <v/>
      </c>
      <c r="I110" s="413" t="str">
        <f>IF(TInspectieE[[#This Row],[Soort gebrek]]=0,"",VLOOKUP(TInspectieE[[#This Row],[Soort gebrek]],TSoortGebrek[],4,FALSE))</f>
        <v/>
      </c>
      <c r="J110" s="425"/>
      <c r="K110" s="415" t="str">
        <f>IF(TInspectieE[[#This Row],[Soort gebrek]]=0,"",VLOOKUP(TInspectieE[[#This Row],[Combi]],TPrio[#Data],2,FALSE))</f>
        <v/>
      </c>
      <c r="L110" s="339"/>
      <c r="M110" s="416" t="str">
        <f>IF(ISBLANK(TInspectieE[[#This Row],[Gebrek nr.]]),"",TInspectieE[[#This Row],[UVID]]&amp;"-"&amp;TInspectieE[[#This Row],[Gebrek nr.]])</f>
        <v/>
      </c>
      <c r="N110" s="417"/>
      <c r="O110" s="418"/>
      <c r="P110" s="206"/>
      <c r="Q110" s="193"/>
      <c r="R110" s="193" t="str">
        <f>IF(OR(TInspectieE[[#This Row],[Duurzaamheid bijdrage]]="Voldoet niet aan DZH-lijn",TInspectieE[[#This Row],[Duurzaamheid bijdrage]]="Voldoet niet aan vigerende W&amp;R"),"Voldoet niet","Voldoet")</f>
        <v>Voldoet</v>
      </c>
      <c r="S110" s="206"/>
      <c r="T110" s="206"/>
      <c r="U110" s="206"/>
      <c r="V110" s="206"/>
      <c r="W110" s="206"/>
      <c r="X110" s="419"/>
      <c r="Y110" s="340"/>
      <c r="Z110" s="420"/>
      <c r="AA110" s="421" t="str">
        <f>IF(ISBLANK(TInspectieE[[#This Row],[Aantal]]),"",ROUND(TInspectieE[[#This Row],[Kengetal]]*TInspectieE[[#This Row],[Aantal]],-1))</f>
        <v/>
      </c>
      <c r="AB110" s="422" t="str">
        <f>IF(TInspectieE[[#This Row],[Vak-groep]]="","1",VLOOKUP(C110,$J$2:$K$7,2,FALSE))</f>
        <v>1</v>
      </c>
      <c r="AC110" s="423" t="str">
        <f>CONCATENATE(TInspectieE[[#This Row],[Soort gebrek]],TInspectieE[[#This Row],[Trede]])</f>
        <v>1</v>
      </c>
      <c r="AD110" s="413" t="e">
        <v>#N/A</v>
      </c>
      <c r="AE110" s="413" t="e">
        <v>#N/A</v>
      </c>
      <c r="AF110" s="424">
        <v>0</v>
      </c>
    </row>
    <row r="111" spans="1:32" ht="10.5" x14ac:dyDescent="0.25">
      <c r="A111" s="337" t="str" cm="1">
        <f t="array" ref="A111">IFERROR(INDEX(TInventE[UVID],ROUNDDOWN((ROW(A102)+1)/2,0)),"")</f>
        <v/>
      </c>
      <c r="B111" s="410" t="str">
        <f>IF(TInspectieE[[#This Row],[UVID]]="","",VLOOKUP(TInspectieE[[#This Row],[UVID]],TInventE[],2,FALSE))</f>
        <v/>
      </c>
      <c r="C111" s="365" t="str">
        <f>IF(TInspectieE[[#This Row],[UVID]]="","",VLOOKUP(TInspectieE[[#This Row],[UVID]],TInventE[],11,FALSE))</f>
        <v/>
      </c>
      <c r="D111" s="411" t="str">
        <f>IF(TInspectieE[[#This Row],[UVID]]="","",VLOOKUP(TInspectieE[[#This Row],[UVID]],TInventE[],3,FALSE))</f>
        <v/>
      </c>
      <c r="E111" s="338" t="str">
        <f>IF(TInspectieE[[#This Row],[Omschrijving bouwdeel]]="","",IF(ISEVEN(ROW()),"O","E"))</f>
        <v/>
      </c>
      <c r="F111" s="412"/>
      <c r="G111" s="413" t="str">
        <f>IF(ISBLANK(TInspectieE[[#This Row],[Soort gebrek]]),"",VLOOKUP(TInspectieE[[#This Row],[Soort gebrek]],TSoortGebrek[#Data],3,FALSE))</f>
        <v/>
      </c>
      <c r="H111" s="413" t="str">
        <f>IF(ISBLANK(TInspectieE[[#This Row],[Soort gebrek]]),"",VLOOKUP(TInspectieE[[#This Row],[Soort gebrek]],TSoortGebrek[#Data],2,FALSE))</f>
        <v/>
      </c>
      <c r="I111" s="413" t="str">
        <f>IF(TInspectieE[[#This Row],[Soort gebrek]]=0,"",VLOOKUP(TInspectieE[[#This Row],[Soort gebrek]],TSoortGebrek[],4,FALSE))</f>
        <v/>
      </c>
      <c r="J111" s="425"/>
      <c r="K111" s="415" t="str">
        <f>IF(TInspectieE[[#This Row],[Soort gebrek]]=0,"",VLOOKUP(TInspectieE[[#This Row],[Combi]],TPrio[#Data],2,FALSE))</f>
        <v/>
      </c>
      <c r="L111" s="339"/>
      <c r="M111" s="416" t="str">
        <f>IF(ISBLANK(TInspectieE[[#This Row],[Gebrek nr.]]),"",TInspectieE[[#This Row],[UVID]]&amp;"-"&amp;TInspectieE[[#This Row],[Gebrek nr.]])</f>
        <v/>
      </c>
      <c r="N111" s="417"/>
      <c r="O111" s="418"/>
      <c r="P111" s="206"/>
      <c r="Q111" s="193"/>
      <c r="R111" s="193" t="str">
        <f>IF(OR(TInspectieE[[#This Row],[Duurzaamheid bijdrage]]="Voldoet niet aan DZH-lijn",TInspectieE[[#This Row],[Duurzaamheid bijdrage]]="Voldoet niet aan vigerende W&amp;R"),"Voldoet niet","Voldoet")</f>
        <v>Voldoet</v>
      </c>
      <c r="S111" s="206"/>
      <c r="T111" s="206"/>
      <c r="U111" s="206"/>
      <c r="V111" s="206"/>
      <c r="W111" s="206"/>
      <c r="X111" s="419"/>
      <c r="Y111" s="340"/>
      <c r="Z111" s="420"/>
      <c r="AA111" s="421" t="str">
        <f>IF(ISBLANK(TInspectieE[[#This Row],[Aantal]]),"",ROUND(TInspectieE[[#This Row],[Kengetal]]*TInspectieE[[#This Row],[Aantal]],-1))</f>
        <v/>
      </c>
      <c r="AB111" s="422" t="str">
        <f>IF(TInspectieE[[#This Row],[Vak-groep]]="","1",VLOOKUP(C111,$J$2:$K$7,2,FALSE))</f>
        <v>1</v>
      </c>
      <c r="AC111" s="423" t="str">
        <f>CONCATENATE(TInspectieE[[#This Row],[Soort gebrek]],TInspectieE[[#This Row],[Trede]])</f>
        <v>1</v>
      </c>
      <c r="AD111" s="413" t="e">
        <v>#N/A</v>
      </c>
      <c r="AE111" s="413" t="e">
        <v>#N/A</v>
      </c>
      <c r="AF111" s="424">
        <v>0</v>
      </c>
    </row>
    <row r="112" spans="1:32" ht="10.5" x14ac:dyDescent="0.25">
      <c r="A112" s="337" t="str" cm="1">
        <f t="array" ref="A112">IFERROR(INDEX(TInventE[UVID],ROUNDDOWN((ROW(A103)+1)/2,0)),"")</f>
        <v/>
      </c>
      <c r="B112" s="410" t="str">
        <f>IF(TInspectieE[[#This Row],[UVID]]="","",VLOOKUP(TInspectieE[[#This Row],[UVID]],TInventE[],2,FALSE))</f>
        <v/>
      </c>
      <c r="C112" s="365" t="str">
        <f>IF(TInspectieE[[#This Row],[UVID]]="","",VLOOKUP(TInspectieE[[#This Row],[UVID]],TInventE[],11,FALSE))</f>
        <v/>
      </c>
      <c r="D112" s="411" t="str">
        <f>IF(TInspectieE[[#This Row],[UVID]]="","",VLOOKUP(TInspectieE[[#This Row],[UVID]],TInventE[],3,FALSE))</f>
        <v/>
      </c>
      <c r="E112" s="338" t="str">
        <f>IF(TInspectieE[[#This Row],[Omschrijving bouwdeel]]="","",IF(ISEVEN(ROW()),"O","E"))</f>
        <v/>
      </c>
      <c r="F112" s="412"/>
      <c r="G112" s="413" t="str">
        <f>IF(ISBLANK(TInspectieE[[#This Row],[Soort gebrek]]),"",VLOOKUP(TInspectieE[[#This Row],[Soort gebrek]],TSoortGebrek[#Data],3,FALSE))</f>
        <v/>
      </c>
      <c r="H112" s="413" t="str">
        <f>IF(ISBLANK(TInspectieE[[#This Row],[Soort gebrek]]),"",VLOOKUP(TInspectieE[[#This Row],[Soort gebrek]],TSoortGebrek[#Data],2,FALSE))</f>
        <v/>
      </c>
      <c r="I112" s="413" t="str">
        <f>IF(TInspectieE[[#This Row],[Soort gebrek]]=0,"",VLOOKUP(TInspectieE[[#This Row],[Soort gebrek]],TSoortGebrek[],4,FALSE))</f>
        <v/>
      </c>
      <c r="J112" s="425"/>
      <c r="K112" s="415" t="str">
        <f>IF(TInspectieE[[#This Row],[Soort gebrek]]=0,"",VLOOKUP(TInspectieE[[#This Row],[Combi]],TPrio[#Data],2,FALSE))</f>
        <v/>
      </c>
      <c r="L112" s="339"/>
      <c r="M112" s="416" t="str">
        <f>IF(ISBLANK(TInspectieE[[#This Row],[Gebrek nr.]]),"",TInspectieE[[#This Row],[UVID]]&amp;"-"&amp;TInspectieE[[#This Row],[Gebrek nr.]])</f>
        <v/>
      </c>
      <c r="N112" s="417"/>
      <c r="O112" s="418"/>
      <c r="P112" s="206"/>
      <c r="Q112" s="193"/>
      <c r="R112" s="193" t="str">
        <f>IF(OR(TInspectieE[[#This Row],[Duurzaamheid bijdrage]]="Voldoet niet aan DZH-lijn",TInspectieE[[#This Row],[Duurzaamheid bijdrage]]="Voldoet niet aan vigerende W&amp;R"),"Voldoet niet","Voldoet")</f>
        <v>Voldoet</v>
      </c>
      <c r="S112" s="206"/>
      <c r="T112" s="206"/>
      <c r="U112" s="206"/>
      <c r="V112" s="206"/>
      <c r="W112" s="206"/>
      <c r="X112" s="419"/>
      <c r="Y112" s="340"/>
      <c r="Z112" s="420"/>
      <c r="AA112" s="421" t="str">
        <f>IF(ISBLANK(TInspectieE[[#This Row],[Aantal]]),"",ROUND(TInspectieE[[#This Row],[Kengetal]]*TInspectieE[[#This Row],[Aantal]],-1))</f>
        <v/>
      </c>
      <c r="AB112" s="422" t="str">
        <f>IF(TInspectieE[[#This Row],[Vak-groep]]="","1",VLOOKUP(C112,$J$2:$K$7,2,FALSE))</f>
        <v>1</v>
      </c>
      <c r="AC112" s="423" t="str">
        <f>CONCATENATE(TInspectieE[[#This Row],[Soort gebrek]],TInspectieE[[#This Row],[Trede]])</f>
        <v>1</v>
      </c>
      <c r="AD112" s="413" t="e">
        <v>#N/A</v>
      </c>
      <c r="AE112" s="413" t="e">
        <v>#N/A</v>
      </c>
      <c r="AF112" s="424">
        <v>0</v>
      </c>
    </row>
    <row r="113" spans="1:32" ht="10.5" x14ac:dyDescent="0.25">
      <c r="A113" s="337" t="str" cm="1">
        <f t="array" ref="A113">IFERROR(INDEX(TInventE[UVID],ROUNDDOWN((ROW(A104)+1)/2,0)),"")</f>
        <v/>
      </c>
      <c r="B113" s="410" t="str">
        <f>IF(TInspectieE[[#This Row],[UVID]]="","",VLOOKUP(TInspectieE[[#This Row],[UVID]],TInventE[],2,FALSE))</f>
        <v/>
      </c>
      <c r="C113" s="365" t="str">
        <f>IF(TInspectieE[[#This Row],[UVID]]="","",VLOOKUP(TInspectieE[[#This Row],[UVID]],TInventE[],11,FALSE))</f>
        <v/>
      </c>
      <c r="D113" s="411" t="str">
        <f>IF(TInspectieE[[#This Row],[UVID]]="","",VLOOKUP(TInspectieE[[#This Row],[UVID]],TInventE[],3,FALSE))</f>
        <v/>
      </c>
      <c r="E113" s="338" t="str">
        <f>IF(TInspectieE[[#This Row],[Omschrijving bouwdeel]]="","",IF(ISEVEN(ROW()),"O","E"))</f>
        <v/>
      </c>
      <c r="F113" s="412"/>
      <c r="G113" s="413" t="str">
        <f>IF(ISBLANK(TInspectieE[[#This Row],[Soort gebrek]]),"",VLOOKUP(TInspectieE[[#This Row],[Soort gebrek]],TSoortGebrek[#Data],3,FALSE))</f>
        <v/>
      </c>
      <c r="H113" s="413" t="str">
        <f>IF(ISBLANK(TInspectieE[[#This Row],[Soort gebrek]]),"",VLOOKUP(TInspectieE[[#This Row],[Soort gebrek]],TSoortGebrek[#Data],2,FALSE))</f>
        <v/>
      </c>
      <c r="I113" s="413" t="str">
        <f>IF(TInspectieE[[#This Row],[Soort gebrek]]=0,"",VLOOKUP(TInspectieE[[#This Row],[Soort gebrek]],TSoortGebrek[],4,FALSE))</f>
        <v/>
      </c>
      <c r="J113" s="425"/>
      <c r="K113" s="415" t="str">
        <f>IF(TInspectieE[[#This Row],[Soort gebrek]]=0,"",VLOOKUP(TInspectieE[[#This Row],[Combi]],TPrio[#Data],2,FALSE))</f>
        <v/>
      </c>
      <c r="L113" s="339"/>
      <c r="M113" s="416" t="str">
        <f>IF(ISBLANK(TInspectieE[[#This Row],[Gebrek nr.]]),"",TInspectieE[[#This Row],[UVID]]&amp;"-"&amp;TInspectieE[[#This Row],[Gebrek nr.]])</f>
        <v/>
      </c>
      <c r="N113" s="417"/>
      <c r="O113" s="418"/>
      <c r="P113" s="206"/>
      <c r="Q113" s="193"/>
      <c r="R113" s="193" t="str">
        <f>IF(OR(TInspectieE[[#This Row],[Duurzaamheid bijdrage]]="Voldoet niet aan DZH-lijn",TInspectieE[[#This Row],[Duurzaamheid bijdrage]]="Voldoet niet aan vigerende W&amp;R"),"Voldoet niet","Voldoet")</f>
        <v>Voldoet</v>
      </c>
      <c r="S113" s="206"/>
      <c r="T113" s="206"/>
      <c r="U113" s="206"/>
      <c r="V113" s="206"/>
      <c r="W113" s="206"/>
      <c r="X113" s="419"/>
      <c r="Y113" s="340"/>
      <c r="Z113" s="420"/>
      <c r="AA113" s="421" t="str">
        <f>IF(ISBLANK(TInspectieE[[#This Row],[Aantal]]),"",ROUND(TInspectieE[[#This Row],[Kengetal]]*TInspectieE[[#This Row],[Aantal]],-1))</f>
        <v/>
      </c>
      <c r="AB113" s="422" t="str">
        <f>IF(TInspectieE[[#This Row],[Vak-groep]]="","1",VLOOKUP(C113,$J$2:$K$7,2,FALSE))</f>
        <v>1</v>
      </c>
      <c r="AC113" s="423" t="str">
        <f>CONCATENATE(TInspectieE[[#This Row],[Soort gebrek]],TInspectieE[[#This Row],[Trede]])</f>
        <v>1</v>
      </c>
      <c r="AD113" s="413" t="e">
        <v>#N/A</v>
      </c>
      <c r="AE113" s="413" t="e">
        <v>#N/A</v>
      </c>
      <c r="AF113" s="424">
        <v>0</v>
      </c>
    </row>
    <row r="114" spans="1:32" ht="10.5" x14ac:dyDescent="0.25">
      <c r="A114" s="337" t="str" cm="1">
        <f t="array" ref="A114">IFERROR(INDEX(TInventE[UVID],ROUNDDOWN((ROW(A105)+1)/2,0)),"")</f>
        <v/>
      </c>
      <c r="B114" s="410" t="str">
        <f>IF(TInspectieE[[#This Row],[UVID]]="","",VLOOKUP(TInspectieE[[#This Row],[UVID]],TInventE[],2,FALSE))</f>
        <v/>
      </c>
      <c r="C114" s="365" t="str">
        <f>IF(TInspectieE[[#This Row],[UVID]]="","",VLOOKUP(TInspectieE[[#This Row],[UVID]],TInventE[],11,FALSE))</f>
        <v/>
      </c>
      <c r="D114" s="411" t="str">
        <f>IF(TInspectieE[[#This Row],[UVID]]="","",VLOOKUP(TInspectieE[[#This Row],[UVID]],TInventE[],3,FALSE))</f>
        <v/>
      </c>
      <c r="E114" s="338" t="str">
        <f>IF(TInspectieE[[#This Row],[Omschrijving bouwdeel]]="","",IF(ISEVEN(ROW()),"O","E"))</f>
        <v/>
      </c>
      <c r="F114" s="412"/>
      <c r="G114" s="413" t="str">
        <f>IF(ISBLANK(TInspectieE[[#This Row],[Soort gebrek]]),"",VLOOKUP(TInspectieE[[#This Row],[Soort gebrek]],TSoortGebrek[#Data],3,FALSE))</f>
        <v/>
      </c>
      <c r="H114" s="413" t="str">
        <f>IF(ISBLANK(TInspectieE[[#This Row],[Soort gebrek]]),"",VLOOKUP(TInspectieE[[#This Row],[Soort gebrek]],TSoortGebrek[#Data],2,FALSE))</f>
        <v/>
      </c>
      <c r="I114" s="413" t="str">
        <f>IF(TInspectieE[[#This Row],[Soort gebrek]]=0,"",VLOOKUP(TInspectieE[[#This Row],[Soort gebrek]],TSoortGebrek[],4,FALSE))</f>
        <v/>
      </c>
      <c r="J114" s="425"/>
      <c r="K114" s="415" t="str">
        <f>IF(TInspectieE[[#This Row],[Soort gebrek]]=0,"",VLOOKUP(TInspectieE[[#This Row],[Combi]],TPrio[#Data],2,FALSE))</f>
        <v/>
      </c>
      <c r="L114" s="339"/>
      <c r="M114" s="416" t="str">
        <f>IF(ISBLANK(TInspectieE[[#This Row],[Gebrek nr.]]),"",TInspectieE[[#This Row],[UVID]]&amp;"-"&amp;TInspectieE[[#This Row],[Gebrek nr.]])</f>
        <v/>
      </c>
      <c r="N114" s="417"/>
      <c r="O114" s="418"/>
      <c r="P114" s="206"/>
      <c r="Q114" s="193"/>
      <c r="R114" s="193" t="str">
        <f>IF(OR(TInspectieE[[#This Row],[Duurzaamheid bijdrage]]="Voldoet niet aan DZH-lijn",TInspectieE[[#This Row],[Duurzaamheid bijdrage]]="Voldoet niet aan vigerende W&amp;R"),"Voldoet niet","Voldoet")</f>
        <v>Voldoet</v>
      </c>
      <c r="S114" s="206"/>
      <c r="T114" s="206"/>
      <c r="U114" s="206"/>
      <c r="V114" s="206"/>
      <c r="W114" s="206"/>
      <c r="X114" s="419"/>
      <c r="Y114" s="340"/>
      <c r="Z114" s="420"/>
      <c r="AA114" s="421" t="str">
        <f>IF(ISBLANK(TInspectieE[[#This Row],[Aantal]]),"",ROUND(TInspectieE[[#This Row],[Kengetal]]*TInspectieE[[#This Row],[Aantal]],-1))</f>
        <v/>
      </c>
      <c r="AB114" s="422" t="str">
        <f>IF(TInspectieE[[#This Row],[Vak-groep]]="","1",VLOOKUP(C114,$J$2:$K$7,2,FALSE))</f>
        <v>1</v>
      </c>
      <c r="AC114" s="423" t="str">
        <f>CONCATENATE(TInspectieE[[#This Row],[Soort gebrek]],TInspectieE[[#This Row],[Trede]])</f>
        <v>1</v>
      </c>
      <c r="AD114" s="413" t="e">
        <v>#N/A</v>
      </c>
      <c r="AE114" s="413" t="e">
        <v>#N/A</v>
      </c>
      <c r="AF114" s="424">
        <v>0</v>
      </c>
    </row>
    <row r="115" spans="1:32" ht="10.5" x14ac:dyDescent="0.25">
      <c r="A115" s="337" t="str" cm="1">
        <f t="array" ref="A115">IFERROR(INDEX(TInventE[UVID],ROUNDDOWN((ROW(A106)+1)/2,0)),"")</f>
        <v/>
      </c>
      <c r="B115" s="410" t="str">
        <f>IF(TInspectieE[[#This Row],[UVID]]="","",VLOOKUP(TInspectieE[[#This Row],[UVID]],TInventE[],2,FALSE))</f>
        <v/>
      </c>
      <c r="C115" s="365" t="str">
        <f>IF(TInspectieE[[#This Row],[UVID]]="","",VLOOKUP(TInspectieE[[#This Row],[UVID]],TInventE[],11,FALSE))</f>
        <v/>
      </c>
      <c r="D115" s="411" t="str">
        <f>IF(TInspectieE[[#This Row],[UVID]]="","",VLOOKUP(TInspectieE[[#This Row],[UVID]],TInventE[],3,FALSE))</f>
        <v/>
      </c>
      <c r="E115" s="338" t="str">
        <f>IF(TInspectieE[[#This Row],[Omschrijving bouwdeel]]="","",IF(ISEVEN(ROW()),"O","E"))</f>
        <v/>
      </c>
      <c r="F115" s="412"/>
      <c r="G115" s="413" t="str">
        <f>IF(ISBLANK(TInspectieE[[#This Row],[Soort gebrek]]),"",VLOOKUP(TInspectieE[[#This Row],[Soort gebrek]],TSoortGebrek[#Data],3,FALSE))</f>
        <v/>
      </c>
      <c r="H115" s="413" t="str">
        <f>IF(ISBLANK(TInspectieE[[#This Row],[Soort gebrek]]),"",VLOOKUP(TInspectieE[[#This Row],[Soort gebrek]],TSoortGebrek[#Data],2,FALSE))</f>
        <v/>
      </c>
      <c r="I115" s="413" t="str">
        <f>IF(TInspectieE[[#This Row],[Soort gebrek]]=0,"",VLOOKUP(TInspectieE[[#This Row],[Soort gebrek]],TSoortGebrek[],4,FALSE))</f>
        <v/>
      </c>
      <c r="J115" s="425"/>
      <c r="K115" s="415" t="str">
        <f>IF(TInspectieE[[#This Row],[Soort gebrek]]=0,"",VLOOKUP(TInspectieE[[#This Row],[Combi]],TPrio[#Data],2,FALSE))</f>
        <v/>
      </c>
      <c r="L115" s="339"/>
      <c r="M115" s="416" t="str">
        <f>IF(ISBLANK(TInspectieE[[#This Row],[Gebrek nr.]]),"",TInspectieE[[#This Row],[UVID]]&amp;"-"&amp;TInspectieE[[#This Row],[Gebrek nr.]])</f>
        <v/>
      </c>
      <c r="N115" s="417"/>
      <c r="O115" s="418"/>
      <c r="P115" s="206"/>
      <c r="Q115" s="193"/>
      <c r="R115" s="193" t="str">
        <f>IF(OR(TInspectieE[[#This Row],[Duurzaamheid bijdrage]]="Voldoet niet aan DZH-lijn",TInspectieE[[#This Row],[Duurzaamheid bijdrage]]="Voldoet niet aan vigerende W&amp;R"),"Voldoet niet","Voldoet")</f>
        <v>Voldoet</v>
      </c>
      <c r="S115" s="206"/>
      <c r="T115" s="206"/>
      <c r="U115" s="206"/>
      <c r="V115" s="206"/>
      <c r="W115" s="206"/>
      <c r="X115" s="419"/>
      <c r="Y115" s="340"/>
      <c r="Z115" s="420"/>
      <c r="AA115" s="421" t="str">
        <f>IF(ISBLANK(TInspectieE[[#This Row],[Aantal]]),"",ROUND(TInspectieE[[#This Row],[Kengetal]]*TInspectieE[[#This Row],[Aantal]],-1))</f>
        <v/>
      </c>
      <c r="AB115" s="422" t="str">
        <f>IF(TInspectieE[[#This Row],[Vak-groep]]="","1",VLOOKUP(C115,$J$2:$K$7,2,FALSE))</f>
        <v>1</v>
      </c>
      <c r="AC115" s="423" t="str">
        <f>CONCATENATE(TInspectieE[[#This Row],[Soort gebrek]],TInspectieE[[#This Row],[Trede]])</f>
        <v>1</v>
      </c>
      <c r="AD115" s="413" t="e">
        <v>#N/A</v>
      </c>
      <c r="AE115" s="413" t="e">
        <v>#N/A</v>
      </c>
      <c r="AF115" s="424">
        <v>0</v>
      </c>
    </row>
    <row r="116" spans="1:32" ht="10.5" x14ac:dyDescent="0.25">
      <c r="A116" s="337" t="str" cm="1">
        <f t="array" ref="A116">IFERROR(INDEX(TInventE[UVID],ROUNDDOWN((ROW(A107)+1)/2,0)),"")</f>
        <v/>
      </c>
      <c r="B116" s="410" t="str">
        <f>IF(TInspectieE[[#This Row],[UVID]]="","",VLOOKUP(TInspectieE[[#This Row],[UVID]],TInventE[],2,FALSE))</f>
        <v/>
      </c>
      <c r="C116" s="365" t="str">
        <f>IF(TInspectieE[[#This Row],[UVID]]="","",VLOOKUP(TInspectieE[[#This Row],[UVID]],TInventE[],11,FALSE))</f>
        <v/>
      </c>
      <c r="D116" s="411" t="str">
        <f>IF(TInspectieE[[#This Row],[UVID]]="","",VLOOKUP(TInspectieE[[#This Row],[UVID]],TInventE[],3,FALSE))</f>
        <v/>
      </c>
      <c r="E116" s="338" t="str">
        <f>IF(TInspectieE[[#This Row],[Omschrijving bouwdeel]]="","",IF(ISEVEN(ROW()),"O","E"))</f>
        <v/>
      </c>
      <c r="F116" s="412"/>
      <c r="G116" s="413" t="str">
        <f>IF(ISBLANK(TInspectieE[[#This Row],[Soort gebrek]]),"",VLOOKUP(TInspectieE[[#This Row],[Soort gebrek]],TSoortGebrek[#Data],3,FALSE))</f>
        <v/>
      </c>
      <c r="H116" s="413" t="str">
        <f>IF(ISBLANK(TInspectieE[[#This Row],[Soort gebrek]]),"",VLOOKUP(TInspectieE[[#This Row],[Soort gebrek]],TSoortGebrek[#Data],2,FALSE))</f>
        <v/>
      </c>
      <c r="I116" s="413" t="str">
        <f>IF(TInspectieE[[#This Row],[Soort gebrek]]=0,"",VLOOKUP(TInspectieE[[#This Row],[Soort gebrek]],TSoortGebrek[],4,FALSE))</f>
        <v/>
      </c>
      <c r="J116" s="425"/>
      <c r="K116" s="415" t="str">
        <f>IF(TInspectieE[[#This Row],[Soort gebrek]]=0,"",VLOOKUP(TInspectieE[[#This Row],[Combi]],TPrio[#Data],2,FALSE))</f>
        <v/>
      </c>
      <c r="L116" s="339"/>
      <c r="M116" s="416" t="str">
        <f>IF(ISBLANK(TInspectieE[[#This Row],[Gebrek nr.]]),"",TInspectieE[[#This Row],[UVID]]&amp;"-"&amp;TInspectieE[[#This Row],[Gebrek nr.]])</f>
        <v/>
      </c>
      <c r="N116" s="417"/>
      <c r="O116" s="418"/>
      <c r="P116" s="206"/>
      <c r="Q116" s="193"/>
      <c r="R116" s="193" t="str">
        <f>IF(OR(TInspectieE[[#This Row],[Duurzaamheid bijdrage]]="Voldoet niet aan DZH-lijn",TInspectieE[[#This Row],[Duurzaamheid bijdrage]]="Voldoet niet aan vigerende W&amp;R"),"Voldoet niet","Voldoet")</f>
        <v>Voldoet</v>
      </c>
      <c r="S116" s="206"/>
      <c r="T116" s="206"/>
      <c r="U116" s="206"/>
      <c r="V116" s="206"/>
      <c r="W116" s="206"/>
      <c r="X116" s="419"/>
      <c r="Y116" s="340"/>
      <c r="Z116" s="420"/>
      <c r="AA116" s="421" t="str">
        <f>IF(ISBLANK(TInspectieE[[#This Row],[Aantal]]),"",ROUND(TInspectieE[[#This Row],[Kengetal]]*TInspectieE[[#This Row],[Aantal]],-1))</f>
        <v/>
      </c>
      <c r="AB116" s="422" t="str">
        <f>IF(TInspectieE[[#This Row],[Vak-groep]]="","1",VLOOKUP(C116,$J$2:$K$7,2,FALSE))</f>
        <v>1</v>
      </c>
      <c r="AC116" s="423" t="str">
        <f>CONCATENATE(TInspectieE[[#This Row],[Soort gebrek]],TInspectieE[[#This Row],[Trede]])</f>
        <v>1</v>
      </c>
      <c r="AD116" s="413" t="e">
        <v>#N/A</v>
      </c>
      <c r="AE116" s="413" t="e">
        <v>#N/A</v>
      </c>
      <c r="AF116" s="424">
        <v>0</v>
      </c>
    </row>
    <row r="117" spans="1:32" ht="10.5" x14ac:dyDescent="0.25">
      <c r="A117" s="337" t="str" cm="1">
        <f t="array" ref="A117">IFERROR(INDEX(TInventE[UVID],ROUNDDOWN((ROW(A108)+1)/2,0)),"")</f>
        <v/>
      </c>
      <c r="B117" s="410" t="str">
        <f>IF(TInspectieE[[#This Row],[UVID]]="","",VLOOKUP(TInspectieE[[#This Row],[UVID]],TInventE[],2,FALSE))</f>
        <v/>
      </c>
      <c r="C117" s="365" t="str">
        <f>IF(TInspectieE[[#This Row],[UVID]]="","",VLOOKUP(TInspectieE[[#This Row],[UVID]],TInventE[],11,FALSE))</f>
        <v/>
      </c>
      <c r="D117" s="411" t="str">
        <f>IF(TInspectieE[[#This Row],[UVID]]="","",VLOOKUP(TInspectieE[[#This Row],[UVID]],TInventE[],3,FALSE))</f>
        <v/>
      </c>
      <c r="E117" s="338" t="str">
        <f>IF(TInspectieE[[#This Row],[Omschrijving bouwdeel]]="","",IF(ISEVEN(ROW()),"O","E"))</f>
        <v/>
      </c>
      <c r="F117" s="412"/>
      <c r="G117" s="413" t="str">
        <f>IF(ISBLANK(TInspectieE[[#This Row],[Soort gebrek]]),"",VLOOKUP(TInspectieE[[#This Row],[Soort gebrek]],TSoortGebrek[#Data],3,FALSE))</f>
        <v/>
      </c>
      <c r="H117" s="413" t="str">
        <f>IF(ISBLANK(TInspectieE[[#This Row],[Soort gebrek]]),"",VLOOKUP(TInspectieE[[#This Row],[Soort gebrek]],TSoortGebrek[#Data],2,FALSE))</f>
        <v/>
      </c>
      <c r="I117" s="413" t="str">
        <f>IF(TInspectieE[[#This Row],[Soort gebrek]]=0,"",VLOOKUP(TInspectieE[[#This Row],[Soort gebrek]],TSoortGebrek[],4,FALSE))</f>
        <v/>
      </c>
      <c r="J117" s="425"/>
      <c r="K117" s="415" t="str">
        <f>IF(TInspectieE[[#This Row],[Soort gebrek]]=0,"",VLOOKUP(TInspectieE[[#This Row],[Combi]],TPrio[#Data],2,FALSE))</f>
        <v/>
      </c>
      <c r="L117" s="339"/>
      <c r="M117" s="416" t="str">
        <f>IF(ISBLANK(TInspectieE[[#This Row],[Gebrek nr.]]),"",TInspectieE[[#This Row],[UVID]]&amp;"-"&amp;TInspectieE[[#This Row],[Gebrek nr.]])</f>
        <v/>
      </c>
      <c r="N117" s="417"/>
      <c r="O117" s="418"/>
      <c r="P117" s="206"/>
      <c r="Q117" s="193"/>
      <c r="R117" s="193" t="str">
        <f>IF(OR(TInspectieE[[#This Row],[Duurzaamheid bijdrage]]="Voldoet niet aan DZH-lijn",TInspectieE[[#This Row],[Duurzaamheid bijdrage]]="Voldoet niet aan vigerende W&amp;R"),"Voldoet niet","Voldoet")</f>
        <v>Voldoet</v>
      </c>
      <c r="S117" s="206"/>
      <c r="T117" s="206"/>
      <c r="U117" s="206"/>
      <c r="V117" s="206"/>
      <c r="W117" s="206"/>
      <c r="X117" s="419"/>
      <c r="Y117" s="340"/>
      <c r="Z117" s="420"/>
      <c r="AA117" s="421" t="str">
        <f>IF(ISBLANK(TInspectieE[[#This Row],[Aantal]]),"",ROUND(TInspectieE[[#This Row],[Kengetal]]*TInspectieE[[#This Row],[Aantal]],-1))</f>
        <v/>
      </c>
      <c r="AB117" s="422" t="str">
        <f>IF(TInspectieE[[#This Row],[Vak-groep]]="","1",VLOOKUP(C117,$J$2:$K$7,2,FALSE))</f>
        <v>1</v>
      </c>
      <c r="AC117" s="423" t="str">
        <f>CONCATENATE(TInspectieE[[#This Row],[Soort gebrek]],TInspectieE[[#This Row],[Trede]])</f>
        <v>1</v>
      </c>
      <c r="AD117" s="413" t="e">
        <v>#N/A</v>
      </c>
      <c r="AE117" s="413" t="e">
        <v>#N/A</v>
      </c>
      <c r="AF117" s="424">
        <v>0</v>
      </c>
    </row>
    <row r="118" spans="1:32" ht="10.5" x14ac:dyDescent="0.25">
      <c r="A118" s="337" t="str" cm="1">
        <f t="array" ref="A118">IFERROR(INDEX(TInventE[UVID],ROUNDDOWN((ROW(A109)+1)/2,0)),"")</f>
        <v/>
      </c>
      <c r="B118" s="410" t="str">
        <f>IF(TInspectieE[[#This Row],[UVID]]="","",VLOOKUP(TInspectieE[[#This Row],[UVID]],TInventE[],2,FALSE))</f>
        <v/>
      </c>
      <c r="C118" s="365" t="str">
        <f>IF(TInspectieE[[#This Row],[UVID]]="","",VLOOKUP(TInspectieE[[#This Row],[UVID]],TInventE[],11,FALSE))</f>
        <v/>
      </c>
      <c r="D118" s="411" t="str">
        <f>IF(TInspectieE[[#This Row],[UVID]]="","",VLOOKUP(TInspectieE[[#This Row],[UVID]],TInventE[],3,FALSE))</f>
        <v/>
      </c>
      <c r="E118" s="338" t="str">
        <f>IF(TInspectieE[[#This Row],[Omschrijving bouwdeel]]="","",IF(ISEVEN(ROW()),"O","E"))</f>
        <v/>
      </c>
      <c r="F118" s="412"/>
      <c r="G118" s="413" t="str">
        <f>IF(ISBLANK(TInspectieE[[#This Row],[Soort gebrek]]),"",VLOOKUP(TInspectieE[[#This Row],[Soort gebrek]],TSoortGebrek[#Data],3,FALSE))</f>
        <v/>
      </c>
      <c r="H118" s="413" t="str">
        <f>IF(ISBLANK(TInspectieE[[#This Row],[Soort gebrek]]),"",VLOOKUP(TInspectieE[[#This Row],[Soort gebrek]],TSoortGebrek[#Data],2,FALSE))</f>
        <v/>
      </c>
      <c r="I118" s="413" t="str">
        <f>IF(TInspectieE[[#This Row],[Soort gebrek]]=0,"",VLOOKUP(TInspectieE[[#This Row],[Soort gebrek]],TSoortGebrek[],4,FALSE))</f>
        <v/>
      </c>
      <c r="J118" s="425"/>
      <c r="K118" s="415" t="str">
        <f>IF(TInspectieE[[#This Row],[Soort gebrek]]=0,"",VLOOKUP(TInspectieE[[#This Row],[Combi]],TPrio[#Data],2,FALSE))</f>
        <v/>
      </c>
      <c r="L118" s="339"/>
      <c r="M118" s="416" t="str">
        <f>IF(ISBLANK(TInspectieE[[#This Row],[Gebrek nr.]]),"",TInspectieE[[#This Row],[UVID]]&amp;"-"&amp;TInspectieE[[#This Row],[Gebrek nr.]])</f>
        <v/>
      </c>
      <c r="N118" s="417"/>
      <c r="O118" s="418"/>
      <c r="P118" s="206"/>
      <c r="Q118" s="193"/>
      <c r="R118" s="193" t="str">
        <f>IF(OR(TInspectieE[[#This Row],[Duurzaamheid bijdrage]]="Voldoet niet aan DZH-lijn",TInspectieE[[#This Row],[Duurzaamheid bijdrage]]="Voldoet niet aan vigerende W&amp;R"),"Voldoet niet","Voldoet")</f>
        <v>Voldoet</v>
      </c>
      <c r="S118" s="206"/>
      <c r="T118" s="206"/>
      <c r="U118" s="206"/>
      <c r="V118" s="206"/>
      <c r="W118" s="206"/>
      <c r="X118" s="419"/>
      <c r="Y118" s="340"/>
      <c r="Z118" s="420"/>
      <c r="AA118" s="421" t="str">
        <f>IF(ISBLANK(TInspectieE[[#This Row],[Aantal]]),"",ROUND(TInspectieE[[#This Row],[Kengetal]]*TInspectieE[[#This Row],[Aantal]],-1))</f>
        <v/>
      </c>
      <c r="AB118" s="422" t="str">
        <f>IF(TInspectieE[[#This Row],[Vak-groep]]="","1",VLOOKUP(C118,$J$2:$K$7,2,FALSE))</f>
        <v>1</v>
      </c>
      <c r="AC118" s="423" t="str">
        <f>CONCATENATE(TInspectieE[[#This Row],[Soort gebrek]],TInspectieE[[#This Row],[Trede]])</f>
        <v>1</v>
      </c>
      <c r="AD118" s="413" t="e">
        <v>#N/A</v>
      </c>
      <c r="AE118" s="413" t="e">
        <v>#N/A</v>
      </c>
      <c r="AF118" s="424">
        <v>0</v>
      </c>
    </row>
    <row r="119" spans="1:32" ht="10.5" x14ac:dyDescent="0.25">
      <c r="A119" s="337" t="str" cm="1">
        <f t="array" ref="A119">IFERROR(INDEX(TInventE[UVID],ROUNDDOWN((ROW(A110)+1)/2,0)),"")</f>
        <v/>
      </c>
      <c r="B119" s="410" t="str">
        <f>IF(TInspectieE[[#This Row],[UVID]]="","",VLOOKUP(TInspectieE[[#This Row],[UVID]],TInventE[],2,FALSE))</f>
        <v/>
      </c>
      <c r="C119" s="365" t="str">
        <f>IF(TInspectieE[[#This Row],[UVID]]="","",VLOOKUP(TInspectieE[[#This Row],[UVID]],TInventE[],11,FALSE))</f>
        <v/>
      </c>
      <c r="D119" s="411" t="str">
        <f>IF(TInspectieE[[#This Row],[UVID]]="","",VLOOKUP(TInspectieE[[#This Row],[UVID]],TInventE[],3,FALSE))</f>
        <v/>
      </c>
      <c r="E119" s="338" t="str">
        <f>IF(TInspectieE[[#This Row],[Omschrijving bouwdeel]]="","",IF(ISEVEN(ROW()),"O","E"))</f>
        <v/>
      </c>
      <c r="F119" s="412"/>
      <c r="G119" s="413" t="str">
        <f>IF(ISBLANK(TInspectieE[[#This Row],[Soort gebrek]]),"",VLOOKUP(TInspectieE[[#This Row],[Soort gebrek]],TSoortGebrek[#Data],3,FALSE))</f>
        <v/>
      </c>
      <c r="H119" s="413" t="str">
        <f>IF(ISBLANK(TInspectieE[[#This Row],[Soort gebrek]]),"",VLOOKUP(TInspectieE[[#This Row],[Soort gebrek]],TSoortGebrek[#Data],2,FALSE))</f>
        <v/>
      </c>
      <c r="I119" s="413" t="str">
        <f>IF(TInspectieE[[#This Row],[Soort gebrek]]=0,"",VLOOKUP(TInspectieE[[#This Row],[Soort gebrek]],TSoortGebrek[],4,FALSE))</f>
        <v/>
      </c>
      <c r="J119" s="425"/>
      <c r="K119" s="415" t="str">
        <f>IF(TInspectieE[[#This Row],[Soort gebrek]]=0,"",VLOOKUP(TInspectieE[[#This Row],[Combi]],TPrio[#Data],2,FALSE))</f>
        <v/>
      </c>
      <c r="L119" s="339"/>
      <c r="M119" s="416" t="str">
        <f>IF(ISBLANK(TInspectieE[[#This Row],[Gebrek nr.]]),"",TInspectieE[[#This Row],[UVID]]&amp;"-"&amp;TInspectieE[[#This Row],[Gebrek nr.]])</f>
        <v/>
      </c>
      <c r="N119" s="417"/>
      <c r="O119" s="418"/>
      <c r="P119" s="206"/>
      <c r="Q119" s="193"/>
      <c r="R119" s="193" t="str">
        <f>IF(OR(TInspectieE[[#This Row],[Duurzaamheid bijdrage]]="Voldoet niet aan DZH-lijn",TInspectieE[[#This Row],[Duurzaamheid bijdrage]]="Voldoet niet aan vigerende W&amp;R"),"Voldoet niet","Voldoet")</f>
        <v>Voldoet</v>
      </c>
      <c r="S119" s="206"/>
      <c r="T119" s="206"/>
      <c r="U119" s="206"/>
      <c r="V119" s="206"/>
      <c r="W119" s="206"/>
      <c r="X119" s="419"/>
      <c r="Y119" s="340"/>
      <c r="Z119" s="420"/>
      <c r="AA119" s="421" t="str">
        <f>IF(ISBLANK(TInspectieE[[#This Row],[Aantal]]),"",ROUND(TInspectieE[[#This Row],[Kengetal]]*TInspectieE[[#This Row],[Aantal]],-1))</f>
        <v/>
      </c>
      <c r="AB119" s="422" t="str">
        <f>IF(TInspectieE[[#This Row],[Vak-groep]]="","1",VLOOKUP(C119,$J$2:$K$7,2,FALSE))</f>
        <v>1</v>
      </c>
      <c r="AC119" s="423" t="str">
        <f>CONCATENATE(TInspectieE[[#This Row],[Soort gebrek]],TInspectieE[[#This Row],[Trede]])</f>
        <v>1</v>
      </c>
      <c r="AD119" s="413" t="e">
        <v>#N/A</v>
      </c>
      <c r="AE119" s="413" t="e">
        <v>#N/A</v>
      </c>
      <c r="AF119" s="424">
        <v>0</v>
      </c>
    </row>
    <row r="120" spans="1:32" ht="10.5" x14ac:dyDescent="0.25">
      <c r="A120" s="337" t="str" cm="1">
        <f t="array" ref="A120">IFERROR(INDEX(TInventE[UVID],ROUNDDOWN((ROW(A111)+1)/2,0)),"")</f>
        <v/>
      </c>
      <c r="B120" s="410" t="str">
        <f>IF(TInspectieE[[#This Row],[UVID]]="","",VLOOKUP(TInspectieE[[#This Row],[UVID]],TInventE[],2,FALSE))</f>
        <v/>
      </c>
      <c r="C120" s="365" t="str">
        <f>IF(TInspectieE[[#This Row],[UVID]]="","",VLOOKUP(TInspectieE[[#This Row],[UVID]],TInventE[],11,FALSE))</f>
        <v/>
      </c>
      <c r="D120" s="411" t="str">
        <f>IF(TInspectieE[[#This Row],[UVID]]="","",VLOOKUP(TInspectieE[[#This Row],[UVID]],TInventE[],3,FALSE))</f>
        <v/>
      </c>
      <c r="E120" s="338" t="str">
        <f>IF(TInspectieE[[#This Row],[Omschrijving bouwdeel]]="","",IF(ISEVEN(ROW()),"O","E"))</f>
        <v/>
      </c>
      <c r="F120" s="412"/>
      <c r="G120" s="413" t="str">
        <f>IF(ISBLANK(TInspectieE[[#This Row],[Soort gebrek]]),"",VLOOKUP(TInspectieE[[#This Row],[Soort gebrek]],TSoortGebrek[#Data],3,FALSE))</f>
        <v/>
      </c>
      <c r="H120" s="413" t="str">
        <f>IF(ISBLANK(TInspectieE[[#This Row],[Soort gebrek]]),"",VLOOKUP(TInspectieE[[#This Row],[Soort gebrek]],TSoortGebrek[#Data],2,FALSE))</f>
        <v/>
      </c>
      <c r="I120" s="413" t="str">
        <f>IF(TInspectieE[[#This Row],[Soort gebrek]]=0,"",VLOOKUP(TInspectieE[[#This Row],[Soort gebrek]],TSoortGebrek[],4,FALSE))</f>
        <v/>
      </c>
      <c r="J120" s="425"/>
      <c r="K120" s="415" t="str">
        <f>IF(TInspectieE[[#This Row],[Soort gebrek]]=0,"",VLOOKUP(TInspectieE[[#This Row],[Combi]],TPrio[#Data],2,FALSE))</f>
        <v/>
      </c>
      <c r="L120" s="339"/>
      <c r="M120" s="416" t="str">
        <f>IF(ISBLANK(TInspectieE[[#This Row],[Gebrek nr.]]),"",TInspectieE[[#This Row],[UVID]]&amp;"-"&amp;TInspectieE[[#This Row],[Gebrek nr.]])</f>
        <v/>
      </c>
      <c r="N120" s="417"/>
      <c r="O120" s="418"/>
      <c r="P120" s="206"/>
      <c r="Q120" s="193"/>
      <c r="R120" s="193" t="str">
        <f>IF(OR(TInspectieE[[#This Row],[Duurzaamheid bijdrage]]="Voldoet niet aan DZH-lijn",TInspectieE[[#This Row],[Duurzaamheid bijdrage]]="Voldoet niet aan vigerende W&amp;R"),"Voldoet niet","Voldoet")</f>
        <v>Voldoet</v>
      </c>
      <c r="S120" s="206"/>
      <c r="T120" s="206"/>
      <c r="U120" s="206"/>
      <c r="V120" s="206"/>
      <c r="W120" s="206"/>
      <c r="X120" s="419"/>
      <c r="Y120" s="340"/>
      <c r="Z120" s="420"/>
      <c r="AA120" s="421" t="str">
        <f>IF(ISBLANK(TInspectieE[[#This Row],[Aantal]]),"",ROUND(TInspectieE[[#This Row],[Kengetal]]*TInspectieE[[#This Row],[Aantal]],-1))</f>
        <v/>
      </c>
      <c r="AB120" s="422" t="str">
        <f>IF(TInspectieE[[#This Row],[Vak-groep]]="","1",VLOOKUP(C120,$J$2:$K$7,2,FALSE))</f>
        <v>1</v>
      </c>
      <c r="AC120" s="423" t="str">
        <f>CONCATENATE(TInspectieE[[#This Row],[Soort gebrek]],TInspectieE[[#This Row],[Trede]])</f>
        <v>1</v>
      </c>
      <c r="AD120" s="413" t="e">
        <v>#N/A</v>
      </c>
      <c r="AE120" s="413" t="e">
        <v>#N/A</v>
      </c>
      <c r="AF120" s="424">
        <v>0</v>
      </c>
    </row>
    <row r="121" spans="1:32" ht="10.5" x14ac:dyDescent="0.25">
      <c r="A121" s="337" t="str" cm="1">
        <f t="array" ref="A121">IFERROR(INDEX(TInventE[UVID],ROUNDDOWN((ROW(A112)+1)/2,0)),"")</f>
        <v/>
      </c>
      <c r="B121" s="410" t="str">
        <f>IF(TInspectieE[[#This Row],[UVID]]="","",VLOOKUP(TInspectieE[[#This Row],[UVID]],TInventE[],2,FALSE))</f>
        <v/>
      </c>
      <c r="C121" s="365" t="str">
        <f>IF(TInspectieE[[#This Row],[UVID]]="","",VLOOKUP(TInspectieE[[#This Row],[UVID]],TInventE[],11,FALSE))</f>
        <v/>
      </c>
      <c r="D121" s="411" t="str">
        <f>IF(TInspectieE[[#This Row],[UVID]]="","",VLOOKUP(TInspectieE[[#This Row],[UVID]],TInventE[],3,FALSE))</f>
        <v/>
      </c>
      <c r="E121" s="338" t="str">
        <f>IF(TInspectieE[[#This Row],[Omschrijving bouwdeel]]="","",IF(ISEVEN(ROW()),"O","E"))</f>
        <v/>
      </c>
      <c r="F121" s="412"/>
      <c r="G121" s="413" t="str">
        <f>IF(ISBLANK(TInspectieE[[#This Row],[Soort gebrek]]),"",VLOOKUP(TInspectieE[[#This Row],[Soort gebrek]],TSoortGebrek[#Data],3,FALSE))</f>
        <v/>
      </c>
      <c r="H121" s="413" t="str">
        <f>IF(ISBLANK(TInspectieE[[#This Row],[Soort gebrek]]),"",VLOOKUP(TInspectieE[[#This Row],[Soort gebrek]],TSoortGebrek[#Data],2,FALSE))</f>
        <v/>
      </c>
      <c r="I121" s="413" t="str">
        <f>IF(TInspectieE[[#This Row],[Soort gebrek]]=0,"",VLOOKUP(TInspectieE[[#This Row],[Soort gebrek]],TSoortGebrek[],4,FALSE))</f>
        <v/>
      </c>
      <c r="J121" s="425"/>
      <c r="K121" s="415" t="str">
        <f>IF(TInspectieE[[#This Row],[Soort gebrek]]=0,"",VLOOKUP(TInspectieE[[#This Row],[Combi]],TPrio[#Data],2,FALSE))</f>
        <v/>
      </c>
      <c r="L121" s="339"/>
      <c r="M121" s="416" t="str">
        <f>IF(ISBLANK(TInspectieE[[#This Row],[Gebrek nr.]]),"",TInspectieE[[#This Row],[UVID]]&amp;"-"&amp;TInspectieE[[#This Row],[Gebrek nr.]])</f>
        <v/>
      </c>
      <c r="N121" s="417"/>
      <c r="O121" s="418"/>
      <c r="P121" s="206"/>
      <c r="Q121" s="193"/>
      <c r="R121" s="193" t="str">
        <f>IF(OR(TInspectieE[[#This Row],[Duurzaamheid bijdrage]]="Voldoet niet aan DZH-lijn",TInspectieE[[#This Row],[Duurzaamheid bijdrage]]="Voldoet niet aan vigerende W&amp;R"),"Voldoet niet","Voldoet")</f>
        <v>Voldoet</v>
      </c>
      <c r="S121" s="206"/>
      <c r="T121" s="206"/>
      <c r="U121" s="206"/>
      <c r="V121" s="206"/>
      <c r="W121" s="206"/>
      <c r="X121" s="419"/>
      <c r="Y121" s="340"/>
      <c r="Z121" s="420"/>
      <c r="AA121" s="421" t="str">
        <f>IF(ISBLANK(TInspectieE[[#This Row],[Aantal]]),"",ROUND(TInspectieE[[#This Row],[Kengetal]]*TInspectieE[[#This Row],[Aantal]],-1))</f>
        <v/>
      </c>
      <c r="AB121" s="422" t="str">
        <f>IF(TInspectieE[[#This Row],[Vak-groep]]="","1",VLOOKUP(C121,$J$2:$K$7,2,FALSE))</f>
        <v>1</v>
      </c>
      <c r="AC121" s="423" t="str">
        <f>CONCATENATE(TInspectieE[[#This Row],[Soort gebrek]],TInspectieE[[#This Row],[Trede]])</f>
        <v>1</v>
      </c>
      <c r="AD121" s="413" t="e">
        <v>#N/A</v>
      </c>
      <c r="AE121" s="413" t="e">
        <v>#N/A</v>
      </c>
      <c r="AF121" s="424">
        <v>0</v>
      </c>
    </row>
    <row r="122" spans="1:32" ht="10.5" x14ac:dyDescent="0.25">
      <c r="A122" s="337" t="str" cm="1">
        <f t="array" ref="A122">IFERROR(INDEX(TInventE[UVID],ROUNDDOWN((ROW(A113)+1)/2,0)),"")</f>
        <v/>
      </c>
      <c r="B122" s="410" t="str">
        <f>IF(TInspectieE[[#This Row],[UVID]]="","",VLOOKUP(TInspectieE[[#This Row],[UVID]],TInventE[],2,FALSE))</f>
        <v/>
      </c>
      <c r="C122" s="365" t="str">
        <f>IF(TInspectieE[[#This Row],[UVID]]="","",VLOOKUP(TInspectieE[[#This Row],[UVID]],TInventE[],11,FALSE))</f>
        <v/>
      </c>
      <c r="D122" s="411" t="str">
        <f>IF(TInspectieE[[#This Row],[UVID]]="","",VLOOKUP(TInspectieE[[#This Row],[UVID]],TInventE[],3,FALSE))</f>
        <v/>
      </c>
      <c r="E122" s="338" t="str">
        <f>IF(TInspectieE[[#This Row],[Omschrijving bouwdeel]]="","",IF(ISEVEN(ROW()),"O","E"))</f>
        <v/>
      </c>
      <c r="F122" s="412"/>
      <c r="G122" s="413" t="str">
        <f>IF(ISBLANK(TInspectieE[[#This Row],[Soort gebrek]]),"",VLOOKUP(TInspectieE[[#This Row],[Soort gebrek]],TSoortGebrek[#Data],3,FALSE))</f>
        <v/>
      </c>
      <c r="H122" s="413" t="str">
        <f>IF(ISBLANK(TInspectieE[[#This Row],[Soort gebrek]]),"",VLOOKUP(TInspectieE[[#This Row],[Soort gebrek]],TSoortGebrek[#Data],2,FALSE))</f>
        <v/>
      </c>
      <c r="I122" s="413" t="str">
        <f>IF(TInspectieE[[#This Row],[Soort gebrek]]=0,"",VLOOKUP(TInspectieE[[#This Row],[Soort gebrek]],TSoortGebrek[],4,FALSE))</f>
        <v/>
      </c>
      <c r="J122" s="425"/>
      <c r="K122" s="415" t="str">
        <f>IF(TInspectieE[[#This Row],[Soort gebrek]]=0,"",VLOOKUP(TInspectieE[[#This Row],[Combi]],TPrio[#Data],2,FALSE))</f>
        <v/>
      </c>
      <c r="L122" s="339"/>
      <c r="M122" s="416" t="str">
        <f>IF(ISBLANK(TInspectieE[[#This Row],[Gebrek nr.]]),"",TInspectieE[[#This Row],[UVID]]&amp;"-"&amp;TInspectieE[[#This Row],[Gebrek nr.]])</f>
        <v/>
      </c>
      <c r="N122" s="417"/>
      <c r="O122" s="418"/>
      <c r="P122" s="206"/>
      <c r="Q122" s="193"/>
      <c r="R122" s="193" t="str">
        <f>IF(OR(TInspectieE[[#This Row],[Duurzaamheid bijdrage]]="Voldoet niet aan DZH-lijn",TInspectieE[[#This Row],[Duurzaamheid bijdrage]]="Voldoet niet aan vigerende W&amp;R"),"Voldoet niet","Voldoet")</f>
        <v>Voldoet</v>
      </c>
      <c r="S122" s="206"/>
      <c r="T122" s="206"/>
      <c r="U122" s="206"/>
      <c r="V122" s="206"/>
      <c r="W122" s="206"/>
      <c r="X122" s="419"/>
      <c r="Y122" s="340"/>
      <c r="Z122" s="420"/>
      <c r="AA122" s="421" t="str">
        <f>IF(ISBLANK(TInspectieE[[#This Row],[Aantal]]),"",ROUND(TInspectieE[[#This Row],[Kengetal]]*TInspectieE[[#This Row],[Aantal]],-1))</f>
        <v/>
      </c>
      <c r="AB122" s="422" t="str">
        <f>IF(TInspectieE[[#This Row],[Vak-groep]]="","1",VLOOKUP(C122,$J$2:$K$7,2,FALSE))</f>
        <v>1</v>
      </c>
      <c r="AC122" s="423" t="str">
        <f>CONCATENATE(TInspectieE[[#This Row],[Soort gebrek]],TInspectieE[[#This Row],[Trede]])</f>
        <v>1</v>
      </c>
      <c r="AD122" s="413" t="e">
        <v>#N/A</v>
      </c>
      <c r="AE122" s="413" t="e">
        <v>#N/A</v>
      </c>
      <c r="AF122" s="424">
        <v>0</v>
      </c>
    </row>
    <row r="123" spans="1:32" ht="10.5" x14ac:dyDescent="0.25">
      <c r="A123" s="337" t="str" cm="1">
        <f t="array" ref="A123">IFERROR(INDEX(TInventE[UVID],ROUNDDOWN((ROW(A114)+1)/2,0)),"")</f>
        <v/>
      </c>
      <c r="B123" s="410" t="str">
        <f>IF(TInspectieE[[#This Row],[UVID]]="","",VLOOKUP(TInspectieE[[#This Row],[UVID]],TInventE[],2,FALSE))</f>
        <v/>
      </c>
      <c r="C123" s="365" t="str">
        <f>IF(TInspectieE[[#This Row],[UVID]]="","",VLOOKUP(TInspectieE[[#This Row],[UVID]],TInventE[],11,FALSE))</f>
        <v/>
      </c>
      <c r="D123" s="411" t="str">
        <f>IF(TInspectieE[[#This Row],[UVID]]="","",VLOOKUP(TInspectieE[[#This Row],[UVID]],TInventE[],3,FALSE))</f>
        <v/>
      </c>
      <c r="E123" s="338" t="str">
        <f>IF(TInspectieE[[#This Row],[Omschrijving bouwdeel]]="","",IF(ISEVEN(ROW()),"O","E"))</f>
        <v/>
      </c>
      <c r="F123" s="412"/>
      <c r="G123" s="413" t="str">
        <f>IF(ISBLANK(TInspectieE[[#This Row],[Soort gebrek]]),"",VLOOKUP(TInspectieE[[#This Row],[Soort gebrek]],TSoortGebrek[#Data],3,FALSE))</f>
        <v/>
      </c>
      <c r="H123" s="413" t="str">
        <f>IF(ISBLANK(TInspectieE[[#This Row],[Soort gebrek]]),"",VLOOKUP(TInspectieE[[#This Row],[Soort gebrek]],TSoortGebrek[#Data],2,FALSE))</f>
        <v/>
      </c>
      <c r="I123" s="413" t="str">
        <f>IF(TInspectieE[[#This Row],[Soort gebrek]]=0,"",VLOOKUP(TInspectieE[[#This Row],[Soort gebrek]],TSoortGebrek[],4,FALSE))</f>
        <v/>
      </c>
      <c r="J123" s="425"/>
      <c r="K123" s="415" t="str">
        <f>IF(TInspectieE[[#This Row],[Soort gebrek]]=0,"",VLOOKUP(TInspectieE[[#This Row],[Combi]],TPrio[#Data],2,FALSE))</f>
        <v/>
      </c>
      <c r="L123" s="339"/>
      <c r="M123" s="416" t="str">
        <f>IF(ISBLANK(TInspectieE[[#This Row],[Gebrek nr.]]),"",TInspectieE[[#This Row],[UVID]]&amp;"-"&amp;TInspectieE[[#This Row],[Gebrek nr.]])</f>
        <v/>
      </c>
      <c r="N123" s="417"/>
      <c r="O123" s="418"/>
      <c r="P123" s="206"/>
      <c r="Q123" s="193"/>
      <c r="R123" s="193" t="str">
        <f>IF(OR(TInspectieE[[#This Row],[Duurzaamheid bijdrage]]="Voldoet niet aan DZH-lijn",TInspectieE[[#This Row],[Duurzaamheid bijdrage]]="Voldoet niet aan vigerende W&amp;R"),"Voldoet niet","Voldoet")</f>
        <v>Voldoet</v>
      </c>
      <c r="S123" s="206"/>
      <c r="T123" s="206"/>
      <c r="U123" s="206"/>
      <c r="V123" s="206"/>
      <c r="W123" s="206"/>
      <c r="X123" s="419"/>
      <c r="Y123" s="340"/>
      <c r="Z123" s="420"/>
      <c r="AA123" s="421" t="str">
        <f>IF(ISBLANK(TInspectieE[[#This Row],[Aantal]]),"",ROUND(TInspectieE[[#This Row],[Kengetal]]*TInspectieE[[#This Row],[Aantal]],-1))</f>
        <v/>
      </c>
      <c r="AB123" s="422" t="str">
        <f>IF(TInspectieE[[#This Row],[Vak-groep]]="","1",VLOOKUP(C123,$J$2:$K$7,2,FALSE))</f>
        <v>1</v>
      </c>
      <c r="AC123" s="423" t="str">
        <f>CONCATENATE(TInspectieE[[#This Row],[Soort gebrek]],TInspectieE[[#This Row],[Trede]])</f>
        <v>1</v>
      </c>
      <c r="AD123" s="413" t="e">
        <v>#N/A</v>
      </c>
      <c r="AE123" s="413" t="e">
        <v>#N/A</v>
      </c>
      <c r="AF123" s="424">
        <v>0</v>
      </c>
    </row>
    <row r="124" spans="1:32" ht="10.5" x14ac:dyDescent="0.25">
      <c r="A124" s="337" t="str" cm="1">
        <f t="array" ref="A124">IFERROR(INDEX(TInventE[UVID],ROUNDDOWN((ROW(A115)+1)/2,0)),"")</f>
        <v/>
      </c>
      <c r="B124" s="410" t="str">
        <f>IF(TInspectieE[[#This Row],[UVID]]="","",VLOOKUP(TInspectieE[[#This Row],[UVID]],TInventE[],2,FALSE))</f>
        <v/>
      </c>
      <c r="C124" s="365" t="str">
        <f>IF(TInspectieE[[#This Row],[UVID]]="","",VLOOKUP(TInspectieE[[#This Row],[UVID]],TInventE[],11,FALSE))</f>
        <v/>
      </c>
      <c r="D124" s="411" t="str">
        <f>IF(TInspectieE[[#This Row],[UVID]]="","",VLOOKUP(TInspectieE[[#This Row],[UVID]],TInventE[],3,FALSE))</f>
        <v/>
      </c>
      <c r="E124" s="338" t="str">
        <f>IF(TInspectieE[[#This Row],[Omschrijving bouwdeel]]="","",IF(ISEVEN(ROW()),"O","E"))</f>
        <v/>
      </c>
      <c r="F124" s="412"/>
      <c r="G124" s="413" t="str">
        <f>IF(ISBLANK(TInspectieE[[#This Row],[Soort gebrek]]),"",VLOOKUP(TInspectieE[[#This Row],[Soort gebrek]],TSoortGebrek[#Data],3,FALSE))</f>
        <v/>
      </c>
      <c r="H124" s="413" t="str">
        <f>IF(ISBLANK(TInspectieE[[#This Row],[Soort gebrek]]),"",VLOOKUP(TInspectieE[[#This Row],[Soort gebrek]],TSoortGebrek[#Data],2,FALSE))</f>
        <v/>
      </c>
      <c r="I124" s="413" t="str">
        <f>IF(TInspectieE[[#This Row],[Soort gebrek]]=0,"",VLOOKUP(TInspectieE[[#This Row],[Soort gebrek]],TSoortGebrek[],4,FALSE))</f>
        <v/>
      </c>
      <c r="J124" s="425"/>
      <c r="K124" s="415" t="str">
        <f>IF(TInspectieE[[#This Row],[Soort gebrek]]=0,"",VLOOKUP(TInspectieE[[#This Row],[Combi]],TPrio[#Data],2,FALSE))</f>
        <v/>
      </c>
      <c r="L124" s="339"/>
      <c r="M124" s="416" t="str">
        <f>IF(ISBLANK(TInspectieE[[#This Row],[Gebrek nr.]]),"",TInspectieE[[#This Row],[UVID]]&amp;"-"&amp;TInspectieE[[#This Row],[Gebrek nr.]])</f>
        <v/>
      </c>
      <c r="N124" s="417"/>
      <c r="O124" s="418"/>
      <c r="P124" s="206"/>
      <c r="Q124" s="193"/>
      <c r="R124" s="193" t="str">
        <f>IF(OR(TInspectieE[[#This Row],[Duurzaamheid bijdrage]]="Voldoet niet aan DZH-lijn",TInspectieE[[#This Row],[Duurzaamheid bijdrage]]="Voldoet niet aan vigerende W&amp;R"),"Voldoet niet","Voldoet")</f>
        <v>Voldoet</v>
      </c>
      <c r="S124" s="206"/>
      <c r="T124" s="206"/>
      <c r="U124" s="206"/>
      <c r="V124" s="206"/>
      <c r="W124" s="206"/>
      <c r="X124" s="419"/>
      <c r="Y124" s="340"/>
      <c r="Z124" s="420"/>
      <c r="AA124" s="421" t="str">
        <f>IF(ISBLANK(TInspectieE[[#This Row],[Aantal]]),"",ROUND(TInspectieE[[#This Row],[Kengetal]]*TInspectieE[[#This Row],[Aantal]],-1))</f>
        <v/>
      </c>
      <c r="AB124" s="422" t="str">
        <f>IF(TInspectieE[[#This Row],[Vak-groep]]="","1",VLOOKUP(C124,$J$2:$K$7,2,FALSE))</f>
        <v>1</v>
      </c>
      <c r="AC124" s="423" t="str">
        <f>CONCATENATE(TInspectieE[[#This Row],[Soort gebrek]],TInspectieE[[#This Row],[Trede]])</f>
        <v>1</v>
      </c>
      <c r="AD124" s="413" t="e">
        <v>#N/A</v>
      </c>
      <c r="AE124" s="413" t="e">
        <v>#N/A</v>
      </c>
      <c r="AF124" s="424">
        <v>0</v>
      </c>
    </row>
    <row r="125" spans="1:32" ht="10.5" x14ac:dyDescent="0.25">
      <c r="A125" s="337" t="str" cm="1">
        <f t="array" ref="A125">IFERROR(INDEX(TInventE[UVID],ROUNDDOWN((ROW(A116)+1)/2,0)),"")</f>
        <v/>
      </c>
      <c r="B125" s="410" t="str">
        <f>IF(TInspectieE[[#This Row],[UVID]]="","",VLOOKUP(TInspectieE[[#This Row],[UVID]],TInventE[],2,FALSE))</f>
        <v/>
      </c>
      <c r="C125" s="365" t="str">
        <f>IF(TInspectieE[[#This Row],[UVID]]="","",VLOOKUP(TInspectieE[[#This Row],[UVID]],TInventE[],11,FALSE))</f>
        <v/>
      </c>
      <c r="D125" s="411" t="str">
        <f>IF(TInspectieE[[#This Row],[UVID]]="","",VLOOKUP(TInspectieE[[#This Row],[UVID]],TInventE[],3,FALSE))</f>
        <v/>
      </c>
      <c r="E125" s="338" t="str">
        <f>IF(TInspectieE[[#This Row],[Omschrijving bouwdeel]]="","",IF(ISEVEN(ROW()),"O","E"))</f>
        <v/>
      </c>
      <c r="F125" s="412"/>
      <c r="G125" s="413" t="str">
        <f>IF(ISBLANK(TInspectieE[[#This Row],[Soort gebrek]]),"",VLOOKUP(TInspectieE[[#This Row],[Soort gebrek]],TSoortGebrek[#Data],3,FALSE))</f>
        <v/>
      </c>
      <c r="H125" s="413" t="str">
        <f>IF(ISBLANK(TInspectieE[[#This Row],[Soort gebrek]]),"",VLOOKUP(TInspectieE[[#This Row],[Soort gebrek]],TSoortGebrek[#Data],2,FALSE))</f>
        <v/>
      </c>
      <c r="I125" s="413" t="str">
        <f>IF(TInspectieE[[#This Row],[Soort gebrek]]=0,"",VLOOKUP(TInspectieE[[#This Row],[Soort gebrek]],TSoortGebrek[],4,FALSE))</f>
        <v/>
      </c>
      <c r="J125" s="425"/>
      <c r="K125" s="415" t="str">
        <f>IF(TInspectieE[[#This Row],[Soort gebrek]]=0,"",VLOOKUP(TInspectieE[[#This Row],[Combi]],TPrio[#Data],2,FALSE))</f>
        <v/>
      </c>
      <c r="L125" s="339"/>
      <c r="M125" s="416" t="str">
        <f>IF(ISBLANK(TInspectieE[[#This Row],[Gebrek nr.]]),"",TInspectieE[[#This Row],[UVID]]&amp;"-"&amp;TInspectieE[[#This Row],[Gebrek nr.]])</f>
        <v/>
      </c>
      <c r="N125" s="417"/>
      <c r="O125" s="418"/>
      <c r="P125" s="206"/>
      <c r="Q125" s="193"/>
      <c r="R125" s="193" t="str">
        <f>IF(OR(TInspectieE[[#This Row],[Duurzaamheid bijdrage]]="Voldoet niet aan DZH-lijn",TInspectieE[[#This Row],[Duurzaamheid bijdrage]]="Voldoet niet aan vigerende W&amp;R"),"Voldoet niet","Voldoet")</f>
        <v>Voldoet</v>
      </c>
      <c r="S125" s="206"/>
      <c r="T125" s="206"/>
      <c r="U125" s="206"/>
      <c r="V125" s="206"/>
      <c r="W125" s="206"/>
      <c r="X125" s="419"/>
      <c r="Y125" s="340"/>
      <c r="Z125" s="420"/>
      <c r="AA125" s="421" t="str">
        <f>IF(ISBLANK(TInspectieE[[#This Row],[Aantal]]),"",ROUND(TInspectieE[[#This Row],[Kengetal]]*TInspectieE[[#This Row],[Aantal]],-1))</f>
        <v/>
      </c>
      <c r="AB125" s="422" t="str">
        <f>IF(TInspectieE[[#This Row],[Vak-groep]]="","1",VLOOKUP(C125,$J$2:$K$7,2,FALSE))</f>
        <v>1</v>
      </c>
      <c r="AC125" s="423" t="str">
        <f>CONCATENATE(TInspectieE[[#This Row],[Soort gebrek]],TInspectieE[[#This Row],[Trede]])</f>
        <v>1</v>
      </c>
      <c r="AD125" s="413" t="e">
        <v>#N/A</v>
      </c>
      <c r="AE125" s="413" t="e">
        <v>#N/A</v>
      </c>
      <c r="AF125" s="424">
        <v>0</v>
      </c>
    </row>
    <row r="126" spans="1:32" ht="10.5" x14ac:dyDescent="0.25">
      <c r="A126" s="337" t="str" cm="1">
        <f t="array" ref="A126">IFERROR(INDEX(TInventE[UVID],ROUNDDOWN((ROW(A117)+1)/2,0)),"")</f>
        <v/>
      </c>
      <c r="B126" s="410" t="str">
        <f>IF(TInspectieE[[#This Row],[UVID]]="","",VLOOKUP(TInspectieE[[#This Row],[UVID]],TInventE[],2,FALSE))</f>
        <v/>
      </c>
      <c r="C126" s="365" t="str">
        <f>IF(TInspectieE[[#This Row],[UVID]]="","",VLOOKUP(TInspectieE[[#This Row],[UVID]],TInventE[],11,FALSE))</f>
        <v/>
      </c>
      <c r="D126" s="411" t="str">
        <f>IF(TInspectieE[[#This Row],[UVID]]="","",VLOOKUP(TInspectieE[[#This Row],[UVID]],TInventE[],3,FALSE))</f>
        <v/>
      </c>
      <c r="E126" s="338" t="str">
        <f>IF(TInspectieE[[#This Row],[Omschrijving bouwdeel]]="","",IF(ISEVEN(ROW()),"O","E"))</f>
        <v/>
      </c>
      <c r="F126" s="412"/>
      <c r="G126" s="413" t="str">
        <f>IF(ISBLANK(TInspectieE[[#This Row],[Soort gebrek]]),"",VLOOKUP(TInspectieE[[#This Row],[Soort gebrek]],TSoortGebrek[#Data],3,FALSE))</f>
        <v/>
      </c>
      <c r="H126" s="413" t="str">
        <f>IF(ISBLANK(TInspectieE[[#This Row],[Soort gebrek]]),"",VLOOKUP(TInspectieE[[#This Row],[Soort gebrek]],TSoortGebrek[#Data],2,FALSE))</f>
        <v/>
      </c>
      <c r="I126" s="413" t="str">
        <f>IF(TInspectieE[[#This Row],[Soort gebrek]]=0,"",VLOOKUP(TInspectieE[[#This Row],[Soort gebrek]],TSoortGebrek[],4,FALSE))</f>
        <v/>
      </c>
      <c r="J126" s="425"/>
      <c r="K126" s="415" t="str">
        <f>IF(TInspectieE[[#This Row],[Soort gebrek]]=0,"",VLOOKUP(TInspectieE[[#This Row],[Combi]],TPrio[#Data],2,FALSE))</f>
        <v/>
      </c>
      <c r="L126" s="339"/>
      <c r="M126" s="416" t="str">
        <f>IF(ISBLANK(TInspectieE[[#This Row],[Gebrek nr.]]),"",TInspectieE[[#This Row],[UVID]]&amp;"-"&amp;TInspectieE[[#This Row],[Gebrek nr.]])</f>
        <v/>
      </c>
      <c r="N126" s="417"/>
      <c r="O126" s="418"/>
      <c r="P126" s="206"/>
      <c r="Q126" s="193"/>
      <c r="R126" s="193" t="str">
        <f>IF(OR(TInspectieE[[#This Row],[Duurzaamheid bijdrage]]="Voldoet niet aan DZH-lijn",TInspectieE[[#This Row],[Duurzaamheid bijdrage]]="Voldoet niet aan vigerende W&amp;R"),"Voldoet niet","Voldoet")</f>
        <v>Voldoet</v>
      </c>
      <c r="S126" s="206"/>
      <c r="T126" s="206"/>
      <c r="U126" s="206"/>
      <c r="V126" s="206"/>
      <c r="W126" s="206"/>
      <c r="X126" s="419"/>
      <c r="Y126" s="340"/>
      <c r="Z126" s="420"/>
      <c r="AA126" s="421" t="str">
        <f>IF(ISBLANK(TInspectieE[[#This Row],[Aantal]]),"",ROUND(TInspectieE[[#This Row],[Kengetal]]*TInspectieE[[#This Row],[Aantal]],-1))</f>
        <v/>
      </c>
      <c r="AB126" s="422" t="str">
        <f>IF(TInspectieE[[#This Row],[Vak-groep]]="","1",VLOOKUP(C126,$J$2:$K$7,2,FALSE))</f>
        <v>1</v>
      </c>
      <c r="AC126" s="423" t="str">
        <f>CONCATENATE(TInspectieE[[#This Row],[Soort gebrek]],TInspectieE[[#This Row],[Trede]])</f>
        <v>1</v>
      </c>
      <c r="AD126" s="413" t="e">
        <v>#N/A</v>
      </c>
      <c r="AE126" s="413" t="e">
        <v>#N/A</v>
      </c>
      <c r="AF126" s="424">
        <v>0</v>
      </c>
    </row>
    <row r="127" spans="1:32" ht="10.5" x14ac:dyDescent="0.25">
      <c r="A127" s="337" t="str" cm="1">
        <f t="array" ref="A127">IFERROR(INDEX(TInventE[UVID],ROUNDDOWN((ROW(A118)+1)/2,0)),"")</f>
        <v/>
      </c>
      <c r="B127" s="410" t="str">
        <f>IF(TInspectieE[[#This Row],[UVID]]="","",VLOOKUP(TInspectieE[[#This Row],[UVID]],TInventE[],2,FALSE))</f>
        <v/>
      </c>
      <c r="C127" s="365" t="str">
        <f>IF(TInspectieE[[#This Row],[UVID]]="","",VLOOKUP(TInspectieE[[#This Row],[UVID]],TInventE[],11,FALSE))</f>
        <v/>
      </c>
      <c r="D127" s="411" t="str">
        <f>IF(TInspectieE[[#This Row],[UVID]]="","",VLOOKUP(TInspectieE[[#This Row],[UVID]],TInventE[],3,FALSE))</f>
        <v/>
      </c>
      <c r="E127" s="338" t="str">
        <f>IF(TInspectieE[[#This Row],[Omschrijving bouwdeel]]="","",IF(ISEVEN(ROW()),"O","E"))</f>
        <v/>
      </c>
      <c r="F127" s="412"/>
      <c r="G127" s="413" t="str">
        <f>IF(ISBLANK(TInspectieE[[#This Row],[Soort gebrek]]),"",VLOOKUP(TInspectieE[[#This Row],[Soort gebrek]],TSoortGebrek[#Data],3,FALSE))</f>
        <v/>
      </c>
      <c r="H127" s="413" t="str">
        <f>IF(ISBLANK(TInspectieE[[#This Row],[Soort gebrek]]),"",VLOOKUP(TInspectieE[[#This Row],[Soort gebrek]],TSoortGebrek[#Data],2,FALSE))</f>
        <v/>
      </c>
      <c r="I127" s="413" t="str">
        <f>IF(TInspectieE[[#This Row],[Soort gebrek]]=0,"",VLOOKUP(TInspectieE[[#This Row],[Soort gebrek]],TSoortGebrek[],4,FALSE))</f>
        <v/>
      </c>
      <c r="J127" s="425"/>
      <c r="K127" s="415" t="str">
        <f>IF(TInspectieE[[#This Row],[Soort gebrek]]=0,"",VLOOKUP(TInspectieE[[#This Row],[Combi]],TPrio[#Data],2,FALSE))</f>
        <v/>
      </c>
      <c r="L127" s="339"/>
      <c r="M127" s="416" t="str">
        <f>IF(ISBLANK(TInspectieE[[#This Row],[Gebrek nr.]]),"",TInspectieE[[#This Row],[UVID]]&amp;"-"&amp;TInspectieE[[#This Row],[Gebrek nr.]])</f>
        <v/>
      </c>
      <c r="N127" s="417"/>
      <c r="O127" s="418"/>
      <c r="P127" s="206"/>
      <c r="Q127" s="193"/>
      <c r="R127" s="193" t="str">
        <f>IF(OR(TInspectieE[[#This Row],[Duurzaamheid bijdrage]]="Voldoet niet aan DZH-lijn",TInspectieE[[#This Row],[Duurzaamheid bijdrage]]="Voldoet niet aan vigerende W&amp;R"),"Voldoet niet","Voldoet")</f>
        <v>Voldoet</v>
      </c>
      <c r="S127" s="206"/>
      <c r="T127" s="206"/>
      <c r="U127" s="206"/>
      <c r="V127" s="206"/>
      <c r="W127" s="206"/>
      <c r="X127" s="419"/>
      <c r="Y127" s="340"/>
      <c r="Z127" s="420"/>
      <c r="AA127" s="421" t="str">
        <f>IF(ISBLANK(TInspectieE[[#This Row],[Aantal]]),"",ROUND(TInspectieE[[#This Row],[Kengetal]]*TInspectieE[[#This Row],[Aantal]],-1))</f>
        <v/>
      </c>
      <c r="AB127" s="422" t="str">
        <f>IF(TInspectieE[[#This Row],[Vak-groep]]="","1",VLOOKUP(C127,$J$2:$K$7,2,FALSE))</f>
        <v>1</v>
      </c>
      <c r="AC127" s="423" t="str">
        <f>CONCATENATE(TInspectieE[[#This Row],[Soort gebrek]],TInspectieE[[#This Row],[Trede]])</f>
        <v>1</v>
      </c>
      <c r="AD127" s="413" t="e">
        <v>#N/A</v>
      </c>
      <c r="AE127" s="413" t="e">
        <v>#N/A</v>
      </c>
      <c r="AF127" s="424">
        <v>0</v>
      </c>
    </row>
    <row r="128" spans="1:32" ht="10.5" x14ac:dyDescent="0.25">
      <c r="A128" s="337" t="str" cm="1">
        <f t="array" ref="A128">IFERROR(INDEX(TInventE[UVID],ROUNDDOWN((ROW(A119)+1)/2,0)),"")</f>
        <v/>
      </c>
      <c r="B128" s="410" t="str">
        <f>IF(TInspectieE[[#This Row],[UVID]]="","",VLOOKUP(TInspectieE[[#This Row],[UVID]],TInventE[],2,FALSE))</f>
        <v/>
      </c>
      <c r="C128" s="365" t="str">
        <f>IF(TInspectieE[[#This Row],[UVID]]="","",VLOOKUP(TInspectieE[[#This Row],[UVID]],TInventE[],11,FALSE))</f>
        <v/>
      </c>
      <c r="D128" s="411" t="str">
        <f>IF(TInspectieE[[#This Row],[UVID]]="","",VLOOKUP(TInspectieE[[#This Row],[UVID]],TInventE[],3,FALSE))</f>
        <v/>
      </c>
      <c r="E128" s="338" t="str">
        <f>IF(TInspectieE[[#This Row],[Omschrijving bouwdeel]]="","",IF(ISEVEN(ROW()),"O","E"))</f>
        <v/>
      </c>
      <c r="F128" s="412"/>
      <c r="G128" s="413" t="str">
        <f>IF(ISBLANK(TInspectieE[[#This Row],[Soort gebrek]]),"",VLOOKUP(TInspectieE[[#This Row],[Soort gebrek]],TSoortGebrek[#Data],3,FALSE))</f>
        <v/>
      </c>
      <c r="H128" s="413" t="str">
        <f>IF(ISBLANK(TInspectieE[[#This Row],[Soort gebrek]]),"",VLOOKUP(TInspectieE[[#This Row],[Soort gebrek]],TSoortGebrek[#Data],2,FALSE))</f>
        <v/>
      </c>
      <c r="I128" s="413" t="str">
        <f>IF(TInspectieE[[#This Row],[Soort gebrek]]=0,"",VLOOKUP(TInspectieE[[#This Row],[Soort gebrek]],TSoortGebrek[],4,FALSE))</f>
        <v/>
      </c>
      <c r="J128" s="425"/>
      <c r="K128" s="415" t="str">
        <f>IF(TInspectieE[[#This Row],[Soort gebrek]]=0,"",VLOOKUP(TInspectieE[[#This Row],[Combi]],TPrio[#Data],2,FALSE))</f>
        <v/>
      </c>
      <c r="L128" s="339"/>
      <c r="M128" s="416" t="str">
        <f>IF(ISBLANK(TInspectieE[[#This Row],[Gebrek nr.]]),"",TInspectieE[[#This Row],[UVID]]&amp;"-"&amp;TInspectieE[[#This Row],[Gebrek nr.]])</f>
        <v/>
      </c>
      <c r="N128" s="417"/>
      <c r="O128" s="418"/>
      <c r="P128" s="206"/>
      <c r="Q128" s="193"/>
      <c r="R128" s="193" t="str">
        <f>IF(OR(TInspectieE[[#This Row],[Duurzaamheid bijdrage]]="Voldoet niet aan DZH-lijn",TInspectieE[[#This Row],[Duurzaamheid bijdrage]]="Voldoet niet aan vigerende W&amp;R"),"Voldoet niet","Voldoet")</f>
        <v>Voldoet</v>
      </c>
      <c r="S128" s="206"/>
      <c r="T128" s="206"/>
      <c r="U128" s="206"/>
      <c r="V128" s="206"/>
      <c r="W128" s="206"/>
      <c r="X128" s="419"/>
      <c r="Y128" s="340"/>
      <c r="Z128" s="420"/>
      <c r="AA128" s="421" t="str">
        <f>IF(ISBLANK(TInspectieE[[#This Row],[Aantal]]),"",ROUND(TInspectieE[[#This Row],[Kengetal]]*TInspectieE[[#This Row],[Aantal]],-1))</f>
        <v/>
      </c>
      <c r="AB128" s="422" t="str">
        <f>IF(TInspectieE[[#This Row],[Vak-groep]]="","1",VLOOKUP(C128,$J$2:$K$7,2,FALSE))</f>
        <v>1</v>
      </c>
      <c r="AC128" s="423" t="str">
        <f>CONCATENATE(TInspectieE[[#This Row],[Soort gebrek]],TInspectieE[[#This Row],[Trede]])</f>
        <v>1</v>
      </c>
      <c r="AD128" s="413" t="e">
        <v>#N/A</v>
      </c>
      <c r="AE128" s="413" t="e">
        <v>#N/A</v>
      </c>
      <c r="AF128" s="424">
        <v>0</v>
      </c>
    </row>
    <row r="129" spans="1:32" ht="10.5" x14ac:dyDescent="0.25">
      <c r="A129" s="337" t="str" cm="1">
        <f t="array" ref="A129">IFERROR(INDEX(TInventE[UVID],ROUNDDOWN((ROW(A120)+1)/2,0)),"")</f>
        <v/>
      </c>
      <c r="B129" s="410" t="str">
        <f>IF(TInspectieE[[#This Row],[UVID]]="","",VLOOKUP(TInspectieE[[#This Row],[UVID]],TInventE[],2,FALSE))</f>
        <v/>
      </c>
      <c r="C129" s="365" t="str">
        <f>IF(TInspectieE[[#This Row],[UVID]]="","",VLOOKUP(TInspectieE[[#This Row],[UVID]],TInventE[],11,FALSE))</f>
        <v/>
      </c>
      <c r="D129" s="411" t="str">
        <f>IF(TInspectieE[[#This Row],[UVID]]="","",VLOOKUP(TInspectieE[[#This Row],[UVID]],TInventE[],3,FALSE))</f>
        <v/>
      </c>
      <c r="E129" s="338" t="str">
        <f>IF(TInspectieE[[#This Row],[Omschrijving bouwdeel]]="","",IF(ISEVEN(ROW()),"O","E"))</f>
        <v/>
      </c>
      <c r="F129" s="412"/>
      <c r="G129" s="413" t="str">
        <f>IF(ISBLANK(TInspectieE[[#This Row],[Soort gebrek]]),"",VLOOKUP(TInspectieE[[#This Row],[Soort gebrek]],TSoortGebrek[#Data],3,FALSE))</f>
        <v/>
      </c>
      <c r="H129" s="413" t="str">
        <f>IF(ISBLANK(TInspectieE[[#This Row],[Soort gebrek]]),"",VLOOKUP(TInspectieE[[#This Row],[Soort gebrek]],TSoortGebrek[#Data],2,FALSE))</f>
        <v/>
      </c>
      <c r="I129" s="413" t="str">
        <f>IF(TInspectieE[[#This Row],[Soort gebrek]]=0,"",VLOOKUP(TInspectieE[[#This Row],[Soort gebrek]],TSoortGebrek[],4,FALSE))</f>
        <v/>
      </c>
      <c r="J129" s="425"/>
      <c r="K129" s="415" t="str">
        <f>IF(TInspectieE[[#This Row],[Soort gebrek]]=0,"",VLOOKUP(TInspectieE[[#This Row],[Combi]],TPrio[#Data],2,FALSE))</f>
        <v/>
      </c>
      <c r="L129" s="339"/>
      <c r="M129" s="416" t="str">
        <f>IF(ISBLANK(TInspectieE[[#This Row],[Gebrek nr.]]),"",TInspectieE[[#This Row],[UVID]]&amp;"-"&amp;TInspectieE[[#This Row],[Gebrek nr.]])</f>
        <v/>
      </c>
      <c r="N129" s="417"/>
      <c r="O129" s="418"/>
      <c r="P129" s="206"/>
      <c r="Q129" s="193"/>
      <c r="R129" s="193" t="str">
        <f>IF(OR(TInspectieE[[#This Row],[Duurzaamheid bijdrage]]="Voldoet niet aan DZH-lijn",TInspectieE[[#This Row],[Duurzaamheid bijdrage]]="Voldoet niet aan vigerende W&amp;R"),"Voldoet niet","Voldoet")</f>
        <v>Voldoet</v>
      </c>
      <c r="S129" s="206"/>
      <c r="T129" s="206"/>
      <c r="U129" s="206"/>
      <c r="V129" s="206"/>
      <c r="W129" s="206"/>
      <c r="X129" s="419"/>
      <c r="Y129" s="340"/>
      <c r="Z129" s="420"/>
      <c r="AA129" s="421" t="str">
        <f>IF(ISBLANK(TInspectieE[[#This Row],[Aantal]]),"",ROUND(TInspectieE[[#This Row],[Kengetal]]*TInspectieE[[#This Row],[Aantal]],-1))</f>
        <v/>
      </c>
      <c r="AB129" s="422" t="str">
        <f>IF(TInspectieE[[#This Row],[Vak-groep]]="","1",VLOOKUP(C129,$J$2:$K$7,2,FALSE))</f>
        <v>1</v>
      </c>
      <c r="AC129" s="423" t="str">
        <f>CONCATENATE(TInspectieE[[#This Row],[Soort gebrek]],TInspectieE[[#This Row],[Trede]])</f>
        <v>1</v>
      </c>
      <c r="AD129" s="413" t="e">
        <v>#N/A</v>
      </c>
      <c r="AE129" s="413" t="e">
        <v>#N/A</v>
      </c>
      <c r="AF129" s="424">
        <v>0</v>
      </c>
    </row>
    <row r="130" spans="1:32" ht="10.5" x14ac:dyDescent="0.25">
      <c r="A130" s="337" t="str" cm="1">
        <f t="array" ref="A130">IFERROR(INDEX(TInventE[UVID],ROUNDDOWN((ROW(A121)+1)/2,0)),"")</f>
        <v/>
      </c>
      <c r="B130" s="410" t="str">
        <f>IF(TInspectieE[[#This Row],[UVID]]="","",VLOOKUP(TInspectieE[[#This Row],[UVID]],TInventE[],2,FALSE))</f>
        <v/>
      </c>
      <c r="C130" s="365" t="str">
        <f>IF(TInspectieE[[#This Row],[UVID]]="","",VLOOKUP(TInspectieE[[#This Row],[UVID]],TInventE[],11,FALSE))</f>
        <v/>
      </c>
      <c r="D130" s="411" t="str">
        <f>IF(TInspectieE[[#This Row],[UVID]]="","",VLOOKUP(TInspectieE[[#This Row],[UVID]],TInventE[],3,FALSE))</f>
        <v/>
      </c>
      <c r="E130" s="338" t="str">
        <f>IF(TInspectieE[[#This Row],[Omschrijving bouwdeel]]="","",IF(ISEVEN(ROW()),"O","E"))</f>
        <v/>
      </c>
      <c r="F130" s="412"/>
      <c r="G130" s="413" t="str">
        <f>IF(ISBLANK(TInspectieE[[#This Row],[Soort gebrek]]),"",VLOOKUP(TInspectieE[[#This Row],[Soort gebrek]],TSoortGebrek[#Data],3,FALSE))</f>
        <v/>
      </c>
      <c r="H130" s="413" t="str">
        <f>IF(ISBLANK(TInspectieE[[#This Row],[Soort gebrek]]),"",VLOOKUP(TInspectieE[[#This Row],[Soort gebrek]],TSoortGebrek[#Data],2,FALSE))</f>
        <v/>
      </c>
      <c r="I130" s="413" t="str">
        <f>IF(TInspectieE[[#This Row],[Soort gebrek]]=0,"",VLOOKUP(TInspectieE[[#This Row],[Soort gebrek]],TSoortGebrek[],4,FALSE))</f>
        <v/>
      </c>
      <c r="J130" s="425"/>
      <c r="K130" s="415" t="str">
        <f>IF(TInspectieE[[#This Row],[Soort gebrek]]=0,"",VLOOKUP(TInspectieE[[#This Row],[Combi]],TPrio[#Data],2,FALSE))</f>
        <v/>
      </c>
      <c r="L130" s="339"/>
      <c r="M130" s="416" t="str">
        <f>IF(ISBLANK(TInspectieE[[#This Row],[Gebrek nr.]]),"",TInspectieE[[#This Row],[UVID]]&amp;"-"&amp;TInspectieE[[#This Row],[Gebrek nr.]])</f>
        <v/>
      </c>
      <c r="N130" s="417"/>
      <c r="O130" s="418"/>
      <c r="P130" s="206"/>
      <c r="Q130" s="193"/>
      <c r="R130" s="193" t="str">
        <f>IF(OR(TInspectieE[[#This Row],[Duurzaamheid bijdrage]]="Voldoet niet aan DZH-lijn",TInspectieE[[#This Row],[Duurzaamheid bijdrage]]="Voldoet niet aan vigerende W&amp;R"),"Voldoet niet","Voldoet")</f>
        <v>Voldoet</v>
      </c>
      <c r="S130" s="206"/>
      <c r="T130" s="206"/>
      <c r="U130" s="206"/>
      <c r="V130" s="206"/>
      <c r="W130" s="206"/>
      <c r="X130" s="419"/>
      <c r="Y130" s="340"/>
      <c r="Z130" s="420"/>
      <c r="AA130" s="421" t="str">
        <f>IF(ISBLANK(TInspectieE[[#This Row],[Aantal]]),"",ROUND(TInspectieE[[#This Row],[Kengetal]]*TInspectieE[[#This Row],[Aantal]],-1))</f>
        <v/>
      </c>
      <c r="AB130" s="422" t="str">
        <f>IF(TInspectieE[[#This Row],[Vak-groep]]="","1",VLOOKUP(C130,$J$2:$K$7,2,FALSE))</f>
        <v>1</v>
      </c>
      <c r="AC130" s="423" t="str">
        <f>CONCATENATE(TInspectieE[[#This Row],[Soort gebrek]],TInspectieE[[#This Row],[Trede]])</f>
        <v>1</v>
      </c>
      <c r="AD130" s="413" t="e">
        <v>#N/A</v>
      </c>
      <c r="AE130" s="413" t="e">
        <v>#N/A</v>
      </c>
      <c r="AF130" s="424">
        <v>0</v>
      </c>
    </row>
    <row r="131" spans="1:32" ht="10.5" x14ac:dyDescent="0.25">
      <c r="A131" s="337" t="str" cm="1">
        <f t="array" ref="A131">IFERROR(INDEX(TInventE[UVID],ROUNDDOWN((ROW(A122)+1)/2,0)),"")</f>
        <v/>
      </c>
      <c r="B131" s="410" t="str">
        <f>IF(TInspectieE[[#This Row],[UVID]]="","",VLOOKUP(TInspectieE[[#This Row],[UVID]],TInventE[],2,FALSE))</f>
        <v/>
      </c>
      <c r="C131" s="365" t="str">
        <f>IF(TInspectieE[[#This Row],[UVID]]="","",VLOOKUP(TInspectieE[[#This Row],[UVID]],TInventE[],11,FALSE))</f>
        <v/>
      </c>
      <c r="D131" s="411" t="str">
        <f>IF(TInspectieE[[#This Row],[UVID]]="","",VLOOKUP(TInspectieE[[#This Row],[UVID]],TInventE[],3,FALSE))</f>
        <v/>
      </c>
      <c r="E131" s="338" t="str">
        <f>IF(TInspectieE[[#This Row],[Omschrijving bouwdeel]]="","",IF(ISEVEN(ROW()),"O","E"))</f>
        <v/>
      </c>
      <c r="F131" s="412"/>
      <c r="G131" s="413" t="str">
        <f>IF(ISBLANK(TInspectieE[[#This Row],[Soort gebrek]]),"",VLOOKUP(TInspectieE[[#This Row],[Soort gebrek]],TSoortGebrek[#Data],3,FALSE))</f>
        <v/>
      </c>
      <c r="H131" s="413" t="str">
        <f>IF(ISBLANK(TInspectieE[[#This Row],[Soort gebrek]]),"",VLOOKUP(TInspectieE[[#This Row],[Soort gebrek]],TSoortGebrek[#Data],2,FALSE))</f>
        <v/>
      </c>
      <c r="I131" s="413" t="str">
        <f>IF(TInspectieE[[#This Row],[Soort gebrek]]=0,"",VLOOKUP(TInspectieE[[#This Row],[Soort gebrek]],TSoortGebrek[],4,FALSE))</f>
        <v/>
      </c>
      <c r="J131" s="425"/>
      <c r="K131" s="415" t="str">
        <f>IF(TInspectieE[[#This Row],[Soort gebrek]]=0,"",VLOOKUP(TInspectieE[[#This Row],[Combi]],TPrio[#Data],2,FALSE))</f>
        <v/>
      </c>
      <c r="L131" s="339"/>
      <c r="M131" s="416" t="str">
        <f>IF(ISBLANK(TInspectieE[[#This Row],[Gebrek nr.]]),"",TInspectieE[[#This Row],[UVID]]&amp;"-"&amp;TInspectieE[[#This Row],[Gebrek nr.]])</f>
        <v/>
      </c>
      <c r="N131" s="417"/>
      <c r="O131" s="418"/>
      <c r="P131" s="206"/>
      <c r="Q131" s="193"/>
      <c r="R131" s="193" t="str">
        <f>IF(OR(TInspectieE[[#This Row],[Duurzaamheid bijdrage]]="Voldoet niet aan DZH-lijn",TInspectieE[[#This Row],[Duurzaamheid bijdrage]]="Voldoet niet aan vigerende W&amp;R"),"Voldoet niet","Voldoet")</f>
        <v>Voldoet</v>
      </c>
      <c r="S131" s="206"/>
      <c r="T131" s="206"/>
      <c r="U131" s="206"/>
      <c r="V131" s="206"/>
      <c r="W131" s="206"/>
      <c r="X131" s="419"/>
      <c r="Y131" s="340"/>
      <c r="Z131" s="420"/>
      <c r="AA131" s="421" t="str">
        <f>IF(ISBLANK(TInspectieE[[#This Row],[Aantal]]),"",ROUND(TInspectieE[[#This Row],[Kengetal]]*TInspectieE[[#This Row],[Aantal]],-1))</f>
        <v/>
      </c>
      <c r="AB131" s="422" t="str">
        <f>IF(TInspectieE[[#This Row],[Vak-groep]]="","1",VLOOKUP(C131,$J$2:$K$7,2,FALSE))</f>
        <v>1</v>
      </c>
      <c r="AC131" s="423" t="str">
        <f>CONCATENATE(TInspectieE[[#This Row],[Soort gebrek]],TInspectieE[[#This Row],[Trede]])</f>
        <v>1</v>
      </c>
      <c r="AD131" s="413" t="e">
        <v>#N/A</v>
      </c>
      <c r="AE131" s="413" t="e">
        <v>#N/A</v>
      </c>
      <c r="AF131" s="424">
        <v>0</v>
      </c>
    </row>
    <row r="132" spans="1:32" ht="10.5" x14ac:dyDescent="0.25">
      <c r="A132" s="337" t="str" cm="1">
        <f t="array" ref="A132">IFERROR(INDEX(TInventE[UVID],ROUNDDOWN((ROW(A123)+1)/2,0)),"")</f>
        <v/>
      </c>
      <c r="B132" s="410" t="str">
        <f>IF(TInspectieE[[#This Row],[UVID]]="","",VLOOKUP(TInspectieE[[#This Row],[UVID]],TInventE[],2,FALSE))</f>
        <v/>
      </c>
      <c r="C132" s="365" t="str">
        <f>IF(TInspectieE[[#This Row],[UVID]]="","",VLOOKUP(TInspectieE[[#This Row],[UVID]],TInventE[],11,FALSE))</f>
        <v/>
      </c>
      <c r="D132" s="411" t="str">
        <f>IF(TInspectieE[[#This Row],[UVID]]="","",VLOOKUP(TInspectieE[[#This Row],[UVID]],TInventE[],3,FALSE))</f>
        <v/>
      </c>
      <c r="E132" s="338" t="str">
        <f>IF(TInspectieE[[#This Row],[Omschrijving bouwdeel]]="","",IF(ISEVEN(ROW()),"O","E"))</f>
        <v/>
      </c>
      <c r="F132" s="412"/>
      <c r="G132" s="413" t="str">
        <f>IF(ISBLANK(TInspectieE[[#This Row],[Soort gebrek]]),"",VLOOKUP(TInspectieE[[#This Row],[Soort gebrek]],TSoortGebrek[#Data],3,FALSE))</f>
        <v/>
      </c>
      <c r="H132" s="413" t="str">
        <f>IF(ISBLANK(TInspectieE[[#This Row],[Soort gebrek]]),"",VLOOKUP(TInspectieE[[#This Row],[Soort gebrek]],TSoortGebrek[#Data],2,FALSE))</f>
        <v/>
      </c>
      <c r="I132" s="413" t="str">
        <f>IF(TInspectieE[[#This Row],[Soort gebrek]]=0,"",VLOOKUP(TInspectieE[[#This Row],[Soort gebrek]],TSoortGebrek[],4,FALSE))</f>
        <v/>
      </c>
      <c r="J132" s="425"/>
      <c r="K132" s="415" t="str">
        <f>IF(TInspectieE[[#This Row],[Soort gebrek]]=0,"",VLOOKUP(TInspectieE[[#This Row],[Combi]],TPrio[#Data],2,FALSE))</f>
        <v/>
      </c>
      <c r="L132" s="339"/>
      <c r="M132" s="416" t="str">
        <f>IF(ISBLANK(TInspectieE[[#This Row],[Gebrek nr.]]),"",TInspectieE[[#This Row],[UVID]]&amp;"-"&amp;TInspectieE[[#This Row],[Gebrek nr.]])</f>
        <v/>
      </c>
      <c r="N132" s="417"/>
      <c r="O132" s="418"/>
      <c r="P132" s="206"/>
      <c r="Q132" s="193"/>
      <c r="R132" s="193" t="str">
        <f>IF(OR(TInspectieE[[#This Row],[Duurzaamheid bijdrage]]="Voldoet niet aan DZH-lijn",TInspectieE[[#This Row],[Duurzaamheid bijdrage]]="Voldoet niet aan vigerende W&amp;R"),"Voldoet niet","Voldoet")</f>
        <v>Voldoet</v>
      </c>
      <c r="S132" s="206"/>
      <c r="T132" s="206"/>
      <c r="U132" s="206"/>
      <c r="V132" s="206"/>
      <c r="W132" s="206"/>
      <c r="X132" s="419"/>
      <c r="Y132" s="340"/>
      <c r="Z132" s="420"/>
      <c r="AA132" s="421" t="str">
        <f>IF(ISBLANK(TInspectieE[[#This Row],[Aantal]]),"",ROUND(TInspectieE[[#This Row],[Kengetal]]*TInspectieE[[#This Row],[Aantal]],-1))</f>
        <v/>
      </c>
      <c r="AB132" s="422" t="str">
        <f>IF(TInspectieE[[#This Row],[Vak-groep]]="","1",VLOOKUP(C132,$J$2:$K$7,2,FALSE))</f>
        <v>1</v>
      </c>
      <c r="AC132" s="423" t="str">
        <f>CONCATENATE(TInspectieE[[#This Row],[Soort gebrek]],TInspectieE[[#This Row],[Trede]])</f>
        <v>1</v>
      </c>
      <c r="AD132" s="413" t="e">
        <v>#N/A</v>
      </c>
      <c r="AE132" s="413" t="e">
        <v>#N/A</v>
      </c>
      <c r="AF132" s="424">
        <v>0</v>
      </c>
    </row>
    <row r="133" spans="1:32" ht="10.5" x14ac:dyDescent="0.25">
      <c r="A133" s="337" t="str" cm="1">
        <f t="array" ref="A133">IFERROR(INDEX(TInventE[UVID],ROUNDDOWN((ROW(A124)+1)/2,0)),"")</f>
        <v/>
      </c>
      <c r="B133" s="410" t="str">
        <f>IF(TInspectieE[[#This Row],[UVID]]="","",VLOOKUP(TInspectieE[[#This Row],[UVID]],TInventE[],2,FALSE))</f>
        <v/>
      </c>
      <c r="C133" s="365" t="str">
        <f>IF(TInspectieE[[#This Row],[UVID]]="","",VLOOKUP(TInspectieE[[#This Row],[UVID]],TInventE[],11,FALSE))</f>
        <v/>
      </c>
      <c r="D133" s="411" t="str">
        <f>IF(TInspectieE[[#This Row],[UVID]]="","",VLOOKUP(TInspectieE[[#This Row],[UVID]],TInventE[],3,FALSE))</f>
        <v/>
      </c>
      <c r="E133" s="338" t="str">
        <f>IF(TInspectieE[[#This Row],[Omschrijving bouwdeel]]="","",IF(ISEVEN(ROW()),"O","E"))</f>
        <v/>
      </c>
      <c r="F133" s="412"/>
      <c r="G133" s="413" t="str">
        <f>IF(ISBLANK(TInspectieE[[#This Row],[Soort gebrek]]),"",VLOOKUP(TInspectieE[[#This Row],[Soort gebrek]],TSoortGebrek[#Data],3,FALSE))</f>
        <v/>
      </c>
      <c r="H133" s="413" t="str">
        <f>IF(ISBLANK(TInspectieE[[#This Row],[Soort gebrek]]),"",VLOOKUP(TInspectieE[[#This Row],[Soort gebrek]],TSoortGebrek[#Data],2,FALSE))</f>
        <v/>
      </c>
      <c r="I133" s="413" t="str">
        <f>IF(TInspectieE[[#This Row],[Soort gebrek]]=0,"",VLOOKUP(TInspectieE[[#This Row],[Soort gebrek]],TSoortGebrek[],4,FALSE))</f>
        <v/>
      </c>
      <c r="J133" s="425"/>
      <c r="K133" s="415" t="str">
        <f>IF(TInspectieE[[#This Row],[Soort gebrek]]=0,"",VLOOKUP(TInspectieE[[#This Row],[Combi]],TPrio[#Data],2,FALSE))</f>
        <v/>
      </c>
      <c r="L133" s="339"/>
      <c r="M133" s="416" t="str">
        <f>IF(ISBLANK(TInspectieE[[#This Row],[Gebrek nr.]]),"",TInspectieE[[#This Row],[UVID]]&amp;"-"&amp;TInspectieE[[#This Row],[Gebrek nr.]])</f>
        <v/>
      </c>
      <c r="N133" s="417"/>
      <c r="O133" s="418"/>
      <c r="P133" s="206"/>
      <c r="Q133" s="193"/>
      <c r="R133" s="193" t="str">
        <f>IF(OR(TInspectieE[[#This Row],[Duurzaamheid bijdrage]]="Voldoet niet aan DZH-lijn",TInspectieE[[#This Row],[Duurzaamheid bijdrage]]="Voldoet niet aan vigerende W&amp;R"),"Voldoet niet","Voldoet")</f>
        <v>Voldoet</v>
      </c>
      <c r="S133" s="206"/>
      <c r="T133" s="206"/>
      <c r="U133" s="206"/>
      <c r="V133" s="206"/>
      <c r="W133" s="206"/>
      <c r="X133" s="419"/>
      <c r="Y133" s="340"/>
      <c r="Z133" s="420"/>
      <c r="AA133" s="421" t="str">
        <f>IF(ISBLANK(TInspectieE[[#This Row],[Aantal]]),"",ROUND(TInspectieE[[#This Row],[Kengetal]]*TInspectieE[[#This Row],[Aantal]],-1))</f>
        <v/>
      </c>
      <c r="AB133" s="422" t="str">
        <f>IF(TInspectieE[[#This Row],[Vak-groep]]="","1",VLOOKUP(C133,$J$2:$K$7,2,FALSE))</f>
        <v>1</v>
      </c>
      <c r="AC133" s="423" t="str">
        <f>CONCATENATE(TInspectieE[[#This Row],[Soort gebrek]],TInspectieE[[#This Row],[Trede]])</f>
        <v>1</v>
      </c>
      <c r="AD133" s="413" t="e">
        <v>#N/A</v>
      </c>
      <c r="AE133" s="413" t="e">
        <v>#N/A</v>
      </c>
      <c r="AF133" s="424">
        <v>0</v>
      </c>
    </row>
    <row r="134" spans="1:32" ht="10.5" x14ac:dyDescent="0.25">
      <c r="A134" s="337" t="str" cm="1">
        <f t="array" ref="A134">IFERROR(INDEX(TInventE[UVID],ROUNDDOWN((ROW(A125)+1)/2,0)),"")</f>
        <v/>
      </c>
      <c r="B134" s="410" t="str">
        <f>IF(TInspectieE[[#This Row],[UVID]]="","",VLOOKUP(TInspectieE[[#This Row],[UVID]],TInventE[],2,FALSE))</f>
        <v/>
      </c>
      <c r="C134" s="365" t="str">
        <f>IF(TInspectieE[[#This Row],[UVID]]="","",VLOOKUP(TInspectieE[[#This Row],[UVID]],TInventE[],11,FALSE))</f>
        <v/>
      </c>
      <c r="D134" s="411" t="str">
        <f>IF(TInspectieE[[#This Row],[UVID]]="","",VLOOKUP(TInspectieE[[#This Row],[UVID]],TInventE[],3,FALSE))</f>
        <v/>
      </c>
      <c r="E134" s="338" t="str">
        <f>IF(TInspectieE[[#This Row],[Omschrijving bouwdeel]]="","",IF(ISEVEN(ROW()),"O","E"))</f>
        <v/>
      </c>
      <c r="F134" s="412"/>
      <c r="G134" s="413" t="str">
        <f>IF(ISBLANK(TInspectieE[[#This Row],[Soort gebrek]]),"",VLOOKUP(TInspectieE[[#This Row],[Soort gebrek]],TSoortGebrek[#Data],3,FALSE))</f>
        <v/>
      </c>
      <c r="H134" s="413" t="str">
        <f>IF(ISBLANK(TInspectieE[[#This Row],[Soort gebrek]]),"",VLOOKUP(TInspectieE[[#This Row],[Soort gebrek]],TSoortGebrek[#Data],2,FALSE))</f>
        <v/>
      </c>
      <c r="I134" s="413" t="str">
        <f>IF(TInspectieE[[#This Row],[Soort gebrek]]=0,"",VLOOKUP(TInspectieE[[#This Row],[Soort gebrek]],TSoortGebrek[],4,FALSE))</f>
        <v/>
      </c>
      <c r="J134" s="425"/>
      <c r="K134" s="415" t="str">
        <f>IF(TInspectieE[[#This Row],[Soort gebrek]]=0,"",VLOOKUP(TInspectieE[[#This Row],[Combi]],TPrio[#Data],2,FALSE))</f>
        <v/>
      </c>
      <c r="L134" s="339"/>
      <c r="M134" s="416" t="str">
        <f>IF(ISBLANK(TInspectieE[[#This Row],[Gebrek nr.]]),"",TInspectieE[[#This Row],[UVID]]&amp;"-"&amp;TInspectieE[[#This Row],[Gebrek nr.]])</f>
        <v/>
      </c>
      <c r="N134" s="417"/>
      <c r="O134" s="418"/>
      <c r="P134" s="206"/>
      <c r="Q134" s="193"/>
      <c r="R134" s="193" t="str">
        <f>IF(OR(TInspectieE[[#This Row],[Duurzaamheid bijdrage]]="Voldoet niet aan DZH-lijn",TInspectieE[[#This Row],[Duurzaamheid bijdrage]]="Voldoet niet aan vigerende W&amp;R"),"Voldoet niet","Voldoet")</f>
        <v>Voldoet</v>
      </c>
      <c r="S134" s="206"/>
      <c r="T134" s="206"/>
      <c r="U134" s="206"/>
      <c r="V134" s="206"/>
      <c r="W134" s="206"/>
      <c r="X134" s="419"/>
      <c r="Y134" s="340"/>
      <c r="Z134" s="420"/>
      <c r="AA134" s="421" t="str">
        <f>IF(ISBLANK(TInspectieE[[#This Row],[Aantal]]),"",ROUND(TInspectieE[[#This Row],[Kengetal]]*TInspectieE[[#This Row],[Aantal]],-1))</f>
        <v/>
      </c>
      <c r="AB134" s="422" t="str">
        <f>IF(TInspectieE[[#This Row],[Vak-groep]]="","1",VLOOKUP(C134,$J$2:$K$7,2,FALSE))</f>
        <v>1</v>
      </c>
      <c r="AC134" s="423" t="str">
        <f>CONCATENATE(TInspectieE[[#This Row],[Soort gebrek]],TInspectieE[[#This Row],[Trede]])</f>
        <v>1</v>
      </c>
      <c r="AD134" s="413" t="e">
        <v>#N/A</v>
      </c>
      <c r="AE134" s="413" t="e">
        <v>#N/A</v>
      </c>
      <c r="AF134" s="424">
        <v>0</v>
      </c>
    </row>
    <row r="135" spans="1:32" ht="10.5" x14ac:dyDescent="0.25">
      <c r="A135" s="337" t="str" cm="1">
        <f t="array" ref="A135">IFERROR(INDEX(TInventE[UVID],ROUNDDOWN((ROW(A126)+1)/2,0)),"")</f>
        <v/>
      </c>
      <c r="B135" s="410" t="str">
        <f>IF(TInspectieE[[#This Row],[UVID]]="","",VLOOKUP(TInspectieE[[#This Row],[UVID]],TInventE[],2,FALSE))</f>
        <v/>
      </c>
      <c r="C135" s="365" t="str">
        <f>IF(TInspectieE[[#This Row],[UVID]]="","",VLOOKUP(TInspectieE[[#This Row],[UVID]],TInventE[],11,FALSE))</f>
        <v/>
      </c>
      <c r="D135" s="411" t="str">
        <f>IF(TInspectieE[[#This Row],[UVID]]="","",VLOOKUP(TInspectieE[[#This Row],[UVID]],TInventE[],3,FALSE))</f>
        <v/>
      </c>
      <c r="E135" s="338" t="str">
        <f>IF(TInspectieE[[#This Row],[Omschrijving bouwdeel]]="","",IF(ISEVEN(ROW()),"O","E"))</f>
        <v/>
      </c>
      <c r="F135" s="412"/>
      <c r="G135" s="413" t="str">
        <f>IF(ISBLANK(TInspectieE[[#This Row],[Soort gebrek]]),"",VLOOKUP(TInspectieE[[#This Row],[Soort gebrek]],TSoortGebrek[#Data],3,FALSE))</f>
        <v/>
      </c>
      <c r="H135" s="413" t="str">
        <f>IF(ISBLANK(TInspectieE[[#This Row],[Soort gebrek]]),"",VLOOKUP(TInspectieE[[#This Row],[Soort gebrek]],TSoortGebrek[#Data],2,FALSE))</f>
        <v/>
      </c>
      <c r="I135" s="413" t="str">
        <f>IF(TInspectieE[[#This Row],[Soort gebrek]]=0,"",VLOOKUP(TInspectieE[[#This Row],[Soort gebrek]],TSoortGebrek[],4,FALSE))</f>
        <v/>
      </c>
      <c r="J135" s="425"/>
      <c r="K135" s="415" t="str">
        <f>IF(TInspectieE[[#This Row],[Soort gebrek]]=0,"",VLOOKUP(TInspectieE[[#This Row],[Combi]],TPrio[#Data],2,FALSE))</f>
        <v/>
      </c>
      <c r="L135" s="339"/>
      <c r="M135" s="416" t="str">
        <f>IF(ISBLANK(TInspectieE[[#This Row],[Gebrek nr.]]),"",TInspectieE[[#This Row],[UVID]]&amp;"-"&amp;TInspectieE[[#This Row],[Gebrek nr.]])</f>
        <v/>
      </c>
      <c r="N135" s="417"/>
      <c r="O135" s="418"/>
      <c r="P135" s="206"/>
      <c r="Q135" s="193"/>
      <c r="R135" s="193" t="str">
        <f>IF(OR(TInspectieE[[#This Row],[Duurzaamheid bijdrage]]="Voldoet niet aan DZH-lijn",TInspectieE[[#This Row],[Duurzaamheid bijdrage]]="Voldoet niet aan vigerende W&amp;R"),"Voldoet niet","Voldoet")</f>
        <v>Voldoet</v>
      </c>
      <c r="S135" s="206"/>
      <c r="T135" s="206"/>
      <c r="U135" s="206"/>
      <c r="V135" s="206"/>
      <c r="W135" s="206"/>
      <c r="X135" s="419"/>
      <c r="Y135" s="340"/>
      <c r="Z135" s="420"/>
      <c r="AA135" s="421" t="str">
        <f>IF(ISBLANK(TInspectieE[[#This Row],[Aantal]]),"",ROUND(TInspectieE[[#This Row],[Kengetal]]*TInspectieE[[#This Row],[Aantal]],-1))</f>
        <v/>
      </c>
      <c r="AB135" s="422" t="str">
        <f>IF(TInspectieE[[#This Row],[Vak-groep]]="","1",VLOOKUP(C135,$J$2:$K$7,2,FALSE))</f>
        <v>1</v>
      </c>
      <c r="AC135" s="423" t="str">
        <f>CONCATENATE(TInspectieE[[#This Row],[Soort gebrek]],TInspectieE[[#This Row],[Trede]])</f>
        <v>1</v>
      </c>
      <c r="AD135" s="413" t="e">
        <v>#N/A</v>
      </c>
      <c r="AE135" s="413" t="e">
        <v>#N/A</v>
      </c>
      <c r="AF135" s="424">
        <v>0</v>
      </c>
    </row>
    <row r="136" spans="1:32" ht="10.5" x14ac:dyDescent="0.25">
      <c r="A136" s="337" t="str" cm="1">
        <f t="array" ref="A136">IFERROR(INDEX(TInventE[UVID],ROUNDDOWN((ROW(A127)+1)/2,0)),"")</f>
        <v/>
      </c>
      <c r="B136" s="410" t="str">
        <f>IF(TInspectieE[[#This Row],[UVID]]="","",VLOOKUP(TInspectieE[[#This Row],[UVID]],TInventE[],2,FALSE))</f>
        <v/>
      </c>
      <c r="C136" s="365" t="str">
        <f>IF(TInspectieE[[#This Row],[UVID]]="","",VLOOKUP(TInspectieE[[#This Row],[UVID]],TInventE[],11,FALSE))</f>
        <v/>
      </c>
      <c r="D136" s="411" t="str">
        <f>IF(TInspectieE[[#This Row],[UVID]]="","",VLOOKUP(TInspectieE[[#This Row],[UVID]],TInventE[],3,FALSE))</f>
        <v/>
      </c>
      <c r="E136" s="338" t="str">
        <f>IF(TInspectieE[[#This Row],[Omschrijving bouwdeel]]="","",IF(ISEVEN(ROW()),"O","E"))</f>
        <v/>
      </c>
      <c r="F136" s="412"/>
      <c r="G136" s="413" t="str">
        <f>IF(ISBLANK(TInspectieE[[#This Row],[Soort gebrek]]),"",VLOOKUP(TInspectieE[[#This Row],[Soort gebrek]],TSoortGebrek[#Data],3,FALSE))</f>
        <v/>
      </c>
      <c r="H136" s="413" t="str">
        <f>IF(ISBLANK(TInspectieE[[#This Row],[Soort gebrek]]),"",VLOOKUP(TInspectieE[[#This Row],[Soort gebrek]],TSoortGebrek[#Data],2,FALSE))</f>
        <v/>
      </c>
      <c r="I136" s="413" t="str">
        <f>IF(TInspectieE[[#This Row],[Soort gebrek]]=0,"",VLOOKUP(TInspectieE[[#This Row],[Soort gebrek]],TSoortGebrek[],4,FALSE))</f>
        <v/>
      </c>
      <c r="J136" s="425"/>
      <c r="K136" s="415" t="str">
        <f>IF(TInspectieE[[#This Row],[Soort gebrek]]=0,"",VLOOKUP(TInspectieE[[#This Row],[Combi]],TPrio[#Data],2,FALSE))</f>
        <v/>
      </c>
      <c r="L136" s="339"/>
      <c r="M136" s="416" t="str">
        <f>IF(ISBLANK(TInspectieE[[#This Row],[Gebrek nr.]]),"",TInspectieE[[#This Row],[UVID]]&amp;"-"&amp;TInspectieE[[#This Row],[Gebrek nr.]])</f>
        <v/>
      </c>
      <c r="N136" s="417"/>
      <c r="O136" s="418"/>
      <c r="P136" s="206"/>
      <c r="Q136" s="193"/>
      <c r="R136" s="193" t="str">
        <f>IF(OR(TInspectieE[[#This Row],[Duurzaamheid bijdrage]]="Voldoet niet aan DZH-lijn",TInspectieE[[#This Row],[Duurzaamheid bijdrage]]="Voldoet niet aan vigerende W&amp;R"),"Voldoet niet","Voldoet")</f>
        <v>Voldoet</v>
      </c>
      <c r="S136" s="206"/>
      <c r="T136" s="206"/>
      <c r="U136" s="206"/>
      <c r="V136" s="206"/>
      <c r="W136" s="206"/>
      <c r="X136" s="419"/>
      <c r="Y136" s="340"/>
      <c r="Z136" s="420"/>
      <c r="AA136" s="421" t="str">
        <f>IF(ISBLANK(TInspectieE[[#This Row],[Aantal]]),"",ROUND(TInspectieE[[#This Row],[Kengetal]]*TInspectieE[[#This Row],[Aantal]],-1))</f>
        <v/>
      </c>
      <c r="AB136" s="422" t="str">
        <f>IF(TInspectieE[[#This Row],[Vak-groep]]="","1",VLOOKUP(C136,$J$2:$K$7,2,FALSE))</f>
        <v>1</v>
      </c>
      <c r="AC136" s="423" t="str">
        <f>CONCATENATE(TInspectieE[[#This Row],[Soort gebrek]],TInspectieE[[#This Row],[Trede]])</f>
        <v>1</v>
      </c>
      <c r="AD136" s="413" t="e">
        <v>#N/A</v>
      </c>
      <c r="AE136" s="413" t="e">
        <v>#N/A</v>
      </c>
      <c r="AF136" s="424">
        <v>0</v>
      </c>
    </row>
    <row r="137" spans="1:32" ht="10.5" x14ac:dyDescent="0.25">
      <c r="A137" s="337" t="str" cm="1">
        <f t="array" ref="A137">IFERROR(INDEX(TInventE[UVID],ROUNDDOWN((ROW(A128)+1)/2,0)),"")</f>
        <v/>
      </c>
      <c r="B137" s="410" t="str">
        <f>IF(TInspectieE[[#This Row],[UVID]]="","",VLOOKUP(TInspectieE[[#This Row],[UVID]],TInventE[],2,FALSE))</f>
        <v/>
      </c>
      <c r="C137" s="365" t="str">
        <f>IF(TInspectieE[[#This Row],[UVID]]="","",VLOOKUP(TInspectieE[[#This Row],[UVID]],TInventE[],11,FALSE))</f>
        <v/>
      </c>
      <c r="D137" s="411" t="str">
        <f>IF(TInspectieE[[#This Row],[UVID]]="","",VLOOKUP(TInspectieE[[#This Row],[UVID]],TInventE[],3,FALSE))</f>
        <v/>
      </c>
      <c r="E137" s="338" t="str">
        <f>IF(TInspectieE[[#This Row],[Omschrijving bouwdeel]]="","",IF(ISEVEN(ROW()),"O","E"))</f>
        <v/>
      </c>
      <c r="F137" s="412"/>
      <c r="G137" s="413" t="str">
        <f>IF(ISBLANK(TInspectieE[[#This Row],[Soort gebrek]]),"",VLOOKUP(TInspectieE[[#This Row],[Soort gebrek]],TSoortGebrek[#Data],3,FALSE))</f>
        <v/>
      </c>
      <c r="H137" s="413" t="str">
        <f>IF(ISBLANK(TInspectieE[[#This Row],[Soort gebrek]]),"",VLOOKUP(TInspectieE[[#This Row],[Soort gebrek]],TSoortGebrek[#Data],2,FALSE))</f>
        <v/>
      </c>
      <c r="I137" s="413" t="str">
        <f>IF(TInspectieE[[#This Row],[Soort gebrek]]=0,"",VLOOKUP(TInspectieE[[#This Row],[Soort gebrek]],TSoortGebrek[],4,FALSE))</f>
        <v/>
      </c>
      <c r="J137" s="425"/>
      <c r="K137" s="415" t="str">
        <f>IF(TInspectieE[[#This Row],[Soort gebrek]]=0,"",VLOOKUP(TInspectieE[[#This Row],[Combi]],TPrio[#Data],2,FALSE))</f>
        <v/>
      </c>
      <c r="L137" s="339"/>
      <c r="M137" s="416" t="str">
        <f>IF(ISBLANK(TInspectieE[[#This Row],[Gebrek nr.]]),"",TInspectieE[[#This Row],[UVID]]&amp;"-"&amp;TInspectieE[[#This Row],[Gebrek nr.]])</f>
        <v/>
      </c>
      <c r="N137" s="417"/>
      <c r="O137" s="418"/>
      <c r="P137" s="206"/>
      <c r="Q137" s="193"/>
      <c r="R137" s="193" t="str">
        <f>IF(OR(TInspectieE[[#This Row],[Duurzaamheid bijdrage]]="Voldoet niet aan DZH-lijn",TInspectieE[[#This Row],[Duurzaamheid bijdrage]]="Voldoet niet aan vigerende W&amp;R"),"Voldoet niet","Voldoet")</f>
        <v>Voldoet</v>
      </c>
      <c r="S137" s="206"/>
      <c r="T137" s="206"/>
      <c r="U137" s="206"/>
      <c r="V137" s="206"/>
      <c r="W137" s="206"/>
      <c r="X137" s="419"/>
      <c r="Y137" s="340"/>
      <c r="Z137" s="420"/>
      <c r="AA137" s="421" t="str">
        <f>IF(ISBLANK(TInspectieE[[#This Row],[Aantal]]),"",ROUND(TInspectieE[[#This Row],[Kengetal]]*TInspectieE[[#This Row],[Aantal]],-1))</f>
        <v/>
      </c>
      <c r="AB137" s="422" t="str">
        <f>IF(TInspectieE[[#This Row],[Vak-groep]]="","1",VLOOKUP(C137,$J$2:$K$7,2,FALSE))</f>
        <v>1</v>
      </c>
      <c r="AC137" s="423" t="str">
        <f>CONCATENATE(TInspectieE[[#This Row],[Soort gebrek]],TInspectieE[[#This Row],[Trede]])</f>
        <v>1</v>
      </c>
      <c r="AD137" s="413" t="e">
        <v>#N/A</v>
      </c>
      <c r="AE137" s="413" t="e">
        <v>#N/A</v>
      </c>
      <c r="AF137" s="424">
        <v>0</v>
      </c>
    </row>
    <row r="138" spans="1:32" ht="10.5" x14ac:dyDescent="0.25">
      <c r="A138" s="337" t="str" cm="1">
        <f t="array" ref="A138">IFERROR(INDEX(TInventE[UVID],ROUNDDOWN((ROW(A129)+1)/2,0)),"")</f>
        <v/>
      </c>
      <c r="B138" s="410" t="str">
        <f>IF(TInspectieE[[#This Row],[UVID]]="","",VLOOKUP(TInspectieE[[#This Row],[UVID]],TInventE[],2,FALSE))</f>
        <v/>
      </c>
      <c r="C138" s="365" t="str">
        <f>IF(TInspectieE[[#This Row],[UVID]]="","",VLOOKUP(TInspectieE[[#This Row],[UVID]],TInventE[],11,FALSE))</f>
        <v/>
      </c>
      <c r="D138" s="411" t="str">
        <f>IF(TInspectieE[[#This Row],[UVID]]="","",VLOOKUP(TInspectieE[[#This Row],[UVID]],TInventE[],3,FALSE))</f>
        <v/>
      </c>
      <c r="E138" s="338" t="str">
        <f>IF(TInspectieE[[#This Row],[Omschrijving bouwdeel]]="","",IF(ISEVEN(ROW()),"O","E"))</f>
        <v/>
      </c>
      <c r="F138" s="412"/>
      <c r="G138" s="413" t="str">
        <f>IF(ISBLANK(TInspectieE[[#This Row],[Soort gebrek]]),"",VLOOKUP(TInspectieE[[#This Row],[Soort gebrek]],TSoortGebrek[#Data],3,FALSE))</f>
        <v/>
      </c>
      <c r="H138" s="413" t="str">
        <f>IF(ISBLANK(TInspectieE[[#This Row],[Soort gebrek]]),"",VLOOKUP(TInspectieE[[#This Row],[Soort gebrek]],TSoortGebrek[#Data],2,FALSE))</f>
        <v/>
      </c>
      <c r="I138" s="413" t="str">
        <f>IF(TInspectieE[[#This Row],[Soort gebrek]]=0,"",VLOOKUP(TInspectieE[[#This Row],[Soort gebrek]],TSoortGebrek[],4,FALSE))</f>
        <v/>
      </c>
      <c r="J138" s="425"/>
      <c r="K138" s="415" t="str">
        <f>IF(TInspectieE[[#This Row],[Soort gebrek]]=0,"",VLOOKUP(TInspectieE[[#This Row],[Combi]],TPrio[#Data],2,FALSE))</f>
        <v/>
      </c>
      <c r="L138" s="339"/>
      <c r="M138" s="416" t="str">
        <f>IF(ISBLANK(TInspectieE[[#This Row],[Gebrek nr.]]),"",TInspectieE[[#This Row],[UVID]]&amp;"-"&amp;TInspectieE[[#This Row],[Gebrek nr.]])</f>
        <v/>
      </c>
      <c r="N138" s="417"/>
      <c r="O138" s="418"/>
      <c r="P138" s="206"/>
      <c r="Q138" s="193"/>
      <c r="R138" s="193" t="str">
        <f>IF(OR(TInspectieE[[#This Row],[Duurzaamheid bijdrage]]="Voldoet niet aan DZH-lijn",TInspectieE[[#This Row],[Duurzaamheid bijdrage]]="Voldoet niet aan vigerende W&amp;R"),"Voldoet niet","Voldoet")</f>
        <v>Voldoet</v>
      </c>
      <c r="S138" s="206"/>
      <c r="T138" s="206"/>
      <c r="U138" s="206"/>
      <c r="V138" s="206"/>
      <c r="W138" s="206"/>
      <c r="X138" s="419"/>
      <c r="Y138" s="340"/>
      <c r="Z138" s="420"/>
      <c r="AA138" s="421" t="str">
        <f>IF(ISBLANK(TInspectieE[[#This Row],[Aantal]]),"",ROUND(TInspectieE[[#This Row],[Kengetal]]*TInspectieE[[#This Row],[Aantal]],-1))</f>
        <v/>
      </c>
      <c r="AB138" s="422" t="str">
        <f>IF(TInspectieE[[#This Row],[Vak-groep]]="","1",VLOOKUP(C138,$J$2:$K$7,2,FALSE))</f>
        <v>1</v>
      </c>
      <c r="AC138" s="423" t="str">
        <f>CONCATENATE(TInspectieE[[#This Row],[Soort gebrek]],TInspectieE[[#This Row],[Trede]])</f>
        <v>1</v>
      </c>
      <c r="AD138" s="413" t="e">
        <v>#N/A</v>
      </c>
      <c r="AE138" s="413" t="e">
        <v>#N/A</v>
      </c>
      <c r="AF138" s="424">
        <v>0</v>
      </c>
    </row>
    <row r="139" spans="1:32" ht="10.5" x14ac:dyDescent="0.25">
      <c r="A139" s="337" t="str" cm="1">
        <f t="array" ref="A139">IFERROR(INDEX(TInventE[UVID],ROUNDDOWN((ROW(A130)+1)/2,0)),"")</f>
        <v/>
      </c>
      <c r="B139" s="410" t="str">
        <f>IF(TInspectieE[[#This Row],[UVID]]="","",VLOOKUP(TInspectieE[[#This Row],[UVID]],TInventE[],2,FALSE))</f>
        <v/>
      </c>
      <c r="C139" s="365" t="str">
        <f>IF(TInspectieE[[#This Row],[UVID]]="","",VLOOKUP(TInspectieE[[#This Row],[UVID]],TInventE[],11,FALSE))</f>
        <v/>
      </c>
      <c r="D139" s="411" t="str">
        <f>IF(TInspectieE[[#This Row],[UVID]]="","",VLOOKUP(TInspectieE[[#This Row],[UVID]],TInventE[],3,FALSE))</f>
        <v/>
      </c>
      <c r="E139" s="338" t="str">
        <f>IF(TInspectieE[[#This Row],[Omschrijving bouwdeel]]="","",IF(ISEVEN(ROW()),"O","E"))</f>
        <v/>
      </c>
      <c r="F139" s="412"/>
      <c r="G139" s="413" t="str">
        <f>IF(ISBLANK(TInspectieE[[#This Row],[Soort gebrek]]),"",VLOOKUP(TInspectieE[[#This Row],[Soort gebrek]],TSoortGebrek[#Data],3,FALSE))</f>
        <v/>
      </c>
      <c r="H139" s="413" t="str">
        <f>IF(ISBLANK(TInspectieE[[#This Row],[Soort gebrek]]),"",VLOOKUP(TInspectieE[[#This Row],[Soort gebrek]],TSoortGebrek[#Data],2,FALSE))</f>
        <v/>
      </c>
      <c r="I139" s="413" t="str">
        <f>IF(TInspectieE[[#This Row],[Soort gebrek]]=0,"",VLOOKUP(TInspectieE[[#This Row],[Soort gebrek]],TSoortGebrek[],4,FALSE))</f>
        <v/>
      </c>
      <c r="J139" s="425"/>
      <c r="K139" s="415" t="str">
        <f>IF(TInspectieE[[#This Row],[Soort gebrek]]=0,"",VLOOKUP(TInspectieE[[#This Row],[Combi]],TPrio[#Data],2,FALSE))</f>
        <v/>
      </c>
      <c r="L139" s="339"/>
      <c r="M139" s="416" t="str">
        <f>IF(ISBLANK(TInspectieE[[#This Row],[Gebrek nr.]]),"",TInspectieE[[#This Row],[UVID]]&amp;"-"&amp;TInspectieE[[#This Row],[Gebrek nr.]])</f>
        <v/>
      </c>
      <c r="N139" s="417"/>
      <c r="O139" s="418"/>
      <c r="P139" s="206"/>
      <c r="Q139" s="193"/>
      <c r="R139" s="193" t="str">
        <f>IF(OR(TInspectieE[[#This Row],[Duurzaamheid bijdrage]]="Voldoet niet aan DZH-lijn",TInspectieE[[#This Row],[Duurzaamheid bijdrage]]="Voldoet niet aan vigerende W&amp;R"),"Voldoet niet","Voldoet")</f>
        <v>Voldoet</v>
      </c>
      <c r="S139" s="206"/>
      <c r="T139" s="206"/>
      <c r="U139" s="206"/>
      <c r="V139" s="206"/>
      <c r="W139" s="206"/>
      <c r="X139" s="419"/>
      <c r="Y139" s="340"/>
      <c r="Z139" s="420"/>
      <c r="AA139" s="421" t="str">
        <f>IF(ISBLANK(TInspectieE[[#This Row],[Aantal]]),"",ROUND(TInspectieE[[#This Row],[Kengetal]]*TInspectieE[[#This Row],[Aantal]],-1))</f>
        <v/>
      </c>
      <c r="AB139" s="422" t="str">
        <f>IF(TInspectieE[[#This Row],[Vak-groep]]="","1",VLOOKUP(C139,$J$2:$K$7,2,FALSE))</f>
        <v>1</v>
      </c>
      <c r="AC139" s="423" t="str">
        <f>CONCATENATE(TInspectieE[[#This Row],[Soort gebrek]],TInspectieE[[#This Row],[Trede]])</f>
        <v>1</v>
      </c>
      <c r="AD139" s="413" t="e">
        <v>#N/A</v>
      </c>
      <c r="AE139" s="413" t="e">
        <v>#N/A</v>
      </c>
      <c r="AF139" s="424">
        <v>0</v>
      </c>
    </row>
    <row r="140" spans="1:32" ht="10.5" x14ac:dyDescent="0.25">
      <c r="A140" s="337" t="str" cm="1">
        <f t="array" ref="A140">IFERROR(INDEX(TInventE[UVID],ROUNDDOWN((ROW(A131)+1)/2,0)),"")</f>
        <v/>
      </c>
      <c r="B140" s="410" t="str">
        <f>IF(TInspectieE[[#This Row],[UVID]]="","",VLOOKUP(TInspectieE[[#This Row],[UVID]],TInventE[],2,FALSE))</f>
        <v/>
      </c>
      <c r="C140" s="365" t="str">
        <f>IF(TInspectieE[[#This Row],[UVID]]="","",VLOOKUP(TInspectieE[[#This Row],[UVID]],TInventE[],11,FALSE))</f>
        <v/>
      </c>
      <c r="D140" s="411" t="str">
        <f>IF(TInspectieE[[#This Row],[UVID]]="","",VLOOKUP(TInspectieE[[#This Row],[UVID]],TInventE[],3,FALSE))</f>
        <v/>
      </c>
      <c r="E140" s="338" t="str">
        <f>IF(TInspectieE[[#This Row],[Omschrijving bouwdeel]]="","",IF(ISEVEN(ROW()),"O","E"))</f>
        <v/>
      </c>
      <c r="F140" s="412"/>
      <c r="G140" s="413" t="str">
        <f>IF(ISBLANK(TInspectieE[[#This Row],[Soort gebrek]]),"",VLOOKUP(TInspectieE[[#This Row],[Soort gebrek]],TSoortGebrek[#Data],3,FALSE))</f>
        <v/>
      </c>
      <c r="H140" s="413" t="str">
        <f>IF(ISBLANK(TInspectieE[[#This Row],[Soort gebrek]]),"",VLOOKUP(TInspectieE[[#This Row],[Soort gebrek]],TSoortGebrek[#Data],2,FALSE))</f>
        <v/>
      </c>
      <c r="I140" s="413" t="str">
        <f>IF(TInspectieE[[#This Row],[Soort gebrek]]=0,"",VLOOKUP(TInspectieE[[#This Row],[Soort gebrek]],TSoortGebrek[],4,FALSE))</f>
        <v/>
      </c>
      <c r="J140" s="425"/>
      <c r="K140" s="415" t="str">
        <f>IF(TInspectieE[[#This Row],[Soort gebrek]]=0,"",VLOOKUP(TInspectieE[[#This Row],[Combi]],TPrio[#Data],2,FALSE))</f>
        <v/>
      </c>
      <c r="L140" s="339"/>
      <c r="M140" s="416" t="str">
        <f>IF(ISBLANK(TInspectieE[[#This Row],[Gebrek nr.]]),"",TInspectieE[[#This Row],[UVID]]&amp;"-"&amp;TInspectieE[[#This Row],[Gebrek nr.]])</f>
        <v/>
      </c>
      <c r="N140" s="417"/>
      <c r="O140" s="418"/>
      <c r="P140" s="206"/>
      <c r="Q140" s="193"/>
      <c r="R140" s="193" t="str">
        <f>IF(OR(TInspectieE[[#This Row],[Duurzaamheid bijdrage]]="Voldoet niet aan DZH-lijn",TInspectieE[[#This Row],[Duurzaamheid bijdrage]]="Voldoet niet aan vigerende W&amp;R"),"Voldoet niet","Voldoet")</f>
        <v>Voldoet</v>
      </c>
      <c r="S140" s="206"/>
      <c r="T140" s="206"/>
      <c r="U140" s="206"/>
      <c r="V140" s="206"/>
      <c r="W140" s="206"/>
      <c r="X140" s="419"/>
      <c r="Y140" s="340"/>
      <c r="Z140" s="420"/>
      <c r="AA140" s="421" t="str">
        <f>IF(ISBLANK(TInspectieE[[#This Row],[Aantal]]),"",ROUND(TInspectieE[[#This Row],[Kengetal]]*TInspectieE[[#This Row],[Aantal]],-1))</f>
        <v/>
      </c>
      <c r="AB140" s="422" t="str">
        <f>IF(TInspectieE[[#This Row],[Vak-groep]]="","1",VLOOKUP(C140,$J$2:$K$7,2,FALSE))</f>
        <v>1</v>
      </c>
      <c r="AC140" s="423" t="str">
        <f>CONCATENATE(TInspectieE[[#This Row],[Soort gebrek]],TInspectieE[[#This Row],[Trede]])</f>
        <v>1</v>
      </c>
      <c r="AD140" s="413" t="e">
        <v>#N/A</v>
      </c>
      <c r="AE140" s="413" t="e">
        <v>#N/A</v>
      </c>
      <c r="AF140" s="424">
        <v>0</v>
      </c>
    </row>
    <row r="141" spans="1:32" ht="10.5" x14ac:dyDescent="0.25">
      <c r="A141" s="337" t="str" cm="1">
        <f t="array" ref="A141">IFERROR(INDEX(TInventE[UVID],ROUNDDOWN((ROW(A132)+1)/2,0)),"")</f>
        <v/>
      </c>
      <c r="B141" s="410" t="str">
        <f>IF(TInspectieE[[#This Row],[UVID]]="","",VLOOKUP(TInspectieE[[#This Row],[UVID]],TInventE[],2,FALSE))</f>
        <v/>
      </c>
      <c r="C141" s="365" t="str">
        <f>IF(TInspectieE[[#This Row],[UVID]]="","",VLOOKUP(TInspectieE[[#This Row],[UVID]],TInventE[],11,FALSE))</f>
        <v/>
      </c>
      <c r="D141" s="411" t="str">
        <f>IF(TInspectieE[[#This Row],[UVID]]="","",VLOOKUP(TInspectieE[[#This Row],[UVID]],TInventE[],3,FALSE))</f>
        <v/>
      </c>
      <c r="E141" s="338" t="str">
        <f>IF(TInspectieE[[#This Row],[Omschrijving bouwdeel]]="","",IF(ISEVEN(ROW()),"O","E"))</f>
        <v/>
      </c>
      <c r="F141" s="412"/>
      <c r="G141" s="413" t="str">
        <f>IF(ISBLANK(TInspectieE[[#This Row],[Soort gebrek]]),"",VLOOKUP(TInspectieE[[#This Row],[Soort gebrek]],TSoortGebrek[#Data],3,FALSE))</f>
        <v/>
      </c>
      <c r="H141" s="413" t="str">
        <f>IF(ISBLANK(TInspectieE[[#This Row],[Soort gebrek]]),"",VLOOKUP(TInspectieE[[#This Row],[Soort gebrek]],TSoortGebrek[#Data],2,FALSE))</f>
        <v/>
      </c>
      <c r="I141" s="413" t="str">
        <f>IF(TInspectieE[[#This Row],[Soort gebrek]]=0,"",VLOOKUP(TInspectieE[[#This Row],[Soort gebrek]],TSoortGebrek[],4,FALSE))</f>
        <v/>
      </c>
      <c r="J141" s="425"/>
      <c r="K141" s="415" t="str">
        <f>IF(TInspectieE[[#This Row],[Soort gebrek]]=0,"",VLOOKUP(TInspectieE[[#This Row],[Combi]],TPrio[#Data],2,FALSE))</f>
        <v/>
      </c>
      <c r="L141" s="339"/>
      <c r="M141" s="416" t="str">
        <f>IF(ISBLANK(TInspectieE[[#This Row],[Gebrek nr.]]),"",TInspectieE[[#This Row],[UVID]]&amp;"-"&amp;TInspectieE[[#This Row],[Gebrek nr.]])</f>
        <v/>
      </c>
      <c r="N141" s="417"/>
      <c r="O141" s="418"/>
      <c r="P141" s="206"/>
      <c r="Q141" s="193"/>
      <c r="R141" s="193" t="str">
        <f>IF(OR(TInspectieE[[#This Row],[Duurzaamheid bijdrage]]="Voldoet niet aan DZH-lijn",TInspectieE[[#This Row],[Duurzaamheid bijdrage]]="Voldoet niet aan vigerende W&amp;R"),"Voldoet niet","Voldoet")</f>
        <v>Voldoet</v>
      </c>
      <c r="S141" s="206"/>
      <c r="T141" s="206"/>
      <c r="U141" s="206"/>
      <c r="V141" s="206"/>
      <c r="W141" s="206"/>
      <c r="X141" s="419"/>
      <c r="Y141" s="340"/>
      <c r="Z141" s="420"/>
      <c r="AA141" s="421" t="str">
        <f>IF(ISBLANK(TInspectieE[[#This Row],[Aantal]]),"",ROUND(TInspectieE[[#This Row],[Kengetal]]*TInspectieE[[#This Row],[Aantal]],-1))</f>
        <v/>
      </c>
      <c r="AB141" s="422" t="str">
        <f>IF(TInspectieE[[#This Row],[Vak-groep]]="","1",VLOOKUP(C141,$J$2:$K$7,2,FALSE))</f>
        <v>1</v>
      </c>
      <c r="AC141" s="423" t="str">
        <f>CONCATENATE(TInspectieE[[#This Row],[Soort gebrek]],TInspectieE[[#This Row],[Trede]])</f>
        <v>1</v>
      </c>
      <c r="AD141" s="413" t="e">
        <v>#N/A</v>
      </c>
      <c r="AE141" s="413" t="e">
        <v>#N/A</v>
      </c>
      <c r="AF141" s="424">
        <v>0</v>
      </c>
    </row>
    <row r="142" spans="1:32" ht="10.5" x14ac:dyDescent="0.25">
      <c r="A142" s="337" t="str" cm="1">
        <f t="array" ref="A142">IFERROR(INDEX(TInventE[UVID],ROUNDDOWN((ROW(A133)+1)/2,0)),"")</f>
        <v/>
      </c>
      <c r="B142" s="410" t="str">
        <f>IF(TInspectieE[[#This Row],[UVID]]="","",VLOOKUP(TInspectieE[[#This Row],[UVID]],TInventE[],2,FALSE))</f>
        <v/>
      </c>
      <c r="C142" s="365" t="str">
        <f>IF(TInspectieE[[#This Row],[UVID]]="","",VLOOKUP(TInspectieE[[#This Row],[UVID]],TInventE[],11,FALSE))</f>
        <v/>
      </c>
      <c r="D142" s="411" t="str">
        <f>IF(TInspectieE[[#This Row],[UVID]]="","",VLOOKUP(TInspectieE[[#This Row],[UVID]],TInventE[],3,FALSE))</f>
        <v/>
      </c>
      <c r="E142" s="338" t="str">
        <f>IF(TInspectieE[[#This Row],[Omschrijving bouwdeel]]="","",IF(ISEVEN(ROW()),"O","E"))</f>
        <v/>
      </c>
      <c r="F142" s="412"/>
      <c r="G142" s="413" t="str">
        <f>IF(ISBLANK(TInspectieE[[#This Row],[Soort gebrek]]),"",VLOOKUP(TInspectieE[[#This Row],[Soort gebrek]],TSoortGebrek[#Data],3,FALSE))</f>
        <v/>
      </c>
      <c r="H142" s="413" t="str">
        <f>IF(ISBLANK(TInspectieE[[#This Row],[Soort gebrek]]),"",VLOOKUP(TInspectieE[[#This Row],[Soort gebrek]],TSoortGebrek[#Data],2,FALSE))</f>
        <v/>
      </c>
      <c r="I142" s="413" t="str">
        <f>IF(TInspectieE[[#This Row],[Soort gebrek]]=0,"",VLOOKUP(TInspectieE[[#This Row],[Soort gebrek]],TSoortGebrek[],4,FALSE))</f>
        <v/>
      </c>
      <c r="J142" s="425"/>
      <c r="K142" s="415" t="str">
        <f>IF(TInspectieE[[#This Row],[Soort gebrek]]=0,"",VLOOKUP(TInspectieE[[#This Row],[Combi]],TPrio[#Data],2,FALSE))</f>
        <v/>
      </c>
      <c r="L142" s="339"/>
      <c r="M142" s="416" t="str">
        <f>IF(ISBLANK(TInspectieE[[#This Row],[Gebrek nr.]]),"",TInspectieE[[#This Row],[UVID]]&amp;"-"&amp;TInspectieE[[#This Row],[Gebrek nr.]])</f>
        <v/>
      </c>
      <c r="N142" s="417"/>
      <c r="O142" s="418"/>
      <c r="P142" s="206"/>
      <c r="Q142" s="193"/>
      <c r="R142" s="193" t="str">
        <f>IF(OR(TInspectieE[[#This Row],[Duurzaamheid bijdrage]]="Voldoet niet aan DZH-lijn",TInspectieE[[#This Row],[Duurzaamheid bijdrage]]="Voldoet niet aan vigerende W&amp;R"),"Voldoet niet","Voldoet")</f>
        <v>Voldoet</v>
      </c>
      <c r="S142" s="206"/>
      <c r="T142" s="206"/>
      <c r="U142" s="206"/>
      <c r="V142" s="206"/>
      <c r="W142" s="206"/>
      <c r="X142" s="419"/>
      <c r="Y142" s="340"/>
      <c r="Z142" s="420"/>
      <c r="AA142" s="421" t="str">
        <f>IF(ISBLANK(TInspectieE[[#This Row],[Aantal]]),"",ROUND(TInspectieE[[#This Row],[Kengetal]]*TInspectieE[[#This Row],[Aantal]],-1))</f>
        <v/>
      </c>
      <c r="AB142" s="422" t="str">
        <f>IF(TInspectieE[[#This Row],[Vak-groep]]="","1",VLOOKUP(C142,$J$2:$K$7,2,FALSE))</f>
        <v>1</v>
      </c>
      <c r="AC142" s="423" t="str">
        <f>CONCATENATE(TInspectieE[[#This Row],[Soort gebrek]],TInspectieE[[#This Row],[Trede]])</f>
        <v>1</v>
      </c>
      <c r="AD142" s="413" t="e">
        <v>#N/A</v>
      </c>
      <c r="AE142" s="413" t="e">
        <v>#N/A</v>
      </c>
      <c r="AF142" s="424">
        <v>0</v>
      </c>
    </row>
    <row r="143" spans="1:32" ht="10.5" x14ac:dyDescent="0.25">
      <c r="A143" s="337" t="str" cm="1">
        <f t="array" ref="A143">IFERROR(INDEX(TInventE[UVID],ROUNDDOWN((ROW(A134)+1)/2,0)),"")</f>
        <v/>
      </c>
      <c r="B143" s="410" t="str">
        <f>IF(TInspectieE[[#This Row],[UVID]]="","",VLOOKUP(TInspectieE[[#This Row],[UVID]],TInventE[],2,FALSE))</f>
        <v/>
      </c>
      <c r="C143" s="365" t="str">
        <f>IF(TInspectieE[[#This Row],[UVID]]="","",VLOOKUP(TInspectieE[[#This Row],[UVID]],TInventE[],11,FALSE))</f>
        <v/>
      </c>
      <c r="D143" s="411" t="str">
        <f>IF(TInspectieE[[#This Row],[UVID]]="","",VLOOKUP(TInspectieE[[#This Row],[UVID]],TInventE[],3,FALSE))</f>
        <v/>
      </c>
      <c r="E143" s="338" t="str">
        <f>IF(TInspectieE[[#This Row],[Omschrijving bouwdeel]]="","",IF(ISEVEN(ROW()),"O","E"))</f>
        <v/>
      </c>
      <c r="F143" s="412"/>
      <c r="G143" s="413" t="str">
        <f>IF(ISBLANK(TInspectieE[[#This Row],[Soort gebrek]]),"",VLOOKUP(TInspectieE[[#This Row],[Soort gebrek]],TSoortGebrek[#Data],3,FALSE))</f>
        <v/>
      </c>
      <c r="H143" s="413" t="str">
        <f>IF(ISBLANK(TInspectieE[[#This Row],[Soort gebrek]]),"",VLOOKUP(TInspectieE[[#This Row],[Soort gebrek]],TSoortGebrek[#Data],2,FALSE))</f>
        <v/>
      </c>
      <c r="I143" s="413" t="str">
        <f>IF(TInspectieE[[#This Row],[Soort gebrek]]=0,"",VLOOKUP(TInspectieE[[#This Row],[Soort gebrek]],TSoortGebrek[],4,FALSE))</f>
        <v/>
      </c>
      <c r="J143" s="425"/>
      <c r="K143" s="415" t="str">
        <f>IF(TInspectieE[[#This Row],[Soort gebrek]]=0,"",VLOOKUP(TInspectieE[[#This Row],[Combi]],TPrio[#Data],2,FALSE))</f>
        <v/>
      </c>
      <c r="L143" s="339"/>
      <c r="M143" s="416" t="str">
        <f>IF(ISBLANK(TInspectieE[[#This Row],[Gebrek nr.]]),"",TInspectieE[[#This Row],[UVID]]&amp;"-"&amp;TInspectieE[[#This Row],[Gebrek nr.]])</f>
        <v/>
      </c>
      <c r="N143" s="417"/>
      <c r="O143" s="418"/>
      <c r="P143" s="206"/>
      <c r="Q143" s="193"/>
      <c r="R143" s="193" t="str">
        <f>IF(OR(TInspectieE[[#This Row],[Duurzaamheid bijdrage]]="Voldoet niet aan DZH-lijn",TInspectieE[[#This Row],[Duurzaamheid bijdrage]]="Voldoet niet aan vigerende W&amp;R"),"Voldoet niet","Voldoet")</f>
        <v>Voldoet</v>
      </c>
      <c r="S143" s="206"/>
      <c r="T143" s="206"/>
      <c r="U143" s="206"/>
      <c r="V143" s="206"/>
      <c r="W143" s="206"/>
      <c r="X143" s="419"/>
      <c r="Y143" s="340"/>
      <c r="Z143" s="420"/>
      <c r="AA143" s="421" t="str">
        <f>IF(ISBLANK(TInspectieE[[#This Row],[Aantal]]),"",ROUND(TInspectieE[[#This Row],[Kengetal]]*TInspectieE[[#This Row],[Aantal]],-1))</f>
        <v/>
      </c>
      <c r="AB143" s="422" t="str">
        <f>IF(TInspectieE[[#This Row],[Vak-groep]]="","1",VLOOKUP(C143,$J$2:$K$7,2,FALSE))</f>
        <v>1</v>
      </c>
      <c r="AC143" s="423" t="str">
        <f>CONCATENATE(TInspectieE[[#This Row],[Soort gebrek]],TInspectieE[[#This Row],[Trede]])</f>
        <v>1</v>
      </c>
      <c r="AD143" s="413" t="e">
        <v>#N/A</v>
      </c>
      <c r="AE143" s="413" t="e">
        <v>#N/A</v>
      </c>
      <c r="AF143" s="424">
        <v>0</v>
      </c>
    </row>
    <row r="144" spans="1:32" ht="10.5" x14ac:dyDescent="0.25">
      <c r="A144" s="337" t="str" cm="1">
        <f t="array" ref="A144">IFERROR(INDEX(TInventE[UVID],ROUNDDOWN((ROW(A135)+1)/2,0)),"")</f>
        <v/>
      </c>
      <c r="B144" s="410" t="str">
        <f>IF(TInspectieE[[#This Row],[UVID]]="","",VLOOKUP(TInspectieE[[#This Row],[UVID]],TInventE[],2,FALSE))</f>
        <v/>
      </c>
      <c r="C144" s="365" t="str">
        <f>IF(TInspectieE[[#This Row],[UVID]]="","",VLOOKUP(TInspectieE[[#This Row],[UVID]],TInventE[],11,FALSE))</f>
        <v/>
      </c>
      <c r="D144" s="411" t="str">
        <f>IF(TInspectieE[[#This Row],[UVID]]="","",VLOOKUP(TInspectieE[[#This Row],[UVID]],TInventE[],3,FALSE))</f>
        <v/>
      </c>
      <c r="E144" s="338" t="str">
        <f>IF(TInspectieE[[#This Row],[Omschrijving bouwdeel]]="","",IF(ISEVEN(ROW()),"O","E"))</f>
        <v/>
      </c>
      <c r="F144" s="412"/>
      <c r="G144" s="413" t="str">
        <f>IF(ISBLANK(TInspectieE[[#This Row],[Soort gebrek]]),"",VLOOKUP(TInspectieE[[#This Row],[Soort gebrek]],TSoortGebrek[#Data],3,FALSE))</f>
        <v/>
      </c>
      <c r="H144" s="413" t="str">
        <f>IF(ISBLANK(TInspectieE[[#This Row],[Soort gebrek]]),"",VLOOKUP(TInspectieE[[#This Row],[Soort gebrek]],TSoortGebrek[#Data],2,FALSE))</f>
        <v/>
      </c>
      <c r="I144" s="413" t="str">
        <f>IF(TInspectieE[[#This Row],[Soort gebrek]]=0,"",VLOOKUP(TInspectieE[[#This Row],[Soort gebrek]],TSoortGebrek[],4,FALSE))</f>
        <v/>
      </c>
      <c r="J144" s="425"/>
      <c r="K144" s="415" t="str">
        <f>IF(TInspectieE[[#This Row],[Soort gebrek]]=0,"",VLOOKUP(TInspectieE[[#This Row],[Combi]],TPrio[#Data],2,FALSE))</f>
        <v/>
      </c>
      <c r="L144" s="339"/>
      <c r="M144" s="416" t="str">
        <f>IF(ISBLANK(TInspectieE[[#This Row],[Gebrek nr.]]),"",TInspectieE[[#This Row],[UVID]]&amp;"-"&amp;TInspectieE[[#This Row],[Gebrek nr.]])</f>
        <v/>
      </c>
      <c r="N144" s="417"/>
      <c r="O144" s="418"/>
      <c r="P144" s="206"/>
      <c r="Q144" s="193"/>
      <c r="R144" s="193" t="str">
        <f>IF(OR(TInspectieE[[#This Row],[Duurzaamheid bijdrage]]="Voldoet niet aan DZH-lijn",TInspectieE[[#This Row],[Duurzaamheid bijdrage]]="Voldoet niet aan vigerende W&amp;R"),"Voldoet niet","Voldoet")</f>
        <v>Voldoet</v>
      </c>
      <c r="S144" s="206"/>
      <c r="T144" s="206"/>
      <c r="U144" s="206"/>
      <c r="V144" s="206"/>
      <c r="W144" s="206"/>
      <c r="X144" s="419"/>
      <c r="Y144" s="340"/>
      <c r="Z144" s="420"/>
      <c r="AA144" s="421" t="str">
        <f>IF(ISBLANK(TInspectieE[[#This Row],[Aantal]]),"",ROUND(TInspectieE[[#This Row],[Kengetal]]*TInspectieE[[#This Row],[Aantal]],-1))</f>
        <v/>
      </c>
      <c r="AB144" s="422" t="str">
        <f>IF(TInspectieE[[#This Row],[Vak-groep]]="","1",VLOOKUP(C144,$J$2:$K$7,2,FALSE))</f>
        <v>1</v>
      </c>
      <c r="AC144" s="423" t="str">
        <f>CONCATENATE(TInspectieE[[#This Row],[Soort gebrek]],TInspectieE[[#This Row],[Trede]])</f>
        <v>1</v>
      </c>
      <c r="AD144" s="413" t="e">
        <v>#N/A</v>
      </c>
      <c r="AE144" s="413" t="e">
        <v>#N/A</v>
      </c>
      <c r="AF144" s="424">
        <v>0</v>
      </c>
    </row>
    <row r="145" spans="1:32" ht="10.5" x14ac:dyDescent="0.25">
      <c r="A145" s="337" t="str" cm="1">
        <f t="array" ref="A145">IFERROR(INDEX(TInventE[UVID],ROUNDDOWN((ROW(A136)+1)/2,0)),"")</f>
        <v/>
      </c>
      <c r="B145" s="410" t="str">
        <f>IF(TInspectieE[[#This Row],[UVID]]="","",VLOOKUP(TInspectieE[[#This Row],[UVID]],TInventE[],2,FALSE))</f>
        <v/>
      </c>
      <c r="C145" s="365" t="str">
        <f>IF(TInspectieE[[#This Row],[UVID]]="","",VLOOKUP(TInspectieE[[#This Row],[UVID]],TInventE[],11,FALSE))</f>
        <v/>
      </c>
      <c r="D145" s="411" t="str">
        <f>IF(TInspectieE[[#This Row],[UVID]]="","",VLOOKUP(TInspectieE[[#This Row],[UVID]],TInventE[],3,FALSE))</f>
        <v/>
      </c>
      <c r="E145" s="338" t="str">
        <f>IF(TInspectieE[[#This Row],[Omschrijving bouwdeel]]="","",IF(ISEVEN(ROW()),"O","E"))</f>
        <v/>
      </c>
      <c r="F145" s="412"/>
      <c r="G145" s="413" t="str">
        <f>IF(ISBLANK(TInspectieE[[#This Row],[Soort gebrek]]),"",VLOOKUP(TInspectieE[[#This Row],[Soort gebrek]],TSoortGebrek[#Data],3,FALSE))</f>
        <v/>
      </c>
      <c r="H145" s="413" t="str">
        <f>IF(ISBLANK(TInspectieE[[#This Row],[Soort gebrek]]),"",VLOOKUP(TInspectieE[[#This Row],[Soort gebrek]],TSoortGebrek[#Data],2,FALSE))</f>
        <v/>
      </c>
      <c r="I145" s="413" t="str">
        <f>IF(TInspectieE[[#This Row],[Soort gebrek]]=0,"",VLOOKUP(TInspectieE[[#This Row],[Soort gebrek]],TSoortGebrek[],4,FALSE))</f>
        <v/>
      </c>
      <c r="J145" s="425"/>
      <c r="K145" s="415" t="str">
        <f>IF(TInspectieE[[#This Row],[Soort gebrek]]=0,"",VLOOKUP(TInspectieE[[#This Row],[Combi]],TPrio[#Data],2,FALSE))</f>
        <v/>
      </c>
      <c r="L145" s="339"/>
      <c r="M145" s="416" t="str">
        <f>IF(ISBLANK(TInspectieE[[#This Row],[Gebrek nr.]]),"",TInspectieE[[#This Row],[UVID]]&amp;"-"&amp;TInspectieE[[#This Row],[Gebrek nr.]])</f>
        <v/>
      </c>
      <c r="N145" s="417"/>
      <c r="O145" s="418"/>
      <c r="P145" s="206"/>
      <c r="Q145" s="193"/>
      <c r="R145" s="193" t="str">
        <f>IF(OR(TInspectieE[[#This Row],[Duurzaamheid bijdrage]]="Voldoet niet aan DZH-lijn",TInspectieE[[#This Row],[Duurzaamheid bijdrage]]="Voldoet niet aan vigerende W&amp;R"),"Voldoet niet","Voldoet")</f>
        <v>Voldoet</v>
      </c>
      <c r="S145" s="206"/>
      <c r="T145" s="206"/>
      <c r="U145" s="206"/>
      <c r="V145" s="206"/>
      <c r="W145" s="206"/>
      <c r="X145" s="419"/>
      <c r="Y145" s="340"/>
      <c r="Z145" s="420"/>
      <c r="AA145" s="421" t="str">
        <f>IF(ISBLANK(TInspectieE[[#This Row],[Aantal]]),"",ROUND(TInspectieE[[#This Row],[Kengetal]]*TInspectieE[[#This Row],[Aantal]],-1))</f>
        <v/>
      </c>
      <c r="AB145" s="422" t="str">
        <f>IF(TInspectieE[[#This Row],[Vak-groep]]="","1",VLOOKUP(C145,$J$2:$K$7,2,FALSE))</f>
        <v>1</v>
      </c>
      <c r="AC145" s="423" t="str">
        <f>CONCATENATE(TInspectieE[[#This Row],[Soort gebrek]],TInspectieE[[#This Row],[Trede]])</f>
        <v>1</v>
      </c>
      <c r="AD145" s="413" t="e">
        <v>#N/A</v>
      </c>
      <c r="AE145" s="413" t="e">
        <v>#N/A</v>
      </c>
      <c r="AF145" s="424">
        <v>0</v>
      </c>
    </row>
    <row r="146" spans="1:32" ht="10.5" x14ac:dyDescent="0.25">
      <c r="A146" s="337" t="str" cm="1">
        <f t="array" ref="A146">IFERROR(INDEX(TInventE[UVID],ROUNDDOWN((ROW(A137)+1)/2,0)),"")</f>
        <v/>
      </c>
      <c r="B146" s="410" t="str">
        <f>IF(TInspectieE[[#This Row],[UVID]]="","",VLOOKUP(TInspectieE[[#This Row],[UVID]],TInventE[],2,FALSE))</f>
        <v/>
      </c>
      <c r="C146" s="365" t="str">
        <f>IF(TInspectieE[[#This Row],[UVID]]="","",VLOOKUP(TInspectieE[[#This Row],[UVID]],TInventE[],11,FALSE))</f>
        <v/>
      </c>
      <c r="D146" s="411" t="str">
        <f>IF(TInspectieE[[#This Row],[UVID]]="","",VLOOKUP(TInspectieE[[#This Row],[UVID]],TInventE[],3,FALSE))</f>
        <v/>
      </c>
      <c r="E146" s="338" t="str">
        <f>IF(TInspectieE[[#This Row],[Omschrijving bouwdeel]]="","",IF(ISEVEN(ROW()),"O","E"))</f>
        <v/>
      </c>
      <c r="F146" s="412"/>
      <c r="G146" s="413" t="str">
        <f>IF(ISBLANK(TInspectieE[[#This Row],[Soort gebrek]]),"",VLOOKUP(TInspectieE[[#This Row],[Soort gebrek]],TSoortGebrek[#Data],3,FALSE))</f>
        <v/>
      </c>
      <c r="H146" s="413" t="str">
        <f>IF(ISBLANK(TInspectieE[[#This Row],[Soort gebrek]]),"",VLOOKUP(TInspectieE[[#This Row],[Soort gebrek]],TSoortGebrek[#Data],2,FALSE))</f>
        <v/>
      </c>
      <c r="I146" s="413" t="str">
        <f>IF(TInspectieE[[#This Row],[Soort gebrek]]=0,"",VLOOKUP(TInspectieE[[#This Row],[Soort gebrek]],TSoortGebrek[],4,FALSE))</f>
        <v/>
      </c>
      <c r="J146" s="425"/>
      <c r="K146" s="415" t="str">
        <f>IF(TInspectieE[[#This Row],[Soort gebrek]]=0,"",VLOOKUP(TInspectieE[[#This Row],[Combi]],TPrio[#Data],2,FALSE))</f>
        <v/>
      </c>
      <c r="L146" s="339"/>
      <c r="M146" s="416" t="str">
        <f>IF(ISBLANK(TInspectieE[[#This Row],[Gebrek nr.]]),"",TInspectieE[[#This Row],[UVID]]&amp;"-"&amp;TInspectieE[[#This Row],[Gebrek nr.]])</f>
        <v/>
      </c>
      <c r="N146" s="417"/>
      <c r="O146" s="418"/>
      <c r="P146" s="206"/>
      <c r="Q146" s="193"/>
      <c r="R146" s="193" t="str">
        <f>IF(OR(TInspectieE[[#This Row],[Duurzaamheid bijdrage]]="Voldoet niet aan DZH-lijn",TInspectieE[[#This Row],[Duurzaamheid bijdrage]]="Voldoet niet aan vigerende W&amp;R"),"Voldoet niet","Voldoet")</f>
        <v>Voldoet</v>
      </c>
      <c r="S146" s="206"/>
      <c r="T146" s="206"/>
      <c r="U146" s="206"/>
      <c r="V146" s="206"/>
      <c r="W146" s="206"/>
      <c r="X146" s="419"/>
      <c r="Y146" s="340"/>
      <c r="Z146" s="420"/>
      <c r="AA146" s="421" t="str">
        <f>IF(ISBLANK(TInspectieE[[#This Row],[Aantal]]),"",ROUND(TInspectieE[[#This Row],[Kengetal]]*TInspectieE[[#This Row],[Aantal]],-1))</f>
        <v/>
      </c>
      <c r="AB146" s="422" t="str">
        <f>IF(TInspectieE[[#This Row],[Vak-groep]]="","1",VLOOKUP(C146,$J$2:$K$7,2,FALSE))</f>
        <v>1</v>
      </c>
      <c r="AC146" s="423" t="str">
        <f>CONCATENATE(TInspectieE[[#This Row],[Soort gebrek]],TInspectieE[[#This Row],[Trede]])</f>
        <v>1</v>
      </c>
      <c r="AD146" s="413" t="e">
        <v>#N/A</v>
      </c>
      <c r="AE146" s="413" t="e">
        <v>#N/A</v>
      </c>
      <c r="AF146" s="424">
        <v>0</v>
      </c>
    </row>
    <row r="147" spans="1:32" ht="10.5" x14ac:dyDescent="0.25">
      <c r="A147" s="337" t="str" cm="1">
        <f t="array" ref="A147">IFERROR(INDEX(TInventE[UVID],ROUNDDOWN((ROW(A138)+1)/2,0)),"")</f>
        <v/>
      </c>
      <c r="B147" s="410" t="str">
        <f>IF(TInspectieE[[#This Row],[UVID]]="","",VLOOKUP(TInspectieE[[#This Row],[UVID]],TInventE[],2,FALSE))</f>
        <v/>
      </c>
      <c r="C147" s="365" t="str">
        <f>IF(TInspectieE[[#This Row],[UVID]]="","",VLOOKUP(TInspectieE[[#This Row],[UVID]],TInventE[],11,FALSE))</f>
        <v/>
      </c>
      <c r="D147" s="411" t="str">
        <f>IF(TInspectieE[[#This Row],[UVID]]="","",VLOOKUP(TInspectieE[[#This Row],[UVID]],TInventE[],3,FALSE))</f>
        <v/>
      </c>
      <c r="E147" s="338" t="str">
        <f>IF(TInspectieE[[#This Row],[Omschrijving bouwdeel]]="","",IF(ISEVEN(ROW()),"O","E"))</f>
        <v/>
      </c>
      <c r="F147" s="412"/>
      <c r="G147" s="413" t="str">
        <f>IF(ISBLANK(TInspectieE[[#This Row],[Soort gebrek]]),"",VLOOKUP(TInspectieE[[#This Row],[Soort gebrek]],TSoortGebrek[#Data],3,FALSE))</f>
        <v/>
      </c>
      <c r="H147" s="413" t="str">
        <f>IF(ISBLANK(TInspectieE[[#This Row],[Soort gebrek]]),"",VLOOKUP(TInspectieE[[#This Row],[Soort gebrek]],TSoortGebrek[#Data],2,FALSE))</f>
        <v/>
      </c>
      <c r="I147" s="413" t="str">
        <f>IF(TInspectieE[[#This Row],[Soort gebrek]]=0,"",VLOOKUP(TInspectieE[[#This Row],[Soort gebrek]],TSoortGebrek[],4,FALSE))</f>
        <v/>
      </c>
      <c r="J147" s="425"/>
      <c r="K147" s="415" t="str">
        <f>IF(TInspectieE[[#This Row],[Soort gebrek]]=0,"",VLOOKUP(TInspectieE[[#This Row],[Combi]],TPrio[#Data],2,FALSE))</f>
        <v/>
      </c>
      <c r="L147" s="339"/>
      <c r="M147" s="416" t="str">
        <f>IF(ISBLANK(TInspectieE[[#This Row],[Gebrek nr.]]),"",TInspectieE[[#This Row],[UVID]]&amp;"-"&amp;TInspectieE[[#This Row],[Gebrek nr.]])</f>
        <v/>
      </c>
      <c r="N147" s="417"/>
      <c r="O147" s="418"/>
      <c r="P147" s="206"/>
      <c r="Q147" s="193"/>
      <c r="R147" s="193" t="str">
        <f>IF(OR(TInspectieE[[#This Row],[Duurzaamheid bijdrage]]="Voldoet niet aan DZH-lijn",TInspectieE[[#This Row],[Duurzaamheid bijdrage]]="Voldoet niet aan vigerende W&amp;R"),"Voldoet niet","Voldoet")</f>
        <v>Voldoet</v>
      </c>
      <c r="S147" s="206"/>
      <c r="T147" s="206"/>
      <c r="U147" s="206"/>
      <c r="V147" s="206"/>
      <c r="W147" s="206"/>
      <c r="X147" s="419"/>
      <c r="Y147" s="340"/>
      <c r="Z147" s="420"/>
      <c r="AA147" s="421" t="str">
        <f>IF(ISBLANK(TInspectieE[[#This Row],[Aantal]]),"",ROUND(TInspectieE[[#This Row],[Kengetal]]*TInspectieE[[#This Row],[Aantal]],-1))</f>
        <v/>
      </c>
      <c r="AB147" s="422" t="str">
        <f>IF(TInspectieE[[#This Row],[Vak-groep]]="","1",VLOOKUP(C147,$J$2:$K$7,2,FALSE))</f>
        <v>1</v>
      </c>
      <c r="AC147" s="423" t="str">
        <f>CONCATENATE(TInspectieE[[#This Row],[Soort gebrek]],TInspectieE[[#This Row],[Trede]])</f>
        <v>1</v>
      </c>
      <c r="AD147" s="413" t="e">
        <v>#N/A</v>
      </c>
      <c r="AE147" s="413" t="e">
        <v>#N/A</v>
      </c>
      <c r="AF147" s="424">
        <v>0</v>
      </c>
    </row>
    <row r="148" spans="1:32" ht="10.5" x14ac:dyDescent="0.25">
      <c r="A148" s="337" t="str" cm="1">
        <f t="array" ref="A148">IFERROR(INDEX(TInventE[UVID],ROUNDDOWN((ROW(A139)+1)/2,0)),"")</f>
        <v/>
      </c>
      <c r="B148" s="410" t="str">
        <f>IF(TInspectieE[[#This Row],[UVID]]="","",VLOOKUP(TInspectieE[[#This Row],[UVID]],TInventE[],2,FALSE))</f>
        <v/>
      </c>
      <c r="C148" s="365" t="str">
        <f>IF(TInspectieE[[#This Row],[UVID]]="","",VLOOKUP(TInspectieE[[#This Row],[UVID]],TInventE[],11,FALSE))</f>
        <v/>
      </c>
      <c r="D148" s="411" t="str">
        <f>IF(TInspectieE[[#This Row],[UVID]]="","",VLOOKUP(TInspectieE[[#This Row],[UVID]],TInventE[],3,FALSE))</f>
        <v/>
      </c>
      <c r="E148" s="338" t="str">
        <f>IF(TInspectieE[[#This Row],[Omschrijving bouwdeel]]="","",IF(ISEVEN(ROW()),"O","E"))</f>
        <v/>
      </c>
      <c r="F148" s="412"/>
      <c r="G148" s="413" t="str">
        <f>IF(ISBLANK(TInspectieE[[#This Row],[Soort gebrek]]),"",VLOOKUP(TInspectieE[[#This Row],[Soort gebrek]],TSoortGebrek[#Data],3,FALSE))</f>
        <v/>
      </c>
      <c r="H148" s="413" t="str">
        <f>IF(ISBLANK(TInspectieE[[#This Row],[Soort gebrek]]),"",VLOOKUP(TInspectieE[[#This Row],[Soort gebrek]],TSoortGebrek[#Data],2,FALSE))</f>
        <v/>
      </c>
      <c r="I148" s="413" t="str">
        <f>IF(TInspectieE[[#This Row],[Soort gebrek]]=0,"",VLOOKUP(TInspectieE[[#This Row],[Soort gebrek]],TSoortGebrek[],4,FALSE))</f>
        <v/>
      </c>
      <c r="J148" s="425"/>
      <c r="K148" s="415" t="str">
        <f>IF(TInspectieE[[#This Row],[Soort gebrek]]=0,"",VLOOKUP(TInspectieE[[#This Row],[Combi]],TPrio[#Data],2,FALSE))</f>
        <v/>
      </c>
      <c r="L148" s="339"/>
      <c r="M148" s="416" t="str">
        <f>IF(ISBLANK(TInspectieE[[#This Row],[Gebrek nr.]]),"",TInspectieE[[#This Row],[UVID]]&amp;"-"&amp;TInspectieE[[#This Row],[Gebrek nr.]])</f>
        <v/>
      </c>
      <c r="N148" s="417"/>
      <c r="O148" s="418"/>
      <c r="P148" s="206"/>
      <c r="Q148" s="193"/>
      <c r="R148" s="193" t="str">
        <f>IF(OR(TInspectieE[[#This Row],[Duurzaamheid bijdrage]]="Voldoet niet aan DZH-lijn",TInspectieE[[#This Row],[Duurzaamheid bijdrage]]="Voldoet niet aan vigerende W&amp;R"),"Voldoet niet","Voldoet")</f>
        <v>Voldoet</v>
      </c>
      <c r="S148" s="206"/>
      <c r="T148" s="206"/>
      <c r="U148" s="206"/>
      <c r="V148" s="206"/>
      <c r="W148" s="206"/>
      <c r="X148" s="419"/>
      <c r="Y148" s="340"/>
      <c r="Z148" s="420"/>
      <c r="AA148" s="421" t="str">
        <f>IF(ISBLANK(TInspectieE[[#This Row],[Aantal]]),"",ROUND(TInspectieE[[#This Row],[Kengetal]]*TInspectieE[[#This Row],[Aantal]],-1))</f>
        <v/>
      </c>
      <c r="AB148" s="422" t="str">
        <f>IF(TInspectieE[[#This Row],[Vak-groep]]="","1",VLOOKUP(C148,$J$2:$K$7,2,FALSE))</f>
        <v>1</v>
      </c>
      <c r="AC148" s="423" t="str">
        <f>CONCATENATE(TInspectieE[[#This Row],[Soort gebrek]],TInspectieE[[#This Row],[Trede]])</f>
        <v>1</v>
      </c>
      <c r="AD148" s="413" t="e">
        <v>#N/A</v>
      </c>
      <c r="AE148" s="413" t="e">
        <v>#N/A</v>
      </c>
      <c r="AF148" s="424">
        <v>0</v>
      </c>
    </row>
    <row r="149" spans="1:32" ht="10.5" x14ac:dyDescent="0.25">
      <c r="A149" s="337" t="str" cm="1">
        <f t="array" ref="A149">IFERROR(INDEX(TInventE[UVID],ROUNDDOWN((ROW(A140)+1)/2,0)),"")</f>
        <v/>
      </c>
      <c r="B149" s="410" t="str">
        <f>IF(TInspectieE[[#This Row],[UVID]]="","",VLOOKUP(TInspectieE[[#This Row],[UVID]],TInventE[],2,FALSE))</f>
        <v/>
      </c>
      <c r="C149" s="365" t="str">
        <f>IF(TInspectieE[[#This Row],[UVID]]="","",VLOOKUP(TInspectieE[[#This Row],[UVID]],TInventE[],11,FALSE))</f>
        <v/>
      </c>
      <c r="D149" s="411" t="str">
        <f>IF(TInspectieE[[#This Row],[UVID]]="","",VLOOKUP(TInspectieE[[#This Row],[UVID]],TInventE[],3,FALSE))</f>
        <v/>
      </c>
      <c r="E149" s="338" t="str">
        <f>IF(TInspectieE[[#This Row],[Omschrijving bouwdeel]]="","",IF(ISEVEN(ROW()),"O","E"))</f>
        <v/>
      </c>
      <c r="F149" s="412"/>
      <c r="G149" s="413" t="str">
        <f>IF(ISBLANK(TInspectieE[[#This Row],[Soort gebrek]]),"",VLOOKUP(TInspectieE[[#This Row],[Soort gebrek]],TSoortGebrek[#Data],3,FALSE))</f>
        <v/>
      </c>
      <c r="H149" s="413" t="str">
        <f>IF(ISBLANK(TInspectieE[[#This Row],[Soort gebrek]]),"",VLOOKUP(TInspectieE[[#This Row],[Soort gebrek]],TSoortGebrek[#Data],2,FALSE))</f>
        <v/>
      </c>
      <c r="I149" s="413" t="str">
        <f>IF(TInspectieE[[#This Row],[Soort gebrek]]=0,"",VLOOKUP(TInspectieE[[#This Row],[Soort gebrek]],TSoortGebrek[],4,FALSE))</f>
        <v/>
      </c>
      <c r="J149" s="425"/>
      <c r="K149" s="415" t="str">
        <f>IF(TInspectieE[[#This Row],[Soort gebrek]]=0,"",VLOOKUP(TInspectieE[[#This Row],[Combi]],TPrio[#Data],2,FALSE))</f>
        <v/>
      </c>
      <c r="L149" s="339"/>
      <c r="M149" s="416" t="str">
        <f>IF(ISBLANK(TInspectieE[[#This Row],[Gebrek nr.]]),"",TInspectieE[[#This Row],[UVID]]&amp;"-"&amp;TInspectieE[[#This Row],[Gebrek nr.]])</f>
        <v/>
      </c>
      <c r="N149" s="417"/>
      <c r="O149" s="418"/>
      <c r="P149" s="206"/>
      <c r="Q149" s="193"/>
      <c r="R149" s="193" t="str">
        <f>IF(OR(TInspectieE[[#This Row],[Duurzaamheid bijdrage]]="Voldoet niet aan DZH-lijn",TInspectieE[[#This Row],[Duurzaamheid bijdrage]]="Voldoet niet aan vigerende W&amp;R"),"Voldoet niet","Voldoet")</f>
        <v>Voldoet</v>
      </c>
      <c r="S149" s="206"/>
      <c r="T149" s="206"/>
      <c r="U149" s="206"/>
      <c r="V149" s="206"/>
      <c r="W149" s="206"/>
      <c r="X149" s="419"/>
      <c r="Y149" s="340"/>
      <c r="Z149" s="420"/>
      <c r="AA149" s="421" t="str">
        <f>IF(ISBLANK(TInspectieE[[#This Row],[Aantal]]),"",ROUND(TInspectieE[[#This Row],[Kengetal]]*TInspectieE[[#This Row],[Aantal]],-1))</f>
        <v/>
      </c>
      <c r="AB149" s="422" t="str">
        <f>IF(TInspectieE[[#This Row],[Vak-groep]]="","1",VLOOKUP(C149,$J$2:$K$7,2,FALSE))</f>
        <v>1</v>
      </c>
      <c r="AC149" s="423" t="str">
        <f>CONCATENATE(TInspectieE[[#This Row],[Soort gebrek]],TInspectieE[[#This Row],[Trede]])</f>
        <v>1</v>
      </c>
      <c r="AD149" s="413" t="e">
        <v>#N/A</v>
      </c>
      <c r="AE149" s="413" t="e">
        <v>#N/A</v>
      </c>
      <c r="AF149" s="424">
        <v>0</v>
      </c>
    </row>
    <row r="150" spans="1:32" ht="10.5" x14ac:dyDescent="0.25">
      <c r="A150" s="337" t="str" cm="1">
        <f t="array" ref="A150">IFERROR(INDEX(TInventE[UVID],ROUNDDOWN((ROW(A141)+1)/2,0)),"")</f>
        <v/>
      </c>
      <c r="B150" s="410" t="str">
        <f>IF(TInspectieE[[#This Row],[UVID]]="","",VLOOKUP(TInspectieE[[#This Row],[UVID]],TInventE[],2,FALSE))</f>
        <v/>
      </c>
      <c r="C150" s="365" t="str">
        <f>IF(TInspectieE[[#This Row],[UVID]]="","",VLOOKUP(TInspectieE[[#This Row],[UVID]],TInventE[],11,FALSE))</f>
        <v/>
      </c>
      <c r="D150" s="411" t="str">
        <f>IF(TInspectieE[[#This Row],[UVID]]="","",VLOOKUP(TInspectieE[[#This Row],[UVID]],TInventE[],3,FALSE))</f>
        <v/>
      </c>
      <c r="E150" s="338" t="str">
        <f>IF(TInspectieE[[#This Row],[Omschrijving bouwdeel]]="","",IF(ISEVEN(ROW()),"O","E"))</f>
        <v/>
      </c>
      <c r="F150" s="412"/>
      <c r="G150" s="413" t="str">
        <f>IF(ISBLANK(TInspectieE[[#This Row],[Soort gebrek]]),"",VLOOKUP(TInspectieE[[#This Row],[Soort gebrek]],TSoortGebrek[#Data],3,FALSE))</f>
        <v/>
      </c>
      <c r="H150" s="413" t="str">
        <f>IF(ISBLANK(TInspectieE[[#This Row],[Soort gebrek]]),"",VLOOKUP(TInspectieE[[#This Row],[Soort gebrek]],TSoortGebrek[#Data],2,FALSE))</f>
        <v/>
      </c>
      <c r="I150" s="413" t="str">
        <f>IF(TInspectieE[[#This Row],[Soort gebrek]]=0,"",VLOOKUP(TInspectieE[[#This Row],[Soort gebrek]],TSoortGebrek[],4,FALSE))</f>
        <v/>
      </c>
      <c r="J150" s="425"/>
      <c r="K150" s="415" t="str">
        <f>IF(TInspectieE[[#This Row],[Soort gebrek]]=0,"",VLOOKUP(TInspectieE[[#This Row],[Combi]],TPrio[#Data],2,FALSE))</f>
        <v/>
      </c>
      <c r="L150" s="339"/>
      <c r="M150" s="416" t="str">
        <f>IF(ISBLANK(TInspectieE[[#This Row],[Gebrek nr.]]),"",TInspectieE[[#This Row],[UVID]]&amp;"-"&amp;TInspectieE[[#This Row],[Gebrek nr.]])</f>
        <v/>
      </c>
      <c r="N150" s="417"/>
      <c r="O150" s="418"/>
      <c r="P150" s="206"/>
      <c r="Q150" s="193"/>
      <c r="R150" s="193" t="str">
        <f>IF(OR(TInspectieE[[#This Row],[Duurzaamheid bijdrage]]="Voldoet niet aan DZH-lijn",TInspectieE[[#This Row],[Duurzaamheid bijdrage]]="Voldoet niet aan vigerende W&amp;R"),"Voldoet niet","Voldoet")</f>
        <v>Voldoet</v>
      </c>
      <c r="S150" s="206"/>
      <c r="T150" s="206"/>
      <c r="U150" s="206"/>
      <c r="V150" s="206"/>
      <c r="W150" s="206"/>
      <c r="X150" s="419"/>
      <c r="Y150" s="340"/>
      <c r="Z150" s="420"/>
      <c r="AA150" s="421" t="str">
        <f>IF(ISBLANK(TInspectieE[[#This Row],[Aantal]]),"",ROUND(TInspectieE[[#This Row],[Kengetal]]*TInspectieE[[#This Row],[Aantal]],-1))</f>
        <v/>
      </c>
      <c r="AB150" s="422" t="str">
        <f>IF(TInspectieE[[#This Row],[Vak-groep]]="","1",VLOOKUP(C150,$J$2:$K$7,2,FALSE))</f>
        <v>1</v>
      </c>
      <c r="AC150" s="423" t="str">
        <f>CONCATENATE(TInspectieE[[#This Row],[Soort gebrek]],TInspectieE[[#This Row],[Trede]])</f>
        <v>1</v>
      </c>
      <c r="AD150" s="413" t="e">
        <v>#N/A</v>
      </c>
      <c r="AE150" s="413" t="e">
        <v>#N/A</v>
      </c>
      <c r="AF150" s="424">
        <v>0</v>
      </c>
    </row>
    <row r="151" spans="1:32" ht="10.5" x14ac:dyDescent="0.25">
      <c r="A151" s="337" t="str" cm="1">
        <f t="array" ref="A151">IFERROR(INDEX(TInventE[UVID],ROUNDDOWN((ROW(A142)+1)/2,0)),"")</f>
        <v/>
      </c>
      <c r="B151" s="410" t="str">
        <f>IF(TInspectieE[[#This Row],[UVID]]="","",VLOOKUP(TInspectieE[[#This Row],[UVID]],TInventE[],2,FALSE))</f>
        <v/>
      </c>
      <c r="C151" s="365" t="str">
        <f>IF(TInspectieE[[#This Row],[UVID]]="","",VLOOKUP(TInspectieE[[#This Row],[UVID]],TInventE[],11,FALSE))</f>
        <v/>
      </c>
      <c r="D151" s="411" t="str">
        <f>IF(TInspectieE[[#This Row],[UVID]]="","",VLOOKUP(TInspectieE[[#This Row],[UVID]],TInventE[],3,FALSE))</f>
        <v/>
      </c>
      <c r="E151" s="338" t="str">
        <f>IF(TInspectieE[[#This Row],[Omschrijving bouwdeel]]="","",IF(ISEVEN(ROW()),"O","E"))</f>
        <v/>
      </c>
      <c r="F151" s="412"/>
      <c r="G151" s="413" t="str">
        <f>IF(ISBLANK(TInspectieE[[#This Row],[Soort gebrek]]),"",VLOOKUP(TInspectieE[[#This Row],[Soort gebrek]],TSoortGebrek[#Data],3,FALSE))</f>
        <v/>
      </c>
      <c r="H151" s="413" t="str">
        <f>IF(ISBLANK(TInspectieE[[#This Row],[Soort gebrek]]),"",VLOOKUP(TInspectieE[[#This Row],[Soort gebrek]],TSoortGebrek[#Data],2,FALSE))</f>
        <v/>
      </c>
      <c r="I151" s="413" t="str">
        <f>IF(TInspectieE[[#This Row],[Soort gebrek]]=0,"",VLOOKUP(TInspectieE[[#This Row],[Soort gebrek]],TSoortGebrek[],4,FALSE))</f>
        <v/>
      </c>
      <c r="J151" s="425"/>
      <c r="K151" s="415" t="str">
        <f>IF(TInspectieE[[#This Row],[Soort gebrek]]=0,"",VLOOKUP(TInspectieE[[#This Row],[Combi]],TPrio[#Data],2,FALSE))</f>
        <v/>
      </c>
      <c r="L151" s="339"/>
      <c r="M151" s="416" t="str">
        <f>IF(ISBLANK(TInspectieE[[#This Row],[Gebrek nr.]]),"",TInspectieE[[#This Row],[UVID]]&amp;"-"&amp;TInspectieE[[#This Row],[Gebrek nr.]])</f>
        <v/>
      </c>
      <c r="N151" s="417"/>
      <c r="O151" s="418"/>
      <c r="P151" s="206"/>
      <c r="Q151" s="193"/>
      <c r="R151" s="193" t="str">
        <f>IF(OR(TInspectieE[[#This Row],[Duurzaamheid bijdrage]]="Voldoet niet aan DZH-lijn",TInspectieE[[#This Row],[Duurzaamheid bijdrage]]="Voldoet niet aan vigerende W&amp;R"),"Voldoet niet","Voldoet")</f>
        <v>Voldoet</v>
      </c>
      <c r="S151" s="206"/>
      <c r="T151" s="206"/>
      <c r="U151" s="206"/>
      <c r="V151" s="206"/>
      <c r="W151" s="206"/>
      <c r="X151" s="419"/>
      <c r="Y151" s="340"/>
      <c r="Z151" s="420"/>
      <c r="AA151" s="421" t="str">
        <f>IF(ISBLANK(TInspectieE[[#This Row],[Aantal]]),"",ROUND(TInspectieE[[#This Row],[Kengetal]]*TInspectieE[[#This Row],[Aantal]],-1))</f>
        <v/>
      </c>
      <c r="AB151" s="422" t="str">
        <f>IF(TInspectieE[[#This Row],[Vak-groep]]="","1",VLOOKUP(C151,$J$2:$K$7,2,FALSE))</f>
        <v>1</v>
      </c>
      <c r="AC151" s="423" t="str">
        <f>CONCATENATE(TInspectieE[[#This Row],[Soort gebrek]],TInspectieE[[#This Row],[Trede]])</f>
        <v>1</v>
      </c>
      <c r="AD151" s="413" t="e">
        <v>#N/A</v>
      </c>
      <c r="AE151" s="413" t="e">
        <v>#N/A</v>
      </c>
      <c r="AF151" s="424">
        <v>0</v>
      </c>
    </row>
    <row r="152" spans="1:32" ht="10.5" x14ac:dyDescent="0.25">
      <c r="A152" s="337" t="str" cm="1">
        <f t="array" ref="A152">IFERROR(INDEX(TInventE[UVID],ROUNDDOWN((ROW(A143)+1)/2,0)),"")</f>
        <v/>
      </c>
      <c r="B152" s="410" t="str">
        <f>IF(TInspectieE[[#This Row],[UVID]]="","",VLOOKUP(TInspectieE[[#This Row],[UVID]],TInventE[],2,FALSE))</f>
        <v/>
      </c>
      <c r="C152" s="365" t="str">
        <f>IF(TInspectieE[[#This Row],[UVID]]="","",VLOOKUP(TInspectieE[[#This Row],[UVID]],TInventE[],11,FALSE))</f>
        <v/>
      </c>
      <c r="D152" s="411" t="str">
        <f>IF(TInspectieE[[#This Row],[UVID]]="","",VLOOKUP(TInspectieE[[#This Row],[UVID]],TInventE[],3,FALSE))</f>
        <v/>
      </c>
      <c r="E152" s="338" t="str">
        <f>IF(TInspectieE[[#This Row],[Omschrijving bouwdeel]]="","",IF(ISEVEN(ROW()),"O","E"))</f>
        <v/>
      </c>
      <c r="F152" s="412"/>
      <c r="G152" s="413" t="str">
        <f>IF(ISBLANK(TInspectieE[[#This Row],[Soort gebrek]]),"",VLOOKUP(TInspectieE[[#This Row],[Soort gebrek]],TSoortGebrek[#Data],3,FALSE))</f>
        <v/>
      </c>
      <c r="H152" s="413" t="str">
        <f>IF(ISBLANK(TInspectieE[[#This Row],[Soort gebrek]]),"",VLOOKUP(TInspectieE[[#This Row],[Soort gebrek]],TSoortGebrek[#Data],2,FALSE))</f>
        <v/>
      </c>
      <c r="I152" s="413" t="str">
        <f>IF(TInspectieE[[#This Row],[Soort gebrek]]=0,"",VLOOKUP(TInspectieE[[#This Row],[Soort gebrek]],TSoortGebrek[],4,FALSE))</f>
        <v/>
      </c>
      <c r="J152" s="425"/>
      <c r="K152" s="415" t="str">
        <f>IF(TInspectieE[[#This Row],[Soort gebrek]]=0,"",VLOOKUP(TInspectieE[[#This Row],[Combi]],TPrio[#Data],2,FALSE))</f>
        <v/>
      </c>
      <c r="L152" s="339"/>
      <c r="M152" s="416" t="str">
        <f>IF(ISBLANK(TInspectieE[[#This Row],[Gebrek nr.]]),"",TInspectieE[[#This Row],[UVID]]&amp;"-"&amp;TInspectieE[[#This Row],[Gebrek nr.]])</f>
        <v/>
      </c>
      <c r="N152" s="417"/>
      <c r="O152" s="418"/>
      <c r="P152" s="206"/>
      <c r="Q152" s="193"/>
      <c r="R152" s="193" t="str">
        <f>IF(OR(TInspectieE[[#This Row],[Duurzaamheid bijdrage]]="Voldoet niet aan DZH-lijn",TInspectieE[[#This Row],[Duurzaamheid bijdrage]]="Voldoet niet aan vigerende W&amp;R"),"Voldoet niet","Voldoet")</f>
        <v>Voldoet</v>
      </c>
      <c r="S152" s="206"/>
      <c r="T152" s="206"/>
      <c r="U152" s="206"/>
      <c r="V152" s="206"/>
      <c r="W152" s="206"/>
      <c r="X152" s="419"/>
      <c r="Y152" s="340"/>
      <c r="Z152" s="420"/>
      <c r="AA152" s="421" t="str">
        <f>IF(ISBLANK(TInspectieE[[#This Row],[Aantal]]),"",ROUND(TInspectieE[[#This Row],[Kengetal]]*TInspectieE[[#This Row],[Aantal]],-1))</f>
        <v/>
      </c>
      <c r="AB152" s="422" t="str">
        <f>IF(TInspectieE[[#This Row],[Vak-groep]]="","1",VLOOKUP(C152,$J$2:$K$7,2,FALSE))</f>
        <v>1</v>
      </c>
      <c r="AC152" s="423" t="str">
        <f>CONCATENATE(TInspectieE[[#This Row],[Soort gebrek]],TInspectieE[[#This Row],[Trede]])</f>
        <v>1</v>
      </c>
      <c r="AD152" s="413" t="e">
        <v>#N/A</v>
      </c>
      <c r="AE152" s="413" t="e">
        <v>#N/A</v>
      </c>
      <c r="AF152" s="424">
        <v>0</v>
      </c>
    </row>
    <row r="153" spans="1:32" ht="10.5" x14ac:dyDescent="0.25">
      <c r="A153" s="337" t="str" cm="1">
        <f t="array" ref="A153">IFERROR(INDEX(TInventE[UVID],ROUNDDOWN((ROW(A144)+1)/2,0)),"")</f>
        <v/>
      </c>
      <c r="B153" s="410" t="str">
        <f>IF(TInspectieE[[#This Row],[UVID]]="","",VLOOKUP(TInspectieE[[#This Row],[UVID]],TInventE[],2,FALSE))</f>
        <v/>
      </c>
      <c r="C153" s="365" t="str">
        <f>IF(TInspectieE[[#This Row],[UVID]]="","",VLOOKUP(TInspectieE[[#This Row],[UVID]],TInventE[],11,FALSE))</f>
        <v/>
      </c>
      <c r="D153" s="411" t="str">
        <f>IF(TInspectieE[[#This Row],[UVID]]="","",VLOOKUP(TInspectieE[[#This Row],[UVID]],TInventE[],3,FALSE))</f>
        <v/>
      </c>
      <c r="E153" s="338" t="str">
        <f>IF(TInspectieE[[#This Row],[Omschrijving bouwdeel]]="","",IF(ISEVEN(ROW()),"O","E"))</f>
        <v/>
      </c>
      <c r="F153" s="412"/>
      <c r="G153" s="413" t="str">
        <f>IF(ISBLANK(TInspectieE[[#This Row],[Soort gebrek]]),"",VLOOKUP(TInspectieE[[#This Row],[Soort gebrek]],TSoortGebrek[#Data],3,FALSE))</f>
        <v/>
      </c>
      <c r="H153" s="413" t="str">
        <f>IF(ISBLANK(TInspectieE[[#This Row],[Soort gebrek]]),"",VLOOKUP(TInspectieE[[#This Row],[Soort gebrek]],TSoortGebrek[#Data],2,FALSE))</f>
        <v/>
      </c>
      <c r="I153" s="413" t="str">
        <f>IF(TInspectieE[[#This Row],[Soort gebrek]]=0,"",VLOOKUP(TInspectieE[[#This Row],[Soort gebrek]],TSoortGebrek[],4,FALSE))</f>
        <v/>
      </c>
      <c r="J153" s="425"/>
      <c r="K153" s="415" t="str">
        <f>IF(TInspectieE[[#This Row],[Soort gebrek]]=0,"",VLOOKUP(TInspectieE[[#This Row],[Combi]],TPrio[#Data],2,FALSE))</f>
        <v/>
      </c>
      <c r="L153" s="339"/>
      <c r="M153" s="416" t="str">
        <f>IF(ISBLANK(TInspectieE[[#This Row],[Gebrek nr.]]),"",TInspectieE[[#This Row],[UVID]]&amp;"-"&amp;TInspectieE[[#This Row],[Gebrek nr.]])</f>
        <v/>
      </c>
      <c r="N153" s="417"/>
      <c r="O153" s="418"/>
      <c r="P153" s="206"/>
      <c r="Q153" s="193"/>
      <c r="R153" s="193" t="str">
        <f>IF(OR(TInspectieE[[#This Row],[Duurzaamheid bijdrage]]="Voldoet niet aan DZH-lijn",TInspectieE[[#This Row],[Duurzaamheid bijdrage]]="Voldoet niet aan vigerende W&amp;R"),"Voldoet niet","Voldoet")</f>
        <v>Voldoet</v>
      </c>
      <c r="S153" s="206"/>
      <c r="T153" s="206"/>
      <c r="U153" s="206"/>
      <c r="V153" s="206"/>
      <c r="W153" s="206"/>
      <c r="X153" s="419"/>
      <c r="Y153" s="340"/>
      <c r="Z153" s="420"/>
      <c r="AA153" s="421" t="str">
        <f>IF(ISBLANK(TInspectieE[[#This Row],[Aantal]]),"",ROUND(TInspectieE[[#This Row],[Kengetal]]*TInspectieE[[#This Row],[Aantal]],-1))</f>
        <v/>
      </c>
      <c r="AB153" s="422" t="str">
        <f>IF(TInspectieE[[#This Row],[Vak-groep]]="","1",VLOOKUP(C153,$J$2:$K$7,2,FALSE))</f>
        <v>1</v>
      </c>
      <c r="AC153" s="423" t="str">
        <f>CONCATENATE(TInspectieE[[#This Row],[Soort gebrek]],TInspectieE[[#This Row],[Trede]])</f>
        <v>1</v>
      </c>
      <c r="AD153" s="413" t="e">
        <v>#N/A</v>
      </c>
      <c r="AE153" s="413" t="e">
        <v>#N/A</v>
      </c>
      <c r="AF153" s="424">
        <v>0</v>
      </c>
    </row>
    <row r="154" spans="1:32" ht="10.5" x14ac:dyDescent="0.25">
      <c r="A154" s="337" t="str" cm="1">
        <f t="array" ref="A154">IFERROR(INDEX(TInventE[UVID],ROUNDDOWN((ROW(A145)+1)/2,0)),"")</f>
        <v/>
      </c>
      <c r="B154" s="410" t="str">
        <f>IF(TInspectieE[[#This Row],[UVID]]="","",VLOOKUP(TInspectieE[[#This Row],[UVID]],TInventE[],2,FALSE))</f>
        <v/>
      </c>
      <c r="C154" s="365" t="str">
        <f>IF(TInspectieE[[#This Row],[UVID]]="","",VLOOKUP(TInspectieE[[#This Row],[UVID]],TInventE[],11,FALSE))</f>
        <v/>
      </c>
      <c r="D154" s="411" t="str">
        <f>IF(TInspectieE[[#This Row],[UVID]]="","",VLOOKUP(TInspectieE[[#This Row],[UVID]],TInventE[],3,FALSE))</f>
        <v/>
      </c>
      <c r="E154" s="338" t="str">
        <f>IF(TInspectieE[[#This Row],[Omschrijving bouwdeel]]="","",IF(ISEVEN(ROW()),"O","E"))</f>
        <v/>
      </c>
      <c r="F154" s="412"/>
      <c r="G154" s="413" t="str">
        <f>IF(ISBLANK(TInspectieE[[#This Row],[Soort gebrek]]),"",VLOOKUP(TInspectieE[[#This Row],[Soort gebrek]],TSoortGebrek[#Data],3,FALSE))</f>
        <v/>
      </c>
      <c r="H154" s="413" t="str">
        <f>IF(ISBLANK(TInspectieE[[#This Row],[Soort gebrek]]),"",VLOOKUP(TInspectieE[[#This Row],[Soort gebrek]],TSoortGebrek[#Data],2,FALSE))</f>
        <v/>
      </c>
      <c r="I154" s="413" t="str">
        <f>IF(TInspectieE[[#This Row],[Soort gebrek]]=0,"",VLOOKUP(TInspectieE[[#This Row],[Soort gebrek]],TSoortGebrek[],4,FALSE))</f>
        <v/>
      </c>
      <c r="J154" s="425"/>
      <c r="K154" s="415" t="str">
        <f>IF(TInspectieE[[#This Row],[Soort gebrek]]=0,"",VLOOKUP(TInspectieE[[#This Row],[Combi]],TPrio[#Data],2,FALSE))</f>
        <v/>
      </c>
      <c r="L154" s="339"/>
      <c r="M154" s="416" t="str">
        <f>IF(ISBLANK(TInspectieE[[#This Row],[Gebrek nr.]]),"",TInspectieE[[#This Row],[UVID]]&amp;"-"&amp;TInspectieE[[#This Row],[Gebrek nr.]])</f>
        <v/>
      </c>
      <c r="N154" s="417"/>
      <c r="O154" s="418"/>
      <c r="P154" s="206"/>
      <c r="Q154" s="193"/>
      <c r="R154" s="193" t="str">
        <f>IF(OR(TInspectieE[[#This Row],[Duurzaamheid bijdrage]]="Voldoet niet aan DZH-lijn",TInspectieE[[#This Row],[Duurzaamheid bijdrage]]="Voldoet niet aan vigerende W&amp;R"),"Voldoet niet","Voldoet")</f>
        <v>Voldoet</v>
      </c>
      <c r="S154" s="206"/>
      <c r="T154" s="206"/>
      <c r="U154" s="206"/>
      <c r="V154" s="206"/>
      <c r="W154" s="206"/>
      <c r="X154" s="419"/>
      <c r="Y154" s="340"/>
      <c r="Z154" s="420"/>
      <c r="AA154" s="421" t="str">
        <f>IF(ISBLANK(TInspectieE[[#This Row],[Aantal]]),"",ROUND(TInspectieE[[#This Row],[Kengetal]]*TInspectieE[[#This Row],[Aantal]],-1))</f>
        <v/>
      </c>
      <c r="AB154" s="422" t="str">
        <f>IF(TInspectieE[[#This Row],[Vak-groep]]="","1",VLOOKUP(C154,$J$2:$K$7,2,FALSE))</f>
        <v>1</v>
      </c>
      <c r="AC154" s="423" t="str">
        <f>CONCATENATE(TInspectieE[[#This Row],[Soort gebrek]],TInspectieE[[#This Row],[Trede]])</f>
        <v>1</v>
      </c>
      <c r="AD154" s="413" t="e">
        <v>#N/A</v>
      </c>
      <c r="AE154" s="413" t="e">
        <v>#N/A</v>
      </c>
      <c r="AF154" s="424">
        <v>0</v>
      </c>
    </row>
    <row r="155" spans="1:32" ht="10.5" x14ac:dyDescent="0.25">
      <c r="A155" s="337" t="str" cm="1">
        <f t="array" ref="A155">IFERROR(INDEX(TInventE[UVID],ROUNDDOWN((ROW(A146)+1)/2,0)),"")</f>
        <v/>
      </c>
      <c r="B155" s="410" t="str">
        <f>IF(TInspectieE[[#This Row],[UVID]]="","",VLOOKUP(TInspectieE[[#This Row],[UVID]],TInventE[],2,FALSE))</f>
        <v/>
      </c>
      <c r="C155" s="365" t="str">
        <f>IF(TInspectieE[[#This Row],[UVID]]="","",VLOOKUP(TInspectieE[[#This Row],[UVID]],TInventE[],11,FALSE))</f>
        <v/>
      </c>
      <c r="D155" s="411" t="str">
        <f>IF(TInspectieE[[#This Row],[UVID]]="","",VLOOKUP(TInspectieE[[#This Row],[UVID]],TInventE[],3,FALSE))</f>
        <v/>
      </c>
      <c r="E155" s="338" t="str">
        <f>IF(TInspectieE[[#This Row],[Omschrijving bouwdeel]]="","",IF(ISEVEN(ROW()),"O","E"))</f>
        <v/>
      </c>
      <c r="F155" s="412"/>
      <c r="G155" s="413" t="str">
        <f>IF(ISBLANK(TInspectieE[[#This Row],[Soort gebrek]]),"",VLOOKUP(TInspectieE[[#This Row],[Soort gebrek]],TSoortGebrek[#Data],3,FALSE))</f>
        <v/>
      </c>
      <c r="H155" s="413" t="str">
        <f>IF(ISBLANK(TInspectieE[[#This Row],[Soort gebrek]]),"",VLOOKUP(TInspectieE[[#This Row],[Soort gebrek]],TSoortGebrek[#Data],2,FALSE))</f>
        <v/>
      </c>
      <c r="I155" s="413" t="str">
        <f>IF(TInspectieE[[#This Row],[Soort gebrek]]=0,"",VLOOKUP(TInspectieE[[#This Row],[Soort gebrek]],TSoortGebrek[],4,FALSE))</f>
        <v/>
      </c>
      <c r="J155" s="425"/>
      <c r="K155" s="415" t="str">
        <f>IF(TInspectieE[[#This Row],[Soort gebrek]]=0,"",VLOOKUP(TInspectieE[[#This Row],[Combi]],TPrio[#Data],2,FALSE))</f>
        <v/>
      </c>
      <c r="L155" s="339"/>
      <c r="M155" s="416" t="str">
        <f>IF(ISBLANK(TInspectieE[[#This Row],[Gebrek nr.]]),"",TInspectieE[[#This Row],[UVID]]&amp;"-"&amp;TInspectieE[[#This Row],[Gebrek nr.]])</f>
        <v/>
      </c>
      <c r="N155" s="417"/>
      <c r="O155" s="418"/>
      <c r="P155" s="206"/>
      <c r="Q155" s="193"/>
      <c r="R155" s="193" t="str">
        <f>IF(OR(TInspectieE[[#This Row],[Duurzaamheid bijdrage]]="Voldoet niet aan DZH-lijn",TInspectieE[[#This Row],[Duurzaamheid bijdrage]]="Voldoet niet aan vigerende W&amp;R"),"Voldoet niet","Voldoet")</f>
        <v>Voldoet</v>
      </c>
      <c r="S155" s="206"/>
      <c r="T155" s="206"/>
      <c r="U155" s="206"/>
      <c r="V155" s="206"/>
      <c r="W155" s="206"/>
      <c r="X155" s="419"/>
      <c r="Y155" s="340"/>
      <c r="Z155" s="420"/>
      <c r="AA155" s="421" t="str">
        <f>IF(ISBLANK(TInspectieE[[#This Row],[Aantal]]),"",ROUND(TInspectieE[[#This Row],[Kengetal]]*TInspectieE[[#This Row],[Aantal]],-1))</f>
        <v/>
      </c>
      <c r="AB155" s="422" t="str">
        <f>IF(TInspectieE[[#This Row],[Vak-groep]]="","1",VLOOKUP(C155,$J$2:$K$7,2,FALSE))</f>
        <v>1</v>
      </c>
      <c r="AC155" s="423" t="str">
        <f>CONCATENATE(TInspectieE[[#This Row],[Soort gebrek]],TInspectieE[[#This Row],[Trede]])</f>
        <v>1</v>
      </c>
      <c r="AD155" s="413" t="e">
        <v>#N/A</v>
      </c>
      <c r="AE155" s="413" t="e">
        <v>#N/A</v>
      </c>
      <c r="AF155" s="424">
        <v>0</v>
      </c>
    </row>
    <row r="156" spans="1:32" ht="10.5" x14ac:dyDescent="0.25">
      <c r="A156" s="337" t="str" cm="1">
        <f t="array" ref="A156">IFERROR(INDEX(TInventE[UVID],ROUNDDOWN((ROW(A147)+1)/2,0)),"")</f>
        <v/>
      </c>
      <c r="B156" s="410" t="str">
        <f>IF(TInspectieE[[#This Row],[UVID]]="","",VLOOKUP(TInspectieE[[#This Row],[UVID]],TInventE[],2,FALSE))</f>
        <v/>
      </c>
      <c r="C156" s="365" t="str">
        <f>IF(TInspectieE[[#This Row],[UVID]]="","",VLOOKUP(TInspectieE[[#This Row],[UVID]],TInventE[],11,FALSE))</f>
        <v/>
      </c>
      <c r="D156" s="411" t="str">
        <f>IF(TInspectieE[[#This Row],[UVID]]="","",VLOOKUP(TInspectieE[[#This Row],[UVID]],TInventE[],3,FALSE))</f>
        <v/>
      </c>
      <c r="E156" s="338" t="str">
        <f>IF(TInspectieE[[#This Row],[Omschrijving bouwdeel]]="","",IF(ISEVEN(ROW()),"O","E"))</f>
        <v/>
      </c>
      <c r="F156" s="412"/>
      <c r="G156" s="413" t="str">
        <f>IF(ISBLANK(TInspectieE[[#This Row],[Soort gebrek]]),"",VLOOKUP(TInspectieE[[#This Row],[Soort gebrek]],TSoortGebrek[#Data],3,FALSE))</f>
        <v/>
      </c>
      <c r="H156" s="413" t="str">
        <f>IF(ISBLANK(TInspectieE[[#This Row],[Soort gebrek]]),"",VLOOKUP(TInspectieE[[#This Row],[Soort gebrek]],TSoortGebrek[#Data],2,FALSE))</f>
        <v/>
      </c>
      <c r="I156" s="413" t="str">
        <f>IF(TInspectieE[[#This Row],[Soort gebrek]]=0,"",VLOOKUP(TInspectieE[[#This Row],[Soort gebrek]],TSoortGebrek[],4,FALSE))</f>
        <v/>
      </c>
      <c r="J156" s="425"/>
      <c r="K156" s="415" t="str">
        <f>IF(TInspectieE[[#This Row],[Soort gebrek]]=0,"",VLOOKUP(TInspectieE[[#This Row],[Combi]],TPrio[#Data],2,FALSE))</f>
        <v/>
      </c>
      <c r="L156" s="339"/>
      <c r="M156" s="416" t="str">
        <f>IF(ISBLANK(TInspectieE[[#This Row],[Gebrek nr.]]),"",TInspectieE[[#This Row],[UVID]]&amp;"-"&amp;TInspectieE[[#This Row],[Gebrek nr.]])</f>
        <v/>
      </c>
      <c r="N156" s="417"/>
      <c r="O156" s="418"/>
      <c r="P156" s="206"/>
      <c r="Q156" s="193"/>
      <c r="R156" s="193" t="str">
        <f>IF(OR(TInspectieE[[#This Row],[Duurzaamheid bijdrage]]="Voldoet niet aan DZH-lijn",TInspectieE[[#This Row],[Duurzaamheid bijdrage]]="Voldoet niet aan vigerende W&amp;R"),"Voldoet niet","Voldoet")</f>
        <v>Voldoet</v>
      </c>
      <c r="S156" s="206"/>
      <c r="T156" s="206"/>
      <c r="U156" s="206"/>
      <c r="V156" s="206"/>
      <c r="W156" s="206"/>
      <c r="X156" s="419"/>
      <c r="Y156" s="340"/>
      <c r="Z156" s="420"/>
      <c r="AA156" s="421" t="str">
        <f>IF(ISBLANK(TInspectieE[[#This Row],[Aantal]]),"",ROUND(TInspectieE[[#This Row],[Kengetal]]*TInspectieE[[#This Row],[Aantal]],-1))</f>
        <v/>
      </c>
      <c r="AB156" s="422" t="str">
        <f>IF(TInspectieE[[#This Row],[Vak-groep]]="","1",VLOOKUP(C156,$J$2:$K$7,2,FALSE))</f>
        <v>1</v>
      </c>
      <c r="AC156" s="423" t="str">
        <f>CONCATENATE(TInspectieE[[#This Row],[Soort gebrek]],TInspectieE[[#This Row],[Trede]])</f>
        <v>1</v>
      </c>
      <c r="AD156" s="413" t="e">
        <v>#N/A</v>
      </c>
      <c r="AE156" s="413" t="e">
        <v>#N/A</v>
      </c>
      <c r="AF156" s="424">
        <v>0</v>
      </c>
    </row>
    <row r="157" spans="1:32" ht="10.5" x14ac:dyDescent="0.25">
      <c r="A157" s="337" t="str" cm="1">
        <f t="array" ref="A157">IFERROR(INDEX(TInventE[UVID],ROUNDDOWN((ROW(A148)+1)/2,0)),"")</f>
        <v/>
      </c>
      <c r="B157" s="410" t="str">
        <f>IF(TInspectieE[[#This Row],[UVID]]="","",VLOOKUP(TInspectieE[[#This Row],[UVID]],TInventE[],2,FALSE))</f>
        <v/>
      </c>
      <c r="C157" s="365" t="str">
        <f>IF(TInspectieE[[#This Row],[UVID]]="","",VLOOKUP(TInspectieE[[#This Row],[UVID]],TInventE[],11,FALSE))</f>
        <v/>
      </c>
      <c r="D157" s="411" t="str">
        <f>IF(TInspectieE[[#This Row],[UVID]]="","",VLOOKUP(TInspectieE[[#This Row],[UVID]],TInventE[],3,FALSE))</f>
        <v/>
      </c>
      <c r="E157" s="338" t="str">
        <f>IF(TInspectieE[[#This Row],[Omschrijving bouwdeel]]="","",IF(ISEVEN(ROW()),"O","E"))</f>
        <v/>
      </c>
      <c r="F157" s="412"/>
      <c r="G157" s="413" t="str">
        <f>IF(ISBLANK(TInspectieE[[#This Row],[Soort gebrek]]),"",VLOOKUP(TInspectieE[[#This Row],[Soort gebrek]],TSoortGebrek[#Data],3,FALSE))</f>
        <v/>
      </c>
      <c r="H157" s="413" t="str">
        <f>IF(ISBLANK(TInspectieE[[#This Row],[Soort gebrek]]),"",VLOOKUP(TInspectieE[[#This Row],[Soort gebrek]],TSoortGebrek[#Data],2,FALSE))</f>
        <v/>
      </c>
      <c r="I157" s="413" t="str">
        <f>IF(TInspectieE[[#This Row],[Soort gebrek]]=0,"",VLOOKUP(TInspectieE[[#This Row],[Soort gebrek]],TSoortGebrek[],4,FALSE))</f>
        <v/>
      </c>
      <c r="J157" s="425"/>
      <c r="K157" s="415" t="str">
        <f>IF(TInspectieE[[#This Row],[Soort gebrek]]=0,"",VLOOKUP(TInspectieE[[#This Row],[Combi]],TPrio[#Data],2,FALSE))</f>
        <v/>
      </c>
      <c r="L157" s="339"/>
      <c r="M157" s="416" t="str">
        <f>IF(ISBLANK(TInspectieE[[#This Row],[Gebrek nr.]]),"",TInspectieE[[#This Row],[UVID]]&amp;"-"&amp;TInspectieE[[#This Row],[Gebrek nr.]])</f>
        <v/>
      </c>
      <c r="N157" s="417"/>
      <c r="O157" s="418"/>
      <c r="P157" s="206"/>
      <c r="Q157" s="193"/>
      <c r="R157" s="193" t="str">
        <f>IF(OR(TInspectieE[[#This Row],[Duurzaamheid bijdrage]]="Voldoet niet aan DZH-lijn",TInspectieE[[#This Row],[Duurzaamheid bijdrage]]="Voldoet niet aan vigerende W&amp;R"),"Voldoet niet","Voldoet")</f>
        <v>Voldoet</v>
      </c>
      <c r="S157" s="206"/>
      <c r="T157" s="206"/>
      <c r="U157" s="206"/>
      <c r="V157" s="206"/>
      <c r="W157" s="206"/>
      <c r="X157" s="419"/>
      <c r="Y157" s="340"/>
      <c r="Z157" s="420"/>
      <c r="AA157" s="421" t="str">
        <f>IF(ISBLANK(TInspectieE[[#This Row],[Aantal]]),"",ROUND(TInspectieE[[#This Row],[Kengetal]]*TInspectieE[[#This Row],[Aantal]],-1))</f>
        <v/>
      </c>
      <c r="AB157" s="422" t="str">
        <f>IF(TInspectieE[[#This Row],[Vak-groep]]="","1",VLOOKUP(C157,$J$2:$K$7,2,FALSE))</f>
        <v>1</v>
      </c>
      <c r="AC157" s="423" t="str">
        <f>CONCATENATE(TInspectieE[[#This Row],[Soort gebrek]],TInspectieE[[#This Row],[Trede]])</f>
        <v>1</v>
      </c>
      <c r="AD157" s="413" t="e">
        <v>#N/A</v>
      </c>
      <c r="AE157" s="413" t="e">
        <v>#N/A</v>
      </c>
      <c r="AF157" s="424">
        <v>0</v>
      </c>
    </row>
    <row r="158" spans="1:32" ht="10.5" x14ac:dyDescent="0.25">
      <c r="A158" s="337" t="str" cm="1">
        <f t="array" ref="A158">IFERROR(INDEX(TInventE[UVID],ROUNDDOWN((ROW(A149)+1)/2,0)),"")</f>
        <v/>
      </c>
      <c r="B158" s="410" t="str">
        <f>IF(TInspectieE[[#This Row],[UVID]]="","",VLOOKUP(TInspectieE[[#This Row],[UVID]],TInventE[],2,FALSE))</f>
        <v/>
      </c>
      <c r="C158" s="365" t="str">
        <f>IF(TInspectieE[[#This Row],[UVID]]="","",VLOOKUP(TInspectieE[[#This Row],[UVID]],TInventE[],11,FALSE))</f>
        <v/>
      </c>
      <c r="D158" s="411" t="str">
        <f>IF(TInspectieE[[#This Row],[UVID]]="","",VLOOKUP(TInspectieE[[#This Row],[UVID]],TInventE[],3,FALSE))</f>
        <v/>
      </c>
      <c r="E158" s="338" t="str">
        <f>IF(TInspectieE[[#This Row],[Omschrijving bouwdeel]]="","",IF(ISEVEN(ROW()),"O","E"))</f>
        <v/>
      </c>
      <c r="F158" s="412"/>
      <c r="G158" s="413" t="str">
        <f>IF(ISBLANK(TInspectieE[[#This Row],[Soort gebrek]]),"",VLOOKUP(TInspectieE[[#This Row],[Soort gebrek]],TSoortGebrek[#Data],3,FALSE))</f>
        <v/>
      </c>
      <c r="H158" s="413" t="str">
        <f>IF(ISBLANK(TInspectieE[[#This Row],[Soort gebrek]]),"",VLOOKUP(TInspectieE[[#This Row],[Soort gebrek]],TSoortGebrek[#Data],2,FALSE))</f>
        <v/>
      </c>
      <c r="I158" s="413" t="str">
        <f>IF(TInspectieE[[#This Row],[Soort gebrek]]=0,"",VLOOKUP(TInspectieE[[#This Row],[Soort gebrek]],TSoortGebrek[],4,FALSE))</f>
        <v/>
      </c>
      <c r="J158" s="425"/>
      <c r="K158" s="415" t="str">
        <f>IF(TInspectieE[[#This Row],[Soort gebrek]]=0,"",VLOOKUP(TInspectieE[[#This Row],[Combi]],TPrio[#Data],2,FALSE))</f>
        <v/>
      </c>
      <c r="L158" s="339"/>
      <c r="M158" s="416" t="str">
        <f>IF(ISBLANK(TInspectieE[[#This Row],[Gebrek nr.]]),"",TInspectieE[[#This Row],[UVID]]&amp;"-"&amp;TInspectieE[[#This Row],[Gebrek nr.]])</f>
        <v/>
      </c>
      <c r="N158" s="417"/>
      <c r="O158" s="418"/>
      <c r="P158" s="206"/>
      <c r="Q158" s="193"/>
      <c r="R158" s="193" t="str">
        <f>IF(OR(TInspectieE[[#This Row],[Duurzaamheid bijdrage]]="Voldoet niet aan DZH-lijn",TInspectieE[[#This Row],[Duurzaamheid bijdrage]]="Voldoet niet aan vigerende W&amp;R"),"Voldoet niet","Voldoet")</f>
        <v>Voldoet</v>
      </c>
      <c r="S158" s="206"/>
      <c r="T158" s="206"/>
      <c r="U158" s="206"/>
      <c r="V158" s="206"/>
      <c r="W158" s="206"/>
      <c r="X158" s="419"/>
      <c r="Y158" s="340"/>
      <c r="Z158" s="420"/>
      <c r="AA158" s="421" t="str">
        <f>IF(ISBLANK(TInspectieE[[#This Row],[Aantal]]),"",ROUND(TInspectieE[[#This Row],[Kengetal]]*TInspectieE[[#This Row],[Aantal]],-1))</f>
        <v/>
      </c>
      <c r="AB158" s="422" t="str">
        <f>IF(TInspectieE[[#This Row],[Vak-groep]]="","1",VLOOKUP(C158,$J$2:$K$7,2,FALSE))</f>
        <v>1</v>
      </c>
      <c r="AC158" s="423" t="str">
        <f>CONCATENATE(TInspectieE[[#This Row],[Soort gebrek]],TInspectieE[[#This Row],[Trede]])</f>
        <v>1</v>
      </c>
      <c r="AD158" s="413" t="e">
        <v>#N/A</v>
      </c>
      <c r="AE158" s="413" t="e">
        <v>#N/A</v>
      </c>
      <c r="AF158" s="424">
        <v>0</v>
      </c>
    </row>
    <row r="159" spans="1:32" ht="10.5" x14ac:dyDescent="0.25">
      <c r="A159" s="337" t="str" cm="1">
        <f t="array" ref="A159">IFERROR(INDEX(TInventE[UVID],ROUNDDOWN((ROW(A150)+1)/2,0)),"")</f>
        <v/>
      </c>
      <c r="B159" s="410" t="str">
        <f>IF(TInspectieE[[#This Row],[UVID]]="","",VLOOKUP(TInspectieE[[#This Row],[UVID]],TInventE[],2,FALSE))</f>
        <v/>
      </c>
      <c r="C159" s="365" t="str">
        <f>IF(TInspectieE[[#This Row],[UVID]]="","",VLOOKUP(TInspectieE[[#This Row],[UVID]],TInventE[],11,FALSE))</f>
        <v/>
      </c>
      <c r="D159" s="411" t="str">
        <f>IF(TInspectieE[[#This Row],[UVID]]="","",VLOOKUP(TInspectieE[[#This Row],[UVID]],TInventE[],3,FALSE))</f>
        <v/>
      </c>
      <c r="E159" s="338" t="str">
        <f>IF(TInspectieE[[#This Row],[Omschrijving bouwdeel]]="","",IF(ISEVEN(ROW()),"O","E"))</f>
        <v/>
      </c>
      <c r="F159" s="412"/>
      <c r="G159" s="413" t="str">
        <f>IF(ISBLANK(TInspectieE[[#This Row],[Soort gebrek]]),"",VLOOKUP(TInspectieE[[#This Row],[Soort gebrek]],TSoortGebrek[#Data],3,FALSE))</f>
        <v/>
      </c>
      <c r="H159" s="413" t="str">
        <f>IF(ISBLANK(TInspectieE[[#This Row],[Soort gebrek]]),"",VLOOKUP(TInspectieE[[#This Row],[Soort gebrek]],TSoortGebrek[#Data],2,FALSE))</f>
        <v/>
      </c>
      <c r="I159" s="413" t="str">
        <f>IF(TInspectieE[[#This Row],[Soort gebrek]]=0,"",VLOOKUP(TInspectieE[[#This Row],[Soort gebrek]],TSoortGebrek[],4,FALSE))</f>
        <v/>
      </c>
      <c r="J159" s="425"/>
      <c r="K159" s="415" t="str">
        <f>IF(TInspectieE[[#This Row],[Soort gebrek]]=0,"",VLOOKUP(TInspectieE[[#This Row],[Combi]],TPrio[#Data],2,FALSE))</f>
        <v/>
      </c>
      <c r="L159" s="339"/>
      <c r="M159" s="416" t="str">
        <f>IF(ISBLANK(TInspectieE[[#This Row],[Gebrek nr.]]),"",TInspectieE[[#This Row],[UVID]]&amp;"-"&amp;TInspectieE[[#This Row],[Gebrek nr.]])</f>
        <v/>
      </c>
      <c r="N159" s="417"/>
      <c r="O159" s="418"/>
      <c r="P159" s="206"/>
      <c r="Q159" s="193"/>
      <c r="R159" s="193" t="str">
        <f>IF(OR(TInspectieE[[#This Row],[Duurzaamheid bijdrage]]="Voldoet niet aan DZH-lijn",TInspectieE[[#This Row],[Duurzaamheid bijdrage]]="Voldoet niet aan vigerende W&amp;R"),"Voldoet niet","Voldoet")</f>
        <v>Voldoet</v>
      </c>
      <c r="S159" s="206"/>
      <c r="T159" s="206"/>
      <c r="U159" s="206"/>
      <c r="V159" s="206"/>
      <c r="W159" s="206"/>
      <c r="X159" s="419"/>
      <c r="Y159" s="340"/>
      <c r="Z159" s="420"/>
      <c r="AA159" s="421" t="str">
        <f>IF(ISBLANK(TInspectieE[[#This Row],[Aantal]]),"",ROUND(TInspectieE[[#This Row],[Kengetal]]*TInspectieE[[#This Row],[Aantal]],-1))</f>
        <v/>
      </c>
      <c r="AB159" s="422" t="str">
        <f>IF(TInspectieE[[#This Row],[Vak-groep]]="","1",VLOOKUP(C159,$J$2:$K$7,2,FALSE))</f>
        <v>1</v>
      </c>
      <c r="AC159" s="423" t="str">
        <f>CONCATENATE(TInspectieE[[#This Row],[Soort gebrek]],TInspectieE[[#This Row],[Trede]])</f>
        <v>1</v>
      </c>
      <c r="AD159" s="413" t="e">
        <v>#N/A</v>
      </c>
      <c r="AE159" s="413" t="e">
        <v>#N/A</v>
      </c>
      <c r="AF159" s="424">
        <v>0</v>
      </c>
    </row>
    <row r="160" spans="1:32" ht="10.5" x14ac:dyDescent="0.25">
      <c r="A160" s="337" t="str" cm="1">
        <f t="array" ref="A160">IFERROR(INDEX(TInventE[UVID],ROUNDDOWN((ROW(A151)+1)/2,0)),"")</f>
        <v/>
      </c>
      <c r="B160" s="410" t="str">
        <f>IF(TInspectieE[[#This Row],[UVID]]="","",VLOOKUP(TInspectieE[[#This Row],[UVID]],TInventE[],2,FALSE))</f>
        <v/>
      </c>
      <c r="C160" s="365" t="str">
        <f>IF(TInspectieE[[#This Row],[UVID]]="","",VLOOKUP(TInspectieE[[#This Row],[UVID]],TInventE[],11,FALSE))</f>
        <v/>
      </c>
      <c r="D160" s="411" t="str">
        <f>IF(TInspectieE[[#This Row],[UVID]]="","",VLOOKUP(TInspectieE[[#This Row],[UVID]],TInventE[],3,FALSE))</f>
        <v/>
      </c>
      <c r="E160" s="338" t="str">
        <f>IF(TInspectieE[[#This Row],[Omschrijving bouwdeel]]="","",IF(ISEVEN(ROW()),"O","E"))</f>
        <v/>
      </c>
      <c r="F160" s="412"/>
      <c r="G160" s="413" t="str">
        <f>IF(ISBLANK(TInspectieE[[#This Row],[Soort gebrek]]),"",VLOOKUP(TInspectieE[[#This Row],[Soort gebrek]],TSoortGebrek[#Data],3,FALSE))</f>
        <v/>
      </c>
      <c r="H160" s="413" t="str">
        <f>IF(ISBLANK(TInspectieE[[#This Row],[Soort gebrek]]),"",VLOOKUP(TInspectieE[[#This Row],[Soort gebrek]],TSoortGebrek[#Data],2,FALSE))</f>
        <v/>
      </c>
      <c r="I160" s="413" t="str">
        <f>IF(TInspectieE[[#This Row],[Soort gebrek]]=0,"",VLOOKUP(TInspectieE[[#This Row],[Soort gebrek]],TSoortGebrek[],4,FALSE))</f>
        <v/>
      </c>
      <c r="J160" s="425"/>
      <c r="K160" s="415" t="str">
        <f>IF(TInspectieE[[#This Row],[Soort gebrek]]=0,"",VLOOKUP(TInspectieE[[#This Row],[Combi]],TPrio[#Data],2,FALSE))</f>
        <v/>
      </c>
      <c r="L160" s="339"/>
      <c r="M160" s="416" t="str">
        <f>IF(ISBLANK(TInspectieE[[#This Row],[Gebrek nr.]]),"",TInspectieE[[#This Row],[UVID]]&amp;"-"&amp;TInspectieE[[#This Row],[Gebrek nr.]])</f>
        <v/>
      </c>
      <c r="N160" s="417"/>
      <c r="O160" s="418"/>
      <c r="P160" s="206"/>
      <c r="Q160" s="193"/>
      <c r="R160" s="193" t="str">
        <f>IF(OR(TInspectieE[[#This Row],[Duurzaamheid bijdrage]]="Voldoet niet aan DZH-lijn",TInspectieE[[#This Row],[Duurzaamheid bijdrage]]="Voldoet niet aan vigerende W&amp;R"),"Voldoet niet","Voldoet")</f>
        <v>Voldoet</v>
      </c>
      <c r="S160" s="206"/>
      <c r="T160" s="206"/>
      <c r="U160" s="206"/>
      <c r="V160" s="206"/>
      <c r="W160" s="206"/>
      <c r="X160" s="419"/>
      <c r="Y160" s="340"/>
      <c r="Z160" s="420"/>
      <c r="AA160" s="421" t="str">
        <f>IF(ISBLANK(TInspectieE[[#This Row],[Aantal]]),"",ROUND(TInspectieE[[#This Row],[Kengetal]]*TInspectieE[[#This Row],[Aantal]],-1))</f>
        <v/>
      </c>
      <c r="AB160" s="422" t="str">
        <f>IF(TInspectieE[[#This Row],[Vak-groep]]="","1",VLOOKUP(C160,$J$2:$K$7,2,FALSE))</f>
        <v>1</v>
      </c>
      <c r="AC160" s="423" t="str">
        <f>CONCATENATE(TInspectieE[[#This Row],[Soort gebrek]],TInspectieE[[#This Row],[Trede]])</f>
        <v>1</v>
      </c>
      <c r="AD160" s="413" t="e">
        <v>#N/A</v>
      </c>
      <c r="AE160" s="413" t="e">
        <v>#N/A</v>
      </c>
      <c r="AF160" s="424">
        <v>0</v>
      </c>
    </row>
    <row r="161" spans="1:32" ht="10.5" x14ac:dyDescent="0.25">
      <c r="A161" s="337" t="str" cm="1">
        <f t="array" ref="A161">IFERROR(INDEX(TInventE[UVID],ROUNDDOWN((ROW(A152)+1)/2,0)),"")</f>
        <v/>
      </c>
      <c r="B161" s="410" t="str">
        <f>IF(TInspectieE[[#This Row],[UVID]]="","",VLOOKUP(TInspectieE[[#This Row],[UVID]],TInventE[],2,FALSE))</f>
        <v/>
      </c>
      <c r="C161" s="365" t="str">
        <f>IF(TInspectieE[[#This Row],[UVID]]="","",VLOOKUP(TInspectieE[[#This Row],[UVID]],TInventE[],11,FALSE))</f>
        <v/>
      </c>
      <c r="D161" s="411" t="str">
        <f>IF(TInspectieE[[#This Row],[UVID]]="","",VLOOKUP(TInspectieE[[#This Row],[UVID]],TInventE[],3,FALSE))</f>
        <v/>
      </c>
      <c r="E161" s="338" t="str">
        <f>IF(TInspectieE[[#This Row],[Omschrijving bouwdeel]]="","",IF(ISEVEN(ROW()),"O","E"))</f>
        <v/>
      </c>
      <c r="F161" s="412"/>
      <c r="G161" s="413" t="str">
        <f>IF(ISBLANK(TInspectieE[[#This Row],[Soort gebrek]]),"",VLOOKUP(TInspectieE[[#This Row],[Soort gebrek]],TSoortGebrek[#Data],3,FALSE))</f>
        <v/>
      </c>
      <c r="H161" s="413" t="str">
        <f>IF(ISBLANK(TInspectieE[[#This Row],[Soort gebrek]]),"",VLOOKUP(TInspectieE[[#This Row],[Soort gebrek]],TSoortGebrek[#Data],2,FALSE))</f>
        <v/>
      </c>
      <c r="I161" s="413" t="str">
        <f>IF(TInspectieE[[#This Row],[Soort gebrek]]=0,"",VLOOKUP(TInspectieE[[#This Row],[Soort gebrek]],TSoortGebrek[],4,FALSE))</f>
        <v/>
      </c>
      <c r="J161" s="425"/>
      <c r="K161" s="415" t="str">
        <f>IF(TInspectieE[[#This Row],[Soort gebrek]]=0,"",VLOOKUP(TInspectieE[[#This Row],[Combi]],TPrio[#Data],2,FALSE))</f>
        <v/>
      </c>
      <c r="L161" s="339"/>
      <c r="M161" s="416" t="str">
        <f>IF(ISBLANK(TInspectieE[[#This Row],[Gebrek nr.]]),"",TInspectieE[[#This Row],[UVID]]&amp;"-"&amp;TInspectieE[[#This Row],[Gebrek nr.]])</f>
        <v/>
      </c>
      <c r="N161" s="417"/>
      <c r="O161" s="418"/>
      <c r="P161" s="206"/>
      <c r="Q161" s="193"/>
      <c r="R161" s="193" t="str">
        <f>IF(OR(TInspectieE[[#This Row],[Duurzaamheid bijdrage]]="Voldoet niet aan DZH-lijn",TInspectieE[[#This Row],[Duurzaamheid bijdrage]]="Voldoet niet aan vigerende W&amp;R"),"Voldoet niet","Voldoet")</f>
        <v>Voldoet</v>
      </c>
      <c r="S161" s="206"/>
      <c r="T161" s="206"/>
      <c r="U161" s="206"/>
      <c r="V161" s="206"/>
      <c r="W161" s="206"/>
      <c r="X161" s="419"/>
      <c r="Y161" s="340"/>
      <c r="Z161" s="420"/>
      <c r="AA161" s="421" t="str">
        <f>IF(ISBLANK(TInspectieE[[#This Row],[Aantal]]),"",ROUND(TInspectieE[[#This Row],[Kengetal]]*TInspectieE[[#This Row],[Aantal]],-1))</f>
        <v/>
      </c>
      <c r="AB161" s="422" t="str">
        <f>IF(TInspectieE[[#This Row],[Vak-groep]]="","1",VLOOKUP(C161,$J$2:$K$7,2,FALSE))</f>
        <v>1</v>
      </c>
      <c r="AC161" s="423" t="str">
        <f>CONCATENATE(TInspectieE[[#This Row],[Soort gebrek]],TInspectieE[[#This Row],[Trede]])</f>
        <v>1</v>
      </c>
      <c r="AD161" s="413" t="e">
        <v>#N/A</v>
      </c>
      <c r="AE161" s="413" t="e">
        <v>#N/A</v>
      </c>
      <c r="AF161" s="424">
        <v>0</v>
      </c>
    </row>
    <row r="162" spans="1:32" ht="10.5" x14ac:dyDescent="0.25">
      <c r="A162" s="337" t="str" cm="1">
        <f t="array" ref="A162">IFERROR(INDEX(TInventE[UVID],ROUNDDOWN((ROW(A153)+1)/2,0)),"")</f>
        <v/>
      </c>
      <c r="B162" s="410" t="str">
        <f>IF(TInspectieE[[#This Row],[UVID]]="","",VLOOKUP(TInspectieE[[#This Row],[UVID]],TInventE[],2,FALSE))</f>
        <v/>
      </c>
      <c r="C162" s="365" t="str">
        <f>IF(TInspectieE[[#This Row],[UVID]]="","",VLOOKUP(TInspectieE[[#This Row],[UVID]],TInventE[],11,FALSE))</f>
        <v/>
      </c>
      <c r="D162" s="411" t="str">
        <f>IF(TInspectieE[[#This Row],[UVID]]="","",VLOOKUP(TInspectieE[[#This Row],[UVID]],TInventE[],3,FALSE))</f>
        <v/>
      </c>
      <c r="E162" s="338" t="str">
        <f>IF(TInspectieE[[#This Row],[Omschrijving bouwdeel]]="","",IF(ISEVEN(ROW()),"O","E"))</f>
        <v/>
      </c>
      <c r="F162" s="412"/>
      <c r="G162" s="413" t="str">
        <f>IF(ISBLANK(TInspectieE[[#This Row],[Soort gebrek]]),"",VLOOKUP(TInspectieE[[#This Row],[Soort gebrek]],TSoortGebrek[#Data],3,FALSE))</f>
        <v/>
      </c>
      <c r="H162" s="413" t="str">
        <f>IF(ISBLANK(TInspectieE[[#This Row],[Soort gebrek]]),"",VLOOKUP(TInspectieE[[#This Row],[Soort gebrek]],TSoortGebrek[#Data],2,FALSE))</f>
        <v/>
      </c>
      <c r="I162" s="413" t="str">
        <f>IF(TInspectieE[[#This Row],[Soort gebrek]]=0,"",VLOOKUP(TInspectieE[[#This Row],[Soort gebrek]],TSoortGebrek[],4,FALSE))</f>
        <v/>
      </c>
      <c r="J162" s="425"/>
      <c r="K162" s="415" t="str">
        <f>IF(TInspectieE[[#This Row],[Soort gebrek]]=0,"",VLOOKUP(TInspectieE[[#This Row],[Combi]],TPrio[#Data],2,FALSE))</f>
        <v/>
      </c>
      <c r="L162" s="339"/>
      <c r="M162" s="416" t="str">
        <f>IF(ISBLANK(TInspectieE[[#This Row],[Gebrek nr.]]),"",TInspectieE[[#This Row],[UVID]]&amp;"-"&amp;TInspectieE[[#This Row],[Gebrek nr.]])</f>
        <v/>
      </c>
      <c r="N162" s="417"/>
      <c r="O162" s="418"/>
      <c r="P162" s="206"/>
      <c r="Q162" s="193"/>
      <c r="R162" s="193" t="str">
        <f>IF(OR(TInspectieE[[#This Row],[Duurzaamheid bijdrage]]="Voldoet niet aan DZH-lijn",TInspectieE[[#This Row],[Duurzaamheid bijdrage]]="Voldoet niet aan vigerende W&amp;R"),"Voldoet niet","Voldoet")</f>
        <v>Voldoet</v>
      </c>
      <c r="S162" s="206"/>
      <c r="T162" s="206"/>
      <c r="U162" s="206"/>
      <c r="V162" s="206"/>
      <c r="W162" s="206"/>
      <c r="X162" s="419"/>
      <c r="Y162" s="340"/>
      <c r="Z162" s="420"/>
      <c r="AA162" s="421" t="str">
        <f>IF(ISBLANK(TInspectieE[[#This Row],[Aantal]]),"",ROUND(TInspectieE[[#This Row],[Kengetal]]*TInspectieE[[#This Row],[Aantal]],-1))</f>
        <v/>
      </c>
      <c r="AB162" s="422" t="str">
        <f>IF(TInspectieE[[#This Row],[Vak-groep]]="","1",VLOOKUP(C162,$J$2:$K$7,2,FALSE))</f>
        <v>1</v>
      </c>
      <c r="AC162" s="423" t="str">
        <f>CONCATENATE(TInspectieE[[#This Row],[Soort gebrek]],TInspectieE[[#This Row],[Trede]])</f>
        <v>1</v>
      </c>
      <c r="AD162" s="413" t="e">
        <v>#N/A</v>
      </c>
      <c r="AE162" s="413" t="e">
        <v>#N/A</v>
      </c>
      <c r="AF162" s="424">
        <v>0</v>
      </c>
    </row>
    <row r="163" spans="1:32" ht="10.5" x14ac:dyDescent="0.25">
      <c r="A163" s="337" t="str" cm="1">
        <f t="array" ref="A163">IFERROR(INDEX(TInventE[UVID],ROUNDDOWN((ROW(A154)+1)/2,0)),"")</f>
        <v/>
      </c>
      <c r="B163" s="410" t="str">
        <f>IF(TInspectieE[[#This Row],[UVID]]="","",VLOOKUP(TInspectieE[[#This Row],[UVID]],TInventE[],2,FALSE))</f>
        <v/>
      </c>
      <c r="C163" s="365" t="str">
        <f>IF(TInspectieE[[#This Row],[UVID]]="","",VLOOKUP(TInspectieE[[#This Row],[UVID]],TInventE[],11,FALSE))</f>
        <v/>
      </c>
      <c r="D163" s="411" t="str">
        <f>IF(TInspectieE[[#This Row],[UVID]]="","",VLOOKUP(TInspectieE[[#This Row],[UVID]],TInventE[],3,FALSE))</f>
        <v/>
      </c>
      <c r="E163" s="338" t="str">
        <f>IF(TInspectieE[[#This Row],[Omschrijving bouwdeel]]="","",IF(ISEVEN(ROW()),"O","E"))</f>
        <v/>
      </c>
      <c r="F163" s="412"/>
      <c r="G163" s="413" t="str">
        <f>IF(ISBLANK(TInspectieE[[#This Row],[Soort gebrek]]),"",VLOOKUP(TInspectieE[[#This Row],[Soort gebrek]],TSoortGebrek[#Data],3,FALSE))</f>
        <v/>
      </c>
      <c r="H163" s="413" t="str">
        <f>IF(ISBLANK(TInspectieE[[#This Row],[Soort gebrek]]),"",VLOOKUP(TInspectieE[[#This Row],[Soort gebrek]],TSoortGebrek[#Data],2,FALSE))</f>
        <v/>
      </c>
      <c r="I163" s="413" t="str">
        <f>IF(TInspectieE[[#This Row],[Soort gebrek]]=0,"",VLOOKUP(TInspectieE[[#This Row],[Soort gebrek]],TSoortGebrek[],4,FALSE))</f>
        <v/>
      </c>
      <c r="J163" s="425"/>
      <c r="K163" s="415" t="str">
        <f>IF(TInspectieE[[#This Row],[Soort gebrek]]=0,"",VLOOKUP(TInspectieE[[#This Row],[Combi]],TPrio[#Data],2,FALSE))</f>
        <v/>
      </c>
      <c r="L163" s="339"/>
      <c r="M163" s="416" t="str">
        <f>IF(ISBLANK(TInspectieE[[#This Row],[Gebrek nr.]]),"",TInspectieE[[#This Row],[UVID]]&amp;"-"&amp;TInspectieE[[#This Row],[Gebrek nr.]])</f>
        <v/>
      </c>
      <c r="N163" s="417"/>
      <c r="O163" s="418"/>
      <c r="P163" s="206"/>
      <c r="Q163" s="193"/>
      <c r="R163" s="193" t="str">
        <f>IF(OR(TInspectieE[[#This Row],[Duurzaamheid bijdrage]]="Voldoet niet aan DZH-lijn",TInspectieE[[#This Row],[Duurzaamheid bijdrage]]="Voldoet niet aan vigerende W&amp;R"),"Voldoet niet","Voldoet")</f>
        <v>Voldoet</v>
      </c>
      <c r="S163" s="206"/>
      <c r="T163" s="206"/>
      <c r="U163" s="206"/>
      <c r="V163" s="206"/>
      <c r="W163" s="206"/>
      <c r="X163" s="419"/>
      <c r="Y163" s="340"/>
      <c r="Z163" s="420"/>
      <c r="AA163" s="421" t="str">
        <f>IF(ISBLANK(TInspectieE[[#This Row],[Aantal]]),"",ROUND(TInspectieE[[#This Row],[Kengetal]]*TInspectieE[[#This Row],[Aantal]],-1))</f>
        <v/>
      </c>
      <c r="AB163" s="422" t="str">
        <f>IF(TInspectieE[[#This Row],[Vak-groep]]="","1",VLOOKUP(C163,$J$2:$K$7,2,FALSE))</f>
        <v>1</v>
      </c>
      <c r="AC163" s="423" t="str">
        <f>CONCATENATE(TInspectieE[[#This Row],[Soort gebrek]],TInspectieE[[#This Row],[Trede]])</f>
        <v>1</v>
      </c>
      <c r="AD163" s="413" t="e">
        <v>#N/A</v>
      </c>
      <c r="AE163" s="413" t="e">
        <v>#N/A</v>
      </c>
      <c r="AF163" s="424">
        <v>0</v>
      </c>
    </row>
    <row r="164" spans="1:32" ht="10.5" x14ac:dyDescent="0.25">
      <c r="A164" s="337" t="str" cm="1">
        <f t="array" ref="A164">IFERROR(INDEX(TInventE[UVID],ROUNDDOWN((ROW(A155)+1)/2,0)),"")</f>
        <v/>
      </c>
      <c r="B164" s="410" t="str">
        <f>IF(TInspectieE[[#This Row],[UVID]]="","",VLOOKUP(TInspectieE[[#This Row],[UVID]],TInventE[],2,FALSE))</f>
        <v/>
      </c>
      <c r="C164" s="365" t="str">
        <f>IF(TInspectieE[[#This Row],[UVID]]="","",VLOOKUP(TInspectieE[[#This Row],[UVID]],TInventE[],11,FALSE))</f>
        <v/>
      </c>
      <c r="D164" s="411" t="str">
        <f>IF(TInspectieE[[#This Row],[UVID]]="","",VLOOKUP(TInspectieE[[#This Row],[UVID]],TInventE[],3,FALSE))</f>
        <v/>
      </c>
      <c r="E164" s="338" t="str">
        <f>IF(TInspectieE[[#This Row],[Omschrijving bouwdeel]]="","",IF(ISEVEN(ROW()),"O","E"))</f>
        <v/>
      </c>
      <c r="F164" s="412"/>
      <c r="G164" s="413" t="str">
        <f>IF(ISBLANK(TInspectieE[[#This Row],[Soort gebrek]]),"",VLOOKUP(TInspectieE[[#This Row],[Soort gebrek]],TSoortGebrek[#Data],3,FALSE))</f>
        <v/>
      </c>
      <c r="H164" s="413" t="str">
        <f>IF(ISBLANK(TInspectieE[[#This Row],[Soort gebrek]]),"",VLOOKUP(TInspectieE[[#This Row],[Soort gebrek]],TSoortGebrek[#Data],2,FALSE))</f>
        <v/>
      </c>
      <c r="I164" s="413" t="str">
        <f>IF(TInspectieE[[#This Row],[Soort gebrek]]=0,"",VLOOKUP(TInspectieE[[#This Row],[Soort gebrek]],TSoortGebrek[],4,FALSE))</f>
        <v/>
      </c>
      <c r="J164" s="425"/>
      <c r="K164" s="415" t="str">
        <f>IF(TInspectieE[[#This Row],[Soort gebrek]]=0,"",VLOOKUP(TInspectieE[[#This Row],[Combi]],TPrio[#Data],2,FALSE))</f>
        <v/>
      </c>
      <c r="L164" s="339"/>
      <c r="M164" s="416" t="str">
        <f>IF(ISBLANK(TInspectieE[[#This Row],[Gebrek nr.]]),"",TInspectieE[[#This Row],[UVID]]&amp;"-"&amp;TInspectieE[[#This Row],[Gebrek nr.]])</f>
        <v/>
      </c>
      <c r="N164" s="417"/>
      <c r="O164" s="418"/>
      <c r="P164" s="206"/>
      <c r="Q164" s="193"/>
      <c r="R164" s="193" t="str">
        <f>IF(OR(TInspectieE[[#This Row],[Duurzaamheid bijdrage]]="Voldoet niet aan DZH-lijn",TInspectieE[[#This Row],[Duurzaamheid bijdrage]]="Voldoet niet aan vigerende W&amp;R"),"Voldoet niet","Voldoet")</f>
        <v>Voldoet</v>
      </c>
      <c r="S164" s="206"/>
      <c r="T164" s="206"/>
      <c r="U164" s="206"/>
      <c r="V164" s="206"/>
      <c r="W164" s="206"/>
      <c r="X164" s="419"/>
      <c r="Y164" s="340"/>
      <c r="Z164" s="420"/>
      <c r="AA164" s="421" t="str">
        <f>IF(ISBLANK(TInspectieE[[#This Row],[Aantal]]),"",ROUND(TInspectieE[[#This Row],[Kengetal]]*TInspectieE[[#This Row],[Aantal]],-1))</f>
        <v/>
      </c>
      <c r="AB164" s="422" t="str">
        <f>IF(TInspectieE[[#This Row],[Vak-groep]]="","1",VLOOKUP(C164,$J$2:$K$7,2,FALSE))</f>
        <v>1</v>
      </c>
      <c r="AC164" s="423" t="str">
        <f>CONCATENATE(TInspectieE[[#This Row],[Soort gebrek]],TInspectieE[[#This Row],[Trede]])</f>
        <v>1</v>
      </c>
      <c r="AD164" s="413" t="e">
        <v>#N/A</v>
      </c>
      <c r="AE164" s="413" t="e">
        <v>#N/A</v>
      </c>
      <c r="AF164" s="424">
        <v>0</v>
      </c>
    </row>
    <row r="165" spans="1:32" ht="10.5" x14ac:dyDescent="0.25">
      <c r="A165" s="337" t="str" cm="1">
        <f t="array" ref="A165">IFERROR(INDEX(TInventE[UVID],ROUNDDOWN((ROW(A156)+1)/2,0)),"")</f>
        <v/>
      </c>
      <c r="B165" s="410" t="str">
        <f>IF(TInspectieE[[#This Row],[UVID]]="","",VLOOKUP(TInspectieE[[#This Row],[UVID]],TInventE[],2,FALSE))</f>
        <v/>
      </c>
      <c r="C165" s="365" t="str">
        <f>IF(TInspectieE[[#This Row],[UVID]]="","",VLOOKUP(TInspectieE[[#This Row],[UVID]],TInventE[],11,FALSE))</f>
        <v/>
      </c>
      <c r="D165" s="411" t="str">
        <f>IF(TInspectieE[[#This Row],[UVID]]="","",VLOOKUP(TInspectieE[[#This Row],[UVID]],TInventE[],3,FALSE))</f>
        <v/>
      </c>
      <c r="E165" s="338" t="str">
        <f>IF(TInspectieE[[#This Row],[Omschrijving bouwdeel]]="","",IF(ISEVEN(ROW()),"O","E"))</f>
        <v/>
      </c>
      <c r="F165" s="412"/>
      <c r="G165" s="413" t="str">
        <f>IF(ISBLANK(TInspectieE[[#This Row],[Soort gebrek]]),"",VLOOKUP(TInspectieE[[#This Row],[Soort gebrek]],TSoortGebrek[#Data],3,FALSE))</f>
        <v/>
      </c>
      <c r="H165" s="413" t="str">
        <f>IF(ISBLANK(TInspectieE[[#This Row],[Soort gebrek]]),"",VLOOKUP(TInspectieE[[#This Row],[Soort gebrek]],TSoortGebrek[#Data],2,FALSE))</f>
        <v/>
      </c>
      <c r="I165" s="413" t="str">
        <f>IF(TInspectieE[[#This Row],[Soort gebrek]]=0,"",VLOOKUP(TInspectieE[[#This Row],[Soort gebrek]],TSoortGebrek[],4,FALSE))</f>
        <v/>
      </c>
      <c r="J165" s="425"/>
      <c r="K165" s="415" t="str">
        <f>IF(TInspectieE[[#This Row],[Soort gebrek]]=0,"",VLOOKUP(TInspectieE[[#This Row],[Combi]],TPrio[#Data],2,FALSE))</f>
        <v/>
      </c>
      <c r="L165" s="339"/>
      <c r="M165" s="416" t="str">
        <f>IF(ISBLANK(TInspectieE[[#This Row],[Gebrek nr.]]),"",TInspectieE[[#This Row],[UVID]]&amp;"-"&amp;TInspectieE[[#This Row],[Gebrek nr.]])</f>
        <v/>
      </c>
      <c r="N165" s="417"/>
      <c r="O165" s="418"/>
      <c r="P165" s="206"/>
      <c r="Q165" s="193"/>
      <c r="R165" s="193" t="str">
        <f>IF(OR(TInspectieE[[#This Row],[Duurzaamheid bijdrage]]="Voldoet niet aan DZH-lijn",TInspectieE[[#This Row],[Duurzaamheid bijdrage]]="Voldoet niet aan vigerende W&amp;R"),"Voldoet niet","Voldoet")</f>
        <v>Voldoet</v>
      </c>
      <c r="S165" s="206"/>
      <c r="T165" s="206"/>
      <c r="U165" s="206"/>
      <c r="V165" s="206"/>
      <c r="W165" s="206"/>
      <c r="X165" s="419"/>
      <c r="Y165" s="340"/>
      <c r="Z165" s="420"/>
      <c r="AA165" s="421" t="str">
        <f>IF(ISBLANK(TInspectieE[[#This Row],[Aantal]]),"",ROUND(TInspectieE[[#This Row],[Kengetal]]*TInspectieE[[#This Row],[Aantal]],-1))</f>
        <v/>
      </c>
      <c r="AB165" s="422" t="str">
        <f>IF(TInspectieE[[#This Row],[Vak-groep]]="","1",VLOOKUP(C165,$J$2:$K$7,2,FALSE))</f>
        <v>1</v>
      </c>
      <c r="AC165" s="423" t="str">
        <f>CONCATENATE(TInspectieE[[#This Row],[Soort gebrek]],TInspectieE[[#This Row],[Trede]])</f>
        <v>1</v>
      </c>
      <c r="AD165" s="413" t="e">
        <v>#N/A</v>
      </c>
      <c r="AE165" s="413" t="e">
        <v>#N/A</v>
      </c>
      <c r="AF165" s="424">
        <v>0</v>
      </c>
    </row>
    <row r="166" spans="1:32" ht="10.5" x14ac:dyDescent="0.25">
      <c r="A166" s="337" t="str" cm="1">
        <f t="array" ref="A166">IFERROR(INDEX(TInventE[UVID],ROUNDDOWN((ROW(A157)+1)/2,0)),"")</f>
        <v/>
      </c>
      <c r="B166" s="410" t="str">
        <f>IF(TInspectieE[[#This Row],[UVID]]="","",VLOOKUP(TInspectieE[[#This Row],[UVID]],TInventE[],2,FALSE))</f>
        <v/>
      </c>
      <c r="C166" s="365" t="str">
        <f>IF(TInspectieE[[#This Row],[UVID]]="","",VLOOKUP(TInspectieE[[#This Row],[UVID]],TInventE[],11,FALSE))</f>
        <v/>
      </c>
      <c r="D166" s="411" t="str">
        <f>IF(TInspectieE[[#This Row],[UVID]]="","",VLOOKUP(TInspectieE[[#This Row],[UVID]],TInventE[],3,FALSE))</f>
        <v/>
      </c>
      <c r="E166" s="338" t="str">
        <f>IF(TInspectieE[[#This Row],[Omschrijving bouwdeel]]="","",IF(ISEVEN(ROW()),"O","E"))</f>
        <v/>
      </c>
      <c r="F166" s="412"/>
      <c r="G166" s="413" t="str">
        <f>IF(ISBLANK(TInspectieE[[#This Row],[Soort gebrek]]),"",VLOOKUP(TInspectieE[[#This Row],[Soort gebrek]],TSoortGebrek[#Data],3,FALSE))</f>
        <v/>
      </c>
      <c r="H166" s="413" t="str">
        <f>IF(ISBLANK(TInspectieE[[#This Row],[Soort gebrek]]),"",VLOOKUP(TInspectieE[[#This Row],[Soort gebrek]],TSoortGebrek[#Data],2,FALSE))</f>
        <v/>
      </c>
      <c r="I166" s="413" t="str">
        <f>IF(TInspectieE[[#This Row],[Soort gebrek]]=0,"",VLOOKUP(TInspectieE[[#This Row],[Soort gebrek]],TSoortGebrek[],4,FALSE))</f>
        <v/>
      </c>
      <c r="J166" s="425"/>
      <c r="K166" s="415" t="str">
        <f>IF(TInspectieE[[#This Row],[Soort gebrek]]=0,"",VLOOKUP(TInspectieE[[#This Row],[Combi]],TPrio[#Data],2,FALSE))</f>
        <v/>
      </c>
      <c r="L166" s="339"/>
      <c r="M166" s="416" t="str">
        <f>IF(ISBLANK(TInspectieE[[#This Row],[Gebrek nr.]]),"",TInspectieE[[#This Row],[UVID]]&amp;"-"&amp;TInspectieE[[#This Row],[Gebrek nr.]])</f>
        <v/>
      </c>
      <c r="N166" s="417"/>
      <c r="O166" s="418"/>
      <c r="P166" s="206"/>
      <c r="Q166" s="193"/>
      <c r="R166" s="193" t="str">
        <f>IF(OR(TInspectieE[[#This Row],[Duurzaamheid bijdrage]]="Voldoet niet aan DZH-lijn",TInspectieE[[#This Row],[Duurzaamheid bijdrage]]="Voldoet niet aan vigerende W&amp;R"),"Voldoet niet","Voldoet")</f>
        <v>Voldoet</v>
      </c>
      <c r="S166" s="206"/>
      <c r="T166" s="206"/>
      <c r="U166" s="206"/>
      <c r="V166" s="206"/>
      <c r="W166" s="206"/>
      <c r="X166" s="419"/>
      <c r="Y166" s="340"/>
      <c r="Z166" s="420"/>
      <c r="AA166" s="421" t="str">
        <f>IF(ISBLANK(TInspectieE[[#This Row],[Aantal]]),"",ROUND(TInspectieE[[#This Row],[Kengetal]]*TInspectieE[[#This Row],[Aantal]],-1))</f>
        <v/>
      </c>
      <c r="AB166" s="422" t="str">
        <f>IF(TInspectieE[[#This Row],[Vak-groep]]="","1",VLOOKUP(C166,$J$2:$K$7,2,FALSE))</f>
        <v>1</v>
      </c>
      <c r="AC166" s="423" t="str">
        <f>CONCATENATE(TInspectieE[[#This Row],[Soort gebrek]],TInspectieE[[#This Row],[Trede]])</f>
        <v>1</v>
      </c>
      <c r="AD166" s="413" t="e">
        <v>#N/A</v>
      </c>
      <c r="AE166" s="413" t="e">
        <v>#N/A</v>
      </c>
      <c r="AF166" s="424">
        <v>0</v>
      </c>
    </row>
    <row r="167" spans="1:32" ht="10.5" x14ac:dyDescent="0.25">
      <c r="A167" s="337" t="str" cm="1">
        <f t="array" ref="A167">IFERROR(INDEX(TInventE[UVID],ROUNDDOWN((ROW(A158)+1)/2,0)),"")</f>
        <v/>
      </c>
      <c r="B167" s="410" t="str">
        <f>IF(TInspectieE[[#This Row],[UVID]]="","",VLOOKUP(TInspectieE[[#This Row],[UVID]],TInventE[],2,FALSE))</f>
        <v/>
      </c>
      <c r="C167" s="365" t="str">
        <f>IF(TInspectieE[[#This Row],[UVID]]="","",VLOOKUP(TInspectieE[[#This Row],[UVID]],TInventE[],11,FALSE))</f>
        <v/>
      </c>
      <c r="D167" s="411" t="str">
        <f>IF(TInspectieE[[#This Row],[UVID]]="","",VLOOKUP(TInspectieE[[#This Row],[UVID]],TInventE[],3,FALSE))</f>
        <v/>
      </c>
      <c r="E167" s="338" t="str">
        <f>IF(TInspectieE[[#This Row],[Omschrijving bouwdeel]]="","",IF(ISEVEN(ROW()),"O","E"))</f>
        <v/>
      </c>
      <c r="F167" s="412"/>
      <c r="G167" s="413" t="str">
        <f>IF(ISBLANK(TInspectieE[[#This Row],[Soort gebrek]]),"",VLOOKUP(TInspectieE[[#This Row],[Soort gebrek]],TSoortGebrek[#Data],3,FALSE))</f>
        <v/>
      </c>
      <c r="H167" s="413" t="str">
        <f>IF(ISBLANK(TInspectieE[[#This Row],[Soort gebrek]]),"",VLOOKUP(TInspectieE[[#This Row],[Soort gebrek]],TSoortGebrek[#Data],2,FALSE))</f>
        <v/>
      </c>
      <c r="I167" s="413" t="str">
        <f>IF(TInspectieE[[#This Row],[Soort gebrek]]=0,"",VLOOKUP(TInspectieE[[#This Row],[Soort gebrek]],TSoortGebrek[],4,FALSE))</f>
        <v/>
      </c>
      <c r="J167" s="425"/>
      <c r="K167" s="415" t="str">
        <f>IF(TInspectieE[[#This Row],[Soort gebrek]]=0,"",VLOOKUP(TInspectieE[[#This Row],[Combi]],TPrio[#Data],2,FALSE))</f>
        <v/>
      </c>
      <c r="L167" s="339"/>
      <c r="M167" s="416" t="str">
        <f>IF(ISBLANK(TInspectieE[[#This Row],[Gebrek nr.]]),"",TInspectieE[[#This Row],[UVID]]&amp;"-"&amp;TInspectieE[[#This Row],[Gebrek nr.]])</f>
        <v/>
      </c>
      <c r="N167" s="417"/>
      <c r="O167" s="418"/>
      <c r="P167" s="206"/>
      <c r="Q167" s="193"/>
      <c r="R167" s="193" t="str">
        <f>IF(OR(TInspectieE[[#This Row],[Duurzaamheid bijdrage]]="Voldoet niet aan DZH-lijn",TInspectieE[[#This Row],[Duurzaamheid bijdrage]]="Voldoet niet aan vigerende W&amp;R"),"Voldoet niet","Voldoet")</f>
        <v>Voldoet</v>
      </c>
      <c r="S167" s="206"/>
      <c r="T167" s="206"/>
      <c r="U167" s="206"/>
      <c r="V167" s="206"/>
      <c r="W167" s="206"/>
      <c r="X167" s="419"/>
      <c r="Y167" s="340"/>
      <c r="Z167" s="420"/>
      <c r="AA167" s="421" t="str">
        <f>IF(ISBLANK(TInspectieE[[#This Row],[Aantal]]),"",ROUND(TInspectieE[[#This Row],[Kengetal]]*TInspectieE[[#This Row],[Aantal]],-1))</f>
        <v/>
      </c>
      <c r="AB167" s="422" t="str">
        <f>IF(TInspectieE[[#This Row],[Vak-groep]]="","1",VLOOKUP(C167,$J$2:$K$7,2,FALSE))</f>
        <v>1</v>
      </c>
      <c r="AC167" s="423" t="str">
        <f>CONCATENATE(TInspectieE[[#This Row],[Soort gebrek]],TInspectieE[[#This Row],[Trede]])</f>
        <v>1</v>
      </c>
      <c r="AD167" s="413" t="e">
        <v>#N/A</v>
      </c>
      <c r="AE167" s="413" t="e">
        <v>#N/A</v>
      </c>
      <c r="AF167" s="424">
        <v>0</v>
      </c>
    </row>
    <row r="168" spans="1:32" ht="10.5" x14ac:dyDescent="0.25">
      <c r="A168" s="337" t="str" cm="1">
        <f t="array" ref="A168">IFERROR(INDEX(TInventE[UVID],ROUNDDOWN((ROW(A159)+1)/2,0)),"")</f>
        <v/>
      </c>
      <c r="B168" s="410" t="str">
        <f>IF(TInspectieE[[#This Row],[UVID]]="","",VLOOKUP(TInspectieE[[#This Row],[UVID]],TInventE[],2,FALSE))</f>
        <v/>
      </c>
      <c r="C168" s="365" t="str">
        <f>IF(TInspectieE[[#This Row],[UVID]]="","",VLOOKUP(TInspectieE[[#This Row],[UVID]],TInventE[],11,FALSE))</f>
        <v/>
      </c>
      <c r="D168" s="411" t="str">
        <f>IF(TInspectieE[[#This Row],[UVID]]="","",VLOOKUP(TInspectieE[[#This Row],[UVID]],TInventE[],3,FALSE))</f>
        <v/>
      </c>
      <c r="E168" s="338" t="str">
        <f>IF(TInspectieE[[#This Row],[Omschrijving bouwdeel]]="","",IF(ISEVEN(ROW()),"O","E"))</f>
        <v/>
      </c>
      <c r="F168" s="412"/>
      <c r="G168" s="413" t="str">
        <f>IF(ISBLANK(TInspectieE[[#This Row],[Soort gebrek]]),"",VLOOKUP(TInspectieE[[#This Row],[Soort gebrek]],TSoortGebrek[#Data],3,FALSE))</f>
        <v/>
      </c>
      <c r="H168" s="413" t="str">
        <f>IF(ISBLANK(TInspectieE[[#This Row],[Soort gebrek]]),"",VLOOKUP(TInspectieE[[#This Row],[Soort gebrek]],TSoortGebrek[#Data],2,FALSE))</f>
        <v/>
      </c>
      <c r="I168" s="413" t="str">
        <f>IF(TInspectieE[[#This Row],[Soort gebrek]]=0,"",VLOOKUP(TInspectieE[[#This Row],[Soort gebrek]],TSoortGebrek[],4,FALSE))</f>
        <v/>
      </c>
      <c r="J168" s="425"/>
      <c r="K168" s="415" t="str">
        <f>IF(TInspectieE[[#This Row],[Soort gebrek]]=0,"",VLOOKUP(TInspectieE[[#This Row],[Combi]],TPrio[#Data],2,FALSE))</f>
        <v/>
      </c>
      <c r="L168" s="339"/>
      <c r="M168" s="416" t="str">
        <f>IF(ISBLANK(TInspectieE[[#This Row],[Gebrek nr.]]),"",TInspectieE[[#This Row],[UVID]]&amp;"-"&amp;TInspectieE[[#This Row],[Gebrek nr.]])</f>
        <v/>
      </c>
      <c r="N168" s="417"/>
      <c r="O168" s="418"/>
      <c r="P168" s="206"/>
      <c r="Q168" s="193"/>
      <c r="R168" s="193" t="str">
        <f>IF(OR(TInspectieE[[#This Row],[Duurzaamheid bijdrage]]="Voldoet niet aan DZH-lijn",TInspectieE[[#This Row],[Duurzaamheid bijdrage]]="Voldoet niet aan vigerende W&amp;R"),"Voldoet niet","Voldoet")</f>
        <v>Voldoet</v>
      </c>
      <c r="S168" s="206"/>
      <c r="T168" s="206"/>
      <c r="U168" s="206"/>
      <c r="V168" s="206"/>
      <c r="W168" s="206"/>
      <c r="X168" s="419"/>
      <c r="Y168" s="340"/>
      <c r="Z168" s="420"/>
      <c r="AA168" s="421" t="str">
        <f>IF(ISBLANK(TInspectieE[[#This Row],[Aantal]]),"",ROUND(TInspectieE[[#This Row],[Kengetal]]*TInspectieE[[#This Row],[Aantal]],-1))</f>
        <v/>
      </c>
      <c r="AB168" s="422" t="str">
        <f>IF(TInspectieE[[#This Row],[Vak-groep]]="","1",VLOOKUP(C168,$J$2:$K$7,2,FALSE))</f>
        <v>1</v>
      </c>
      <c r="AC168" s="423" t="str">
        <f>CONCATENATE(TInspectieE[[#This Row],[Soort gebrek]],TInspectieE[[#This Row],[Trede]])</f>
        <v>1</v>
      </c>
      <c r="AD168" s="413" t="e">
        <v>#N/A</v>
      </c>
      <c r="AE168" s="413" t="e">
        <v>#N/A</v>
      </c>
      <c r="AF168" s="424">
        <v>0</v>
      </c>
    </row>
    <row r="169" spans="1:32" ht="10.5" x14ac:dyDescent="0.25">
      <c r="A169" s="337" t="str" cm="1">
        <f t="array" ref="A169">IFERROR(INDEX(TInventE[UVID],ROUNDDOWN((ROW(A160)+1)/2,0)),"")</f>
        <v/>
      </c>
      <c r="B169" s="410" t="str">
        <f>IF(TInspectieE[[#This Row],[UVID]]="","",VLOOKUP(TInspectieE[[#This Row],[UVID]],TInventE[],2,FALSE))</f>
        <v/>
      </c>
      <c r="C169" s="365" t="str">
        <f>IF(TInspectieE[[#This Row],[UVID]]="","",VLOOKUP(TInspectieE[[#This Row],[UVID]],TInventE[],11,FALSE))</f>
        <v/>
      </c>
      <c r="D169" s="411" t="str">
        <f>IF(TInspectieE[[#This Row],[UVID]]="","",VLOOKUP(TInspectieE[[#This Row],[UVID]],TInventE[],3,FALSE))</f>
        <v/>
      </c>
      <c r="E169" s="338" t="str">
        <f>IF(TInspectieE[[#This Row],[Omschrijving bouwdeel]]="","",IF(ISEVEN(ROW()),"O","E"))</f>
        <v/>
      </c>
      <c r="F169" s="412"/>
      <c r="G169" s="413" t="str">
        <f>IF(ISBLANK(TInspectieE[[#This Row],[Soort gebrek]]),"",VLOOKUP(TInspectieE[[#This Row],[Soort gebrek]],TSoortGebrek[#Data],3,FALSE))</f>
        <v/>
      </c>
      <c r="H169" s="413" t="str">
        <f>IF(ISBLANK(TInspectieE[[#This Row],[Soort gebrek]]),"",VLOOKUP(TInspectieE[[#This Row],[Soort gebrek]],TSoortGebrek[#Data],2,FALSE))</f>
        <v/>
      </c>
      <c r="I169" s="413" t="str">
        <f>IF(TInspectieE[[#This Row],[Soort gebrek]]=0,"",VLOOKUP(TInspectieE[[#This Row],[Soort gebrek]],TSoortGebrek[],4,FALSE))</f>
        <v/>
      </c>
      <c r="J169" s="425"/>
      <c r="K169" s="415" t="str">
        <f>IF(TInspectieE[[#This Row],[Soort gebrek]]=0,"",VLOOKUP(TInspectieE[[#This Row],[Combi]],TPrio[#Data],2,FALSE))</f>
        <v/>
      </c>
      <c r="L169" s="339"/>
      <c r="M169" s="416" t="str">
        <f>IF(ISBLANK(TInspectieE[[#This Row],[Gebrek nr.]]),"",TInspectieE[[#This Row],[UVID]]&amp;"-"&amp;TInspectieE[[#This Row],[Gebrek nr.]])</f>
        <v/>
      </c>
      <c r="N169" s="417"/>
      <c r="O169" s="418"/>
      <c r="P169" s="206"/>
      <c r="Q169" s="193"/>
      <c r="R169" s="193" t="str">
        <f>IF(OR(TInspectieE[[#This Row],[Duurzaamheid bijdrage]]="Voldoet niet aan DZH-lijn",TInspectieE[[#This Row],[Duurzaamheid bijdrage]]="Voldoet niet aan vigerende W&amp;R"),"Voldoet niet","Voldoet")</f>
        <v>Voldoet</v>
      </c>
      <c r="S169" s="206"/>
      <c r="T169" s="206"/>
      <c r="U169" s="206"/>
      <c r="V169" s="206"/>
      <c r="W169" s="206"/>
      <c r="X169" s="419"/>
      <c r="Y169" s="340"/>
      <c r="Z169" s="420"/>
      <c r="AA169" s="421" t="str">
        <f>IF(ISBLANK(TInspectieE[[#This Row],[Aantal]]),"",ROUND(TInspectieE[[#This Row],[Kengetal]]*TInspectieE[[#This Row],[Aantal]],-1))</f>
        <v/>
      </c>
      <c r="AB169" s="422" t="str">
        <f>IF(TInspectieE[[#This Row],[Vak-groep]]="","1",VLOOKUP(C169,$J$2:$K$7,2,FALSE))</f>
        <v>1</v>
      </c>
      <c r="AC169" s="423" t="str">
        <f>CONCATENATE(TInspectieE[[#This Row],[Soort gebrek]],TInspectieE[[#This Row],[Trede]])</f>
        <v>1</v>
      </c>
      <c r="AD169" s="413" t="e">
        <v>#N/A</v>
      </c>
      <c r="AE169" s="413" t="e">
        <v>#N/A</v>
      </c>
      <c r="AF169" s="424">
        <v>0</v>
      </c>
    </row>
    <row r="170" spans="1:32" ht="10.5" x14ac:dyDescent="0.25">
      <c r="A170" s="337" t="str" cm="1">
        <f t="array" ref="A170">IFERROR(INDEX(TInventE[UVID],ROUNDDOWN((ROW(A161)+1)/2,0)),"")</f>
        <v/>
      </c>
      <c r="B170" s="410" t="str">
        <f>IF(TInspectieE[[#This Row],[UVID]]="","",VLOOKUP(TInspectieE[[#This Row],[UVID]],TInventE[],2,FALSE))</f>
        <v/>
      </c>
      <c r="C170" s="365" t="str">
        <f>IF(TInspectieE[[#This Row],[UVID]]="","",VLOOKUP(TInspectieE[[#This Row],[UVID]],TInventE[],11,FALSE))</f>
        <v/>
      </c>
      <c r="D170" s="411" t="str">
        <f>IF(TInspectieE[[#This Row],[UVID]]="","",VLOOKUP(TInspectieE[[#This Row],[UVID]],TInventE[],3,FALSE))</f>
        <v/>
      </c>
      <c r="E170" s="338" t="str">
        <f>IF(TInspectieE[[#This Row],[Omschrijving bouwdeel]]="","",IF(ISEVEN(ROW()),"O","E"))</f>
        <v/>
      </c>
      <c r="F170" s="412"/>
      <c r="G170" s="413" t="str">
        <f>IF(ISBLANK(TInspectieE[[#This Row],[Soort gebrek]]),"",VLOOKUP(TInspectieE[[#This Row],[Soort gebrek]],TSoortGebrek[#Data],3,FALSE))</f>
        <v/>
      </c>
      <c r="H170" s="413" t="str">
        <f>IF(ISBLANK(TInspectieE[[#This Row],[Soort gebrek]]),"",VLOOKUP(TInspectieE[[#This Row],[Soort gebrek]],TSoortGebrek[#Data],2,FALSE))</f>
        <v/>
      </c>
      <c r="I170" s="413" t="str">
        <f>IF(TInspectieE[[#This Row],[Soort gebrek]]=0,"",VLOOKUP(TInspectieE[[#This Row],[Soort gebrek]],TSoortGebrek[],4,FALSE))</f>
        <v/>
      </c>
      <c r="J170" s="425"/>
      <c r="K170" s="415" t="str">
        <f>IF(TInspectieE[[#This Row],[Soort gebrek]]=0,"",VLOOKUP(TInspectieE[[#This Row],[Combi]],TPrio[#Data],2,FALSE))</f>
        <v/>
      </c>
      <c r="L170" s="339"/>
      <c r="M170" s="416" t="str">
        <f>IF(ISBLANK(TInspectieE[[#This Row],[Gebrek nr.]]),"",TInspectieE[[#This Row],[UVID]]&amp;"-"&amp;TInspectieE[[#This Row],[Gebrek nr.]])</f>
        <v/>
      </c>
      <c r="N170" s="417"/>
      <c r="O170" s="418"/>
      <c r="P170" s="206"/>
      <c r="Q170" s="193"/>
      <c r="R170" s="193" t="str">
        <f>IF(OR(TInspectieE[[#This Row],[Duurzaamheid bijdrage]]="Voldoet niet aan DZH-lijn",TInspectieE[[#This Row],[Duurzaamheid bijdrage]]="Voldoet niet aan vigerende W&amp;R"),"Voldoet niet","Voldoet")</f>
        <v>Voldoet</v>
      </c>
      <c r="S170" s="206"/>
      <c r="T170" s="206"/>
      <c r="U170" s="206"/>
      <c r="V170" s="206"/>
      <c r="W170" s="206"/>
      <c r="X170" s="419"/>
      <c r="Y170" s="340"/>
      <c r="Z170" s="420"/>
      <c r="AA170" s="421" t="str">
        <f>IF(ISBLANK(TInspectieE[[#This Row],[Aantal]]),"",ROUND(TInspectieE[[#This Row],[Kengetal]]*TInspectieE[[#This Row],[Aantal]],-1))</f>
        <v/>
      </c>
      <c r="AB170" s="422" t="str">
        <f>IF(TInspectieE[[#This Row],[Vak-groep]]="","1",VLOOKUP(C170,$J$2:$K$7,2,FALSE))</f>
        <v>1</v>
      </c>
      <c r="AC170" s="423" t="str">
        <f>CONCATENATE(TInspectieE[[#This Row],[Soort gebrek]],TInspectieE[[#This Row],[Trede]])</f>
        <v>1</v>
      </c>
      <c r="AD170" s="413" t="e">
        <v>#N/A</v>
      </c>
      <c r="AE170" s="413" t="e">
        <v>#N/A</v>
      </c>
      <c r="AF170" s="424">
        <v>0</v>
      </c>
    </row>
    <row r="171" spans="1:32" ht="10.5" x14ac:dyDescent="0.25">
      <c r="A171" s="337" t="str" cm="1">
        <f t="array" ref="A171">IFERROR(INDEX(TInventE[UVID],ROUNDDOWN((ROW(A162)+1)/2,0)),"")</f>
        <v/>
      </c>
      <c r="B171" s="410" t="str">
        <f>IF(TInspectieE[[#This Row],[UVID]]="","",VLOOKUP(TInspectieE[[#This Row],[UVID]],TInventE[],2,FALSE))</f>
        <v/>
      </c>
      <c r="C171" s="365" t="str">
        <f>IF(TInspectieE[[#This Row],[UVID]]="","",VLOOKUP(TInspectieE[[#This Row],[UVID]],TInventE[],11,FALSE))</f>
        <v/>
      </c>
      <c r="D171" s="411" t="str">
        <f>IF(TInspectieE[[#This Row],[UVID]]="","",VLOOKUP(TInspectieE[[#This Row],[UVID]],TInventE[],3,FALSE))</f>
        <v/>
      </c>
      <c r="E171" s="338" t="str">
        <f>IF(TInspectieE[[#This Row],[Omschrijving bouwdeel]]="","",IF(ISEVEN(ROW()),"O","E"))</f>
        <v/>
      </c>
      <c r="F171" s="412"/>
      <c r="G171" s="413" t="str">
        <f>IF(ISBLANK(TInspectieE[[#This Row],[Soort gebrek]]),"",VLOOKUP(TInspectieE[[#This Row],[Soort gebrek]],TSoortGebrek[#Data],3,FALSE))</f>
        <v/>
      </c>
      <c r="H171" s="413" t="str">
        <f>IF(ISBLANK(TInspectieE[[#This Row],[Soort gebrek]]),"",VLOOKUP(TInspectieE[[#This Row],[Soort gebrek]],TSoortGebrek[#Data],2,FALSE))</f>
        <v/>
      </c>
      <c r="I171" s="413" t="str">
        <f>IF(TInspectieE[[#This Row],[Soort gebrek]]=0,"",VLOOKUP(TInspectieE[[#This Row],[Soort gebrek]],TSoortGebrek[],4,FALSE))</f>
        <v/>
      </c>
      <c r="J171" s="425"/>
      <c r="K171" s="415" t="str">
        <f>IF(TInspectieE[[#This Row],[Soort gebrek]]=0,"",VLOOKUP(TInspectieE[[#This Row],[Combi]],TPrio[#Data],2,FALSE))</f>
        <v/>
      </c>
      <c r="L171" s="339"/>
      <c r="M171" s="416" t="str">
        <f>IF(ISBLANK(TInspectieE[[#This Row],[Gebrek nr.]]),"",TInspectieE[[#This Row],[UVID]]&amp;"-"&amp;TInspectieE[[#This Row],[Gebrek nr.]])</f>
        <v/>
      </c>
      <c r="N171" s="417"/>
      <c r="O171" s="418"/>
      <c r="P171" s="206"/>
      <c r="Q171" s="193"/>
      <c r="R171" s="193" t="str">
        <f>IF(OR(TInspectieE[[#This Row],[Duurzaamheid bijdrage]]="Voldoet niet aan DZH-lijn",TInspectieE[[#This Row],[Duurzaamheid bijdrage]]="Voldoet niet aan vigerende W&amp;R"),"Voldoet niet","Voldoet")</f>
        <v>Voldoet</v>
      </c>
      <c r="S171" s="206"/>
      <c r="T171" s="206"/>
      <c r="U171" s="206"/>
      <c r="V171" s="206"/>
      <c r="W171" s="206"/>
      <c r="X171" s="419"/>
      <c r="Y171" s="340"/>
      <c r="Z171" s="420"/>
      <c r="AA171" s="421" t="str">
        <f>IF(ISBLANK(TInspectieE[[#This Row],[Aantal]]),"",ROUND(TInspectieE[[#This Row],[Kengetal]]*TInspectieE[[#This Row],[Aantal]],-1))</f>
        <v/>
      </c>
      <c r="AB171" s="422" t="str">
        <f>IF(TInspectieE[[#This Row],[Vak-groep]]="","1",VLOOKUP(C171,$J$2:$K$7,2,FALSE))</f>
        <v>1</v>
      </c>
      <c r="AC171" s="423" t="str">
        <f>CONCATENATE(TInspectieE[[#This Row],[Soort gebrek]],TInspectieE[[#This Row],[Trede]])</f>
        <v>1</v>
      </c>
      <c r="AD171" s="413" t="e">
        <v>#N/A</v>
      </c>
      <c r="AE171" s="413" t="e">
        <v>#N/A</v>
      </c>
      <c r="AF171" s="424">
        <v>0</v>
      </c>
    </row>
    <row r="172" spans="1:32" ht="10.5" x14ac:dyDescent="0.25">
      <c r="A172" s="337" t="str" cm="1">
        <f t="array" ref="A172">IFERROR(INDEX(TInventE[UVID],ROUNDDOWN((ROW(A163)+1)/2,0)),"")</f>
        <v/>
      </c>
      <c r="B172" s="410" t="str">
        <f>IF(TInspectieE[[#This Row],[UVID]]="","",VLOOKUP(TInspectieE[[#This Row],[UVID]],TInventE[],2,FALSE))</f>
        <v/>
      </c>
      <c r="C172" s="365" t="str">
        <f>IF(TInspectieE[[#This Row],[UVID]]="","",VLOOKUP(TInspectieE[[#This Row],[UVID]],TInventE[],11,FALSE))</f>
        <v/>
      </c>
      <c r="D172" s="411" t="str">
        <f>IF(TInspectieE[[#This Row],[UVID]]="","",VLOOKUP(TInspectieE[[#This Row],[UVID]],TInventE[],3,FALSE))</f>
        <v/>
      </c>
      <c r="E172" s="338" t="str">
        <f>IF(TInspectieE[[#This Row],[Omschrijving bouwdeel]]="","",IF(ISEVEN(ROW()),"O","E"))</f>
        <v/>
      </c>
      <c r="F172" s="412"/>
      <c r="G172" s="413" t="str">
        <f>IF(ISBLANK(TInspectieE[[#This Row],[Soort gebrek]]),"",VLOOKUP(TInspectieE[[#This Row],[Soort gebrek]],TSoortGebrek[#Data],3,FALSE))</f>
        <v/>
      </c>
      <c r="H172" s="413" t="str">
        <f>IF(ISBLANK(TInspectieE[[#This Row],[Soort gebrek]]),"",VLOOKUP(TInspectieE[[#This Row],[Soort gebrek]],TSoortGebrek[#Data],2,FALSE))</f>
        <v/>
      </c>
      <c r="I172" s="413" t="str">
        <f>IF(TInspectieE[[#This Row],[Soort gebrek]]=0,"",VLOOKUP(TInspectieE[[#This Row],[Soort gebrek]],TSoortGebrek[],4,FALSE))</f>
        <v/>
      </c>
      <c r="J172" s="425"/>
      <c r="K172" s="415" t="str">
        <f>IF(TInspectieE[[#This Row],[Soort gebrek]]=0,"",VLOOKUP(TInspectieE[[#This Row],[Combi]],TPrio[#Data],2,FALSE))</f>
        <v/>
      </c>
      <c r="L172" s="339"/>
      <c r="M172" s="416" t="str">
        <f>IF(ISBLANK(TInspectieE[[#This Row],[Gebrek nr.]]),"",TInspectieE[[#This Row],[UVID]]&amp;"-"&amp;TInspectieE[[#This Row],[Gebrek nr.]])</f>
        <v/>
      </c>
      <c r="N172" s="417"/>
      <c r="O172" s="418"/>
      <c r="P172" s="206"/>
      <c r="Q172" s="193"/>
      <c r="R172" s="193" t="str">
        <f>IF(OR(TInspectieE[[#This Row],[Duurzaamheid bijdrage]]="Voldoet niet aan DZH-lijn",TInspectieE[[#This Row],[Duurzaamheid bijdrage]]="Voldoet niet aan vigerende W&amp;R"),"Voldoet niet","Voldoet")</f>
        <v>Voldoet</v>
      </c>
      <c r="S172" s="206"/>
      <c r="T172" s="206"/>
      <c r="U172" s="206"/>
      <c r="V172" s="206"/>
      <c r="W172" s="206"/>
      <c r="X172" s="419"/>
      <c r="Y172" s="340"/>
      <c r="Z172" s="420"/>
      <c r="AA172" s="421" t="str">
        <f>IF(ISBLANK(TInspectieE[[#This Row],[Aantal]]),"",ROUND(TInspectieE[[#This Row],[Kengetal]]*TInspectieE[[#This Row],[Aantal]],-1))</f>
        <v/>
      </c>
      <c r="AB172" s="422" t="str">
        <f>IF(TInspectieE[[#This Row],[Vak-groep]]="","1",VLOOKUP(C172,$J$2:$K$7,2,FALSE))</f>
        <v>1</v>
      </c>
      <c r="AC172" s="423" t="str">
        <f>CONCATENATE(TInspectieE[[#This Row],[Soort gebrek]],TInspectieE[[#This Row],[Trede]])</f>
        <v>1</v>
      </c>
      <c r="AD172" s="413" t="e">
        <v>#N/A</v>
      </c>
      <c r="AE172" s="413" t="e">
        <v>#N/A</v>
      </c>
      <c r="AF172" s="424">
        <v>0</v>
      </c>
    </row>
    <row r="173" spans="1:32" ht="10.5" x14ac:dyDescent="0.25">
      <c r="A173" s="337" t="str" cm="1">
        <f t="array" ref="A173">IFERROR(INDEX(TInventE[UVID],ROUNDDOWN((ROW(A164)+1)/2,0)),"")</f>
        <v/>
      </c>
      <c r="B173" s="410" t="str">
        <f>IF(TInspectieE[[#This Row],[UVID]]="","",VLOOKUP(TInspectieE[[#This Row],[UVID]],TInventE[],2,FALSE))</f>
        <v/>
      </c>
      <c r="C173" s="365" t="str">
        <f>IF(TInspectieE[[#This Row],[UVID]]="","",VLOOKUP(TInspectieE[[#This Row],[UVID]],TInventE[],11,FALSE))</f>
        <v/>
      </c>
      <c r="D173" s="411" t="str">
        <f>IF(TInspectieE[[#This Row],[UVID]]="","",VLOOKUP(TInspectieE[[#This Row],[UVID]],TInventE[],3,FALSE))</f>
        <v/>
      </c>
      <c r="E173" s="338" t="str">
        <f>IF(TInspectieE[[#This Row],[Omschrijving bouwdeel]]="","",IF(ISEVEN(ROW()),"O","E"))</f>
        <v/>
      </c>
      <c r="F173" s="412"/>
      <c r="G173" s="413" t="str">
        <f>IF(ISBLANK(TInspectieE[[#This Row],[Soort gebrek]]),"",VLOOKUP(TInspectieE[[#This Row],[Soort gebrek]],TSoortGebrek[#Data],3,FALSE))</f>
        <v/>
      </c>
      <c r="H173" s="413" t="str">
        <f>IF(ISBLANK(TInspectieE[[#This Row],[Soort gebrek]]),"",VLOOKUP(TInspectieE[[#This Row],[Soort gebrek]],TSoortGebrek[#Data],2,FALSE))</f>
        <v/>
      </c>
      <c r="I173" s="413" t="str">
        <f>IF(TInspectieE[[#This Row],[Soort gebrek]]=0,"",VLOOKUP(TInspectieE[[#This Row],[Soort gebrek]],TSoortGebrek[],4,FALSE))</f>
        <v/>
      </c>
      <c r="J173" s="425"/>
      <c r="K173" s="415" t="str">
        <f>IF(TInspectieE[[#This Row],[Soort gebrek]]=0,"",VLOOKUP(TInspectieE[[#This Row],[Combi]],TPrio[#Data],2,FALSE))</f>
        <v/>
      </c>
      <c r="L173" s="339"/>
      <c r="M173" s="416" t="str">
        <f>IF(ISBLANK(TInspectieE[[#This Row],[Gebrek nr.]]),"",TInspectieE[[#This Row],[UVID]]&amp;"-"&amp;TInspectieE[[#This Row],[Gebrek nr.]])</f>
        <v/>
      </c>
      <c r="N173" s="417"/>
      <c r="O173" s="418"/>
      <c r="P173" s="206"/>
      <c r="Q173" s="193"/>
      <c r="R173" s="193" t="str">
        <f>IF(OR(TInspectieE[[#This Row],[Duurzaamheid bijdrage]]="Voldoet niet aan DZH-lijn",TInspectieE[[#This Row],[Duurzaamheid bijdrage]]="Voldoet niet aan vigerende W&amp;R"),"Voldoet niet","Voldoet")</f>
        <v>Voldoet</v>
      </c>
      <c r="S173" s="206"/>
      <c r="T173" s="206"/>
      <c r="U173" s="206"/>
      <c r="V173" s="206"/>
      <c r="W173" s="206"/>
      <c r="X173" s="419"/>
      <c r="Y173" s="340"/>
      <c r="Z173" s="420"/>
      <c r="AA173" s="421" t="str">
        <f>IF(ISBLANK(TInspectieE[[#This Row],[Aantal]]),"",ROUND(TInspectieE[[#This Row],[Kengetal]]*TInspectieE[[#This Row],[Aantal]],-1))</f>
        <v/>
      </c>
      <c r="AB173" s="422" t="str">
        <f>IF(TInspectieE[[#This Row],[Vak-groep]]="","1",VLOOKUP(C173,$J$2:$K$7,2,FALSE))</f>
        <v>1</v>
      </c>
      <c r="AC173" s="423" t="str">
        <f>CONCATENATE(TInspectieE[[#This Row],[Soort gebrek]],TInspectieE[[#This Row],[Trede]])</f>
        <v>1</v>
      </c>
      <c r="AD173" s="413" t="e">
        <v>#N/A</v>
      </c>
      <c r="AE173" s="413" t="e">
        <v>#N/A</v>
      </c>
      <c r="AF173" s="424">
        <v>0</v>
      </c>
    </row>
    <row r="174" spans="1:32" ht="10.5" x14ac:dyDescent="0.25">
      <c r="A174" s="337" t="str" cm="1">
        <f t="array" ref="A174">IFERROR(INDEX(TInventE[UVID],ROUNDDOWN((ROW(A165)+1)/2,0)),"")</f>
        <v/>
      </c>
      <c r="B174" s="410" t="str">
        <f>IF(TInspectieE[[#This Row],[UVID]]="","",VLOOKUP(TInspectieE[[#This Row],[UVID]],TInventE[],2,FALSE))</f>
        <v/>
      </c>
      <c r="C174" s="365" t="str">
        <f>IF(TInspectieE[[#This Row],[UVID]]="","",VLOOKUP(TInspectieE[[#This Row],[UVID]],TInventE[],11,FALSE))</f>
        <v/>
      </c>
      <c r="D174" s="411" t="str">
        <f>IF(TInspectieE[[#This Row],[UVID]]="","",VLOOKUP(TInspectieE[[#This Row],[UVID]],TInventE[],3,FALSE))</f>
        <v/>
      </c>
      <c r="E174" s="338" t="str">
        <f>IF(TInspectieE[[#This Row],[Omschrijving bouwdeel]]="","",IF(ISEVEN(ROW()),"O","E"))</f>
        <v/>
      </c>
      <c r="F174" s="412"/>
      <c r="G174" s="413" t="str">
        <f>IF(ISBLANK(TInspectieE[[#This Row],[Soort gebrek]]),"",VLOOKUP(TInspectieE[[#This Row],[Soort gebrek]],TSoortGebrek[#Data],3,FALSE))</f>
        <v/>
      </c>
      <c r="H174" s="413" t="str">
        <f>IF(ISBLANK(TInspectieE[[#This Row],[Soort gebrek]]),"",VLOOKUP(TInspectieE[[#This Row],[Soort gebrek]],TSoortGebrek[#Data],2,FALSE))</f>
        <v/>
      </c>
      <c r="I174" s="413" t="str">
        <f>IF(TInspectieE[[#This Row],[Soort gebrek]]=0,"",VLOOKUP(TInspectieE[[#This Row],[Soort gebrek]],TSoortGebrek[],4,FALSE))</f>
        <v/>
      </c>
      <c r="J174" s="425"/>
      <c r="K174" s="415" t="str">
        <f>IF(TInspectieE[[#This Row],[Soort gebrek]]=0,"",VLOOKUP(TInspectieE[[#This Row],[Combi]],TPrio[#Data],2,FALSE))</f>
        <v/>
      </c>
      <c r="L174" s="339"/>
      <c r="M174" s="416" t="str">
        <f>IF(ISBLANK(TInspectieE[[#This Row],[Gebrek nr.]]),"",TInspectieE[[#This Row],[UVID]]&amp;"-"&amp;TInspectieE[[#This Row],[Gebrek nr.]])</f>
        <v/>
      </c>
      <c r="N174" s="417"/>
      <c r="O174" s="418"/>
      <c r="P174" s="206"/>
      <c r="Q174" s="193"/>
      <c r="R174" s="193" t="str">
        <f>IF(OR(TInspectieE[[#This Row],[Duurzaamheid bijdrage]]="Voldoet niet aan DZH-lijn",TInspectieE[[#This Row],[Duurzaamheid bijdrage]]="Voldoet niet aan vigerende W&amp;R"),"Voldoet niet","Voldoet")</f>
        <v>Voldoet</v>
      </c>
      <c r="S174" s="206"/>
      <c r="T174" s="206"/>
      <c r="U174" s="206"/>
      <c r="V174" s="206"/>
      <c r="W174" s="206"/>
      <c r="X174" s="419"/>
      <c r="Y174" s="340"/>
      <c r="Z174" s="420"/>
      <c r="AA174" s="421" t="str">
        <f>IF(ISBLANK(TInspectieE[[#This Row],[Aantal]]),"",ROUND(TInspectieE[[#This Row],[Kengetal]]*TInspectieE[[#This Row],[Aantal]],-1))</f>
        <v/>
      </c>
      <c r="AB174" s="422" t="str">
        <f>IF(TInspectieE[[#This Row],[Vak-groep]]="","1",VLOOKUP(C174,$J$2:$K$7,2,FALSE))</f>
        <v>1</v>
      </c>
      <c r="AC174" s="423" t="str">
        <f>CONCATENATE(TInspectieE[[#This Row],[Soort gebrek]],TInspectieE[[#This Row],[Trede]])</f>
        <v>1</v>
      </c>
      <c r="AD174" s="413" t="e">
        <v>#N/A</v>
      </c>
      <c r="AE174" s="413" t="e">
        <v>#N/A</v>
      </c>
      <c r="AF174" s="424">
        <v>0</v>
      </c>
    </row>
    <row r="175" spans="1:32" ht="10.5" x14ac:dyDescent="0.25">
      <c r="A175" s="337" t="str" cm="1">
        <f t="array" ref="A175">IFERROR(INDEX(TInventE[UVID],ROUNDDOWN((ROW(A166)+1)/2,0)),"")</f>
        <v/>
      </c>
      <c r="B175" s="410" t="str">
        <f>IF(TInspectieE[[#This Row],[UVID]]="","",VLOOKUP(TInspectieE[[#This Row],[UVID]],TInventE[],2,FALSE))</f>
        <v/>
      </c>
      <c r="C175" s="365" t="str">
        <f>IF(TInspectieE[[#This Row],[UVID]]="","",VLOOKUP(TInspectieE[[#This Row],[UVID]],TInventE[],11,FALSE))</f>
        <v/>
      </c>
      <c r="D175" s="411" t="str">
        <f>IF(TInspectieE[[#This Row],[UVID]]="","",VLOOKUP(TInspectieE[[#This Row],[UVID]],TInventE[],3,FALSE))</f>
        <v/>
      </c>
      <c r="E175" s="338" t="str">
        <f>IF(TInspectieE[[#This Row],[Omschrijving bouwdeel]]="","",IF(ISEVEN(ROW()),"O","E"))</f>
        <v/>
      </c>
      <c r="F175" s="412"/>
      <c r="G175" s="413" t="str">
        <f>IF(ISBLANK(TInspectieE[[#This Row],[Soort gebrek]]),"",VLOOKUP(TInspectieE[[#This Row],[Soort gebrek]],TSoortGebrek[#Data],3,FALSE))</f>
        <v/>
      </c>
      <c r="H175" s="413" t="str">
        <f>IF(ISBLANK(TInspectieE[[#This Row],[Soort gebrek]]),"",VLOOKUP(TInspectieE[[#This Row],[Soort gebrek]],TSoortGebrek[#Data],2,FALSE))</f>
        <v/>
      </c>
      <c r="I175" s="413" t="str">
        <f>IF(TInspectieE[[#This Row],[Soort gebrek]]=0,"",VLOOKUP(TInspectieE[[#This Row],[Soort gebrek]],TSoortGebrek[],4,FALSE))</f>
        <v/>
      </c>
      <c r="J175" s="425"/>
      <c r="K175" s="415" t="str">
        <f>IF(TInspectieE[[#This Row],[Soort gebrek]]=0,"",VLOOKUP(TInspectieE[[#This Row],[Combi]],TPrio[#Data],2,FALSE))</f>
        <v/>
      </c>
      <c r="L175" s="339"/>
      <c r="M175" s="416" t="str">
        <f>IF(ISBLANK(TInspectieE[[#This Row],[Gebrek nr.]]),"",TInspectieE[[#This Row],[UVID]]&amp;"-"&amp;TInspectieE[[#This Row],[Gebrek nr.]])</f>
        <v/>
      </c>
      <c r="N175" s="417"/>
      <c r="O175" s="418"/>
      <c r="P175" s="206"/>
      <c r="Q175" s="193"/>
      <c r="R175" s="193" t="str">
        <f>IF(OR(TInspectieE[[#This Row],[Duurzaamheid bijdrage]]="Voldoet niet aan DZH-lijn",TInspectieE[[#This Row],[Duurzaamheid bijdrage]]="Voldoet niet aan vigerende W&amp;R"),"Voldoet niet","Voldoet")</f>
        <v>Voldoet</v>
      </c>
      <c r="S175" s="206"/>
      <c r="T175" s="206"/>
      <c r="U175" s="206"/>
      <c r="V175" s="206"/>
      <c r="W175" s="206"/>
      <c r="X175" s="419"/>
      <c r="Y175" s="340"/>
      <c r="Z175" s="420"/>
      <c r="AA175" s="421" t="str">
        <f>IF(ISBLANK(TInspectieE[[#This Row],[Aantal]]),"",ROUND(TInspectieE[[#This Row],[Kengetal]]*TInspectieE[[#This Row],[Aantal]],-1))</f>
        <v/>
      </c>
      <c r="AB175" s="422" t="str">
        <f>IF(TInspectieE[[#This Row],[Vak-groep]]="","1",VLOOKUP(C175,$J$2:$K$7,2,FALSE))</f>
        <v>1</v>
      </c>
      <c r="AC175" s="423" t="str">
        <f>CONCATENATE(TInspectieE[[#This Row],[Soort gebrek]],TInspectieE[[#This Row],[Trede]])</f>
        <v>1</v>
      </c>
      <c r="AD175" s="413" t="e">
        <v>#N/A</v>
      </c>
      <c r="AE175" s="413" t="e">
        <v>#N/A</v>
      </c>
      <c r="AF175" s="424">
        <v>0</v>
      </c>
    </row>
    <row r="176" spans="1:32" ht="10.5" x14ac:dyDescent="0.25">
      <c r="A176" s="337" t="str" cm="1">
        <f t="array" ref="A176">IFERROR(INDEX(TInventE[UVID],ROUNDDOWN((ROW(A167)+1)/2,0)),"")</f>
        <v/>
      </c>
      <c r="B176" s="410" t="str">
        <f>IF(TInspectieE[[#This Row],[UVID]]="","",VLOOKUP(TInspectieE[[#This Row],[UVID]],TInventE[],2,FALSE))</f>
        <v/>
      </c>
      <c r="C176" s="365" t="str">
        <f>IF(TInspectieE[[#This Row],[UVID]]="","",VLOOKUP(TInspectieE[[#This Row],[UVID]],TInventE[],11,FALSE))</f>
        <v/>
      </c>
      <c r="D176" s="411" t="str">
        <f>IF(TInspectieE[[#This Row],[UVID]]="","",VLOOKUP(TInspectieE[[#This Row],[UVID]],TInventE[],3,FALSE))</f>
        <v/>
      </c>
      <c r="E176" s="338" t="str">
        <f>IF(TInspectieE[[#This Row],[Omschrijving bouwdeel]]="","",IF(ISEVEN(ROW()),"O","E"))</f>
        <v/>
      </c>
      <c r="F176" s="412"/>
      <c r="G176" s="413" t="str">
        <f>IF(ISBLANK(TInspectieE[[#This Row],[Soort gebrek]]),"",VLOOKUP(TInspectieE[[#This Row],[Soort gebrek]],TSoortGebrek[#Data],3,FALSE))</f>
        <v/>
      </c>
      <c r="H176" s="413" t="str">
        <f>IF(ISBLANK(TInspectieE[[#This Row],[Soort gebrek]]),"",VLOOKUP(TInspectieE[[#This Row],[Soort gebrek]],TSoortGebrek[#Data],2,FALSE))</f>
        <v/>
      </c>
      <c r="I176" s="413" t="str">
        <f>IF(TInspectieE[[#This Row],[Soort gebrek]]=0,"",VLOOKUP(TInspectieE[[#This Row],[Soort gebrek]],TSoortGebrek[],4,FALSE))</f>
        <v/>
      </c>
      <c r="J176" s="425"/>
      <c r="K176" s="415" t="str">
        <f>IF(TInspectieE[[#This Row],[Soort gebrek]]=0,"",VLOOKUP(TInspectieE[[#This Row],[Combi]],TPrio[#Data],2,FALSE))</f>
        <v/>
      </c>
      <c r="L176" s="339"/>
      <c r="M176" s="416" t="str">
        <f>IF(ISBLANK(TInspectieE[[#This Row],[Gebrek nr.]]),"",TInspectieE[[#This Row],[UVID]]&amp;"-"&amp;TInspectieE[[#This Row],[Gebrek nr.]])</f>
        <v/>
      </c>
      <c r="N176" s="417"/>
      <c r="O176" s="418"/>
      <c r="P176" s="206"/>
      <c r="Q176" s="193"/>
      <c r="R176" s="193" t="str">
        <f>IF(OR(TInspectieE[[#This Row],[Duurzaamheid bijdrage]]="Voldoet niet aan DZH-lijn",TInspectieE[[#This Row],[Duurzaamheid bijdrage]]="Voldoet niet aan vigerende W&amp;R"),"Voldoet niet","Voldoet")</f>
        <v>Voldoet</v>
      </c>
      <c r="S176" s="206"/>
      <c r="T176" s="206"/>
      <c r="U176" s="206"/>
      <c r="V176" s="206"/>
      <c r="W176" s="206"/>
      <c r="X176" s="419"/>
      <c r="Y176" s="340"/>
      <c r="Z176" s="420"/>
      <c r="AA176" s="421" t="str">
        <f>IF(ISBLANK(TInspectieE[[#This Row],[Aantal]]),"",ROUND(TInspectieE[[#This Row],[Kengetal]]*TInspectieE[[#This Row],[Aantal]],-1))</f>
        <v/>
      </c>
      <c r="AB176" s="422" t="str">
        <f>IF(TInspectieE[[#This Row],[Vak-groep]]="","1",VLOOKUP(C176,$J$2:$K$7,2,FALSE))</f>
        <v>1</v>
      </c>
      <c r="AC176" s="423" t="str">
        <f>CONCATENATE(TInspectieE[[#This Row],[Soort gebrek]],TInspectieE[[#This Row],[Trede]])</f>
        <v>1</v>
      </c>
      <c r="AD176" s="413" t="e">
        <v>#N/A</v>
      </c>
      <c r="AE176" s="413" t="e">
        <v>#N/A</v>
      </c>
      <c r="AF176" s="424">
        <v>0</v>
      </c>
    </row>
    <row r="177" spans="1:32" ht="10.5" x14ac:dyDescent="0.25">
      <c r="A177" s="337" t="str" cm="1">
        <f t="array" ref="A177">IFERROR(INDEX(TInventE[UVID],ROUNDDOWN((ROW(A168)+1)/2,0)),"")</f>
        <v/>
      </c>
      <c r="B177" s="410" t="str">
        <f>IF(TInspectieE[[#This Row],[UVID]]="","",VLOOKUP(TInspectieE[[#This Row],[UVID]],TInventE[],2,FALSE))</f>
        <v/>
      </c>
      <c r="C177" s="365" t="str">
        <f>IF(TInspectieE[[#This Row],[UVID]]="","",VLOOKUP(TInspectieE[[#This Row],[UVID]],TInventE[],11,FALSE))</f>
        <v/>
      </c>
      <c r="D177" s="411" t="str">
        <f>IF(TInspectieE[[#This Row],[UVID]]="","",VLOOKUP(TInspectieE[[#This Row],[UVID]],TInventE[],3,FALSE))</f>
        <v/>
      </c>
      <c r="E177" s="338" t="str">
        <f>IF(TInspectieE[[#This Row],[Omschrijving bouwdeel]]="","",IF(ISEVEN(ROW()),"O","E"))</f>
        <v/>
      </c>
      <c r="F177" s="412"/>
      <c r="G177" s="413" t="str">
        <f>IF(ISBLANK(TInspectieE[[#This Row],[Soort gebrek]]),"",VLOOKUP(TInspectieE[[#This Row],[Soort gebrek]],TSoortGebrek[#Data],3,FALSE))</f>
        <v/>
      </c>
      <c r="H177" s="413" t="str">
        <f>IF(ISBLANK(TInspectieE[[#This Row],[Soort gebrek]]),"",VLOOKUP(TInspectieE[[#This Row],[Soort gebrek]],TSoortGebrek[#Data],2,FALSE))</f>
        <v/>
      </c>
      <c r="I177" s="413" t="str">
        <f>IF(TInspectieE[[#This Row],[Soort gebrek]]=0,"",VLOOKUP(TInspectieE[[#This Row],[Soort gebrek]],TSoortGebrek[],4,FALSE))</f>
        <v/>
      </c>
      <c r="J177" s="425"/>
      <c r="K177" s="415" t="str">
        <f>IF(TInspectieE[[#This Row],[Soort gebrek]]=0,"",VLOOKUP(TInspectieE[[#This Row],[Combi]],TPrio[#Data],2,FALSE))</f>
        <v/>
      </c>
      <c r="L177" s="339"/>
      <c r="M177" s="416" t="str">
        <f>IF(ISBLANK(TInspectieE[[#This Row],[Gebrek nr.]]),"",TInspectieE[[#This Row],[UVID]]&amp;"-"&amp;TInspectieE[[#This Row],[Gebrek nr.]])</f>
        <v/>
      </c>
      <c r="N177" s="417"/>
      <c r="O177" s="418"/>
      <c r="P177" s="206"/>
      <c r="Q177" s="193"/>
      <c r="R177" s="193" t="str">
        <f>IF(OR(TInspectieE[[#This Row],[Duurzaamheid bijdrage]]="Voldoet niet aan DZH-lijn",TInspectieE[[#This Row],[Duurzaamheid bijdrage]]="Voldoet niet aan vigerende W&amp;R"),"Voldoet niet","Voldoet")</f>
        <v>Voldoet</v>
      </c>
      <c r="S177" s="206"/>
      <c r="T177" s="206"/>
      <c r="U177" s="206"/>
      <c r="V177" s="206"/>
      <c r="W177" s="206"/>
      <c r="X177" s="419"/>
      <c r="Y177" s="340"/>
      <c r="Z177" s="420"/>
      <c r="AA177" s="421" t="str">
        <f>IF(ISBLANK(TInspectieE[[#This Row],[Aantal]]),"",ROUND(TInspectieE[[#This Row],[Kengetal]]*TInspectieE[[#This Row],[Aantal]],-1))</f>
        <v/>
      </c>
      <c r="AB177" s="422" t="str">
        <f>IF(TInspectieE[[#This Row],[Vak-groep]]="","1",VLOOKUP(C177,$J$2:$K$7,2,FALSE))</f>
        <v>1</v>
      </c>
      <c r="AC177" s="423" t="str">
        <f>CONCATENATE(TInspectieE[[#This Row],[Soort gebrek]],TInspectieE[[#This Row],[Trede]])</f>
        <v>1</v>
      </c>
      <c r="AD177" s="413" t="e">
        <v>#N/A</v>
      </c>
      <c r="AE177" s="413" t="e">
        <v>#N/A</v>
      </c>
      <c r="AF177" s="424">
        <v>0</v>
      </c>
    </row>
    <row r="178" spans="1:32" ht="10.5" x14ac:dyDescent="0.25">
      <c r="A178" s="337" t="str" cm="1">
        <f t="array" ref="A178">IFERROR(INDEX(TInventE[UVID],ROUNDDOWN((ROW(A169)+1)/2,0)),"")</f>
        <v/>
      </c>
      <c r="B178" s="410" t="str">
        <f>IF(TInspectieE[[#This Row],[UVID]]="","",VLOOKUP(TInspectieE[[#This Row],[UVID]],TInventE[],2,FALSE))</f>
        <v/>
      </c>
      <c r="C178" s="365" t="str">
        <f>IF(TInspectieE[[#This Row],[UVID]]="","",VLOOKUP(TInspectieE[[#This Row],[UVID]],TInventE[],11,FALSE))</f>
        <v/>
      </c>
      <c r="D178" s="411" t="str">
        <f>IF(TInspectieE[[#This Row],[UVID]]="","",VLOOKUP(TInspectieE[[#This Row],[UVID]],TInventE[],3,FALSE))</f>
        <v/>
      </c>
      <c r="E178" s="338" t="str">
        <f>IF(TInspectieE[[#This Row],[Omschrijving bouwdeel]]="","",IF(ISEVEN(ROW()),"O","E"))</f>
        <v/>
      </c>
      <c r="F178" s="412"/>
      <c r="G178" s="413" t="str">
        <f>IF(ISBLANK(TInspectieE[[#This Row],[Soort gebrek]]),"",VLOOKUP(TInspectieE[[#This Row],[Soort gebrek]],TSoortGebrek[#Data],3,FALSE))</f>
        <v/>
      </c>
      <c r="H178" s="413" t="str">
        <f>IF(ISBLANK(TInspectieE[[#This Row],[Soort gebrek]]),"",VLOOKUP(TInspectieE[[#This Row],[Soort gebrek]],TSoortGebrek[#Data],2,FALSE))</f>
        <v/>
      </c>
      <c r="I178" s="413" t="str">
        <f>IF(TInspectieE[[#This Row],[Soort gebrek]]=0,"",VLOOKUP(TInspectieE[[#This Row],[Soort gebrek]],TSoortGebrek[],4,FALSE))</f>
        <v/>
      </c>
      <c r="J178" s="425"/>
      <c r="K178" s="415" t="str">
        <f>IF(TInspectieE[[#This Row],[Soort gebrek]]=0,"",VLOOKUP(TInspectieE[[#This Row],[Combi]],TPrio[#Data],2,FALSE))</f>
        <v/>
      </c>
      <c r="L178" s="339"/>
      <c r="M178" s="416" t="str">
        <f>IF(ISBLANK(TInspectieE[[#This Row],[Gebrek nr.]]),"",TInspectieE[[#This Row],[UVID]]&amp;"-"&amp;TInspectieE[[#This Row],[Gebrek nr.]])</f>
        <v/>
      </c>
      <c r="N178" s="417"/>
      <c r="O178" s="418"/>
      <c r="P178" s="206"/>
      <c r="Q178" s="193"/>
      <c r="R178" s="193" t="str">
        <f>IF(OR(TInspectieE[[#This Row],[Duurzaamheid bijdrage]]="Voldoet niet aan DZH-lijn",TInspectieE[[#This Row],[Duurzaamheid bijdrage]]="Voldoet niet aan vigerende W&amp;R"),"Voldoet niet","Voldoet")</f>
        <v>Voldoet</v>
      </c>
      <c r="S178" s="206"/>
      <c r="T178" s="206"/>
      <c r="U178" s="206"/>
      <c r="V178" s="206"/>
      <c r="W178" s="206"/>
      <c r="X178" s="419"/>
      <c r="Y178" s="340"/>
      <c r="Z178" s="420"/>
      <c r="AA178" s="421" t="str">
        <f>IF(ISBLANK(TInspectieE[[#This Row],[Aantal]]),"",ROUND(TInspectieE[[#This Row],[Kengetal]]*TInspectieE[[#This Row],[Aantal]],-1))</f>
        <v/>
      </c>
      <c r="AB178" s="422" t="str">
        <f>IF(TInspectieE[[#This Row],[Vak-groep]]="","1",VLOOKUP(C178,$J$2:$K$7,2,FALSE))</f>
        <v>1</v>
      </c>
      <c r="AC178" s="423" t="str">
        <f>CONCATENATE(TInspectieE[[#This Row],[Soort gebrek]],TInspectieE[[#This Row],[Trede]])</f>
        <v>1</v>
      </c>
      <c r="AD178" s="413" t="e">
        <v>#N/A</v>
      </c>
      <c r="AE178" s="413" t="e">
        <v>#N/A</v>
      </c>
      <c r="AF178" s="424">
        <v>0</v>
      </c>
    </row>
    <row r="179" spans="1:32" ht="10.5" x14ac:dyDescent="0.25">
      <c r="A179" s="337" t="str" cm="1">
        <f t="array" ref="A179">IFERROR(INDEX(TInventE[UVID],ROUNDDOWN((ROW(A170)+1)/2,0)),"")</f>
        <v/>
      </c>
      <c r="B179" s="410" t="str">
        <f>IF(TInspectieE[[#This Row],[UVID]]="","",VLOOKUP(TInspectieE[[#This Row],[UVID]],TInventE[],2,FALSE))</f>
        <v/>
      </c>
      <c r="C179" s="365" t="str">
        <f>IF(TInspectieE[[#This Row],[UVID]]="","",VLOOKUP(TInspectieE[[#This Row],[UVID]],TInventE[],11,FALSE))</f>
        <v/>
      </c>
      <c r="D179" s="411" t="str">
        <f>IF(TInspectieE[[#This Row],[UVID]]="","",VLOOKUP(TInspectieE[[#This Row],[UVID]],TInventE[],3,FALSE))</f>
        <v/>
      </c>
      <c r="E179" s="338" t="str">
        <f>IF(TInspectieE[[#This Row],[Omschrijving bouwdeel]]="","",IF(ISEVEN(ROW()),"O","E"))</f>
        <v/>
      </c>
      <c r="F179" s="412"/>
      <c r="G179" s="413" t="str">
        <f>IF(ISBLANK(TInspectieE[[#This Row],[Soort gebrek]]),"",VLOOKUP(TInspectieE[[#This Row],[Soort gebrek]],TSoortGebrek[#Data],3,FALSE))</f>
        <v/>
      </c>
      <c r="H179" s="413" t="str">
        <f>IF(ISBLANK(TInspectieE[[#This Row],[Soort gebrek]]),"",VLOOKUP(TInspectieE[[#This Row],[Soort gebrek]],TSoortGebrek[#Data],2,FALSE))</f>
        <v/>
      </c>
      <c r="I179" s="413" t="str">
        <f>IF(TInspectieE[[#This Row],[Soort gebrek]]=0,"",VLOOKUP(TInspectieE[[#This Row],[Soort gebrek]],TSoortGebrek[],4,FALSE))</f>
        <v/>
      </c>
      <c r="J179" s="425"/>
      <c r="K179" s="415" t="str">
        <f>IF(TInspectieE[[#This Row],[Soort gebrek]]=0,"",VLOOKUP(TInspectieE[[#This Row],[Combi]],TPrio[#Data],2,FALSE))</f>
        <v/>
      </c>
      <c r="L179" s="339"/>
      <c r="M179" s="416" t="str">
        <f>IF(ISBLANK(TInspectieE[[#This Row],[Gebrek nr.]]),"",TInspectieE[[#This Row],[UVID]]&amp;"-"&amp;TInspectieE[[#This Row],[Gebrek nr.]])</f>
        <v/>
      </c>
      <c r="N179" s="417"/>
      <c r="O179" s="418"/>
      <c r="P179" s="206"/>
      <c r="Q179" s="193"/>
      <c r="R179" s="193" t="str">
        <f>IF(OR(TInspectieE[[#This Row],[Duurzaamheid bijdrage]]="Voldoet niet aan DZH-lijn",TInspectieE[[#This Row],[Duurzaamheid bijdrage]]="Voldoet niet aan vigerende W&amp;R"),"Voldoet niet","Voldoet")</f>
        <v>Voldoet</v>
      </c>
      <c r="S179" s="206"/>
      <c r="T179" s="206"/>
      <c r="U179" s="206"/>
      <c r="V179" s="206"/>
      <c r="W179" s="206"/>
      <c r="X179" s="419"/>
      <c r="Y179" s="340"/>
      <c r="Z179" s="420"/>
      <c r="AA179" s="421" t="str">
        <f>IF(ISBLANK(TInspectieE[[#This Row],[Aantal]]),"",ROUND(TInspectieE[[#This Row],[Kengetal]]*TInspectieE[[#This Row],[Aantal]],-1))</f>
        <v/>
      </c>
      <c r="AB179" s="422" t="str">
        <f>IF(TInspectieE[[#This Row],[Vak-groep]]="","1",VLOOKUP(C179,$J$2:$K$7,2,FALSE))</f>
        <v>1</v>
      </c>
      <c r="AC179" s="423" t="str">
        <f>CONCATENATE(TInspectieE[[#This Row],[Soort gebrek]],TInspectieE[[#This Row],[Trede]])</f>
        <v>1</v>
      </c>
      <c r="AD179" s="413" t="e">
        <v>#N/A</v>
      </c>
      <c r="AE179" s="413" t="e">
        <v>#N/A</v>
      </c>
      <c r="AF179" s="424">
        <v>0</v>
      </c>
    </row>
    <row r="180" spans="1:32" ht="10.5" x14ac:dyDescent="0.25">
      <c r="A180" s="337" t="str" cm="1">
        <f t="array" ref="A180">IFERROR(INDEX(TInventE[UVID],ROUNDDOWN((ROW(A171)+1)/2,0)),"")</f>
        <v/>
      </c>
      <c r="B180" s="410" t="str">
        <f>IF(TInspectieE[[#This Row],[UVID]]="","",VLOOKUP(TInspectieE[[#This Row],[UVID]],TInventE[],2,FALSE))</f>
        <v/>
      </c>
      <c r="C180" s="365" t="str">
        <f>IF(TInspectieE[[#This Row],[UVID]]="","",VLOOKUP(TInspectieE[[#This Row],[UVID]],TInventE[],11,FALSE))</f>
        <v/>
      </c>
      <c r="D180" s="411" t="str">
        <f>IF(TInspectieE[[#This Row],[UVID]]="","",VLOOKUP(TInspectieE[[#This Row],[UVID]],TInventE[],3,FALSE))</f>
        <v/>
      </c>
      <c r="E180" s="338" t="str">
        <f>IF(TInspectieE[[#This Row],[Omschrijving bouwdeel]]="","",IF(ISEVEN(ROW()),"O","E"))</f>
        <v/>
      </c>
      <c r="F180" s="412"/>
      <c r="G180" s="413" t="str">
        <f>IF(ISBLANK(TInspectieE[[#This Row],[Soort gebrek]]),"",VLOOKUP(TInspectieE[[#This Row],[Soort gebrek]],TSoortGebrek[#Data],3,FALSE))</f>
        <v/>
      </c>
      <c r="H180" s="413" t="str">
        <f>IF(ISBLANK(TInspectieE[[#This Row],[Soort gebrek]]),"",VLOOKUP(TInspectieE[[#This Row],[Soort gebrek]],TSoortGebrek[#Data],2,FALSE))</f>
        <v/>
      </c>
      <c r="I180" s="413" t="str">
        <f>IF(TInspectieE[[#This Row],[Soort gebrek]]=0,"",VLOOKUP(TInspectieE[[#This Row],[Soort gebrek]],TSoortGebrek[],4,FALSE))</f>
        <v/>
      </c>
      <c r="J180" s="425"/>
      <c r="K180" s="415" t="str">
        <f>IF(TInspectieE[[#This Row],[Soort gebrek]]=0,"",VLOOKUP(TInspectieE[[#This Row],[Combi]],TPrio[#Data],2,FALSE))</f>
        <v/>
      </c>
      <c r="L180" s="339"/>
      <c r="M180" s="416" t="str">
        <f>IF(ISBLANK(TInspectieE[[#This Row],[Gebrek nr.]]),"",TInspectieE[[#This Row],[UVID]]&amp;"-"&amp;TInspectieE[[#This Row],[Gebrek nr.]])</f>
        <v/>
      </c>
      <c r="N180" s="417"/>
      <c r="O180" s="418"/>
      <c r="P180" s="206"/>
      <c r="Q180" s="193"/>
      <c r="R180" s="193" t="str">
        <f>IF(OR(TInspectieE[[#This Row],[Duurzaamheid bijdrage]]="Voldoet niet aan DZH-lijn",TInspectieE[[#This Row],[Duurzaamheid bijdrage]]="Voldoet niet aan vigerende W&amp;R"),"Voldoet niet","Voldoet")</f>
        <v>Voldoet</v>
      </c>
      <c r="S180" s="206"/>
      <c r="T180" s="206"/>
      <c r="U180" s="206"/>
      <c r="V180" s="206"/>
      <c r="W180" s="206"/>
      <c r="X180" s="419"/>
      <c r="Y180" s="340"/>
      <c r="Z180" s="420"/>
      <c r="AA180" s="421" t="str">
        <f>IF(ISBLANK(TInspectieE[[#This Row],[Aantal]]),"",ROUND(TInspectieE[[#This Row],[Kengetal]]*TInspectieE[[#This Row],[Aantal]],-1))</f>
        <v/>
      </c>
      <c r="AB180" s="422" t="str">
        <f>IF(TInspectieE[[#This Row],[Vak-groep]]="","1",VLOOKUP(C180,$J$2:$K$7,2,FALSE))</f>
        <v>1</v>
      </c>
      <c r="AC180" s="423" t="str">
        <f>CONCATENATE(TInspectieE[[#This Row],[Soort gebrek]],TInspectieE[[#This Row],[Trede]])</f>
        <v>1</v>
      </c>
      <c r="AD180" s="413" t="e">
        <v>#N/A</v>
      </c>
      <c r="AE180" s="413" t="e">
        <v>#N/A</v>
      </c>
      <c r="AF180" s="424">
        <v>0</v>
      </c>
    </row>
    <row r="181" spans="1:32" ht="10.5" x14ac:dyDescent="0.25">
      <c r="A181" s="337" t="str" cm="1">
        <f t="array" ref="A181">IFERROR(INDEX(TInventE[UVID],ROUNDDOWN((ROW(A172)+1)/2,0)),"")</f>
        <v/>
      </c>
      <c r="B181" s="410" t="str">
        <f>IF(TInspectieE[[#This Row],[UVID]]="","",VLOOKUP(TInspectieE[[#This Row],[UVID]],TInventE[],2,FALSE))</f>
        <v/>
      </c>
      <c r="C181" s="365" t="str">
        <f>IF(TInspectieE[[#This Row],[UVID]]="","",VLOOKUP(TInspectieE[[#This Row],[UVID]],TInventE[],11,FALSE))</f>
        <v/>
      </c>
      <c r="D181" s="411" t="str">
        <f>IF(TInspectieE[[#This Row],[UVID]]="","",VLOOKUP(TInspectieE[[#This Row],[UVID]],TInventE[],3,FALSE))</f>
        <v/>
      </c>
      <c r="E181" s="338" t="str">
        <f>IF(TInspectieE[[#This Row],[Omschrijving bouwdeel]]="","",IF(ISEVEN(ROW()),"O","E"))</f>
        <v/>
      </c>
      <c r="F181" s="412"/>
      <c r="G181" s="413" t="str">
        <f>IF(ISBLANK(TInspectieE[[#This Row],[Soort gebrek]]),"",VLOOKUP(TInspectieE[[#This Row],[Soort gebrek]],TSoortGebrek[#Data],3,FALSE))</f>
        <v/>
      </c>
      <c r="H181" s="413" t="str">
        <f>IF(ISBLANK(TInspectieE[[#This Row],[Soort gebrek]]),"",VLOOKUP(TInspectieE[[#This Row],[Soort gebrek]],TSoortGebrek[#Data],2,FALSE))</f>
        <v/>
      </c>
      <c r="I181" s="413" t="str">
        <f>IF(TInspectieE[[#This Row],[Soort gebrek]]=0,"",VLOOKUP(TInspectieE[[#This Row],[Soort gebrek]],TSoortGebrek[],4,FALSE))</f>
        <v/>
      </c>
      <c r="J181" s="425"/>
      <c r="K181" s="415" t="str">
        <f>IF(TInspectieE[[#This Row],[Soort gebrek]]=0,"",VLOOKUP(TInspectieE[[#This Row],[Combi]],TPrio[#Data],2,FALSE))</f>
        <v/>
      </c>
      <c r="L181" s="339"/>
      <c r="M181" s="416" t="str">
        <f>IF(ISBLANK(TInspectieE[[#This Row],[Gebrek nr.]]),"",TInspectieE[[#This Row],[UVID]]&amp;"-"&amp;TInspectieE[[#This Row],[Gebrek nr.]])</f>
        <v/>
      </c>
      <c r="N181" s="417"/>
      <c r="O181" s="418"/>
      <c r="P181" s="206"/>
      <c r="Q181" s="193"/>
      <c r="R181" s="193" t="str">
        <f>IF(OR(TInspectieE[[#This Row],[Duurzaamheid bijdrage]]="Voldoet niet aan DZH-lijn",TInspectieE[[#This Row],[Duurzaamheid bijdrage]]="Voldoet niet aan vigerende W&amp;R"),"Voldoet niet","Voldoet")</f>
        <v>Voldoet</v>
      </c>
      <c r="S181" s="206"/>
      <c r="T181" s="206"/>
      <c r="U181" s="206"/>
      <c r="V181" s="206"/>
      <c r="W181" s="206"/>
      <c r="X181" s="419"/>
      <c r="Y181" s="340"/>
      <c r="Z181" s="420"/>
      <c r="AA181" s="421" t="str">
        <f>IF(ISBLANK(TInspectieE[[#This Row],[Aantal]]),"",ROUND(TInspectieE[[#This Row],[Kengetal]]*TInspectieE[[#This Row],[Aantal]],-1))</f>
        <v/>
      </c>
      <c r="AB181" s="422" t="str">
        <f>IF(TInspectieE[[#This Row],[Vak-groep]]="","1",VLOOKUP(C181,$J$2:$K$7,2,FALSE))</f>
        <v>1</v>
      </c>
      <c r="AC181" s="423" t="str">
        <f>CONCATENATE(TInspectieE[[#This Row],[Soort gebrek]],TInspectieE[[#This Row],[Trede]])</f>
        <v>1</v>
      </c>
      <c r="AD181" s="413" t="e">
        <v>#N/A</v>
      </c>
      <c r="AE181" s="413" t="e">
        <v>#N/A</v>
      </c>
      <c r="AF181" s="424">
        <v>0</v>
      </c>
    </row>
    <row r="182" spans="1:32" ht="10.5" x14ac:dyDescent="0.25">
      <c r="A182" s="337" t="str" cm="1">
        <f t="array" ref="A182">IFERROR(INDEX(TInventE[UVID],ROUNDDOWN((ROW(A173)+1)/2,0)),"")</f>
        <v/>
      </c>
      <c r="B182" s="410" t="str">
        <f>IF(TInspectieE[[#This Row],[UVID]]="","",VLOOKUP(TInspectieE[[#This Row],[UVID]],TInventE[],2,FALSE))</f>
        <v/>
      </c>
      <c r="C182" s="365" t="str">
        <f>IF(TInspectieE[[#This Row],[UVID]]="","",VLOOKUP(TInspectieE[[#This Row],[UVID]],TInventE[],11,FALSE))</f>
        <v/>
      </c>
      <c r="D182" s="411" t="str">
        <f>IF(TInspectieE[[#This Row],[UVID]]="","",VLOOKUP(TInspectieE[[#This Row],[UVID]],TInventE[],3,FALSE))</f>
        <v/>
      </c>
      <c r="E182" s="338" t="str">
        <f>IF(TInspectieE[[#This Row],[Omschrijving bouwdeel]]="","",IF(ISEVEN(ROW()),"O","E"))</f>
        <v/>
      </c>
      <c r="F182" s="412"/>
      <c r="G182" s="413" t="str">
        <f>IF(ISBLANK(TInspectieE[[#This Row],[Soort gebrek]]),"",VLOOKUP(TInspectieE[[#This Row],[Soort gebrek]],TSoortGebrek[#Data],3,FALSE))</f>
        <v/>
      </c>
      <c r="H182" s="413" t="str">
        <f>IF(ISBLANK(TInspectieE[[#This Row],[Soort gebrek]]),"",VLOOKUP(TInspectieE[[#This Row],[Soort gebrek]],TSoortGebrek[#Data],2,FALSE))</f>
        <v/>
      </c>
      <c r="I182" s="413" t="str">
        <f>IF(TInspectieE[[#This Row],[Soort gebrek]]=0,"",VLOOKUP(TInspectieE[[#This Row],[Soort gebrek]],TSoortGebrek[],4,FALSE))</f>
        <v/>
      </c>
      <c r="J182" s="425"/>
      <c r="K182" s="415" t="str">
        <f>IF(TInspectieE[[#This Row],[Soort gebrek]]=0,"",VLOOKUP(TInspectieE[[#This Row],[Combi]],TPrio[#Data],2,FALSE))</f>
        <v/>
      </c>
      <c r="L182" s="339"/>
      <c r="M182" s="416" t="str">
        <f>IF(ISBLANK(TInspectieE[[#This Row],[Gebrek nr.]]),"",TInspectieE[[#This Row],[UVID]]&amp;"-"&amp;TInspectieE[[#This Row],[Gebrek nr.]])</f>
        <v/>
      </c>
      <c r="N182" s="417"/>
      <c r="O182" s="418"/>
      <c r="P182" s="206"/>
      <c r="Q182" s="193"/>
      <c r="R182" s="193" t="str">
        <f>IF(OR(TInspectieE[[#This Row],[Duurzaamheid bijdrage]]="Voldoet niet aan DZH-lijn",TInspectieE[[#This Row],[Duurzaamheid bijdrage]]="Voldoet niet aan vigerende W&amp;R"),"Voldoet niet","Voldoet")</f>
        <v>Voldoet</v>
      </c>
      <c r="S182" s="206"/>
      <c r="T182" s="206"/>
      <c r="U182" s="206"/>
      <c r="V182" s="206"/>
      <c r="W182" s="206"/>
      <c r="X182" s="419"/>
      <c r="Y182" s="340"/>
      <c r="Z182" s="420"/>
      <c r="AA182" s="421" t="str">
        <f>IF(ISBLANK(TInspectieE[[#This Row],[Aantal]]),"",ROUND(TInspectieE[[#This Row],[Kengetal]]*TInspectieE[[#This Row],[Aantal]],-1))</f>
        <v/>
      </c>
      <c r="AB182" s="422" t="str">
        <f>IF(TInspectieE[[#This Row],[Vak-groep]]="","1",VLOOKUP(C182,$J$2:$K$7,2,FALSE))</f>
        <v>1</v>
      </c>
      <c r="AC182" s="423" t="str">
        <f>CONCATENATE(TInspectieE[[#This Row],[Soort gebrek]],TInspectieE[[#This Row],[Trede]])</f>
        <v>1</v>
      </c>
      <c r="AD182" s="413" t="e">
        <v>#N/A</v>
      </c>
      <c r="AE182" s="413" t="e">
        <v>#N/A</v>
      </c>
      <c r="AF182" s="424">
        <v>0</v>
      </c>
    </row>
    <row r="183" spans="1:32" ht="10.5" x14ac:dyDescent="0.25">
      <c r="A183" s="337" t="str" cm="1">
        <f t="array" ref="A183">IFERROR(INDEX(TInventE[UVID],ROUNDDOWN((ROW(A174)+1)/2,0)),"")</f>
        <v/>
      </c>
      <c r="B183" s="410" t="str">
        <f>IF(TInspectieE[[#This Row],[UVID]]="","",VLOOKUP(TInspectieE[[#This Row],[UVID]],TInventE[],2,FALSE))</f>
        <v/>
      </c>
      <c r="C183" s="365" t="str">
        <f>IF(TInspectieE[[#This Row],[UVID]]="","",VLOOKUP(TInspectieE[[#This Row],[UVID]],TInventE[],11,FALSE))</f>
        <v/>
      </c>
      <c r="D183" s="411" t="str">
        <f>IF(TInspectieE[[#This Row],[UVID]]="","",VLOOKUP(TInspectieE[[#This Row],[UVID]],TInventE[],3,FALSE))</f>
        <v/>
      </c>
      <c r="E183" s="338" t="str">
        <f>IF(TInspectieE[[#This Row],[Omschrijving bouwdeel]]="","",IF(ISEVEN(ROW()),"O","E"))</f>
        <v/>
      </c>
      <c r="F183" s="412"/>
      <c r="G183" s="413" t="str">
        <f>IF(ISBLANK(TInspectieE[[#This Row],[Soort gebrek]]),"",VLOOKUP(TInspectieE[[#This Row],[Soort gebrek]],TSoortGebrek[#Data],3,FALSE))</f>
        <v/>
      </c>
      <c r="H183" s="413" t="str">
        <f>IF(ISBLANK(TInspectieE[[#This Row],[Soort gebrek]]),"",VLOOKUP(TInspectieE[[#This Row],[Soort gebrek]],TSoortGebrek[#Data],2,FALSE))</f>
        <v/>
      </c>
      <c r="I183" s="413" t="str">
        <f>IF(TInspectieE[[#This Row],[Soort gebrek]]=0,"",VLOOKUP(TInspectieE[[#This Row],[Soort gebrek]],TSoortGebrek[],4,FALSE))</f>
        <v/>
      </c>
      <c r="J183" s="425"/>
      <c r="K183" s="415" t="str">
        <f>IF(TInspectieE[[#This Row],[Soort gebrek]]=0,"",VLOOKUP(TInspectieE[[#This Row],[Combi]],TPrio[#Data],2,FALSE))</f>
        <v/>
      </c>
      <c r="L183" s="339"/>
      <c r="M183" s="416" t="str">
        <f>IF(ISBLANK(TInspectieE[[#This Row],[Gebrek nr.]]),"",TInspectieE[[#This Row],[UVID]]&amp;"-"&amp;TInspectieE[[#This Row],[Gebrek nr.]])</f>
        <v/>
      </c>
      <c r="N183" s="417"/>
      <c r="O183" s="418"/>
      <c r="P183" s="206"/>
      <c r="Q183" s="193"/>
      <c r="R183" s="193" t="str">
        <f>IF(OR(TInspectieE[[#This Row],[Duurzaamheid bijdrage]]="Voldoet niet aan DZH-lijn",TInspectieE[[#This Row],[Duurzaamheid bijdrage]]="Voldoet niet aan vigerende W&amp;R"),"Voldoet niet","Voldoet")</f>
        <v>Voldoet</v>
      </c>
      <c r="S183" s="206"/>
      <c r="T183" s="206"/>
      <c r="U183" s="206"/>
      <c r="V183" s="206"/>
      <c r="W183" s="206"/>
      <c r="X183" s="419"/>
      <c r="Y183" s="340"/>
      <c r="Z183" s="420"/>
      <c r="AA183" s="421" t="str">
        <f>IF(ISBLANK(TInspectieE[[#This Row],[Aantal]]),"",ROUND(TInspectieE[[#This Row],[Kengetal]]*TInspectieE[[#This Row],[Aantal]],-1))</f>
        <v/>
      </c>
      <c r="AB183" s="422" t="str">
        <f>IF(TInspectieE[[#This Row],[Vak-groep]]="","1",VLOOKUP(C183,$J$2:$K$7,2,FALSE))</f>
        <v>1</v>
      </c>
      <c r="AC183" s="423" t="str">
        <f>CONCATENATE(TInspectieE[[#This Row],[Soort gebrek]],TInspectieE[[#This Row],[Trede]])</f>
        <v>1</v>
      </c>
      <c r="AD183" s="413" t="e">
        <v>#N/A</v>
      </c>
      <c r="AE183" s="413" t="e">
        <v>#N/A</v>
      </c>
      <c r="AF183" s="424">
        <v>0</v>
      </c>
    </row>
    <row r="184" spans="1:32" ht="10.5" x14ac:dyDescent="0.25">
      <c r="A184" s="337" t="str" cm="1">
        <f t="array" ref="A184">IFERROR(INDEX(TInventE[UVID],ROUNDDOWN((ROW(A175)+1)/2,0)),"")</f>
        <v/>
      </c>
      <c r="B184" s="410" t="str">
        <f>IF(TInspectieE[[#This Row],[UVID]]="","",VLOOKUP(TInspectieE[[#This Row],[UVID]],TInventE[],2,FALSE))</f>
        <v/>
      </c>
      <c r="C184" s="365" t="str">
        <f>IF(TInspectieE[[#This Row],[UVID]]="","",VLOOKUP(TInspectieE[[#This Row],[UVID]],TInventE[],11,FALSE))</f>
        <v/>
      </c>
      <c r="D184" s="411" t="str">
        <f>IF(TInspectieE[[#This Row],[UVID]]="","",VLOOKUP(TInspectieE[[#This Row],[UVID]],TInventE[],3,FALSE))</f>
        <v/>
      </c>
      <c r="E184" s="338" t="str">
        <f>IF(TInspectieE[[#This Row],[Omschrijving bouwdeel]]="","",IF(ISEVEN(ROW()),"O","E"))</f>
        <v/>
      </c>
      <c r="F184" s="412"/>
      <c r="G184" s="413" t="str">
        <f>IF(ISBLANK(TInspectieE[[#This Row],[Soort gebrek]]),"",VLOOKUP(TInspectieE[[#This Row],[Soort gebrek]],TSoortGebrek[#Data],3,FALSE))</f>
        <v/>
      </c>
      <c r="H184" s="413" t="str">
        <f>IF(ISBLANK(TInspectieE[[#This Row],[Soort gebrek]]),"",VLOOKUP(TInspectieE[[#This Row],[Soort gebrek]],TSoortGebrek[#Data],2,FALSE))</f>
        <v/>
      </c>
      <c r="I184" s="413" t="str">
        <f>IF(TInspectieE[[#This Row],[Soort gebrek]]=0,"",VLOOKUP(TInspectieE[[#This Row],[Soort gebrek]],TSoortGebrek[],4,FALSE))</f>
        <v/>
      </c>
      <c r="J184" s="425"/>
      <c r="K184" s="415" t="str">
        <f>IF(TInspectieE[[#This Row],[Soort gebrek]]=0,"",VLOOKUP(TInspectieE[[#This Row],[Combi]],TPrio[#Data],2,FALSE))</f>
        <v/>
      </c>
      <c r="L184" s="339"/>
      <c r="M184" s="416" t="str">
        <f>IF(ISBLANK(TInspectieE[[#This Row],[Gebrek nr.]]),"",TInspectieE[[#This Row],[UVID]]&amp;"-"&amp;TInspectieE[[#This Row],[Gebrek nr.]])</f>
        <v/>
      </c>
      <c r="N184" s="417"/>
      <c r="O184" s="418"/>
      <c r="P184" s="206"/>
      <c r="Q184" s="193"/>
      <c r="R184" s="193" t="str">
        <f>IF(OR(TInspectieE[[#This Row],[Duurzaamheid bijdrage]]="Voldoet niet aan DZH-lijn",TInspectieE[[#This Row],[Duurzaamheid bijdrage]]="Voldoet niet aan vigerende W&amp;R"),"Voldoet niet","Voldoet")</f>
        <v>Voldoet</v>
      </c>
      <c r="S184" s="206"/>
      <c r="T184" s="206"/>
      <c r="U184" s="206"/>
      <c r="V184" s="206"/>
      <c r="W184" s="206"/>
      <c r="X184" s="419"/>
      <c r="Y184" s="340"/>
      <c r="Z184" s="420"/>
      <c r="AA184" s="421" t="str">
        <f>IF(ISBLANK(TInspectieE[[#This Row],[Aantal]]),"",ROUND(TInspectieE[[#This Row],[Kengetal]]*TInspectieE[[#This Row],[Aantal]],-1))</f>
        <v/>
      </c>
      <c r="AB184" s="422" t="str">
        <f>IF(TInspectieE[[#This Row],[Vak-groep]]="","1",VLOOKUP(C184,$J$2:$K$7,2,FALSE))</f>
        <v>1</v>
      </c>
      <c r="AC184" s="423" t="str">
        <f>CONCATENATE(TInspectieE[[#This Row],[Soort gebrek]],TInspectieE[[#This Row],[Trede]])</f>
        <v>1</v>
      </c>
      <c r="AD184" s="413" t="e">
        <v>#N/A</v>
      </c>
      <c r="AE184" s="413" t="e">
        <v>#N/A</v>
      </c>
      <c r="AF184" s="424">
        <v>0</v>
      </c>
    </row>
    <row r="185" spans="1:32" ht="10.5" x14ac:dyDescent="0.25">
      <c r="A185" s="337" t="str" cm="1">
        <f t="array" ref="A185">IFERROR(INDEX(TInventE[UVID],ROUNDDOWN((ROW(A176)+1)/2,0)),"")</f>
        <v/>
      </c>
      <c r="B185" s="410" t="str">
        <f>IF(TInspectieE[[#This Row],[UVID]]="","",VLOOKUP(TInspectieE[[#This Row],[UVID]],TInventE[],2,FALSE))</f>
        <v/>
      </c>
      <c r="C185" s="365" t="str">
        <f>IF(TInspectieE[[#This Row],[UVID]]="","",VLOOKUP(TInspectieE[[#This Row],[UVID]],TInventE[],11,FALSE))</f>
        <v/>
      </c>
      <c r="D185" s="411" t="str">
        <f>IF(TInspectieE[[#This Row],[UVID]]="","",VLOOKUP(TInspectieE[[#This Row],[UVID]],TInventE[],3,FALSE))</f>
        <v/>
      </c>
      <c r="E185" s="338" t="str">
        <f>IF(TInspectieE[[#This Row],[Omschrijving bouwdeel]]="","",IF(ISEVEN(ROW()),"O","E"))</f>
        <v/>
      </c>
      <c r="F185" s="412"/>
      <c r="G185" s="413" t="str">
        <f>IF(ISBLANK(TInspectieE[[#This Row],[Soort gebrek]]),"",VLOOKUP(TInspectieE[[#This Row],[Soort gebrek]],TSoortGebrek[#Data],3,FALSE))</f>
        <v/>
      </c>
      <c r="H185" s="413" t="str">
        <f>IF(ISBLANK(TInspectieE[[#This Row],[Soort gebrek]]),"",VLOOKUP(TInspectieE[[#This Row],[Soort gebrek]],TSoortGebrek[#Data],2,FALSE))</f>
        <v/>
      </c>
      <c r="I185" s="413" t="str">
        <f>IF(TInspectieE[[#This Row],[Soort gebrek]]=0,"",VLOOKUP(TInspectieE[[#This Row],[Soort gebrek]],TSoortGebrek[],4,FALSE))</f>
        <v/>
      </c>
      <c r="J185" s="425"/>
      <c r="K185" s="415" t="str">
        <f>IF(TInspectieE[[#This Row],[Soort gebrek]]=0,"",VLOOKUP(TInspectieE[[#This Row],[Combi]],TPrio[#Data],2,FALSE))</f>
        <v/>
      </c>
      <c r="L185" s="339"/>
      <c r="M185" s="416" t="str">
        <f>IF(ISBLANK(TInspectieE[[#This Row],[Gebrek nr.]]),"",TInspectieE[[#This Row],[UVID]]&amp;"-"&amp;TInspectieE[[#This Row],[Gebrek nr.]])</f>
        <v/>
      </c>
      <c r="N185" s="417"/>
      <c r="O185" s="418"/>
      <c r="P185" s="206"/>
      <c r="Q185" s="193"/>
      <c r="R185" s="193" t="str">
        <f>IF(OR(TInspectieE[[#This Row],[Duurzaamheid bijdrage]]="Voldoet niet aan DZH-lijn",TInspectieE[[#This Row],[Duurzaamheid bijdrage]]="Voldoet niet aan vigerende W&amp;R"),"Voldoet niet","Voldoet")</f>
        <v>Voldoet</v>
      </c>
      <c r="S185" s="206"/>
      <c r="T185" s="206"/>
      <c r="U185" s="206"/>
      <c r="V185" s="206"/>
      <c r="W185" s="206"/>
      <c r="X185" s="419"/>
      <c r="Y185" s="340"/>
      <c r="Z185" s="420"/>
      <c r="AA185" s="421" t="str">
        <f>IF(ISBLANK(TInspectieE[[#This Row],[Aantal]]),"",ROUND(TInspectieE[[#This Row],[Kengetal]]*TInspectieE[[#This Row],[Aantal]],-1))</f>
        <v/>
      </c>
      <c r="AB185" s="422" t="str">
        <f>IF(TInspectieE[[#This Row],[Vak-groep]]="","1",VLOOKUP(C185,$J$2:$K$7,2,FALSE))</f>
        <v>1</v>
      </c>
      <c r="AC185" s="423" t="str">
        <f>CONCATENATE(TInspectieE[[#This Row],[Soort gebrek]],TInspectieE[[#This Row],[Trede]])</f>
        <v>1</v>
      </c>
      <c r="AD185" s="413" t="e">
        <v>#N/A</v>
      </c>
      <c r="AE185" s="413" t="e">
        <v>#N/A</v>
      </c>
      <c r="AF185" s="424">
        <v>0</v>
      </c>
    </row>
    <row r="186" spans="1:32" ht="10.5" x14ac:dyDescent="0.25">
      <c r="A186" s="337" t="str" cm="1">
        <f t="array" ref="A186">IFERROR(INDEX(TInventE[UVID],ROUNDDOWN((ROW(A177)+1)/2,0)),"")</f>
        <v/>
      </c>
      <c r="B186" s="410" t="str">
        <f>IF(TInspectieE[[#This Row],[UVID]]="","",VLOOKUP(TInspectieE[[#This Row],[UVID]],TInventE[],2,FALSE))</f>
        <v/>
      </c>
      <c r="C186" s="365" t="str">
        <f>IF(TInspectieE[[#This Row],[UVID]]="","",VLOOKUP(TInspectieE[[#This Row],[UVID]],TInventE[],11,FALSE))</f>
        <v/>
      </c>
      <c r="D186" s="411" t="str">
        <f>IF(TInspectieE[[#This Row],[UVID]]="","",VLOOKUP(TInspectieE[[#This Row],[UVID]],TInventE[],3,FALSE))</f>
        <v/>
      </c>
      <c r="E186" s="338" t="str">
        <f>IF(TInspectieE[[#This Row],[Omschrijving bouwdeel]]="","",IF(ISEVEN(ROW()),"O","E"))</f>
        <v/>
      </c>
      <c r="F186" s="412"/>
      <c r="G186" s="413" t="str">
        <f>IF(ISBLANK(TInspectieE[[#This Row],[Soort gebrek]]),"",VLOOKUP(TInspectieE[[#This Row],[Soort gebrek]],TSoortGebrek[#Data],3,FALSE))</f>
        <v/>
      </c>
      <c r="H186" s="413" t="str">
        <f>IF(ISBLANK(TInspectieE[[#This Row],[Soort gebrek]]),"",VLOOKUP(TInspectieE[[#This Row],[Soort gebrek]],TSoortGebrek[#Data],2,FALSE))</f>
        <v/>
      </c>
      <c r="I186" s="413" t="str">
        <f>IF(TInspectieE[[#This Row],[Soort gebrek]]=0,"",VLOOKUP(TInspectieE[[#This Row],[Soort gebrek]],TSoortGebrek[],4,FALSE))</f>
        <v/>
      </c>
      <c r="J186" s="425"/>
      <c r="K186" s="415" t="str">
        <f>IF(TInspectieE[[#This Row],[Soort gebrek]]=0,"",VLOOKUP(TInspectieE[[#This Row],[Combi]],TPrio[#Data],2,FALSE))</f>
        <v/>
      </c>
      <c r="L186" s="339"/>
      <c r="M186" s="416" t="str">
        <f>IF(ISBLANK(TInspectieE[[#This Row],[Gebrek nr.]]),"",TInspectieE[[#This Row],[UVID]]&amp;"-"&amp;TInspectieE[[#This Row],[Gebrek nr.]])</f>
        <v/>
      </c>
      <c r="N186" s="417"/>
      <c r="O186" s="418"/>
      <c r="P186" s="206"/>
      <c r="Q186" s="193"/>
      <c r="R186" s="193" t="str">
        <f>IF(OR(TInspectieE[[#This Row],[Duurzaamheid bijdrage]]="Voldoet niet aan DZH-lijn",TInspectieE[[#This Row],[Duurzaamheid bijdrage]]="Voldoet niet aan vigerende W&amp;R"),"Voldoet niet","Voldoet")</f>
        <v>Voldoet</v>
      </c>
      <c r="S186" s="206"/>
      <c r="T186" s="206"/>
      <c r="U186" s="206"/>
      <c r="V186" s="206"/>
      <c r="W186" s="206"/>
      <c r="X186" s="419"/>
      <c r="Y186" s="340"/>
      <c r="Z186" s="420"/>
      <c r="AA186" s="421" t="str">
        <f>IF(ISBLANK(TInspectieE[[#This Row],[Aantal]]),"",ROUND(TInspectieE[[#This Row],[Kengetal]]*TInspectieE[[#This Row],[Aantal]],-1))</f>
        <v/>
      </c>
      <c r="AB186" s="422" t="str">
        <f>IF(TInspectieE[[#This Row],[Vak-groep]]="","1",VLOOKUP(C186,$J$2:$K$7,2,FALSE))</f>
        <v>1</v>
      </c>
      <c r="AC186" s="423" t="str">
        <f>CONCATENATE(TInspectieE[[#This Row],[Soort gebrek]],TInspectieE[[#This Row],[Trede]])</f>
        <v>1</v>
      </c>
      <c r="AD186" s="413" t="e">
        <v>#N/A</v>
      </c>
      <c r="AE186" s="413" t="e">
        <v>#N/A</v>
      </c>
      <c r="AF186" s="424">
        <v>0</v>
      </c>
    </row>
    <row r="187" spans="1:32" ht="10.5" x14ac:dyDescent="0.25">
      <c r="A187" s="337" t="str" cm="1">
        <f t="array" ref="A187">IFERROR(INDEX(TInventE[UVID],ROUNDDOWN((ROW(A178)+1)/2,0)),"")</f>
        <v/>
      </c>
      <c r="B187" s="410" t="str">
        <f>IF(TInspectieE[[#This Row],[UVID]]="","",VLOOKUP(TInspectieE[[#This Row],[UVID]],TInventE[],2,FALSE))</f>
        <v/>
      </c>
      <c r="C187" s="365" t="str">
        <f>IF(TInspectieE[[#This Row],[UVID]]="","",VLOOKUP(TInspectieE[[#This Row],[UVID]],TInventE[],11,FALSE))</f>
        <v/>
      </c>
      <c r="D187" s="411" t="str">
        <f>IF(TInspectieE[[#This Row],[UVID]]="","",VLOOKUP(TInspectieE[[#This Row],[UVID]],TInventE[],3,FALSE))</f>
        <v/>
      </c>
      <c r="E187" s="338" t="str">
        <f>IF(TInspectieE[[#This Row],[Omschrijving bouwdeel]]="","",IF(ISEVEN(ROW()),"O","E"))</f>
        <v/>
      </c>
      <c r="F187" s="412"/>
      <c r="G187" s="413" t="str">
        <f>IF(ISBLANK(TInspectieE[[#This Row],[Soort gebrek]]),"",VLOOKUP(TInspectieE[[#This Row],[Soort gebrek]],TSoortGebrek[#Data],3,FALSE))</f>
        <v/>
      </c>
      <c r="H187" s="413" t="str">
        <f>IF(ISBLANK(TInspectieE[[#This Row],[Soort gebrek]]),"",VLOOKUP(TInspectieE[[#This Row],[Soort gebrek]],TSoortGebrek[#Data],2,FALSE))</f>
        <v/>
      </c>
      <c r="I187" s="413" t="str">
        <f>IF(TInspectieE[[#This Row],[Soort gebrek]]=0,"",VLOOKUP(TInspectieE[[#This Row],[Soort gebrek]],TSoortGebrek[],4,FALSE))</f>
        <v/>
      </c>
      <c r="J187" s="425"/>
      <c r="K187" s="415" t="str">
        <f>IF(TInspectieE[[#This Row],[Soort gebrek]]=0,"",VLOOKUP(TInspectieE[[#This Row],[Combi]],TPrio[#Data],2,FALSE))</f>
        <v/>
      </c>
      <c r="L187" s="339"/>
      <c r="M187" s="416" t="str">
        <f>IF(ISBLANK(TInspectieE[[#This Row],[Gebrek nr.]]),"",TInspectieE[[#This Row],[UVID]]&amp;"-"&amp;TInspectieE[[#This Row],[Gebrek nr.]])</f>
        <v/>
      </c>
      <c r="N187" s="417"/>
      <c r="O187" s="418"/>
      <c r="P187" s="206"/>
      <c r="Q187" s="193"/>
      <c r="R187" s="193" t="str">
        <f>IF(OR(TInspectieE[[#This Row],[Duurzaamheid bijdrage]]="Voldoet niet aan DZH-lijn",TInspectieE[[#This Row],[Duurzaamheid bijdrage]]="Voldoet niet aan vigerende W&amp;R"),"Voldoet niet","Voldoet")</f>
        <v>Voldoet</v>
      </c>
      <c r="S187" s="206"/>
      <c r="T187" s="206"/>
      <c r="U187" s="206"/>
      <c r="V187" s="206"/>
      <c r="W187" s="206"/>
      <c r="X187" s="419"/>
      <c r="Y187" s="340"/>
      <c r="Z187" s="420"/>
      <c r="AA187" s="421" t="str">
        <f>IF(ISBLANK(TInspectieE[[#This Row],[Aantal]]),"",ROUND(TInspectieE[[#This Row],[Kengetal]]*TInspectieE[[#This Row],[Aantal]],-1))</f>
        <v/>
      </c>
      <c r="AB187" s="422" t="str">
        <f>IF(TInspectieE[[#This Row],[Vak-groep]]="","1",VLOOKUP(C187,$J$2:$K$7,2,FALSE))</f>
        <v>1</v>
      </c>
      <c r="AC187" s="423" t="str">
        <f>CONCATENATE(TInspectieE[[#This Row],[Soort gebrek]],TInspectieE[[#This Row],[Trede]])</f>
        <v>1</v>
      </c>
      <c r="AD187" s="413" t="e">
        <v>#N/A</v>
      </c>
      <c r="AE187" s="413" t="e">
        <v>#N/A</v>
      </c>
      <c r="AF187" s="424">
        <v>0</v>
      </c>
    </row>
    <row r="188" spans="1:32" ht="10.5" x14ac:dyDescent="0.25">
      <c r="A188" s="337" t="str" cm="1">
        <f t="array" ref="A188">IFERROR(INDEX(TInventE[UVID],ROUNDDOWN((ROW(A179)+1)/2,0)),"")</f>
        <v/>
      </c>
      <c r="B188" s="410" t="str">
        <f>IF(TInspectieE[[#This Row],[UVID]]="","",VLOOKUP(TInspectieE[[#This Row],[UVID]],TInventE[],2,FALSE))</f>
        <v/>
      </c>
      <c r="C188" s="365" t="str">
        <f>IF(TInspectieE[[#This Row],[UVID]]="","",VLOOKUP(TInspectieE[[#This Row],[UVID]],TInventE[],11,FALSE))</f>
        <v/>
      </c>
      <c r="D188" s="411" t="str">
        <f>IF(TInspectieE[[#This Row],[UVID]]="","",VLOOKUP(TInspectieE[[#This Row],[UVID]],TInventE[],3,FALSE))</f>
        <v/>
      </c>
      <c r="E188" s="338" t="str">
        <f>IF(TInspectieE[[#This Row],[Omschrijving bouwdeel]]="","",IF(ISEVEN(ROW()),"O","E"))</f>
        <v/>
      </c>
      <c r="F188" s="412"/>
      <c r="G188" s="413" t="str">
        <f>IF(ISBLANK(TInspectieE[[#This Row],[Soort gebrek]]),"",VLOOKUP(TInspectieE[[#This Row],[Soort gebrek]],TSoortGebrek[#Data],3,FALSE))</f>
        <v/>
      </c>
      <c r="H188" s="413" t="str">
        <f>IF(ISBLANK(TInspectieE[[#This Row],[Soort gebrek]]),"",VLOOKUP(TInspectieE[[#This Row],[Soort gebrek]],TSoortGebrek[#Data],2,FALSE))</f>
        <v/>
      </c>
      <c r="I188" s="413" t="str">
        <f>IF(TInspectieE[[#This Row],[Soort gebrek]]=0,"",VLOOKUP(TInspectieE[[#This Row],[Soort gebrek]],TSoortGebrek[],4,FALSE))</f>
        <v/>
      </c>
      <c r="J188" s="425"/>
      <c r="K188" s="415" t="str">
        <f>IF(TInspectieE[[#This Row],[Soort gebrek]]=0,"",VLOOKUP(TInspectieE[[#This Row],[Combi]],TPrio[#Data],2,FALSE))</f>
        <v/>
      </c>
      <c r="L188" s="339"/>
      <c r="M188" s="416" t="str">
        <f>IF(ISBLANK(TInspectieE[[#This Row],[Gebrek nr.]]),"",TInspectieE[[#This Row],[UVID]]&amp;"-"&amp;TInspectieE[[#This Row],[Gebrek nr.]])</f>
        <v/>
      </c>
      <c r="N188" s="417"/>
      <c r="O188" s="418"/>
      <c r="P188" s="206"/>
      <c r="Q188" s="193"/>
      <c r="R188" s="193" t="str">
        <f>IF(OR(TInspectieE[[#This Row],[Duurzaamheid bijdrage]]="Voldoet niet aan DZH-lijn",TInspectieE[[#This Row],[Duurzaamheid bijdrage]]="Voldoet niet aan vigerende W&amp;R"),"Voldoet niet","Voldoet")</f>
        <v>Voldoet</v>
      </c>
      <c r="S188" s="206"/>
      <c r="T188" s="206"/>
      <c r="U188" s="206"/>
      <c r="V188" s="206"/>
      <c r="W188" s="206"/>
      <c r="X188" s="419"/>
      <c r="Y188" s="340"/>
      <c r="Z188" s="420"/>
      <c r="AA188" s="421" t="str">
        <f>IF(ISBLANK(TInspectieE[[#This Row],[Aantal]]),"",ROUND(TInspectieE[[#This Row],[Kengetal]]*TInspectieE[[#This Row],[Aantal]],-1))</f>
        <v/>
      </c>
      <c r="AB188" s="422" t="str">
        <f>IF(TInspectieE[[#This Row],[Vak-groep]]="","1",VLOOKUP(C188,$J$2:$K$7,2,FALSE))</f>
        <v>1</v>
      </c>
      <c r="AC188" s="423" t="str">
        <f>CONCATENATE(TInspectieE[[#This Row],[Soort gebrek]],TInspectieE[[#This Row],[Trede]])</f>
        <v>1</v>
      </c>
      <c r="AD188" s="413" t="e">
        <v>#N/A</v>
      </c>
      <c r="AE188" s="413" t="e">
        <v>#N/A</v>
      </c>
      <c r="AF188" s="424">
        <v>0</v>
      </c>
    </row>
    <row r="189" spans="1:32" ht="10.5" x14ac:dyDescent="0.25">
      <c r="A189" s="337" t="str" cm="1">
        <f t="array" ref="A189">IFERROR(INDEX(TInventE[UVID],ROUNDDOWN((ROW(A180)+1)/2,0)),"")</f>
        <v/>
      </c>
      <c r="B189" s="410" t="str">
        <f>IF(TInspectieE[[#This Row],[UVID]]="","",VLOOKUP(TInspectieE[[#This Row],[UVID]],TInventE[],2,FALSE))</f>
        <v/>
      </c>
      <c r="C189" s="365" t="str">
        <f>IF(TInspectieE[[#This Row],[UVID]]="","",VLOOKUP(TInspectieE[[#This Row],[UVID]],TInventE[],11,FALSE))</f>
        <v/>
      </c>
      <c r="D189" s="411" t="str">
        <f>IF(TInspectieE[[#This Row],[UVID]]="","",VLOOKUP(TInspectieE[[#This Row],[UVID]],TInventE[],3,FALSE))</f>
        <v/>
      </c>
      <c r="E189" s="338" t="str">
        <f>IF(TInspectieE[[#This Row],[Omschrijving bouwdeel]]="","",IF(ISEVEN(ROW()),"O","E"))</f>
        <v/>
      </c>
      <c r="F189" s="412"/>
      <c r="G189" s="413" t="str">
        <f>IF(ISBLANK(TInspectieE[[#This Row],[Soort gebrek]]),"",VLOOKUP(TInspectieE[[#This Row],[Soort gebrek]],TSoortGebrek[#Data],3,FALSE))</f>
        <v/>
      </c>
      <c r="H189" s="413" t="str">
        <f>IF(ISBLANK(TInspectieE[[#This Row],[Soort gebrek]]),"",VLOOKUP(TInspectieE[[#This Row],[Soort gebrek]],TSoortGebrek[#Data],2,FALSE))</f>
        <v/>
      </c>
      <c r="I189" s="413" t="str">
        <f>IF(TInspectieE[[#This Row],[Soort gebrek]]=0,"",VLOOKUP(TInspectieE[[#This Row],[Soort gebrek]],TSoortGebrek[],4,FALSE))</f>
        <v/>
      </c>
      <c r="J189" s="425"/>
      <c r="K189" s="415" t="str">
        <f>IF(TInspectieE[[#This Row],[Soort gebrek]]=0,"",VLOOKUP(TInspectieE[[#This Row],[Combi]],TPrio[#Data],2,FALSE))</f>
        <v/>
      </c>
      <c r="L189" s="339"/>
      <c r="M189" s="416" t="str">
        <f>IF(ISBLANK(TInspectieE[[#This Row],[Gebrek nr.]]),"",TInspectieE[[#This Row],[UVID]]&amp;"-"&amp;TInspectieE[[#This Row],[Gebrek nr.]])</f>
        <v/>
      </c>
      <c r="N189" s="417"/>
      <c r="O189" s="418"/>
      <c r="P189" s="206"/>
      <c r="Q189" s="193"/>
      <c r="R189" s="193" t="str">
        <f>IF(OR(TInspectieE[[#This Row],[Duurzaamheid bijdrage]]="Voldoet niet aan DZH-lijn",TInspectieE[[#This Row],[Duurzaamheid bijdrage]]="Voldoet niet aan vigerende W&amp;R"),"Voldoet niet","Voldoet")</f>
        <v>Voldoet</v>
      </c>
      <c r="S189" s="206"/>
      <c r="T189" s="206"/>
      <c r="U189" s="206"/>
      <c r="V189" s="206"/>
      <c r="W189" s="206"/>
      <c r="X189" s="419"/>
      <c r="Y189" s="340"/>
      <c r="Z189" s="420"/>
      <c r="AA189" s="421" t="str">
        <f>IF(ISBLANK(TInspectieE[[#This Row],[Aantal]]),"",ROUND(TInspectieE[[#This Row],[Kengetal]]*TInspectieE[[#This Row],[Aantal]],-1))</f>
        <v/>
      </c>
      <c r="AB189" s="422" t="str">
        <f>IF(TInspectieE[[#This Row],[Vak-groep]]="","1",VLOOKUP(C189,$J$2:$K$7,2,FALSE))</f>
        <v>1</v>
      </c>
      <c r="AC189" s="423" t="str">
        <f>CONCATENATE(TInspectieE[[#This Row],[Soort gebrek]],TInspectieE[[#This Row],[Trede]])</f>
        <v>1</v>
      </c>
      <c r="AD189" s="413" t="e">
        <v>#N/A</v>
      </c>
      <c r="AE189" s="413" t="e">
        <v>#N/A</v>
      </c>
      <c r="AF189" s="424">
        <v>0</v>
      </c>
    </row>
    <row r="190" spans="1:32" ht="10.5" x14ac:dyDescent="0.25">
      <c r="A190" s="337" t="str" cm="1">
        <f t="array" ref="A190">IFERROR(INDEX(TInventE[UVID],ROUNDDOWN((ROW(A181)+1)/2,0)),"")</f>
        <v/>
      </c>
      <c r="B190" s="410" t="str">
        <f>IF(TInspectieE[[#This Row],[UVID]]="","",VLOOKUP(TInspectieE[[#This Row],[UVID]],TInventE[],2,FALSE))</f>
        <v/>
      </c>
      <c r="C190" s="365" t="str">
        <f>IF(TInspectieE[[#This Row],[UVID]]="","",VLOOKUP(TInspectieE[[#This Row],[UVID]],TInventE[],11,FALSE))</f>
        <v/>
      </c>
      <c r="D190" s="411" t="str">
        <f>IF(TInspectieE[[#This Row],[UVID]]="","",VLOOKUP(TInspectieE[[#This Row],[UVID]],TInventE[],3,FALSE))</f>
        <v/>
      </c>
      <c r="E190" s="338" t="str">
        <f>IF(TInspectieE[[#This Row],[Omschrijving bouwdeel]]="","",IF(ISEVEN(ROW()),"O","E"))</f>
        <v/>
      </c>
      <c r="F190" s="412"/>
      <c r="G190" s="413" t="str">
        <f>IF(ISBLANK(TInspectieE[[#This Row],[Soort gebrek]]),"",VLOOKUP(TInspectieE[[#This Row],[Soort gebrek]],TSoortGebrek[#Data],3,FALSE))</f>
        <v/>
      </c>
      <c r="H190" s="413" t="str">
        <f>IF(ISBLANK(TInspectieE[[#This Row],[Soort gebrek]]),"",VLOOKUP(TInspectieE[[#This Row],[Soort gebrek]],TSoortGebrek[#Data],2,FALSE))</f>
        <v/>
      </c>
      <c r="I190" s="413" t="str">
        <f>IF(TInspectieE[[#This Row],[Soort gebrek]]=0,"",VLOOKUP(TInspectieE[[#This Row],[Soort gebrek]],TSoortGebrek[],4,FALSE))</f>
        <v/>
      </c>
      <c r="J190" s="425"/>
      <c r="K190" s="415" t="str">
        <f>IF(TInspectieE[[#This Row],[Soort gebrek]]=0,"",VLOOKUP(TInspectieE[[#This Row],[Combi]],TPrio[#Data],2,FALSE))</f>
        <v/>
      </c>
      <c r="L190" s="339"/>
      <c r="M190" s="416" t="str">
        <f>IF(ISBLANK(TInspectieE[[#This Row],[Gebrek nr.]]),"",TInspectieE[[#This Row],[UVID]]&amp;"-"&amp;TInspectieE[[#This Row],[Gebrek nr.]])</f>
        <v/>
      </c>
      <c r="N190" s="417"/>
      <c r="O190" s="418"/>
      <c r="P190" s="206"/>
      <c r="Q190" s="193"/>
      <c r="R190" s="193" t="str">
        <f>IF(OR(TInspectieE[[#This Row],[Duurzaamheid bijdrage]]="Voldoet niet aan DZH-lijn",TInspectieE[[#This Row],[Duurzaamheid bijdrage]]="Voldoet niet aan vigerende W&amp;R"),"Voldoet niet","Voldoet")</f>
        <v>Voldoet</v>
      </c>
      <c r="S190" s="206"/>
      <c r="T190" s="206"/>
      <c r="U190" s="206"/>
      <c r="V190" s="206"/>
      <c r="W190" s="206"/>
      <c r="X190" s="419"/>
      <c r="Y190" s="340"/>
      <c r="Z190" s="420"/>
      <c r="AA190" s="421" t="str">
        <f>IF(ISBLANK(TInspectieE[[#This Row],[Aantal]]),"",ROUND(TInspectieE[[#This Row],[Kengetal]]*TInspectieE[[#This Row],[Aantal]],-1))</f>
        <v/>
      </c>
      <c r="AB190" s="422" t="str">
        <f>IF(TInspectieE[[#This Row],[Vak-groep]]="","1",VLOOKUP(C190,$J$2:$K$7,2,FALSE))</f>
        <v>1</v>
      </c>
      <c r="AC190" s="423" t="str">
        <f>CONCATENATE(TInspectieE[[#This Row],[Soort gebrek]],TInspectieE[[#This Row],[Trede]])</f>
        <v>1</v>
      </c>
      <c r="AD190" s="413" t="e">
        <v>#N/A</v>
      </c>
      <c r="AE190" s="413" t="e">
        <v>#N/A</v>
      </c>
      <c r="AF190" s="424">
        <v>0</v>
      </c>
    </row>
    <row r="191" spans="1:32" ht="10.5" x14ac:dyDescent="0.25">
      <c r="A191" s="337" t="str" cm="1">
        <f t="array" ref="A191">IFERROR(INDEX(TInventE[UVID],ROUNDDOWN((ROW(A182)+1)/2,0)),"")</f>
        <v/>
      </c>
      <c r="B191" s="410" t="str">
        <f>IF(TInspectieE[[#This Row],[UVID]]="","",VLOOKUP(TInspectieE[[#This Row],[UVID]],TInventE[],2,FALSE))</f>
        <v/>
      </c>
      <c r="C191" s="365" t="str">
        <f>IF(TInspectieE[[#This Row],[UVID]]="","",VLOOKUP(TInspectieE[[#This Row],[UVID]],TInventE[],11,FALSE))</f>
        <v/>
      </c>
      <c r="D191" s="411" t="str">
        <f>IF(TInspectieE[[#This Row],[UVID]]="","",VLOOKUP(TInspectieE[[#This Row],[UVID]],TInventE[],3,FALSE))</f>
        <v/>
      </c>
      <c r="E191" s="338" t="str">
        <f>IF(TInspectieE[[#This Row],[Omschrijving bouwdeel]]="","",IF(ISEVEN(ROW()),"O","E"))</f>
        <v/>
      </c>
      <c r="F191" s="412"/>
      <c r="G191" s="413" t="str">
        <f>IF(ISBLANK(TInspectieE[[#This Row],[Soort gebrek]]),"",VLOOKUP(TInspectieE[[#This Row],[Soort gebrek]],TSoortGebrek[#Data],3,FALSE))</f>
        <v/>
      </c>
      <c r="H191" s="413" t="str">
        <f>IF(ISBLANK(TInspectieE[[#This Row],[Soort gebrek]]),"",VLOOKUP(TInspectieE[[#This Row],[Soort gebrek]],TSoortGebrek[#Data],2,FALSE))</f>
        <v/>
      </c>
      <c r="I191" s="413" t="str">
        <f>IF(TInspectieE[[#This Row],[Soort gebrek]]=0,"",VLOOKUP(TInspectieE[[#This Row],[Soort gebrek]],TSoortGebrek[],4,FALSE))</f>
        <v/>
      </c>
      <c r="J191" s="425"/>
      <c r="K191" s="415" t="str">
        <f>IF(TInspectieE[[#This Row],[Soort gebrek]]=0,"",VLOOKUP(TInspectieE[[#This Row],[Combi]],TPrio[#Data],2,FALSE))</f>
        <v/>
      </c>
      <c r="L191" s="339"/>
      <c r="M191" s="416" t="str">
        <f>IF(ISBLANK(TInspectieE[[#This Row],[Gebrek nr.]]),"",TInspectieE[[#This Row],[UVID]]&amp;"-"&amp;TInspectieE[[#This Row],[Gebrek nr.]])</f>
        <v/>
      </c>
      <c r="N191" s="417"/>
      <c r="O191" s="418"/>
      <c r="P191" s="206"/>
      <c r="Q191" s="193"/>
      <c r="R191" s="193" t="str">
        <f>IF(OR(TInspectieE[[#This Row],[Duurzaamheid bijdrage]]="Voldoet niet aan DZH-lijn",TInspectieE[[#This Row],[Duurzaamheid bijdrage]]="Voldoet niet aan vigerende W&amp;R"),"Voldoet niet","Voldoet")</f>
        <v>Voldoet</v>
      </c>
      <c r="S191" s="206"/>
      <c r="T191" s="206"/>
      <c r="U191" s="206"/>
      <c r="V191" s="206"/>
      <c r="W191" s="206"/>
      <c r="X191" s="419"/>
      <c r="Y191" s="340"/>
      <c r="Z191" s="420"/>
      <c r="AA191" s="421" t="str">
        <f>IF(ISBLANK(TInspectieE[[#This Row],[Aantal]]),"",ROUND(TInspectieE[[#This Row],[Kengetal]]*TInspectieE[[#This Row],[Aantal]],-1))</f>
        <v/>
      </c>
      <c r="AB191" s="422" t="str">
        <f>IF(TInspectieE[[#This Row],[Vak-groep]]="","1",VLOOKUP(C191,$J$2:$K$7,2,FALSE))</f>
        <v>1</v>
      </c>
      <c r="AC191" s="423" t="str">
        <f>CONCATENATE(TInspectieE[[#This Row],[Soort gebrek]],TInspectieE[[#This Row],[Trede]])</f>
        <v>1</v>
      </c>
      <c r="AD191" s="413" t="e">
        <v>#N/A</v>
      </c>
      <c r="AE191" s="413" t="e">
        <v>#N/A</v>
      </c>
      <c r="AF191" s="424">
        <v>0</v>
      </c>
    </row>
    <row r="192" spans="1:32" ht="10.5" x14ac:dyDescent="0.25">
      <c r="A192" s="337" t="str" cm="1">
        <f t="array" ref="A192">IFERROR(INDEX(TInventE[UVID],ROUNDDOWN((ROW(A183)+1)/2,0)),"")</f>
        <v/>
      </c>
      <c r="B192" s="410" t="str">
        <f>IF(TInspectieE[[#This Row],[UVID]]="","",VLOOKUP(TInspectieE[[#This Row],[UVID]],TInventE[],2,FALSE))</f>
        <v/>
      </c>
      <c r="C192" s="365" t="str">
        <f>IF(TInspectieE[[#This Row],[UVID]]="","",VLOOKUP(TInspectieE[[#This Row],[UVID]],TInventE[],11,FALSE))</f>
        <v/>
      </c>
      <c r="D192" s="411" t="str">
        <f>IF(TInspectieE[[#This Row],[UVID]]="","",VLOOKUP(TInspectieE[[#This Row],[UVID]],TInventE[],3,FALSE))</f>
        <v/>
      </c>
      <c r="E192" s="338" t="str">
        <f>IF(TInspectieE[[#This Row],[Omschrijving bouwdeel]]="","",IF(ISEVEN(ROW()),"O","E"))</f>
        <v/>
      </c>
      <c r="F192" s="412"/>
      <c r="G192" s="413" t="str">
        <f>IF(ISBLANK(TInspectieE[[#This Row],[Soort gebrek]]),"",VLOOKUP(TInspectieE[[#This Row],[Soort gebrek]],TSoortGebrek[#Data],3,FALSE))</f>
        <v/>
      </c>
      <c r="H192" s="413" t="str">
        <f>IF(ISBLANK(TInspectieE[[#This Row],[Soort gebrek]]),"",VLOOKUP(TInspectieE[[#This Row],[Soort gebrek]],TSoortGebrek[#Data],2,FALSE))</f>
        <v/>
      </c>
      <c r="I192" s="413" t="str">
        <f>IF(TInspectieE[[#This Row],[Soort gebrek]]=0,"",VLOOKUP(TInspectieE[[#This Row],[Soort gebrek]],TSoortGebrek[],4,FALSE))</f>
        <v/>
      </c>
      <c r="J192" s="425"/>
      <c r="K192" s="415" t="str">
        <f>IF(TInspectieE[[#This Row],[Soort gebrek]]=0,"",VLOOKUP(TInspectieE[[#This Row],[Combi]],TPrio[#Data],2,FALSE))</f>
        <v/>
      </c>
      <c r="L192" s="339"/>
      <c r="M192" s="416" t="str">
        <f>IF(ISBLANK(TInspectieE[[#This Row],[Gebrek nr.]]),"",TInspectieE[[#This Row],[UVID]]&amp;"-"&amp;TInspectieE[[#This Row],[Gebrek nr.]])</f>
        <v/>
      </c>
      <c r="N192" s="417"/>
      <c r="O192" s="418"/>
      <c r="P192" s="206"/>
      <c r="Q192" s="193"/>
      <c r="R192" s="193" t="str">
        <f>IF(OR(TInspectieE[[#This Row],[Duurzaamheid bijdrage]]="Voldoet niet aan DZH-lijn",TInspectieE[[#This Row],[Duurzaamheid bijdrage]]="Voldoet niet aan vigerende W&amp;R"),"Voldoet niet","Voldoet")</f>
        <v>Voldoet</v>
      </c>
      <c r="S192" s="206"/>
      <c r="T192" s="206"/>
      <c r="U192" s="206"/>
      <c r="V192" s="206"/>
      <c r="W192" s="206"/>
      <c r="X192" s="419"/>
      <c r="Y192" s="340"/>
      <c r="Z192" s="420"/>
      <c r="AA192" s="421" t="str">
        <f>IF(ISBLANK(TInspectieE[[#This Row],[Aantal]]),"",ROUND(TInspectieE[[#This Row],[Kengetal]]*TInspectieE[[#This Row],[Aantal]],-1))</f>
        <v/>
      </c>
      <c r="AB192" s="422" t="str">
        <f>IF(TInspectieE[[#This Row],[Vak-groep]]="","1",VLOOKUP(C192,$J$2:$K$7,2,FALSE))</f>
        <v>1</v>
      </c>
      <c r="AC192" s="423" t="str">
        <f>CONCATENATE(TInspectieE[[#This Row],[Soort gebrek]],TInspectieE[[#This Row],[Trede]])</f>
        <v>1</v>
      </c>
      <c r="AD192" s="413" t="e">
        <v>#N/A</v>
      </c>
      <c r="AE192" s="413" t="e">
        <v>#N/A</v>
      </c>
      <c r="AF192" s="424">
        <v>0</v>
      </c>
    </row>
    <row r="193" spans="1:32" ht="10.5" x14ac:dyDescent="0.25">
      <c r="A193" s="337" t="str" cm="1">
        <f t="array" ref="A193">IFERROR(INDEX(TInventE[UVID],ROUNDDOWN((ROW(A184)+1)/2,0)),"")</f>
        <v/>
      </c>
      <c r="B193" s="410" t="str">
        <f>IF(TInspectieE[[#This Row],[UVID]]="","",VLOOKUP(TInspectieE[[#This Row],[UVID]],TInventE[],2,FALSE))</f>
        <v/>
      </c>
      <c r="C193" s="365" t="str">
        <f>IF(TInspectieE[[#This Row],[UVID]]="","",VLOOKUP(TInspectieE[[#This Row],[UVID]],TInventE[],11,FALSE))</f>
        <v/>
      </c>
      <c r="D193" s="411" t="str">
        <f>IF(TInspectieE[[#This Row],[UVID]]="","",VLOOKUP(TInspectieE[[#This Row],[UVID]],TInventE[],3,FALSE))</f>
        <v/>
      </c>
      <c r="E193" s="338" t="str">
        <f>IF(TInspectieE[[#This Row],[Omschrijving bouwdeel]]="","",IF(ISEVEN(ROW()),"O","E"))</f>
        <v/>
      </c>
      <c r="F193" s="412"/>
      <c r="G193" s="413" t="str">
        <f>IF(ISBLANK(TInspectieE[[#This Row],[Soort gebrek]]),"",VLOOKUP(TInspectieE[[#This Row],[Soort gebrek]],TSoortGebrek[#Data],3,FALSE))</f>
        <v/>
      </c>
      <c r="H193" s="413" t="str">
        <f>IF(ISBLANK(TInspectieE[[#This Row],[Soort gebrek]]),"",VLOOKUP(TInspectieE[[#This Row],[Soort gebrek]],TSoortGebrek[#Data],2,FALSE))</f>
        <v/>
      </c>
      <c r="I193" s="413" t="str">
        <f>IF(TInspectieE[[#This Row],[Soort gebrek]]=0,"",VLOOKUP(TInspectieE[[#This Row],[Soort gebrek]],TSoortGebrek[],4,FALSE))</f>
        <v/>
      </c>
      <c r="J193" s="425"/>
      <c r="K193" s="415" t="str">
        <f>IF(TInspectieE[[#This Row],[Soort gebrek]]=0,"",VLOOKUP(TInspectieE[[#This Row],[Combi]],TPrio[#Data],2,FALSE))</f>
        <v/>
      </c>
      <c r="L193" s="339"/>
      <c r="M193" s="416" t="str">
        <f>IF(ISBLANK(TInspectieE[[#This Row],[Gebrek nr.]]),"",TInspectieE[[#This Row],[UVID]]&amp;"-"&amp;TInspectieE[[#This Row],[Gebrek nr.]])</f>
        <v/>
      </c>
      <c r="N193" s="417"/>
      <c r="O193" s="418"/>
      <c r="P193" s="206"/>
      <c r="Q193" s="193"/>
      <c r="R193" s="193" t="str">
        <f>IF(OR(TInspectieE[[#This Row],[Duurzaamheid bijdrage]]="Voldoet niet aan DZH-lijn",TInspectieE[[#This Row],[Duurzaamheid bijdrage]]="Voldoet niet aan vigerende W&amp;R"),"Voldoet niet","Voldoet")</f>
        <v>Voldoet</v>
      </c>
      <c r="S193" s="206"/>
      <c r="T193" s="206"/>
      <c r="U193" s="206"/>
      <c r="V193" s="206"/>
      <c r="W193" s="206"/>
      <c r="X193" s="419"/>
      <c r="Y193" s="340"/>
      <c r="Z193" s="420"/>
      <c r="AA193" s="421" t="str">
        <f>IF(ISBLANK(TInspectieE[[#This Row],[Aantal]]),"",ROUND(TInspectieE[[#This Row],[Kengetal]]*TInspectieE[[#This Row],[Aantal]],-1))</f>
        <v/>
      </c>
      <c r="AB193" s="422" t="str">
        <f>IF(TInspectieE[[#This Row],[Vak-groep]]="","1",VLOOKUP(C193,$J$2:$K$7,2,FALSE))</f>
        <v>1</v>
      </c>
      <c r="AC193" s="423" t="str">
        <f>CONCATENATE(TInspectieE[[#This Row],[Soort gebrek]],TInspectieE[[#This Row],[Trede]])</f>
        <v>1</v>
      </c>
      <c r="AD193" s="413" t="e">
        <v>#N/A</v>
      </c>
      <c r="AE193" s="413" t="e">
        <v>#N/A</v>
      </c>
      <c r="AF193" s="424">
        <v>0</v>
      </c>
    </row>
    <row r="194" spans="1:32" ht="10.5" x14ac:dyDescent="0.25">
      <c r="A194" s="337" t="str" cm="1">
        <f t="array" ref="A194">IFERROR(INDEX(TInventE[UVID],ROUNDDOWN((ROW(A185)+1)/2,0)),"")</f>
        <v/>
      </c>
      <c r="B194" s="410" t="str">
        <f>IF(TInspectieE[[#This Row],[UVID]]="","",VLOOKUP(TInspectieE[[#This Row],[UVID]],TInventE[],2,FALSE))</f>
        <v/>
      </c>
      <c r="C194" s="365" t="str">
        <f>IF(TInspectieE[[#This Row],[UVID]]="","",VLOOKUP(TInspectieE[[#This Row],[UVID]],TInventE[],11,FALSE))</f>
        <v/>
      </c>
      <c r="D194" s="411" t="str">
        <f>IF(TInspectieE[[#This Row],[UVID]]="","",VLOOKUP(TInspectieE[[#This Row],[UVID]],TInventE[],3,FALSE))</f>
        <v/>
      </c>
      <c r="E194" s="338" t="str">
        <f>IF(TInspectieE[[#This Row],[Omschrijving bouwdeel]]="","",IF(ISEVEN(ROW()),"O","E"))</f>
        <v/>
      </c>
      <c r="F194" s="412"/>
      <c r="G194" s="413" t="str">
        <f>IF(ISBLANK(TInspectieE[[#This Row],[Soort gebrek]]),"",VLOOKUP(TInspectieE[[#This Row],[Soort gebrek]],TSoortGebrek[#Data],3,FALSE))</f>
        <v/>
      </c>
      <c r="H194" s="413" t="str">
        <f>IF(ISBLANK(TInspectieE[[#This Row],[Soort gebrek]]),"",VLOOKUP(TInspectieE[[#This Row],[Soort gebrek]],TSoortGebrek[#Data],2,FALSE))</f>
        <v/>
      </c>
      <c r="I194" s="413" t="str">
        <f>IF(TInspectieE[[#This Row],[Soort gebrek]]=0,"",VLOOKUP(TInspectieE[[#This Row],[Soort gebrek]],TSoortGebrek[],4,FALSE))</f>
        <v/>
      </c>
      <c r="J194" s="425"/>
      <c r="K194" s="415" t="str">
        <f>IF(TInspectieE[[#This Row],[Soort gebrek]]=0,"",VLOOKUP(TInspectieE[[#This Row],[Combi]],TPrio[#Data],2,FALSE))</f>
        <v/>
      </c>
      <c r="L194" s="339"/>
      <c r="M194" s="416" t="str">
        <f>IF(ISBLANK(TInspectieE[[#This Row],[Gebrek nr.]]),"",TInspectieE[[#This Row],[UVID]]&amp;"-"&amp;TInspectieE[[#This Row],[Gebrek nr.]])</f>
        <v/>
      </c>
      <c r="N194" s="417"/>
      <c r="O194" s="418"/>
      <c r="P194" s="206"/>
      <c r="Q194" s="193"/>
      <c r="R194" s="193" t="str">
        <f>IF(OR(TInspectieE[[#This Row],[Duurzaamheid bijdrage]]="Voldoet niet aan DZH-lijn",TInspectieE[[#This Row],[Duurzaamheid bijdrage]]="Voldoet niet aan vigerende W&amp;R"),"Voldoet niet","Voldoet")</f>
        <v>Voldoet</v>
      </c>
      <c r="S194" s="206"/>
      <c r="T194" s="206"/>
      <c r="U194" s="206"/>
      <c r="V194" s="206"/>
      <c r="W194" s="206"/>
      <c r="X194" s="419"/>
      <c r="Y194" s="340"/>
      <c r="Z194" s="420"/>
      <c r="AA194" s="421" t="str">
        <f>IF(ISBLANK(TInspectieE[[#This Row],[Aantal]]),"",ROUND(TInspectieE[[#This Row],[Kengetal]]*TInspectieE[[#This Row],[Aantal]],-1))</f>
        <v/>
      </c>
      <c r="AB194" s="422" t="str">
        <f>IF(TInspectieE[[#This Row],[Vak-groep]]="","1",VLOOKUP(C194,$J$2:$K$7,2,FALSE))</f>
        <v>1</v>
      </c>
      <c r="AC194" s="423" t="str">
        <f>CONCATENATE(TInspectieE[[#This Row],[Soort gebrek]],TInspectieE[[#This Row],[Trede]])</f>
        <v>1</v>
      </c>
      <c r="AD194" s="413" t="e">
        <v>#N/A</v>
      </c>
      <c r="AE194" s="413" t="e">
        <v>#N/A</v>
      </c>
      <c r="AF194" s="424">
        <v>0</v>
      </c>
    </row>
    <row r="195" spans="1:32" ht="10.5" x14ac:dyDescent="0.25">
      <c r="A195" s="337" t="str" cm="1">
        <f t="array" ref="A195">IFERROR(INDEX(TInventE[UVID],ROUNDDOWN((ROW(A186)+1)/2,0)),"")</f>
        <v/>
      </c>
      <c r="B195" s="410" t="str">
        <f>IF(TInspectieE[[#This Row],[UVID]]="","",VLOOKUP(TInspectieE[[#This Row],[UVID]],TInventE[],2,FALSE))</f>
        <v/>
      </c>
      <c r="C195" s="365" t="str">
        <f>IF(TInspectieE[[#This Row],[UVID]]="","",VLOOKUP(TInspectieE[[#This Row],[UVID]],TInventE[],11,FALSE))</f>
        <v/>
      </c>
      <c r="D195" s="411" t="str">
        <f>IF(TInspectieE[[#This Row],[UVID]]="","",VLOOKUP(TInspectieE[[#This Row],[UVID]],TInventE[],3,FALSE))</f>
        <v/>
      </c>
      <c r="E195" s="338" t="str">
        <f>IF(TInspectieE[[#This Row],[Omschrijving bouwdeel]]="","",IF(ISEVEN(ROW()),"O","E"))</f>
        <v/>
      </c>
      <c r="F195" s="412"/>
      <c r="G195" s="413" t="str">
        <f>IF(ISBLANK(TInspectieE[[#This Row],[Soort gebrek]]),"",VLOOKUP(TInspectieE[[#This Row],[Soort gebrek]],TSoortGebrek[#Data],3,FALSE))</f>
        <v/>
      </c>
      <c r="H195" s="413" t="str">
        <f>IF(ISBLANK(TInspectieE[[#This Row],[Soort gebrek]]),"",VLOOKUP(TInspectieE[[#This Row],[Soort gebrek]],TSoortGebrek[#Data],2,FALSE))</f>
        <v/>
      </c>
      <c r="I195" s="413" t="str">
        <f>IF(TInspectieE[[#This Row],[Soort gebrek]]=0,"",VLOOKUP(TInspectieE[[#This Row],[Soort gebrek]],TSoortGebrek[],4,FALSE))</f>
        <v/>
      </c>
      <c r="J195" s="414"/>
      <c r="K195" s="415" t="str">
        <f>IF(TInspectieE[[#This Row],[Soort gebrek]]=0,"",VLOOKUP(TInspectieE[[#This Row],[Combi]],TPrio[#Data],2,FALSE))</f>
        <v/>
      </c>
      <c r="L195" s="339"/>
      <c r="M195" s="416" t="str">
        <f>IF(ISBLANK(TInspectieE[[#This Row],[Gebrek nr.]]),"",TInspectieE[[#This Row],[UVID]]&amp;"-"&amp;TInspectieE[[#This Row],[Gebrek nr.]])</f>
        <v/>
      </c>
      <c r="N195" s="417"/>
      <c r="O195" s="418"/>
      <c r="P195" s="419"/>
      <c r="Q195" s="193"/>
      <c r="R195" s="193" t="str">
        <f>IF(OR(TInspectieE[[#This Row],[Duurzaamheid bijdrage]]="Voldoet niet aan DZH-lijn",TInspectieE[[#This Row],[Duurzaamheid bijdrage]]="Voldoet niet aan vigerende W&amp;R"),"Voldoet niet","Voldoet")</f>
        <v>Voldoet</v>
      </c>
      <c r="S195" s="419"/>
      <c r="T195" s="419"/>
      <c r="U195" s="419"/>
      <c r="V195" s="419"/>
      <c r="W195" s="419"/>
      <c r="X195" s="419"/>
      <c r="Y195" s="340"/>
      <c r="Z195" s="420"/>
      <c r="AA195" s="421" t="str">
        <f>IF(ISBLANK(TInspectieE[[#This Row],[Aantal]]),"",ROUND(TInspectieE[[#This Row],[Kengetal]]*TInspectieE[[#This Row],[Aantal]],-1))</f>
        <v/>
      </c>
      <c r="AB195" s="422" t="str">
        <f>IF(TInspectieE[[#This Row],[Vak-groep]]="","1",VLOOKUP(C195,$J$2:$K$7,2,FALSE))</f>
        <v>1</v>
      </c>
      <c r="AC195" s="423" t="str">
        <f>CONCATENATE(TInspectieE[[#This Row],[Soort gebrek]],TInspectieE[[#This Row],[Trede]])</f>
        <v>1</v>
      </c>
      <c r="AD195" s="426" t="e">
        <v>#N/A</v>
      </c>
      <c r="AE195" s="426" t="e">
        <v>#N/A</v>
      </c>
      <c r="AF195" s="427">
        <v>0</v>
      </c>
    </row>
  </sheetData>
  <conditionalFormatting sqref="J3">
    <cfRule type="expression" dxfId="47" priority="1">
      <formula>IF(Discipline="G",TRUE)</formula>
    </cfRule>
  </conditionalFormatting>
  <conditionalFormatting sqref="J5">
    <cfRule type="expression" dxfId="46" priority="2">
      <formula>IF(Discipline="G",TRUE)</formula>
    </cfRule>
  </conditionalFormatting>
  <conditionalFormatting sqref="J6:K6">
    <cfRule type="expression" dxfId="45" priority="4">
      <formula>IF(Discipline="T",TRUE)</formula>
    </cfRule>
  </conditionalFormatting>
  <conditionalFormatting sqref="J7:K7">
    <cfRule type="expression" dxfId="44" priority="3">
      <formula>IF(Discipline="G",TRUE)</formula>
    </cfRule>
  </conditionalFormatting>
  <conditionalFormatting sqref="K4:K5">
    <cfRule type="expression" dxfId="43" priority="5">
      <formula>IF(Discipline="G",TRUE)</formula>
    </cfRule>
  </conditionalFormatting>
  <pageMargins left="0.7" right="0.7" top="0.75" bottom="0.75" header="0.3" footer="0.3"/>
  <legacyDrawing r:id="rId1"/>
  <tableParts count="1">
    <tablePart r:id="rId2"/>
  </tableParts>
  <extLst>
    <ext xmlns:x14="http://schemas.microsoft.com/office/spreadsheetml/2009/9/main" uri="{CCE6A557-97BC-4b89-ADB6-D9C93CAAB3DF}">
      <x14:dataValidations xmlns:xm="http://schemas.microsoft.com/office/excel/2006/main" count="7">
        <x14:dataValidation type="list" allowBlank="1" showInputMessage="1" showErrorMessage="1" xr:uid="{C8CE070E-A98C-416A-9EA4-36D4BD5B84A6}">
          <x14:formula1>
            <xm:f>Herstelmaatregelen!$E$6:$E$19</xm:f>
          </x14:formula1>
          <xm:sqref>X16:X195</xm:sqref>
        </x14:dataValidation>
        <x14:dataValidation type="list" allowBlank="1" showInputMessage="1" showErrorMessage="1" xr:uid="{7D254192-65EF-4B51-903A-11020FBB2B4F}">
          <x14:formula1>
            <xm:f>'Menu''s'!$G$249:$G$255</xm:f>
          </x14:formula1>
          <xm:sqref>F16:F195</xm:sqref>
        </x14:dataValidation>
        <x14:dataValidation type="list" allowBlank="1" showInputMessage="1" showErrorMessage="1" xr:uid="{34C11452-58A0-4EC4-85E0-C3BF98ADF465}">
          <x14:formula1>
            <xm:f>'Inventarisatie E'!$A$8:$A$59</xm:f>
          </x14:formula1>
          <xm:sqref>A10:A195</xm:sqref>
        </x14:dataValidation>
        <x14:dataValidation type="list" allowBlank="1" showInputMessage="1" showErrorMessage="1" xr:uid="{7BD17430-FB68-41EF-AD6E-3E66B4C2C360}">
          <x14:formula1>
            <xm:f>'SBL-2024 (formules)'!$G$44:$G$84</xm:f>
          </x14:formula1>
          <xm:sqref>T10:T195</xm:sqref>
        </x14:dataValidation>
        <x14:dataValidation type="list" allowBlank="1" showInputMessage="1" xr:uid="{7E4EFCEB-EFE4-4746-9C63-02A446E5288C}">
          <x14:formula1>
            <xm:f>'Menu''s'!$H$303:$H$306</xm:f>
          </x14:formula1>
          <xm:sqref>E10:E196</xm:sqref>
        </x14:dataValidation>
        <x14:dataValidation type="list" allowBlank="1" showInputMessage="1" showErrorMessage="1" xr:uid="{C17D28AB-DD5D-43F9-A6CD-5FEBB81A2801}">
          <x14:formula1>
            <xm:f>'Menu''s'!$H$260:$H$264</xm:f>
          </x14:formula1>
          <xm:sqref>Q10:Q195</xm:sqref>
        </x14:dataValidation>
        <x14:dataValidation type="list" allowBlank="1" showInputMessage="1" showErrorMessage="1" xr:uid="{88CACC44-CE7C-42E7-89E0-D54300F652B5}">
          <x14:formula1>
            <xm:f>'FUTP''s'!$E$3:$E$30</xm:f>
          </x14:formula1>
          <xm:sqref>W10:W195</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B38DD-ECC8-44A1-8FC4-5AEE1314C5C2}">
  <sheetPr>
    <tabColor rgb="FFFFFF00"/>
  </sheetPr>
  <dimension ref="A1:BB60"/>
  <sheetViews>
    <sheetView topLeftCell="A17" zoomScaleNormal="100" workbookViewId="0">
      <pane xSplit="4" topLeftCell="U1" activePane="topRight" state="frozen"/>
      <selection pane="topRight" activeCell="AC8" sqref="AC8:AL20"/>
    </sheetView>
  </sheetViews>
  <sheetFormatPr defaultColWidth="8.85546875" defaultRowHeight="15" x14ac:dyDescent="0.25"/>
  <cols>
    <col min="1" max="1" width="13.85546875" style="169" customWidth="1"/>
    <col min="2" max="2" width="15" style="169" customWidth="1"/>
    <col min="3" max="3" width="35.5703125" customWidth="1"/>
    <col min="4" max="4" width="7.85546875" customWidth="1"/>
    <col min="5" max="5" width="11.140625" style="169" bestFit="1" customWidth="1"/>
    <col min="6" max="6" width="13.42578125" style="170" customWidth="1"/>
    <col min="7" max="8" width="10.5703125" hidden="1" customWidth="1"/>
    <col min="9" max="9" width="10.5703125" bestFit="1" customWidth="1"/>
    <col min="10" max="10" width="9.5703125" customWidth="1"/>
    <col min="11" max="12" width="13.42578125" style="169" customWidth="1"/>
    <col min="13" max="13" width="13.85546875" customWidth="1"/>
    <col min="14" max="14" width="15.42578125" style="169" customWidth="1"/>
    <col min="15" max="15" width="13.85546875" style="169" hidden="1" customWidth="1"/>
    <col min="16" max="17" width="13.85546875" style="169" customWidth="1"/>
    <col min="18" max="18" width="15" style="169" customWidth="1"/>
    <col min="19" max="19" width="15.5703125" style="169" customWidth="1"/>
    <col min="20" max="20" width="15.5703125" customWidth="1"/>
    <col min="21" max="21" width="20.5703125" customWidth="1"/>
    <col min="22" max="22" width="8.85546875" customWidth="1"/>
    <col min="23" max="24" width="13.42578125" style="169" customWidth="1"/>
    <col min="25" max="25" width="14.5703125" style="169" customWidth="1"/>
    <col min="26" max="26" width="13.42578125" style="169" customWidth="1"/>
    <col min="27" max="27" width="15.5703125" customWidth="1"/>
    <col min="28" max="28" width="15.5703125" hidden="1" customWidth="1"/>
    <col min="29" max="29" width="15.5703125" customWidth="1"/>
    <col min="30" max="30" width="15.5703125" hidden="1" customWidth="1"/>
    <col min="31" max="31" width="15.5703125" customWidth="1"/>
    <col min="32" max="33" width="17.5703125" hidden="1" customWidth="1"/>
    <col min="34" max="35" width="17.5703125" customWidth="1"/>
    <col min="36" max="37" width="17.5703125" hidden="1" customWidth="1"/>
    <col min="38" max="38" width="35.5703125" customWidth="1"/>
    <col min="40" max="40" width="7.42578125" style="169" customWidth="1"/>
    <col min="41" max="41" width="6.5703125" style="171" customWidth="1"/>
    <col min="42" max="42" width="10.5703125" style="169" customWidth="1"/>
    <col min="44" max="44" width="10.5703125" style="169" customWidth="1"/>
    <col min="46" max="46" width="13.42578125" style="169" customWidth="1"/>
    <col min="47" max="47" width="10.5703125" style="169" customWidth="1"/>
    <col min="48" max="48" width="12.5703125" style="169" customWidth="1"/>
    <col min="49" max="49" width="13.5703125" style="169" customWidth="1"/>
    <col min="50" max="50" width="36" style="170" customWidth="1"/>
    <col min="51" max="51" width="9.5703125" style="169" customWidth="1"/>
    <col min="52" max="52" width="11.5703125" style="169" customWidth="1"/>
    <col min="53" max="53" width="13.5703125" style="172" bestFit="1" customWidth="1"/>
    <col min="54" max="54" width="9.5703125" style="172" customWidth="1"/>
    <col min="55" max="55" width="9.42578125" style="169" bestFit="1" customWidth="1"/>
    <col min="56" max="56" width="12.85546875" style="169" bestFit="1" customWidth="1"/>
    <col min="57" max="16384" width="8.85546875" style="169"/>
  </cols>
  <sheetData>
    <row r="1" spans="1:54" ht="11.25" thickBot="1" x14ac:dyDescent="0.3">
      <c r="B1" s="169" t="s">
        <v>728</v>
      </c>
      <c r="C1" s="341" t="s">
        <v>728</v>
      </c>
      <c r="D1" s="342" t="s">
        <v>729</v>
      </c>
      <c r="E1" s="343"/>
      <c r="G1" s="171"/>
      <c r="H1" s="171"/>
      <c r="I1" s="171"/>
      <c r="J1" s="169"/>
      <c r="M1" s="344" t="s">
        <v>730</v>
      </c>
      <c r="N1" s="345">
        <f>Advies!B36</f>
        <v>46260</v>
      </c>
      <c r="Q1" s="170"/>
      <c r="R1" s="344" t="s">
        <v>731</v>
      </c>
      <c r="S1" s="346">
        <v>46261</v>
      </c>
      <c r="T1" s="172"/>
      <c r="U1" s="172"/>
      <c r="V1" s="169"/>
      <c r="W1" s="347"/>
      <c r="X1" s="347"/>
      <c r="Y1" s="347"/>
      <c r="Z1" s="347"/>
      <c r="AA1" s="348"/>
      <c r="AB1" s="348"/>
      <c r="AC1" s="348"/>
      <c r="AD1" s="348"/>
      <c r="AE1" s="349"/>
      <c r="AF1" s="348"/>
      <c r="AG1" s="348"/>
      <c r="AH1" s="350"/>
      <c r="AI1" s="350"/>
      <c r="AJ1" s="350"/>
      <c r="AK1" s="170"/>
      <c r="AL1" s="169"/>
      <c r="AM1" s="169"/>
      <c r="AO1" s="169"/>
      <c r="AQ1" s="169"/>
      <c r="AS1" s="169"/>
      <c r="AX1" s="169"/>
      <c r="BA1" s="169"/>
      <c r="BB1" s="169"/>
    </row>
    <row r="2" spans="1:54" ht="11.25" thickBot="1" x14ac:dyDescent="0.3">
      <c r="B2" s="169" t="s">
        <v>572</v>
      </c>
      <c r="C2" s="351"/>
      <c r="D2" s="351"/>
      <c r="G2" s="171"/>
      <c r="H2" s="171"/>
      <c r="I2" s="171"/>
      <c r="J2" s="169"/>
      <c r="M2" s="344" t="s">
        <v>636</v>
      </c>
      <c r="N2" s="439" t="str">
        <f>Advies!B40</f>
        <v>Hugo</v>
      </c>
      <c r="Q2" s="170"/>
      <c r="R2" s="344" t="s">
        <v>732</v>
      </c>
      <c r="S2" s="352" t="s">
        <v>733</v>
      </c>
      <c r="T2" s="172"/>
      <c r="U2" s="172"/>
      <c r="V2" s="169"/>
      <c r="W2" s="353"/>
      <c r="X2" s="353"/>
      <c r="Y2" s="353"/>
      <c r="Z2" s="353"/>
      <c r="AA2" s="348"/>
      <c r="AB2" s="348"/>
      <c r="AC2" s="348"/>
      <c r="AD2" s="348"/>
      <c r="AE2" s="349"/>
      <c r="AF2" s="348"/>
      <c r="AG2" s="348"/>
      <c r="AH2" s="169"/>
      <c r="AI2" s="169"/>
      <c r="AJ2" s="169"/>
      <c r="AK2" s="170"/>
      <c r="AL2" s="169"/>
      <c r="AM2" s="169"/>
      <c r="AO2" s="169"/>
      <c r="AQ2" s="169"/>
      <c r="AS2" s="169"/>
      <c r="AX2" s="169"/>
      <c r="BA2" s="169"/>
      <c r="BB2" s="169"/>
    </row>
    <row r="3" spans="1:54" ht="30" thickBot="1" x14ac:dyDescent="0.3">
      <c r="A3" s="168" t="s">
        <v>1116</v>
      </c>
      <c r="C3" s="169"/>
      <c r="D3" s="168"/>
      <c r="G3" s="171"/>
      <c r="H3" s="171"/>
      <c r="I3" s="171"/>
      <c r="J3" s="169"/>
      <c r="M3" s="169"/>
      <c r="Q3" s="170"/>
      <c r="T3" s="172"/>
      <c r="U3" s="172"/>
      <c r="V3" s="169"/>
      <c r="AA3" s="169"/>
      <c r="AB3" s="169"/>
      <c r="AC3" s="169"/>
      <c r="AD3" s="169"/>
      <c r="AE3" s="169"/>
      <c r="AF3" s="169"/>
      <c r="AG3" s="169"/>
      <c r="AH3" s="169"/>
      <c r="AI3" s="169"/>
      <c r="AJ3" s="169"/>
      <c r="AK3" s="170"/>
      <c r="AL3" s="169"/>
      <c r="AM3" s="169"/>
      <c r="AO3" s="169"/>
      <c r="AQ3" s="169"/>
      <c r="AS3" s="169"/>
      <c r="AX3" s="169"/>
      <c r="BA3" s="169"/>
      <c r="BB3" s="169"/>
    </row>
    <row r="4" spans="1:54" ht="23.25" thickBot="1" x14ac:dyDescent="0.3">
      <c r="A4" s="173" t="s">
        <v>1</v>
      </c>
      <c r="B4" s="174" t="str">
        <f>Advies!B10</f>
        <v>Voorbeeld</v>
      </c>
      <c r="C4" s="735" t="str">
        <f>Advies!B12</f>
        <v>Voorbeeld</v>
      </c>
      <c r="D4" s="735"/>
      <c r="E4" s="735"/>
      <c r="F4" s="735"/>
      <c r="G4" s="169"/>
      <c r="H4" s="169"/>
      <c r="I4" s="169"/>
      <c r="J4" s="169"/>
      <c r="K4" s="354" t="s">
        <v>380</v>
      </c>
      <c r="L4" s="525">
        <f>Advies!B34</f>
        <v>3</v>
      </c>
      <c r="M4" s="175" t="s">
        <v>735</v>
      </c>
      <c r="N4" s="218">
        <f>Advies!B18</f>
        <v>636</v>
      </c>
      <c r="P4" s="175" t="s">
        <v>158</v>
      </c>
      <c r="Q4" s="176">
        <f>Advies!B17</f>
        <v>1943</v>
      </c>
      <c r="R4" s="177" t="s">
        <v>569</v>
      </c>
      <c r="S4" s="784"/>
      <c r="T4" s="784"/>
      <c r="U4" s="784"/>
      <c r="V4" s="784"/>
      <c r="W4" s="785"/>
      <c r="AA4" s="169"/>
      <c r="AB4" s="355"/>
      <c r="AC4" s="355"/>
      <c r="AD4" s="355"/>
      <c r="AE4" s="169"/>
      <c r="AF4" s="355"/>
      <c r="AG4" s="355"/>
      <c r="AH4" s="169"/>
      <c r="AI4" s="169"/>
      <c r="AJ4" s="169"/>
      <c r="AK4" s="169"/>
      <c r="AL4" s="169"/>
      <c r="AM4" s="169"/>
      <c r="AO4" s="169"/>
      <c r="AQ4" s="169"/>
      <c r="AS4" s="169"/>
      <c r="AX4" s="169"/>
      <c r="BA4" s="169"/>
      <c r="BB4" s="169"/>
    </row>
    <row r="5" spans="1:54" ht="14.25" thickTop="1" thickBot="1" x14ac:dyDescent="0.3">
      <c r="C5" s="169"/>
      <c r="D5" s="169"/>
      <c r="G5" s="169"/>
      <c r="H5" s="169"/>
      <c r="I5" s="169"/>
      <c r="J5" s="169"/>
      <c r="M5" s="169"/>
      <c r="Q5" s="172"/>
      <c r="T5" s="169"/>
      <c r="U5" s="169"/>
      <c r="V5" s="169"/>
      <c r="X5" s="786" t="s">
        <v>570</v>
      </c>
      <c r="Y5" s="787"/>
      <c r="Z5" s="787"/>
      <c r="AA5" s="788"/>
      <c r="AB5" s="169"/>
      <c r="AC5" s="169"/>
      <c r="AD5" s="169"/>
      <c r="AE5" s="169"/>
      <c r="AF5" s="169"/>
      <c r="AG5" s="169"/>
      <c r="AH5" s="786" t="s">
        <v>571</v>
      </c>
      <c r="AI5" s="787"/>
      <c r="AJ5" s="787"/>
      <c r="AK5" s="788"/>
      <c r="AL5" s="169"/>
      <c r="AM5" s="169"/>
      <c r="AO5" s="169"/>
      <c r="AQ5" s="169"/>
      <c r="AS5" s="169"/>
      <c r="AX5" s="169"/>
      <c r="BA5" s="169"/>
      <c r="BB5" s="169"/>
    </row>
    <row r="6" spans="1:54" ht="11.25" thickTop="1" x14ac:dyDescent="0.25">
      <c r="A6" s="356" t="s">
        <v>736</v>
      </c>
      <c r="B6" s="495" t="s">
        <v>736</v>
      </c>
      <c r="C6" s="357" t="s">
        <v>737</v>
      </c>
      <c r="D6" s="343" t="s">
        <v>738</v>
      </c>
      <c r="E6" s="356" t="s">
        <v>736</v>
      </c>
      <c r="F6" s="343" t="s">
        <v>738</v>
      </c>
      <c r="G6" s="358" t="s">
        <v>738</v>
      </c>
      <c r="H6" s="358" t="s">
        <v>738</v>
      </c>
      <c r="I6" s="358" t="s">
        <v>738</v>
      </c>
      <c r="J6" s="356" t="s">
        <v>736</v>
      </c>
      <c r="K6" s="356" t="s">
        <v>736</v>
      </c>
      <c r="L6" s="356" t="s">
        <v>736</v>
      </c>
      <c r="M6" s="343" t="s">
        <v>738</v>
      </c>
      <c r="N6" s="343" t="s">
        <v>738</v>
      </c>
      <c r="O6" s="343" t="s">
        <v>738</v>
      </c>
      <c r="P6" s="343" t="s">
        <v>738</v>
      </c>
      <c r="Q6" s="356" t="s">
        <v>736</v>
      </c>
      <c r="R6" s="343" t="s">
        <v>738</v>
      </c>
      <c r="S6" s="343" t="s">
        <v>738</v>
      </c>
      <c r="T6" s="343" t="s">
        <v>738</v>
      </c>
      <c r="U6" s="343" t="s">
        <v>738</v>
      </c>
      <c r="V6" s="343" t="s">
        <v>738</v>
      </c>
      <c r="W6" s="356" t="s">
        <v>736</v>
      </c>
      <c r="X6" s="359" t="s">
        <v>737</v>
      </c>
      <c r="Y6" s="360" t="s">
        <v>737</v>
      </c>
      <c r="Z6" s="360" t="s">
        <v>737</v>
      </c>
      <c r="AA6" s="361" t="s">
        <v>738</v>
      </c>
      <c r="AB6" s="357" t="s">
        <v>737</v>
      </c>
      <c r="AC6" s="343" t="s">
        <v>738</v>
      </c>
      <c r="AD6" s="343" t="s">
        <v>738</v>
      </c>
      <c r="AE6" s="343" t="s">
        <v>738</v>
      </c>
      <c r="AF6" s="357" t="s">
        <v>737</v>
      </c>
      <c r="AG6" s="357" t="s">
        <v>737</v>
      </c>
      <c r="AH6" s="359" t="s">
        <v>737</v>
      </c>
      <c r="AI6" s="360" t="s">
        <v>737</v>
      </c>
      <c r="AJ6" s="360" t="s">
        <v>737</v>
      </c>
      <c r="AK6" s="362" t="s">
        <v>737</v>
      </c>
      <c r="AL6" s="343" t="s">
        <v>738</v>
      </c>
      <c r="AM6" s="169"/>
      <c r="AO6" s="169"/>
      <c r="AQ6" s="169"/>
      <c r="AS6" s="169"/>
      <c r="AX6" s="169"/>
      <c r="BA6" s="169"/>
      <c r="BB6" s="169"/>
    </row>
    <row r="7" spans="1:54" s="170" customFormat="1" ht="42" x14ac:dyDescent="0.25">
      <c r="A7" s="179" t="s">
        <v>572</v>
      </c>
      <c r="B7" s="179" t="s">
        <v>573</v>
      </c>
      <c r="C7" s="180" t="s">
        <v>574</v>
      </c>
      <c r="D7" s="180" t="s">
        <v>575</v>
      </c>
      <c r="E7" s="180" t="s">
        <v>1</v>
      </c>
      <c r="F7" s="181" t="s">
        <v>576</v>
      </c>
      <c r="G7" s="179" t="s">
        <v>577</v>
      </c>
      <c r="H7" s="179" t="s">
        <v>578</v>
      </c>
      <c r="I7" s="179" t="s">
        <v>355</v>
      </c>
      <c r="J7" s="180" t="s">
        <v>579</v>
      </c>
      <c r="K7" s="180" t="s">
        <v>580</v>
      </c>
      <c r="L7" s="181" t="s">
        <v>581</v>
      </c>
      <c r="M7" s="181" t="s">
        <v>582</v>
      </c>
      <c r="N7" s="180" t="s">
        <v>583</v>
      </c>
      <c r="O7" s="180" t="s">
        <v>584</v>
      </c>
      <c r="P7" s="180" t="s">
        <v>585</v>
      </c>
      <c r="Q7" s="180" t="s">
        <v>586</v>
      </c>
      <c r="R7" s="363" t="s">
        <v>587</v>
      </c>
      <c r="S7" s="183" t="s">
        <v>588</v>
      </c>
      <c r="T7" s="183" t="s">
        <v>589</v>
      </c>
      <c r="U7" s="183" t="s">
        <v>590</v>
      </c>
      <c r="V7" s="180" t="s">
        <v>591</v>
      </c>
      <c r="W7" s="184" t="s">
        <v>592</v>
      </c>
      <c r="X7" s="185" t="s">
        <v>593</v>
      </c>
      <c r="Y7" s="183" t="s">
        <v>594</v>
      </c>
      <c r="Z7" s="183" t="s">
        <v>595</v>
      </c>
      <c r="AA7" s="186" t="s">
        <v>596</v>
      </c>
      <c r="AB7" s="181" t="s">
        <v>597</v>
      </c>
      <c r="AC7" s="181" t="s">
        <v>598</v>
      </c>
      <c r="AD7" s="181" t="s">
        <v>599</v>
      </c>
      <c r="AE7" s="181" t="s">
        <v>600</v>
      </c>
      <c r="AF7" s="180" t="s">
        <v>601</v>
      </c>
      <c r="AG7" s="184" t="s">
        <v>602</v>
      </c>
      <c r="AH7" s="187" t="s">
        <v>603</v>
      </c>
      <c r="AI7" s="180" t="s">
        <v>604</v>
      </c>
      <c r="AJ7" s="180" t="s">
        <v>605</v>
      </c>
      <c r="AK7" s="188" t="s">
        <v>606</v>
      </c>
      <c r="AL7" s="181" t="s">
        <v>607</v>
      </c>
    </row>
    <row r="8" spans="1:54" ht="52.5" x14ac:dyDescent="0.25">
      <c r="A8" s="364" t="str">
        <f>IF(ISBLANK(TInventW[[#This Row],[Bouwdeel omschrijving]]),"",CONCATENATE(TInventW[[#This Row],[Code Bouwdeeltype]],"-",TInventW[[#This Row],[Volgnr.]]))</f>
        <v>531010-1</v>
      </c>
      <c r="B8" s="365">
        <f>IF(ISBLANK(TInventW[[#This Row],[Bouwdeel omschrijving]]),"",VLOOKUP(TInventW[[#This Row],[Bouwdeel omschrijving]],TsblW[],2,FALSE))</f>
        <v>531010</v>
      </c>
      <c r="C8" s="809" t="s">
        <v>1074</v>
      </c>
      <c r="D8" s="851">
        <v>1</v>
      </c>
      <c r="E8" s="368" t="str">
        <f>IF(ISBLANK(TInventW[[#This Row],[Bouwdeel omschrijving]]),"",$B$4)</f>
        <v>Voorbeeld</v>
      </c>
      <c r="F8" s="813" t="s">
        <v>1456</v>
      </c>
      <c r="G8" s="853"/>
      <c r="H8" s="819"/>
      <c r="I8" s="851">
        <v>1</v>
      </c>
      <c r="J8" s="365" t="str">
        <f>IF(ISBLANK(TInventW[[#This Row],[Bouwdeel omschrijving]]),"",VLOOKUP(TInventW[[#This Row],[Bouwdeel omschrijving]],TsblW[],4,FALSE))</f>
        <v>Stuks</v>
      </c>
      <c r="K8" s="365" t="str">
        <f>IF(ISBLANK(TInventW[[#This Row],[Bouwdeel omschrijving]]),"",VLOOKUP(TInventW[[#This Row],[Bouwdeel omschrijving]],TsblW[],3,FALSE))</f>
        <v>W</v>
      </c>
      <c r="L8" s="369">
        <f t="shared" ref="L8:L59" si="0">IF(ISBLANK(C8),"",$L$4)</f>
        <v>3</v>
      </c>
      <c r="M8" s="819" t="s">
        <v>1640</v>
      </c>
      <c r="N8" s="817">
        <v>15707</v>
      </c>
      <c r="O8" s="817"/>
      <c r="P8" s="855">
        <v>40</v>
      </c>
      <c r="Q8" s="371">
        <f>IF(ISBLANK(TInventW[[#This Row],[Technische levensduur 
'[jaren']]]),"",(TInventW[[#This Row],[Datum van constructie of productie
'[jjjj-mm-dd']]]+(TInventW[[#This Row],[Technische levensduur 
'[jaren']]]*365)))</f>
        <v>30307</v>
      </c>
      <c r="R8" s="847">
        <f>0.05*37977</f>
        <v>1898.8500000000001</v>
      </c>
      <c r="S8" s="848" t="s">
        <v>1380</v>
      </c>
      <c r="T8" s="848" t="s">
        <v>1380</v>
      </c>
      <c r="U8" s="833" t="s">
        <v>1460</v>
      </c>
      <c r="V8" s="811">
        <v>635</v>
      </c>
      <c r="W8" s="197" t="str">
        <f>IF(ISBLANK(TInventW[[#This Row],[Bouwdeel omschrijving]]),"",VLOOKUP(TInventW[[#This Row],[Bouwdeel omschrijving]],TsblW[],5,FALSE))</f>
        <v>m2 BVO</v>
      </c>
      <c r="X8" s="373"/>
      <c r="Y8" s="374"/>
      <c r="Z8" s="375"/>
      <c r="AA8" s="200"/>
      <c r="AB8" s="619" t="s">
        <v>838</v>
      </c>
      <c r="AC8" s="832" t="s">
        <v>1380</v>
      </c>
      <c r="AD8" s="832"/>
      <c r="AE8" s="832" t="s">
        <v>1380</v>
      </c>
      <c r="AF8" s="833" t="s">
        <v>739</v>
      </c>
      <c r="AG8" s="834" t="s">
        <v>739</v>
      </c>
      <c r="AH8" s="835"/>
      <c r="AI8" s="832"/>
      <c r="AJ8" s="832"/>
      <c r="AK8" s="836"/>
      <c r="AL8" s="816" t="s">
        <v>1482</v>
      </c>
      <c r="AM8" s="169"/>
      <c r="AO8" s="169"/>
      <c r="AQ8" s="169"/>
      <c r="AS8" s="169"/>
      <c r="AX8" s="169"/>
      <c r="BA8" s="169"/>
      <c r="BB8" s="169"/>
    </row>
    <row r="9" spans="1:54" ht="73.5" x14ac:dyDescent="0.25">
      <c r="A9" s="369" t="str">
        <f>IF(ISBLANK(TInventW[[#This Row],[Bouwdeel omschrijving]]),"",CONCATENATE(TInventW[[#This Row],[Code Bouwdeeltype]],"-",TInventW[[#This Row],[Volgnr.]]))</f>
        <v>532110-1</v>
      </c>
      <c r="B9" s="365">
        <f>IF(ISBLANK(TInventW[[#This Row],[Bouwdeel omschrijving]]),"",VLOOKUP(TInventW[[#This Row],[Bouwdeel omschrijving]],TsblW[],2,FALSE))</f>
        <v>532110</v>
      </c>
      <c r="C9" s="809" t="s">
        <v>1099</v>
      </c>
      <c r="D9" s="852">
        <v>1</v>
      </c>
      <c r="E9" s="365" t="str">
        <f>IF(ISBLANK(TInventW[[#This Row],[Bouwdeel omschrijving]]),"",$B$4)</f>
        <v>Voorbeeld</v>
      </c>
      <c r="F9" s="813" t="s">
        <v>1456</v>
      </c>
      <c r="G9" s="854"/>
      <c r="H9" s="819"/>
      <c r="I9" s="811">
        <v>1</v>
      </c>
      <c r="J9" s="365" t="str">
        <f>IF(ISBLANK(TInventW[[#This Row],[Bouwdeel omschrijving]]),"",VLOOKUP(TInventW[[#This Row],[Bouwdeel omschrijving]],TsblW[],4,FALSE))</f>
        <v>Stuks</v>
      </c>
      <c r="K9" s="365" t="str">
        <f>IF(ISBLANK(TInventW[[#This Row],[Bouwdeel omschrijving]]),"",VLOOKUP(TInventW[[#This Row],[Bouwdeel omschrijving]],TsblW[],3,FALSE))</f>
        <v>W</v>
      </c>
      <c r="L9" s="380">
        <f t="shared" si="0"/>
        <v>3</v>
      </c>
      <c r="M9" s="819" t="s">
        <v>1641</v>
      </c>
      <c r="N9" s="817">
        <v>38353</v>
      </c>
      <c r="O9" s="856"/>
      <c r="P9" s="818">
        <v>15</v>
      </c>
      <c r="Q9" s="381">
        <f>IF(ISBLANK(TInventW[[#This Row],[Technische levensduur 
'[jaren']]]),"",(TInventW[[#This Row],[Datum van constructie of productie
'[jjjj-mm-dd']]]+(TInventW[[#This Row],[Technische levensduur 
'[jaren']]]*365)))</f>
        <v>43828</v>
      </c>
      <c r="R9" s="847">
        <v>1163</v>
      </c>
      <c r="S9" s="848" t="s">
        <v>1461</v>
      </c>
      <c r="T9" s="848" t="s">
        <v>1462</v>
      </c>
      <c r="U9" s="833" t="s">
        <v>1463</v>
      </c>
      <c r="V9" s="811">
        <v>30</v>
      </c>
      <c r="W9" s="197" t="str">
        <f>IF(ISBLANK(TInventW[[#This Row],[Bouwdeel omschrijving]]),"",VLOOKUP(TInventW[[#This Row],[Bouwdeel omschrijving]],TsblW[],5,FALSE))</f>
        <v>Liter</v>
      </c>
      <c r="X9" s="373"/>
      <c r="Y9" s="374"/>
      <c r="Z9" s="375"/>
      <c r="AA9" s="200"/>
      <c r="AB9" s="619" t="s">
        <v>838</v>
      </c>
      <c r="AC9" s="832" t="s">
        <v>1474</v>
      </c>
      <c r="AD9" s="832"/>
      <c r="AE9" s="832" t="s">
        <v>1380</v>
      </c>
      <c r="AF9" s="833" t="s">
        <v>739</v>
      </c>
      <c r="AG9" s="834" t="s">
        <v>739</v>
      </c>
      <c r="AH9" s="835"/>
      <c r="AI9" s="832"/>
      <c r="AJ9" s="832"/>
      <c r="AK9" s="836"/>
      <c r="AL9" s="816" t="s">
        <v>1483</v>
      </c>
      <c r="AM9" s="169"/>
      <c r="AO9" s="169"/>
      <c r="AQ9" s="169"/>
      <c r="AS9" s="169"/>
      <c r="AX9" s="169"/>
      <c r="BA9" s="169"/>
      <c r="BB9" s="169"/>
    </row>
    <row r="10" spans="1:54" ht="31.5" x14ac:dyDescent="0.25">
      <c r="A10" s="369" t="str">
        <f>IF(ISBLANK(TInventW[[#This Row],[Bouwdeel omschrijving]]),"",CONCATENATE(TInventW[[#This Row],[Code Bouwdeeltype]],"-",TInventW[[#This Row],[Volgnr.]]))</f>
        <v>532110-2</v>
      </c>
      <c r="B10" s="365">
        <f>IF(ISBLANK(TInventW[[#This Row],[Bouwdeel omschrijving]]),"",VLOOKUP(TInventW[[#This Row],[Bouwdeel omschrijving]],TsblW[],2,FALSE))</f>
        <v>532110</v>
      </c>
      <c r="C10" s="809" t="s">
        <v>1099</v>
      </c>
      <c r="D10" s="852">
        <v>2</v>
      </c>
      <c r="E10" s="365" t="str">
        <f>IF(ISBLANK(TInventW[[#This Row],[Bouwdeel omschrijving]]),"",$B$4)</f>
        <v>Voorbeeld</v>
      </c>
      <c r="F10" s="813">
        <v>8</v>
      </c>
      <c r="G10" s="854"/>
      <c r="H10" s="819"/>
      <c r="I10" s="811">
        <v>1</v>
      </c>
      <c r="J10" s="365" t="str">
        <f>IF(ISBLANK(TInventW[[#This Row],[Bouwdeel omschrijving]]),"",VLOOKUP(TInventW[[#This Row],[Bouwdeel omschrijving]],TsblW[],4,FALSE))</f>
        <v>Stuks</v>
      </c>
      <c r="K10" s="365" t="str">
        <f>IF(ISBLANK(TInventW[[#This Row],[Bouwdeel omschrijving]]),"",VLOOKUP(TInventW[[#This Row],[Bouwdeel omschrijving]],TsblW[],3,FALSE))</f>
        <v>W</v>
      </c>
      <c r="L10" s="382">
        <f t="shared" si="0"/>
        <v>3</v>
      </c>
      <c r="M10" s="819"/>
      <c r="N10" s="817"/>
      <c r="O10" s="856"/>
      <c r="P10" s="820"/>
      <c r="Q10" s="381" t="str">
        <f>IF(ISBLANK(TInventW[[#This Row],[Technische levensduur 
'[jaren']]]),"",(TInventW[[#This Row],[Datum van constructie of productie
'[jjjj-mm-dd']]]+(TInventW[[#This Row],[Technische levensduur 
'[jaren']]]*365)))</f>
        <v/>
      </c>
      <c r="R10" s="858"/>
      <c r="S10" s="848" t="s">
        <v>1464</v>
      </c>
      <c r="T10" s="848" t="s">
        <v>1465</v>
      </c>
      <c r="U10" s="848" t="s">
        <v>1466</v>
      </c>
      <c r="V10" s="833">
        <v>10</v>
      </c>
      <c r="W10" s="197" t="str">
        <f>IF(ISBLANK(TInventW[[#This Row],[Bouwdeel omschrijving]]),"",VLOOKUP(TInventW[[#This Row],[Bouwdeel omschrijving]],TsblW[],5,FALSE))</f>
        <v>Liter</v>
      </c>
      <c r="X10" s="373"/>
      <c r="Y10" s="374"/>
      <c r="Z10" s="375"/>
      <c r="AA10" s="200"/>
      <c r="AB10" s="619"/>
      <c r="AC10" s="833" t="s">
        <v>1474</v>
      </c>
      <c r="AD10" s="832"/>
      <c r="AE10" s="832" t="s">
        <v>1380</v>
      </c>
      <c r="AF10" s="833" t="s">
        <v>739</v>
      </c>
      <c r="AG10" s="834" t="s">
        <v>739</v>
      </c>
      <c r="AH10" s="835"/>
      <c r="AI10" s="832"/>
      <c r="AJ10" s="832"/>
      <c r="AK10" s="836"/>
      <c r="AL10" s="828" t="s">
        <v>1484</v>
      </c>
      <c r="AM10" s="169"/>
      <c r="AO10" s="169"/>
      <c r="AQ10" s="169"/>
      <c r="AS10" s="169"/>
      <c r="AX10" s="169"/>
      <c r="BA10" s="169"/>
      <c r="BB10" s="169"/>
    </row>
    <row r="11" spans="1:54" ht="126" x14ac:dyDescent="0.25">
      <c r="A11" s="369" t="str">
        <f>IF(ISBLANK(TInventW[[#This Row],[Bouwdeel omschrijving]]),"",CONCATENATE(TInventW[[#This Row],[Code Bouwdeeltype]],"-",TInventW[[#This Row],[Volgnr.]]))</f>
        <v>552110-1</v>
      </c>
      <c r="B11" s="365">
        <f>IF(ISBLANK(TInventW[[#This Row],[Bouwdeel omschrijving]]),"",VLOOKUP(TInventW[[#This Row],[Bouwdeel omschrijving]],TsblW[],2,FALSE))</f>
        <v>552110</v>
      </c>
      <c r="C11" s="809" t="s">
        <v>1110</v>
      </c>
      <c r="D11" s="811">
        <v>1</v>
      </c>
      <c r="E11" s="365" t="str">
        <f>IF(ISBLANK(TInventW[[#This Row],[Bouwdeel omschrijving]]),"",$B$4)</f>
        <v>Voorbeeld</v>
      </c>
      <c r="F11" s="813">
        <v>2</v>
      </c>
      <c r="G11" s="828"/>
      <c r="H11" s="816"/>
      <c r="I11" s="811">
        <v>1</v>
      </c>
      <c r="J11" s="365" t="str">
        <f>IF(ISBLANK(TInventW[[#This Row],[Bouwdeel omschrijving]]),"",VLOOKUP(TInventW[[#This Row],[Bouwdeel omschrijving]],TsblW[],4,FALSE))</f>
        <v>Stuks</v>
      </c>
      <c r="K11" s="365" t="str">
        <f>IF(ISBLANK(TInventW[[#This Row],[Bouwdeel omschrijving]]),"",VLOOKUP(TInventW[[#This Row],[Bouwdeel omschrijving]],TsblW[],3,FALSE))</f>
        <v>W</v>
      </c>
      <c r="L11" s="380">
        <f t="shared" si="0"/>
        <v>3</v>
      </c>
      <c r="M11" s="816" t="s">
        <v>1642</v>
      </c>
      <c r="N11" s="817">
        <v>36526</v>
      </c>
      <c r="O11" s="817"/>
      <c r="P11" s="820">
        <v>15</v>
      </c>
      <c r="Q11" s="381">
        <f>IF(ISBLANK(TInventW[[#This Row],[Technische levensduur 
'[jaren']]]),"",(TInventW[[#This Row],[Datum van constructie of productie
'[jjjj-mm-dd']]]+(TInventW[[#This Row],[Technische levensduur 
'[jaren']]]*365)))</f>
        <v>42001</v>
      </c>
      <c r="R11" s="859">
        <v>5744.05</v>
      </c>
      <c r="S11" s="848">
        <v>9000161754</v>
      </c>
      <c r="T11" s="848">
        <v>4800969</v>
      </c>
      <c r="U11" s="833" t="s">
        <v>1467</v>
      </c>
      <c r="V11" s="811"/>
      <c r="W11" s="197" t="str">
        <f>IF(ISBLANK(TInventW[[#This Row],[Bouwdeel omschrijving]]),"",VLOOKUP(TInventW[[#This Row],[Bouwdeel omschrijving]],TsblW[],5,FALSE))</f>
        <v>n.v.t.</v>
      </c>
      <c r="X11" s="373"/>
      <c r="Y11" s="374"/>
      <c r="Z11" s="375"/>
      <c r="AA11" s="200"/>
      <c r="AB11" s="619" t="s">
        <v>838</v>
      </c>
      <c r="AC11" s="832" t="s">
        <v>1475</v>
      </c>
      <c r="AD11" s="832"/>
      <c r="AE11" s="816" t="s">
        <v>1380</v>
      </c>
      <c r="AF11" s="833" t="s">
        <v>739</v>
      </c>
      <c r="AG11" s="834" t="s">
        <v>739</v>
      </c>
      <c r="AH11" s="835"/>
      <c r="AI11" s="832"/>
      <c r="AJ11" s="832"/>
      <c r="AK11" s="836"/>
      <c r="AL11" s="816" t="s">
        <v>1485</v>
      </c>
      <c r="AM11" s="169"/>
      <c r="AO11" s="169"/>
      <c r="AQ11" s="169"/>
      <c r="AS11" s="169"/>
      <c r="AX11" s="169"/>
      <c r="BA11" s="169"/>
      <c r="BB11" s="169"/>
    </row>
    <row r="12" spans="1:54" ht="115.5" x14ac:dyDescent="0.25">
      <c r="A12" s="369" t="str">
        <f>IF(ISBLANK(TInventW[[#This Row],[Bouwdeel omschrijving]]),"",CONCATENATE(TInventW[[#This Row],[Code Bouwdeeltype]],"-",TInventW[[#This Row],[Volgnr.]]))</f>
        <v>552110-2</v>
      </c>
      <c r="B12" s="365">
        <f>IF(ISBLANK(TInventW[[#This Row],[Bouwdeel omschrijving]]),"",VLOOKUP(TInventW[[#This Row],[Bouwdeel omschrijving]],TsblW[],2,FALSE))</f>
        <v>552110</v>
      </c>
      <c r="C12" s="809" t="s">
        <v>1110</v>
      </c>
      <c r="D12" s="811">
        <v>2</v>
      </c>
      <c r="E12" s="365" t="str">
        <f>IF(ISBLANK(TInventW[[#This Row],[Bouwdeel omschrijving]]),"",$B$4)</f>
        <v>Voorbeeld</v>
      </c>
      <c r="F12" s="813">
        <v>12</v>
      </c>
      <c r="G12" s="853"/>
      <c r="H12" s="819"/>
      <c r="I12" s="811">
        <v>1</v>
      </c>
      <c r="J12" s="365" t="str">
        <f>IF(ISBLANK(TInventW[[#This Row],[Bouwdeel omschrijving]]),"",VLOOKUP(TInventW[[#This Row],[Bouwdeel omschrijving]],TsblW[],4,FALSE))</f>
        <v>Stuks</v>
      </c>
      <c r="K12" s="365" t="str">
        <f>IF(ISBLANK(TInventW[[#This Row],[Bouwdeel omschrijving]]),"",VLOOKUP(TInventW[[#This Row],[Bouwdeel omschrijving]],TsblW[],3,FALSE))</f>
        <v>W</v>
      </c>
      <c r="L12" s="382">
        <f t="shared" si="0"/>
        <v>3</v>
      </c>
      <c r="M12" s="819" t="s">
        <v>1643</v>
      </c>
      <c r="N12" s="817">
        <v>32874</v>
      </c>
      <c r="O12" s="817"/>
      <c r="P12" s="820">
        <v>15</v>
      </c>
      <c r="Q12" s="381">
        <f>IF(ISBLANK(TInventW[[#This Row],[Technische levensduur 
'[jaren']]]),"",(TInventW[[#This Row],[Datum van constructie of productie
'[jjjj-mm-dd']]]+(TInventW[[#This Row],[Technische levensduur 
'[jaren']]]*365)))</f>
        <v>38349</v>
      </c>
      <c r="R12" s="858">
        <v>5744.05</v>
      </c>
      <c r="S12" s="848">
        <v>900051738</v>
      </c>
      <c r="T12" s="848" t="s">
        <v>1380</v>
      </c>
      <c r="U12" s="848">
        <v>900051738</v>
      </c>
      <c r="V12" s="811"/>
      <c r="W12" s="197" t="str">
        <f>IF(ISBLANK(TInventW[[#This Row],[Bouwdeel omschrijving]]),"",VLOOKUP(TInventW[[#This Row],[Bouwdeel omschrijving]],TsblW[],5,FALSE))</f>
        <v>n.v.t.</v>
      </c>
      <c r="X12" s="373"/>
      <c r="Y12" s="374"/>
      <c r="Z12" s="375"/>
      <c r="AA12" s="200"/>
      <c r="AB12" s="619" t="s">
        <v>838</v>
      </c>
      <c r="AC12" s="848" t="s">
        <v>1476</v>
      </c>
      <c r="AD12" s="832"/>
      <c r="AE12" s="827" t="s">
        <v>1380</v>
      </c>
      <c r="AF12" s="833" t="s">
        <v>739</v>
      </c>
      <c r="AG12" s="834" t="s">
        <v>739</v>
      </c>
      <c r="AH12" s="835"/>
      <c r="AI12" s="832"/>
      <c r="AJ12" s="832"/>
      <c r="AK12" s="836"/>
      <c r="AL12" s="816" t="s">
        <v>1486</v>
      </c>
      <c r="AM12" s="169"/>
      <c r="AO12" s="169"/>
      <c r="AQ12" s="169"/>
      <c r="AS12" s="169"/>
      <c r="AX12" s="169"/>
      <c r="BA12" s="169"/>
      <c r="BB12" s="169"/>
    </row>
    <row r="13" spans="1:54" ht="73.5" x14ac:dyDescent="0.25">
      <c r="A13" s="369" t="str">
        <f>IF(ISBLANK(TInventW[[#This Row],[Bouwdeel omschrijving]]),"",CONCATENATE(TInventW[[#This Row],[Code Bouwdeeltype]],"-",TInventW[[#This Row],[Volgnr.]]))</f>
        <v>562110-1</v>
      </c>
      <c r="B13" s="365">
        <f>IF(ISBLANK(TInventW[[#This Row],[Bouwdeel omschrijving]]),"",VLOOKUP(TInventW[[#This Row],[Bouwdeel omschrijving]],TsblW[],2,FALSE))</f>
        <v>562110</v>
      </c>
      <c r="C13" s="809" t="s">
        <v>1101</v>
      </c>
      <c r="D13" s="833">
        <v>1</v>
      </c>
      <c r="E13" s="365" t="str">
        <f>IF(ISBLANK(TInventW[[#This Row],[Bouwdeel omschrijving]]),"",$B$4)</f>
        <v>Voorbeeld</v>
      </c>
      <c r="F13" s="813" t="s">
        <v>1457</v>
      </c>
      <c r="G13" s="828"/>
      <c r="H13" s="816"/>
      <c r="I13" s="833">
        <v>1</v>
      </c>
      <c r="J13" s="365" t="str">
        <f>IF(ISBLANK(TInventW[[#This Row],[Bouwdeel omschrijving]]),"",VLOOKUP(TInventW[[#This Row],[Bouwdeel omschrijving]],TsblW[],4,FALSE))</f>
        <v>Stuks</v>
      </c>
      <c r="K13" s="365" t="str">
        <f>IF(ISBLANK(TInventW[[#This Row],[Bouwdeel omschrijving]]),"",VLOOKUP(TInventW[[#This Row],[Bouwdeel omschrijving]],TsblW[],3,FALSE))</f>
        <v>W</v>
      </c>
      <c r="L13" s="380">
        <f t="shared" si="0"/>
        <v>3</v>
      </c>
      <c r="M13" s="816" t="s">
        <v>1644</v>
      </c>
      <c r="N13" s="817">
        <v>45658</v>
      </c>
      <c r="O13" s="817"/>
      <c r="P13" s="857">
        <v>15</v>
      </c>
      <c r="Q13" s="381">
        <f>IF(ISBLANK(TInventW[[#This Row],[Technische levensduur 
'[jaren']]]),"",(TInventW[[#This Row],[Datum van constructie of productie
'[jjjj-mm-dd']]]+(TInventW[[#This Row],[Technische levensduur 
'[jaren']]]*365)))</f>
        <v>51133</v>
      </c>
      <c r="R13" s="847">
        <v>10140</v>
      </c>
      <c r="S13" s="848" t="s">
        <v>1380</v>
      </c>
      <c r="T13" s="860">
        <v>2434832338520</v>
      </c>
      <c r="U13" s="833" t="s">
        <v>1468</v>
      </c>
      <c r="V13" s="833">
        <v>107</v>
      </c>
      <c r="W13" s="197" t="str">
        <f>IF(ISBLANK(TInventW[[#This Row],[Bouwdeel omschrijving]]),"",VLOOKUP(TInventW[[#This Row],[Bouwdeel omschrijving]],TsblW[],5,FALSE))</f>
        <v>kW</v>
      </c>
      <c r="X13" s="373"/>
      <c r="Y13" s="374"/>
      <c r="Z13" s="375"/>
      <c r="AA13" s="200"/>
      <c r="AB13" s="619" t="s">
        <v>838</v>
      </c>
      <c r="AC13" s="832" t="s">
        <v>1477</v>
      </c>
      <c r="AD13" s="832"/>
      <c r="AE13" s="848" t="s">
        <v>1478</v>
      </c>
      <c r="AF13" s="833" t="s">
        <v>739</v>
      </c>
      <c r="AG13" s="834" t="s">
        <v>739</v>
      </c>
      <c r="AH13" s="835"/>
      <c r="AI13" s="832"/>
      <c r="AJ13" s="832"/>
      <c r="AK13" s="836"/>
      <c r="AL13" s="816" t="s">
        <v>1487</v>
      </c>
      <c r="AM13" s="169"/>
      <c r="AO13" s="169"/>
      <c r="AQ13" s="169"/>
      <c r="AS13" s="169"/>
      <c r="AX13" s="169"/>
      <c r="BA13" s="169"/>
      <c r="BB13" s="169"/>
    </row>
    <row r="14" spans="1:54" ht="63" x14ac:dyDescent="0.25">
      <c r="A14" s="369" t="str">
        <f>IF(ISBLANK(TInventW[[#This Row],[Bouwdeel omschrijving]]),"",CONCATENATE(TInventW[[#This Row],[Code Bouwdeeltype]],"-",TInventW[[#This Row],[Volgnr.]]))</f>
        <v>562110-3</v>
      </c>
      <c r="B14" s="365">
        <f>IF(ISBLANK(TInventW[[#This Row],[Bouwdeel omschrijving]]),"",VLOOKUP(TInventW[[#This Row],[Bouwdeel omschrijving]],TsblW[],2,FALSE))</f>
        <v>562110</v>
      </c>
      <c r="C14" s="809" t="s">
        <v>1101</v>
      </c>
      <c r="D14" s="833">
        <v>3</v>
      </c>
      <c r="E14" s="365" t="str">
        <f>IF(ISBLANK(TInventW[[#This Row],[Bouwdeel omschrijving]]),"",$B$4)</f>
        <v>Voorbeeld</v>
      </c>
      <c r="F14" s="813" t="s">
        <v>1457</v>
      </c>
      <c r="G14" s="828"/>
      <c r="H14" s="816"/>
      <c r="I14" s="833">
        <v>1</v>
      </c>
      <c r="J14" s="365" t="str">
        <f>IF(ISBLANK(TInventW[[#This Row],[Bouwdeel omschrijving]]),"",VLOOKUP(TInventW[[#This Row],[Bouwdeel omschrijving]],TsblW[],4,FALSE))</f>
        <v>Stuks</v>
      </c>
      <c r="K14" s="365" t="str">
        <f>IF(ISBLANK(TInventW[[#This Row],[Bouwdeel omschrijving]]),"",VLOOKUP(TInventW[[#This Row],[Bouwdeel omschrijving]],TsblW[],3,FALSE))</f>
        <v>W</v>
      </c>
      <c r="L14" s="382">
        <f t="shared" si="0"/>
        <v>3</v>
      </c>
      <c r="M14" s="832"/>
      <c r="N14" s="817">
        <v>35065</v>
      </c>
      <c r="O14" s="817"/>
      <c r="P14" s="857"/>
      <c r="Q14" s="381" t="str">
        <f>IF(ISBLANK(TInventW[[#This Row],[Technische levensduur 
'[jaren']]]),"",(TInventW[[#This Row],[Datum van constructie of productie
'[jjjj-mm-dd']]]+(TInventW[[#This Row],[Technische levensduur 
'[jaren']]]*365)))</f>
        <v/>
      </c>
      <c r="R14" s="847"/>
      <c r="S14" s="827" t="s">
        <v>1469</v>
      </c>
      <c r="T14" s="848" t="s">
        <v>1465</v>
      </c>
      <c r="U14" s="833" t="s">
        <v>1470</v>
      </c>
      <c r="V14" s="833"/>
      <c r="W14" s="197" t="str">
        <f>IF(ISBLANK(TInventW[[#This Row],[Bouwdeel omschrijving]]),"",VLOOKUP(TInventW[[#This Row],[Bouwdeel omschrijving]],TsblW[],5,FALSE))</f>
        <v>kW</v>
      </c>
      <c r="X14" s="373"/>
      <c r="Y14" s="374"/>
      <c r="Z14" s="375"/>
      <c r="AA14" s="200"/>
      <c r="AB14" s="619"/>
      <c r="AC14" s="832" t="s">
        <v>1477</v>
      </c>
      <c r="AD14" s="832"/>
      <c r="AE14" s="848"/>
      <c r="AF14" s="833" t="s">
        <v>739</v>
      </c>
      <c r="AG14" s="834" t="s">
        <v>739</v>
      </c>
      <c r="AH14" s="835"/>
      <c r="AI14" s="832"/>
      <c r="AJ14" s="832"/>
      <c r="AK14" s="836"/>
      <c r="AL14" s="816" t="s">
        <v>1488</v>
      </c>
      <c r="AM14" s="169"/>
      <c r="AO14" s="169"/>
      <c r="AQ14" s="169"/>
      <c r="AS14" s="169"/>
      <c r="AX14" s="169"/>
      <c r="BA14" s="169"/>
      <c r="BB14" s="169"/>
    </row>
    <row r="15" spans="1:54" ht="73.5" x14ac:dyDescent="0.25">
      <c r="A15" s="369" t="str">
        <f>IF(ISBLANK(TInventW[[#This Row],[Bouwdeel omschrijving]]),"",CONCATENATE(TInventW[[#This Row],[Code Bouwdeeltype]],"-",TInventW[[#This Row],[Volgnr.]]))</f>
        <v>562110-2</v>
      </c>
      <c r="B15" s="365">
        <f>IF(ISBLANK(TInventW[[#This Row],[Bouwdeel omschrijving]]),"",VLOOKUP(TInventW[[#This Row],[Bouwdeel omschrijving]],TsblW[],2,FALSE))</f>
        <v>562110</v>
      </c>
      <c r="C15" s="809" t="s">
        <v>1101</v>
      </c>
      <c r="D15" s="833">
        <v>2</v>
      </c>
      <c r="E15" s="365" t="str">
        <f>IF(ISBLANK(TInventW[[#This Row],[Bouwdeel omschrijving]]),"",$B$4)</f>
        <v>Voorbeeld</v>
      </c>
      <c r="F15" s="813">
        <v>6</v>
      </c>
      <c r="G15" s="828"/>
      <c r="H15" s="816"/>
      <c r="I15" s="833">
        <v>1</v>
      </c>
      <c r="J15" s="365" t="str">
        <f>IF(ISBLANK(TInventW[[#This Row],[Bouwdeel omschrijving]]),"",VLOOKUP(TInventW[[#This Row],[Bouwdeel omschrijving]],TsblW[],4,FALSE))</f>
        <v>Stuks</v>
      </c>
      <c r="K15" s="365" t="str">
        <f>IF(ISBLANK(TInventW[[#This Row],[Bouwdeel omschrijving]]),"",VLOOKUP(TInventW[[#This Row],[Bouwdeel omschrijving]],TsblW[],3,FALSE))</f>
        <v>W</v>
      </c>
      <c r="L15" s="380">
        <f t="shared" si="0"/>
        <v>3</v>
      </c>
      <c r="M15" s="816" t="s">
        <v>1645</v>
      </c>
      <c r="N15" s="817">
        <v>45658</v>
      </c>
      <c r="O15" s="817"/>
      <c r="P15" s="857">
        <v>15</v>
      </c>
      <c r="Q15" s="381">
        <f>IF(ISBLANK(TInventW[[#This Row],[Technische levensduur 
'[jaren']]]),"",(TInventW[[#This Row],[Datum van constructie of productie
'[jjjj-mm-dd']]]+(TInventW[[#This Row],[Technische levensduur 
'[jaren']]]*365)))</f>
        <v>51133</v>
      </c>
      <c r="R15" s="847">
        <v>10140</v>
      </c>
      <c r="S15" s="848" t="s">
        <v>1380</v>
      </c>
      <c r="T15" s="860">
        <v>2434832338510</v>
      </c>
      <c r="U15" s="848" t="s">
        <v>1468</v>
      </c>
      <c r="V15" s="848">
        <v>107</v>
      </c>
      <c r="W15" s="197" t="str">
        <f>IF(ISBLANK(TInventW[[#This Row],[Bouwdeel omschrijving]]),"",VLOOKUP(TInventW[[#This Row],[Bouwdeel omschrijving]],TsblW[],5,FALSE))</f>
        <v>kW</v>
      </c>
      <c r="X15" s="373"/>
      <c r="Y15" s="374"/>
      <c r="Z15" s="375"/>
      <c r="AA15" s="200"/>
      <c r="AB15" s="619" t="s">
        <v>838</v>
      </c>
      <c r="AC15" s="848" t="s">
        <v>1477</v>
      </c>
      <c r="AD15" s="832"/>
      <c r="AE15" s="848" t="s">
        <v>1478</v>
      </c>
      <c r="AF15" s="833" t="s">
        <v>739</v>
      </c>
      <c r="AG15" s="834" t="s">
        <v>739</v>
      </c>
      <c r="AH15" s="835"/>
      <c r="AI15" s="832"/>
      <c r="AJ15" s="832"/>
      <c r="AK15" s="836"/>
      <c r="AL15" s="816" t="s">
        <v>1487</v>
      </c>
      <c r="AM15" s="169"/>
      <c r="AO15" s="169"/>
      <c r="AQ15" s="169"/>
      <c r="AS15" s="169"/>
      <c r="AX15" s="169"/>
      <c r="BA15" s="169"/>
      <c r="BB15" s="169"/>
    </row>
    <row r="16" spans="1:54" ht="252" x14ac:dyDescent="0.25">
      <c r="A16" s="369" t="str">
        <f>IF(ISBLANK(TInventW[[#This Row],[Bouwdeel omschrijving]]),"",CONCATENATE(TInventW[[#This Row],[Code Bouwdeeltype]],"-",TInventW[[#This Row],[Volgnr.]]))</f>
        <v>563010-1</v>
      </c>
      <c r="B16" s="365">
        <f>IF(ISBLANK(TInventW[[#This Row],[Bouwdeel omschrijving]]),"",VLOOKUP(TInventW[[#This Row],[Bouwdeel omschrijving]],TsblW[],2,FALSE))</f>
        <v>563010</v>
      </c>
      <c r="C16" s="809" t="s">
        <v>1096</v>
      </c>
      <c r="D16" s="833">
        <v>1</v>
      </c>
      <c r="E16" s="365" t="str">
        <f>IF(ISBLANK(TInventW[[#This Row],[Bouwdeel omschrijving]]),"",$B$4)</f>
        <v>Voorbeeld</v>
      </c>
      <c r="F16" s="813">
        <v>6</v>
      </c>
      <c r="G16" s="828"/>
      <c r="H16" s="816"/>
      <c r="I16" s="833">
        <v>1</v>
      </c>
      <c r="J16" s="365" t="str">
        <f>IF(ISBLANK(TInventW[[#This Row],[Bouwdeel omschrijving]]),"",VLOOKUP(TInventW[[#This Row],[Bouwdeel omschrijving]],TsblW[],4,FALSE))</f>
        <v>Stuks</v>
      </c>
      <c r="K16" s="365" t="str">
        <f>IF(ISBLANK(TInventW[[#This Row],[Bouwdeel omschrijving]]),"",VLOOKUP(TInventW[[#This Row],[Bouwdeel omschrijving]],TsblW[],3,FALSE))</f>
        <v>W</v>
      </c>
      <c r="L16" s="382">
        <f t="shared" si="0"/>
        <v>3</v>
      </c>
      <c r="M16" s="816" t="s">
        <v>1646</v>
      </c>
      <c r="N16" s="817">
        <v>15707</v>
      </c>
      <c r="O16" s="817"/>
      <c r="P16" s="857">
        <v>40</v>
      </c>
      <c r="Q16" s="381">
        <f>IF(ISBLANK(TInventW[[#This Row],[Technische levensduur 
'[jaren']]]),"",(TInventW[[#This Row],[Datum van constructie of productie
'[jjjj-mm-dd']]]+(TInventW[[#This Row],[Technische levensduur 
'[jaren']]]*365)))</f>
        <v>30307</v>
      </c>
      <c r="R16" s="861">
        <v>10823</v>
      </c>
      <c r="S16" s="848" t="s">
        <v>1380</v>
      </c>
      <c r="T16" s="848" t="s">
        <v>1380</v>
      </c>
      <c r="U16" s="833" t="s">
        <v>1460</v>
      </c>
      <c r="V16" s="833">
        <v>5</v>
      </c>
      <c r="W16" s="197" t="str">
        <f>IF(ISBLANK(TInventW[[#This Row],[Bouwdeel omschrijving]]),"",VLOOKUP(TInventW[[#This Row],[Bouwdeel omschrijving]],TsblW[],5,FALSE))</f>
        <v>Groepen</v>
      </c>
      <c r="X16" s="373"/>
      <c r="Y16" s="374"/>
      <c r="Z16" s="375"/>
      <c r="AA16" s="200"/>
      <c r="AB16" s="619" t="s">
        <v>839</v>
      </c>
      <c r="AC16" s="816" t="s">
        <v>1479</v>
      </c>
      <c r="AD16" s="832"/>
      <c r="AE16" s="832" t="s">
        <v>1480</v>
      </c>
      <c r="AF16" s="833" t="s">
        <v>739</v>
      </c>
      <c r="AG16" s="834" t="s">
        <v>739</v>
      </c>
      <c r="AH16" s="835"/>
      <c r="AI16" s="832"/>
      <c r="AJ16" s="832"/>
      <c r="AK16" s="836"/>
      <c r="AL16" s="816" t="s">
        <v>1489</v>
      </c>
      <c r="AM16" s="169"/>
      <c r="AO16" s="169"/>
      <c r="AQ16" s="169"/>
      <c r="AS16" s="169"/>
      <c r="AX16" s="169"/>
      <c r="BA16" s="169"/>
      <c r="BB16" s="169"/>
    </row>
    <row r="17" spans="1:54" ht="42" x14ac:dyDescent="0.25">
      <c r="A17" s="369" t="str">
        <f>IF(ISBLANK(TInventW[[#This Row],[Bouwdeel omschrijving]]),"",CONCATENATE(TInventW[[#This Row],[Code Bouwdeeltype]],"-",TInventW[[#This Row],[Volgnr.]]))</f>
        <v>568010-1</v>
      </c>
      <c r="B17" s="365">
        <f>IF(ISBLANK(TInventW[[#This Row],[Bouwdeel omschrijving]]),"",VLOOKUP(TInventW[[#This Row],[Bouwdeel omschrijving]],TsblW[],2,FALSE))</f>
        <v>568010</v>
      </c>
      <c r="C17" s="809" t="s">
        <v>1052</v>
      </c>
      <c r="D17" s="811">
        <v>1</v>
      </c>
      <c r="E17" s="365" t="str">
        <f>IF(ISBLANK(TInventW[[#This Row],[Bouwdeel omschrijving]]),"",$B$4)</f>
        <v>Voorbeeld</v>
      </c>
      <c r="F17" s="813" t="s">
        <v>1458</v>
      </c>
      <c r="G17" s="828"/>
      <c r="H17" s="816"/>
      <c r="I17" s="811">
        <v>15</v>
      </c>
      <c r="J17" s="365" t="str">
        <f>IF(ISBLANK(TInventW[[#This Row],[Bouwdeel omschrijving]]),"",VLOOKUP(TInventW[[#This Row],[Bouwdeel omschrijving]],TsblW[],4,FALSE))</f>
        <v>Stuks</v>
      </c>
      <c r="K17" s="365" t="str">
        <f>IF(ISBLANK(TInventW[[#This Row],[Bouwdeel omschrijving]]),"",VLOOKUP(TInventW[[#This Row],[Bouwdeel omschrijving]],TsblW[],3,FALSE))</f>
        <v>W</v>
      </c>
      <c r="L17" s="380">
        <f t="shared" si="0"/>
        <v>3</v>
      </c>
      <c r="M17" s="816" t="s">
        <v>1647</v>
      </c>
      <c r="N17" s="817">
        <v>15707</v>
      </c>
      <c r="O17" s="817"/>
      <c r="P17" s="820">
        <v>40</v>
      </c>
      <c r="Q17" s="381">
        <f>IF(ISBLANK(TInventW[[#This Row],[Technische levensduur 
'[jaren']]]),"",(TInventW[[#This Row],[Datum van constructie of productie
'[jjjj-mm-dd']]]+(TInventW[[#This Row],[Technische levensduur 
'[jaren']]]*365)))</f>
        <v>30307</v>
      </c>
      <c r="R17" s="861">
        <f>15*700</f>
        <v>10500</v>
      </c>
      <c r="S17" s="848" t="s">
        <v>1380</v>
      </c>
      <c r="T17" s="848" t="s">
        <v>1380</v>
      </c>
      <c r="U17" s="848" t="s">
        <v>1471</v>
      </c>
      <c r="V17" s="811">
        <v>30</v>
      </c>
      <c r="W17" s="197" t="str">
        <f>IF(ISBLANK(TInventW[[#This Row],[Bouwdeel omschrijving]]),"",VLOOKUP(TInventW[[#This Row],[Bouwdeel omschrijving]],TsblW[],5,FALSE))</f>
        <v>kW</v>
      </c>
      <c r="X17" s="373"/>
      <c r="Y17" s="374"/>
      <c r="Z17" s="375"/>
      <c r="AA17" s="200"/>
      <c r="AB17" s="619" t="s">
        <v>838</v>
      </c>
      <c r="AC17" s="832" t="s">
        <v>1380</v>
      </c>
      <c r="AD17" s="832"/>
      <c r="AE17" s="832" t="s">
        <v>1380</v>
      </c>
      <c r="AF17" s="833" t="s">
        <v>739</v>
      </c>
      <c r="AG17" s="834" t="s">
        <v>739</v>
      </c>
      <c r="AH17" s="835"/>
      <c r="AI17" s="832"/>
      <c r="AJ17" s="832"/>
      <c r="AK17" s="836"/>
      <c r="AL17" s="816" t="s">
        <v>1490</v>
      </c>
      <c r="AM17" s="169"/>
      <c r="AO17" s="169"/>
      <c r="AQ17" s="169"/>
      <c r="AS17" s="169"/>
      <c r="AX17" s="169"/>
      <c r="BA17" s="169"/>
      <c r="BB17" s="169"/>
    </row>
    <row r="18" spans="1:54" ht="84" x14ac:dyDescent="0.25">
      <c r="A18" s="369" t="str">
        <f>IF(ISBLANK(TInventW[[#This Row],[Bouwdeel omschrijving]]),"",CONCATENATE(TInventW[[#This Row],[Code Bouwdeeltype]],"-",TInventW[[#This Row],[Volgnr.]]))</f>
        <v>569030-1</v>
      </c>
      <c r="B18" s="365">
        <f>IF(ISBLANK(TInventW[[#This Row],[Bouwdeel omschrijving]]),"",VLOOKUP(TInventW[[#This Row],[Bouwdeel omschrijving]],TsblW[],2,FALSE))</f>
        <v>569030</v>
      </c>
      <c r="C18" s="809" t="s">
        <v>1076</v>
      </c>
      <c r="D18" s="811">
        <v>1</v>
      </c>
      <c r="E18" s="365" t="str">
        <f>IF(ISBLANK(TInventW[[#This Row],[Bouwdeel omschrijving]]),"",$B$4)</f>
        <v>Voorbeeld</v>
      </c>
      <c r="F18" s="813" t="s">
        <v>1459</v>
      </c>
      <c r="G18" s="828"/>
      <c r="H18" s="816"/>
      <c r="I18" s="811">
        <v>1</v>
      </c>
      <c r="J18" s="365" t="str">
        <f>IF(ISBLANK(TInventW[[#This Row],[Bouwdeel omschrijving]]),"",VLOOKUP(TInventW[[#This Row],[Bouwdeel omschrijving]],TsblW[],4,FALSE))</f>
        <v>m2 BVO</v>
      </c>
      <c r="K18" s="365" t="str">
        <f>IF(ISBLANK(TInventW[[#This Row],[Bouwdeel omschrijving]]),"",VLOOKUP(TInventW[[#This Row],[Bouwdeel omschrijving]],TsblW[],3,FALSE))</f>
        <v>W</v>
      </c>
      <c r="L18" s="382">
        <f t="shared" si="0"/>
        <v>3</v>
      </c>
      <c r="M18" s="816" t="s">
        <v>1648</v>
      </c>
      <c r="N18" s="817">
        <v>15707</v>
      </c>
      <c r="O18" s="817"/>
      <c r="P18" s="820">
        <v>40</v>
      </c>
      <c r="Q18" s="381">
        <f>IF(ISBLANK(TInventW[[#This Row],[Technische levensduur 
'[jaren']]]),"",(TInventW[[#This Row],[Datum van constructie of productie
'[jjjj-mm-dd']]]+(TInventW[[#This Row],[Technische levensduur 
'[jaren']]]*365)))</f>
        <v>30307</v>
      </c>
      <c r="R18" s="861">
        <v>25255</v>
      </c>
      <c r="S18" s="848" t="s">
        <v>1472</v>
      </c>
      <c r="T18" s="848" t="s">
        <v>1380</v>
      </c>
      <c r="U18" s="848" t="s">
        <v>1460</v>
      </c>
      <c r="V18" s="811">
        <v>635</v>
      </c>
      <c r="W18" s="197" t="str">
        <f>IF(ISBLANK(TInventW[[#This Row],[Bouwdeel omschrijving]]),"",VLOOKUP(TInventW[[#This Row],[Bouwdeel omschrijving]],TsblW[],5,FALSE))</f>
        <v>n.v.t.</v>
      </c>
      <c r="X18" s="373"/>
      <c r="Y18" s="374"/>
      <c r="Z18" s="375"/>
      <c r="AA18" s="200"/>
      <c r="AB18" s="619" t="s">
        <v>839</v>
      </c>
      <c r="AC18" s="848" t="s">
        <v>1380</v>
      </c>
      <c r="AD18" s="832"/>
      <c r="AE18" s="848" t="s">
        <v>1380</v>
      </c>
      <c r="AF18" s="833" t="s">
        <v>739</v>
      </c>
      <c r="AG18" s="834" t="s">
        <v>739</v>
      </c>
      <c r="AH18" s="835"/>
      <c r="AI18" s="832"/>
      <c r="AJ18" s="832"/>
      <c r="AK18" s="836"/>
      <c r="AL18" s="816" t="s">
        <v>1491</v>
      </c>
      <c r="AM18" s="169"/>
      <c r="AO18" s="169"/>
      <c r="AQ18" s="169"/>
      <c r="AS18" s="169"/>
      <c r="AX18" s="169"/>
      <c r="BA18" s="169"/>
      <c r="BB18" s="169"/>
    </row>
    <row r="19" spans="1:54" ht="73.5" x14ac:dyDescent="0.25">
      <c r="A19" s="369" t="str">
        <f>IF(ISBLANK(TInventW[[#This Row],[Bouwdeel omschrijving]]),"",CONCATENATE(TInventW[[#This Row],[Code Bouwdeeltype]],"-",TInventW[[#This Row],[Volgnr.]]))</f>
        <v>573020-1</v>
      </c>
      <c r="B19" s="365">
        <f>IF(ISBLANK(TInventW[[#This Row],[Bouwdeel omschrijving]]),"",VLOOKUP(TInventW[[#This Row],[Bouwdeel omschrijving]],TsblW[],2,FALSE))</f>
        <v>573020</v>
      </c>
      <c r="C19" s="809" t="s">
        <v>1082</v>
      </c>
      <c r="D19" s="811">
        <v>1</v>
      </c>
      <c r="E19" s="365" t="str">
        <f>IF(ISBLANK(TInventW[[#This Row],[Bouwdeel omschrijving]]),"",$B$4)</f>
        <v>Voorbeeld</v>
      </c>
      <c r="F19" s="813">
        <v>106</v>
      </c>
      <c r="G19" s="828"/>
      <c r="H19" s="816"/>
      <c r="I19" s="811">
        <v>1</v>
      </c>
      <c r="J19" s="365" t="str">
        <f>IF(ISBLANK(TInventW[[#This Row],[Bouwdeel omschrijving]]),"",VLOOKUP(TInventW[[#This Row],[Bouwdeel omschrijving]],TsblW[],4,FALSE))</f>
        <v>Stuks</v>
      </c>
      <c r="K19" s="365" t="str">
        <f>IF(ISBLANK(TInventW[[#This Row],[Bouwdeel omschrijving]]),"",VLOOKUP(TInventW[[#This Row],[Bouwdeel omschrijving]],TsblW[],3,FALSE))</f>
        <v>W</v>
      </c>
      <c r="L19" s="380">
        <f t="shared" si="0"/>
        <v>3</v>
      </c>
      <c r="M19" s="816" t="s">
        <v>1649</v>
      </c>
      <c r="N19" s="817">
        <v>39814</v>
      </c>
      <c r="O19" s="817"/>
      <c r="P19" s="820">
        <v>20</v>
      </c>
      <c r="Q19" s="381">
        <f>IF(ISBLANK(TInventW[[#This Row],[Technische levensduur 
'[jaren']]]),"",(TInventW[[#This Row],[Datum van constructie of productie
'[jjjj-mm-dd']]]+(TInventW[[#This Row],[Technische levensduur 
'[jaren']]]*365)))</f>
        <v>47114</v>
      </c>
      <c r="R19" s="847">
        <v>4176</v>
      </c>
      <c r="S19" s="848" t="s">
        <v>1380</v>
      </c>
      <c r="T19" s="848">
        <v>471300530</v>
      </c>
      <c r="U19" s="848" t="s">
        <v>1473</v>
      </c>
      <c r="V19" s="811">
        <v>7.0000000000000007E-2</v>
      </c>
      <c r="W19" s="197" t="str">
        <f>IF(ISBLANK(TInventW[[#This Row],[Bouwdeel omschrijving]]),"",VLOOKUP(TInventW[[#This Row],[Bouwdeel omschrijving]],TsblW[],5,FALSE))</f>
        <v>m3/sec.</v>
      </c>
      <c r="X19" s="373"/>
      <c r="Y19" s="374"/>
      <c r="Z19" s="375"/>
      <c r="AA19" s="200"/>
      <c r="AB19" s="619" t="s">
        <v>838</v>
      </c>
      <c r="AC19" s="848" t="s">
        <v>1481</v>
      </c>
      <c r="AD19" s="832"/>
      <c r="AE19" s="848" t="s">
        <v>1380</v>
      </c>
      <c r="AF19" s="833" t="s">
        <v>739</v>
      </c>
      <c r="AG19" s="834" t="s">
        <v>739</v>
      </c>
      <c r="AH19" s="835"/>
      <c r="AI19" s="832"/>
      <c r="AJ19" s="832"/>
      <c r="AK19" s="836"/>
      <c r="AL19" s="816" t="s">
        <v>1492</v>
      </c>
      <c r="AM19" s="169"/>
      <c r="AO19" s="169"/>
      <c r="AQ19" s="169"/>
      <c r="AS19" s="169"/>
      <c r="AX19" s="169"/>
      <c r="BA19" s="169"/>
      <c r="BB19" s="169"/>
    </row>
    <row r="20" spans="1:54" ht="42" x14ac:dyDescent="0.25">
      <c r="A20" s="369" t="str">
        <f>IF(ISBLANK(TInventW[[#This Row],[Bouwdeel omschrijving]]),"",CONCATENATE(TInventW[[#This Row],[Code Bouwdeeltype]],"-",TInventW[[#This Row],[Volgnr.]]))</f>
        <v>579040-1</v>
      </c>
      <c r="B20" s="365">
        <f>IF(ISBLANK(TInventW[[#This Row],[Bouwdeel omschrijving]]),"",VLOOKUP(TInventW[[#This Row],[Bouwdeel omschrijving]],TsblW[],2,FALSE))</f>
        <v>579040</v>
      </c>
      <c r="C20" s="809" t="s">
        <v>1080</v>
      </c>
      <c r="D20" s="851">
        <v>1</v>
      </c>
      <c r="E20" s="365" t="str">
        <f>IF(ISBLANK(TInventW[[#This Row],[Bouwdeel omschrijving]]),"",$B$4)</f>
        <v>Voorbeeld</v>
      </c>
      <c r="F20" s="813" t="s">
        <v>1459</v>
      </c>
      <c r="G20" s="853"/>
      <c r="H20" s="819"/>
      <c r="I20" s="851">
        <v>635</v>
      </c>
      <c r="J20" s="365" t="str">
        <f>IF(ISBLANK(TInventW[[#This Row],[Bouwdeel omschrijving]]),"",VLOOKUP(TInventW[[#This Row],[Bouwdeel omschrijving]],TsblW[],4,FALSE))</f>
        <v>m2 BVO</v>
      </c>
      <c r="K20" s="365" t="str">
        <f>IF(ISBLANK(TInventW[[#This Row],[Bouwdeel omschrijving]]),"",VLOOKUP(TInventW[[#This Row],[Bouwdeel omschrijving]],TsblW[],3,FALSE))</f>
        <v>W</v>
      </c>
      <c r="L20" s="382">
        <f t="shared" si="0"/>
        <v>3</v>
      </c>
      <c r="M20" s="819" t="s">
        <v>1650</v>
      </c>
      <c r="N20" s="817">
        <v>15707</v>
      </c>
      <c r="O20" s="817"/>
      <c r="P20" s="855">
        <v>99</v>
      </c>
      <c r="Q20" s="381">
        <f>IF(ISBLANK(TInventW[[#This Row],[Technische levensduur 
'[jaren']]]),"",(TInventW[[#This Row],[Datum van constructie of productie
'[jjjj-mm-dd']]]+(TInventW[[#This Row],[Technische levensduur 
'[jaren']]]*365)))</f>
        <v>51842</v>
      </c>
      <c r="R20" s="847">
        <v>10000</v>
      </c>
      <c r="S20" s="848" t="s">
        <v>1380</v>
      </c>
      <c r="T20" s="848" t="s">
        <v>1380</v>
      </c>
      <c r="U20" s="833" t="s">
        <v>1460</v>
      </c>
      <c r="V20" s="810"/>
      <c r="W20" s="197" t="str">
        <f>IF(ISBLANK(TInventW[[#This Row],[Bouwdeel omschrijving]]),"",VLOOKUP(TInventW[[#This Row],[Bouwdeel omschrijving]],TsblW[],5,FALSE))</f>
        <v>n.v.t.</v>
      </c>
      <c r="X20" s="373"/>
      <c r="Y20" s="374"/>
      <c r="Z20" s="375"/>
      <c r="AA20" s="200"/>
      <c r="AB20" s="619" t="s">
        <v>836</v>
      </c>
      <c r="AC20" s="832" t="s">
        <v>1380</v>
      </c>
      <c r="AD20" s="832"/>
      <c r="AE20" s="848" t="s">
        <v>1380</v>
      </c>
      <c r="AF20" s="833" t="s">
        <v>739</v>
      </c>
      <c r="AG20" s="834" t="s">
        <v>739</v>
      </c>
      <c r="AH20" s="835"/>
      <c r="AI20" s="832"/>
      <c r="AJ20" s="832"/>
      <c r="AK20" s="836"/>
      <c r="AL20" s="816" t="s">
        <v>1493</v>
      </c>
      <c r="AM20" s="169"/>
      <c r="AO20" s="169"/>
      <c r="AQ20" s="169"/>
      <c r="AS20" s="169"/>
      <c r="AX20" s="169"/>
      <c r="BA20" s="169"/>
      <c r="BB20" s="169"/>
    </row>
    <row r="21" spans="1:54" ht="10.5" x14ac:dyDescent="0.25">
      <c r="A21" s="369" t="str">
        <f>IF(ISBLANK(TInventW[[#This Row],[Bouwdeel omschrijving]]),"",CONCATENATE(TInventW[[#This Row],[Code Bouwdeeltype]],"-",TInventW[[#This Row],[Volgnr.]]))</f>
        <v/>
      </c>
      <c r="B21" s="365" t="str">
        <f>IF(ISBLANK(TInventW[[#This Row],[Bouwdeel omschrijving]]),"",VLOOKUP(TInventW[[#This Row],[Bouwdeel omschrijving]],TsblW[],2,FALSE))</f>
        <v/>
      </c>
      <c r="C21" s="366"/>
      <c r="D21" s="190"/>
      <c r="E21" s="365" t="str">
        <f>IF(ISBLANK(TInventW[[#This Row],[Bouwdeel omschrijving]]),"",$B$4)</f>
        <v/>
      </c>
      <c r="F21" s="191"/>
      <c r="G21" s="206"/>
      <c r="H21" s="203"/>
      <c r="I21" s="190"/>
      <c r="J21" s="365" t="str">
        <f>IF(ISBLANK(TInventW[[#This Row],[Bouwdeel omschrijving]]),"",VLOOKUP(TInventW[[#This Row],[Bouwdeel omschrijving]],TsblW[],4,FALSE))</f>
        <v/>
      </c>
      <c r="K21" s="365" t="str">
        <f>IF(ISBLANK(TInventW[[#This Row],[Bouwdeel omschrijving]]),"",VLOOKUP(TInventW[[#This Row],[Bouwdeel omschrijving]],TsblW[],3,FALSE))</f>
        <v/>
      </c>
      <c r="L21" s="380" t="str">
        <f t="shared" si="0"/>
        <v/>
      </c>
      <c r="M21" s="203"/>
      <c r="N21" s="370"/>
      <c r="O21" s="370"/>
      <c r="P21" s="205"/>
      <c r="Q21" s="381" t="str">
        <f>IF(ISBLANK(TInventW[[#This Row],[Technische levensduur 
'[jaren']]]),"",(TInventW[[#This Row],[Datum van constructie of productie
'[jjjj-mm-dd']]]+(TInventW[[#This Row],[Technische levensduur 
'[jaren']]]*365)))</f>
        <v/>
      </c>
      <c r="R21" s="372"/>
      <c r="S21" s="195"/>
      <c r="T21" s="195"/>
      <c r="U21" s="196"/>
      <c r="V21" s="190"/>
      <c r="W21" s="197" t="str">
        <f>IF(ISBLANK(TInventW[[#This Row],[Bouwdeel omschrijving]]),"",VLOOKUP(TInventW[[#This Row],[Bouwdeel omschrijving]],TsblW[],5,FALSE))</f>
        <v/>
      </c>
      <c r="X21" s="373"/>
      <c r="Y21" s="374"/>
      <c r="Z21" s="375"/>
      <c r="AA21" s="200"/>
      <c r="AB21" s="619"/>
      <c r="AC21" s="189"/>
      <c r="AD21" s="189"/>
      <c r="AE21" s="189"/>
      <c r="AF21" s="196" t="s">
        <v>739</v>
      </c>
      <c r="AG21" s="201" t="s">
        <v>739</v>
      </c>
      <c r="AH21" s="377"/>
      <c r="AI21" s="378"/>
      <c r="AJ21" s="378"/>
      <c r="AK21" s="379"/>
      <c r="AL21" s="203"/>
      <c r="AM21" s="169"/>
      <c r="AO21" s="169"/>
      <c r="AQ21" s="169"/>
      <c r="AS21" s="169"/>
      <c r="AX21" s="169"/>
      <c r="BA21" s="169"/>
      <c r="BB21" s="169"/>
    </row>
    <row r="22" spans="1:54" ht="10.5" x14ac:dyDescent="0.25">
      <c r="A22" s="369" t="str">
        <f>IF(ISBLANK(TInventW[[#This Row],[Bouwdeel omschrijving]]),"",CONCATENATE(TInventW[[#This Row],[Code Bouwdeeltype]],"-",TInventW[[#This Row],[Volgnr.]]))</f>
        <v/>
      </c>
      <c r="B22" s="365" t="str">
        <f>IF(ISBLANK(TInventW[[#This Row],[Bouwdeel omschrijving]]),"",VLOOKUP(TInventW[[#This Row],[Bouwdeel omschrijving]],TsblW[],2,FALSE))</f>
        <v/>
      </c>
      <c r="C22" s="366"/>
      <c r="D22" s="190"/>
      <c r="E22" s="365" t="str">
        <f>IF(ISBLANK(TInventW[[#This Row],[Bouwdeel omschrijving]]),"",$B$4)</f>
        <v/>
      </c>
      <c r="F22" s="191"/>
      <c r="G22" s="192"/>
      <c r="H22" s="193"/>
      <c r="I22" s="190"/>
      <c r="J22" s="365" t="str">
        <f>IF(ISBLANK(TInventW[[#This Row],[Bouwdeel omschrijving]]),"",VLOOKUP(TInventW[[#This Row],[Bouwdeel omschrijving]],TsblW[],4,FALSE))</f>
        <v/>
      </c>
      <c r="K22" s="365" t="str">
        <f>IF(ISBLANK(TInventW[[#This Row],[Bouwdeel omschrijving]]),"",VLOOKUP(TInventW[[#This Row],[Bouwdeel omschrijving]],TsblW[],3,FALSE))</f>
        <v/>
      </c>
      <c r="L22" s="382" t="str">
        <f t="shared" si="0"/>
        <v/>
      </c>
      <c r="M22" s="193"/>
      <c r="N22" s="370"/>
      <c r="O22" s="370"/>
      <c r="P22" s="205"/>
      <c r="Q22" s="381" t="str">
        <f>IF(ISBLANK(TInventW[[#This Row],[Technische levensduur 
'[jaren']]]),"",(TInventW[[#This Row],[Datum van constructie of productie
'[jjjj-mm-dd']]]+(TInventW[[#This Row],[Technische levensduur 
'[jaren']]]*365)))</f>
        <v/>
      </c>
      <c r="R22" s="372"/>
      <c r="S22" s="195"/>
      <c r="T22" s="195"/>
      <c r="U22" s="196"/>
      <c r="V22" s="190"/>
      <c r="W22" s="197" t="str">
        <f>IF(ISBLANK(TInventW[[#This Row],[Bouwdeel omschrijving]]),"",VLOOKUP(TInventW[[#This Row],[Bouwdeel omschrijving]],TsblW[],5,FALSE))</f>
        <v/>
      </c>
      <c r="X22" s="373"/>
      <c r="Y22" s="374"/>
      <c r="Z22" s="375"/>
      <c r="AA22" s="200"/>
      <c r="AB22" s="619"/>
      <c r="AC22" s="189"/>
      <c r="AD22" s="189"/>
      <c r="AE22" s="189"/>
      <c r="AF22" s="196" t="s">
        <v>739</v>
      </c>
      <c r="AG22" s="201" t="s">
        <v>739</v>
      </c>
      <c r="AH22" s="377"/>
      <c r="AI22" s="378"/>
      <c r="AJ22" s="378"/>
      <c r="AK22" s="379"/>
      <c r="AL22" s="203"/>
      <c r="AM22" s="169"/>
      <c r="AO22" s="169"/>
      <c r="AQ22" s="169"/>
      <c r="AS22" s="169"/>
      <c r="AX22" s="169"/>
      <c r="BA22" s="169"/>
      <c r="BB22" s="169"/>
    </row>
    <row r="23" spans="1:54" ht="10.5" x14ac:dyDescent="0.25">
      <c r="A23" s="369" t="str">
        <f>IF(ISBLANK(TInventW[[#This Row],[Bouwdeel omschrijving]]),"",CONCATENATE(TInventW[[#This Row],[Code Bouwdeeltype]],"-",TInventW[[#This Row],[Volgnr.]]))</f>
        <v/>
      </c>
      <c r="B23" s="365" t="str">
        <f>IF(ISBLANK(TInventW[[#This Row],[Bouwdeel omschrijving]]),"",VLOOKUP(TInventW[[#This Row],[Bouwdeel omschrijving]],TsblW[],2,FALSE))</f>
        <v/>
      </c>
      <c r="C23" s="366"/>
      <c r="D23" s="190"/>
      <c r="E23" s="365" t="str">
        <f>IF(ISBLANK(TInventW[[#This Row],[Bouwdeel omschrijving]]),"",$B$4)</f>
        <v/>
      </c>
      <c r="F23" s="191"/>
      <c r="G23" s="206"/>
      <c r="H23" s="203"/>
      <c r="I23" s="190"/>
      <c r="J23" s="365" t="str">
        <f>IF(ISBLANK(TInventW[[#This Row],[Bouwdeel omschrijving]]),"",VLOOKUP(TInventW[[#This Row],[Bouwdeel omschrijving]],TsblW[],4,FALSE))</f>
        <v/>
      </c>
      <c r="K23" s="365" t="str">
        <f>IF(ISBLANK(TInventW[[#This Row],[Bouwdeel omschrijving]]),"",VLOOKUP(TInventW[[#This Row],[Bouwdeel omschrijving]],TsblW[],3,FALSE))</f>
        <v/>
      </c>
      <c r="L23" s="380" t="str">
        <f t="shared" si="0"/>
        <v/>
      </c>
      <c r="M23" s="203"/>
      <c r="N23" s="370"/>
      <c r="O23" s="370"/>
      <c r="P23" s="205"/>
      <c r="Q23" s="381" t="str">
        <f>IF(ISBLANK(TInventW[[#This Row],[Technische levensduur 
'[jaren']]]),"",(TInventW[[#This Row],[Datum van constructie of productie
'[jjjj-mm-dd']]]+(TInventW[[#This Row],[Technische levensduur 
'[jaren']]]*365)))</f>
        <v/>
      </c>
      <c r="R23" s="372"/>
      <c r="S23" s="195"/>
      <c r="T23" s="195"/>
      <c r="U23" s="196"/>
      <c r="V23" s="190"/>
      <c r="W23" s="197" t="str">
        <f>IF(ISBLANK(TInventW[[#This Row],[Bouwdeel omschrijving]]),"",VLOOKUP(TInventW[[#This Row],[Bouwdeel omschrijving]],TsblW[],5,FALSE))</f>
        <v/>
      </c>
      <c r="X23" s="373"/>
      <c r="Y23" s="374"/>
      <c r="Z23" s="375"/>
      <c r="AA23" s="200"/>
      <c r="AB23" s="619"/>
      <c r="AC23" s="189"/>
      <c r="AD23" s="189"/>
      <c r="AE23" s="189"/>
      <c r="AF23" s="196" t="s">
        <v>739</v>
      </c>
      <c r="AG23" s="201" t="s">
        <v>739</v>
      </c>
      <c r="AH23" s="377"/>
      <c r="AI23" s="378"/>
      <c r="AJ23" s="378"/>
      <c r="AK23" s="379"/>
      <c r="AL23" s="203"/>
      <c r="AM23" s="169"/>
      <c r="AO23" s="169"/>
      <c r="AQ23" s="169"/>
      <c r="AS23" s="169"/>
      <c r="AX23" s="169"/>
      <c r="BA23" s="169"/>
      <c r="BB23" s="169"/>
    </row>
    <row r="24" spans="1:54" ht="10.5" x14ac:dyDescent="0.25">
      <c r="A24" s="369" t="str">
        <f>IF(ISBLANK(TInventW[[#This Row],[Bouwdeel omschrijving]]),"",CONCATENATE(TInventW[[#This Row],[Code Bouwdeeltype]],"-",TInventW[[#This Row],[Volgnr.]]))</f>
        <v/>
      </c>
      <c r="B24" s="365" t="str">
        <f>IF(ISBLANK(TInventW[[#This Row],[Bouwdeel omschrijving]]),"",VLOOKUP(TInventW[[#This Row],[Bouwdeel omschrijving]],TsblW[],2,FALSE))</f>
        <v/>
      </c>
      <c r="C24" s="366"/>
      <c r="D24" s="190"/>
      <c r="E24" s="365" t="str">
        <f>IF(ISBLANK(TInventW[[#This Row],[Bouwdeel omschrijving]]),"",$B$4)</f>
        <v/>
      </c>
      <c r="F24" s="191"/>
      <c r="G24" s="192"/>
      <c r="H24" s="193"/>
      <c r="I24" s="190"/>
      <c r="J24" s="365" t="str">
        <f>IF(ISBLANK(TInventW[[#This Row],[Bouwdeel omschrijving]]),"",VLOOKUP(TInventW[[#This Row],[Bouwdeel omschrijving]],TsblW[],4,FALSE))</f>
        <v/>
      </c>
      <c r="K24" s="365" t="str">
        <f>IF(ISBLANK(TInventW[[#This Row],[Bouwdeel omschrijving]]),"",VLOOKUP(TInventW[[#This Row],[Bouwdeel omschrijving]],TsblW[],3,FALSE))</f>
        <v/>
      </c>
      <c r="L24" s="382" t="str">
        <f t="shared" si="0"/>
        <v/>
      </c>
      <c r="M24" s="193"/>
      <c r="N24" s="370"/>
      <c r="O24" s="370"/>
      <c r="P24" s="205"/>
      <c r="Q24" s="381" t="str">
        <f>IF(ISBLANK(TInventW[[#This Row],[Technische levensduur 
'[jaren']]]),"",(TInventW[[#This Row],[Datum van constructie of productie
'[jjjj-mm-dd']]]+(TInventW[[#This Row],[Technische levensduur 
'[jaren']]]*365)))</f>
        <v/>
      </c>
      <c r="R24" s="372"/>
      <c r="S24" s="195"/>
      <c r="T24" s="195"/>
      <c r="U24" s="196"/>
      <c r="V24" s="190"/>
      <c r="W24" s="197" t="str">
        <f>IF(ISBLANK(TInventW[[#This Row],[Bouwdeel omschrijving]]),"",VLOOKUP(TInventW[[#This Row],[Bouwdeel omschrijving]],TsblW[],5,FALSE))</f>
        <v/>
      </c>
      <c r="X24" s="373"/>
      <c r="Y24" s="374"/>
      <c r="Z24" s="375"/>
      <c r="AA24" s="200"/>
      <c r="AB24" s="619"/>
      <c r="AC24" s="189"/>
      <c r="AD24" s="189"/>
      <c r="AE24" s="189"/>
      <c r="AF24" s="196" t="s">
        <v>739</v>
      </c>
      <c r="AG24" s="201" t="s">
        <v>739</v>
      </c>
      <c r="AH24" s="377"/>
      <c r="AI24" s="378"/>
      <c r="AJ24" s="378"/>
      <c r="AK24" s="379"/>
      <c r="AL24" s="203"/>
      <c r="AM24" s="169"/>
      <c r="AO24" s="169"/>
      <c r="AQ24" s="169"/>
      <c r="AS24" s="169"/>
      <c r="AX24" s="169"/>
      <c r="BA24" s="169"/>
      <c r="BB24" s="169"/>
    </row>
    <row r="25" spans="1:54" ht="10.5" x14ac:dyDescent="0.25">
      <c r="A25" s="369" t="str">
        <f>IF(ISBLANK(TInventW[[#This Row],[Bouwdeel omschrijving]]),"",CONCATENATE(TInventW[[#This Row],[Code Bouwdeeltype]],"-",TInventW[[#This Row],[Volgnr.]]))</f>
        <v/>
      </c>
      <c r="B25" s="365" t="str">
        <f>IF(ISBLANK(TInventW[[#This Row],[Bouwdeel omschrijving]]),"",VLOOKUP(TInventW[[#This Row],[Bouwdeel omschrijving]],TsblW[],2,FALSE))</f>
        <v/>
      </c>
      <c r="C25" s="366"/>
      <c r="D25" s="190"/>
      <c r="E25" s="365" t="str">
        <f>IF(ISBLANK(TInventW[[#This Row],[Bouwdeel omschrijving]]),"",$B$4)</f>
        <v/>
      </c>
      <c r="F25" s="191"/>
      <c r="G25" s="206"/>
      <c r="H25" s="203"/>
      <c r="I25" s="190"/>
      <c r="J25" s="365" t="str">
        <f>IF(ISBLANK(TInventW[[#This Row],[Bouwdeel omschrijving]]),"",VLOOKUP(TInventW[[#This Row],[Bouwdeel omschrijving]],TsblW[],4,FALSE))</f>
        <v/>
      </c>
      <c r="K25" s="365" t="str">
        <f>IF(ISBLANK(TInventW[[#This Row],[Bouwdeel omschrijving]]),"",VLOOKUP(TInventW[[#This Row],[Bouwdeel omschrijving]],TsblW[],3,FALSE))</f>
        <v/>
      </c>
      <c r="L25" s="380" t="str">
        <f t="shared" si="0"/>
        <v/>
      </c>
      <c r="M25" s="203"/>
      <c r="N25" s="370"/>
      <c r="O25" s="370"/>
      <c r="P25" s="205"/>
      <c r="Q25" s="381" t="str">
        <f>IF(ISBLANK(TInventW[[#This Row],[Technische levensduur 
'[jaren']]]),"",(TInventW[[#This Row],[Datum van constructie of productie
'[jjjj-mm-dd']]]+(TInventW[[#This Row],[Technische levensduur 
'[jaren']]]*365)))</f>
        <v/>
      </c>
      <c r="R25" s="372"/>
      <c r="S25" s="195"/>
      <c r="T25" s="195"/>
      <c r="U25" s="196"/>
      <c r="V25" s="190"/>
      <c r="W25" s="197" t="str">
        <f>IF(ISBLANK(TInventW[[#This Row],[Bouwdeel omschrijving]]),"",VLOOKUP(TInventW[[#This Row],[Bouwdeel omschrijving]],TsblW[],5,FALSE))</f>
        <v/>
      </c>
      <c r="X25" s="373"/>
      <c r="Y25" s="374"/>
      <c r="Z25" s="375"/>
      <c r="AA25" s="200"/>
      <c r="AB25" s="619"/>
      <c r="AC25" s="189"/>
      <c r="AD25" s="189"/>
      <c r="AE25" s="189"/>
      <c r="AF25" s="196" t="s">
        <v>739</v>
      </c>
      <c r="AG25" s="201" t="s">
        <v>739</v>
      </c>
      <c r="AH25" s="377"/>
      <c r="AI25" s="378"/>
      <c r="AJ25" s="378"/>
      <c r="AK25" s="379"/>
      <c r="AL25" s="203"/>
      <c r="AM25" s="169"/>
      <c r="AO25" s="169"/>
      <c r="AQ25" s="169"/>
      <c r="AS25" s="169"/>
      <c r="AX25" s="169"/>
      <c r="BA25" s="169"/>
      <c r="BB25" s="169"/>
    </row>
    <row r="26" spans="1:54" ht="10.5" x14ac:dyDescent="0.25">
      <c r="A26" s="369" t="str">
        <f>IF(ISBLANK(TInventW[[#This Row],[Bouwdeel omschrijving]]),"",CONCATENATE(TInventW[[#This Row],[Code Bouwdeeltype]],"-",TInventW[[#This Row],[Volgnr.]]))</f>
        <v/>
      </c>
      <c r="B26" s="365" t="str">
        <f>IF(ISBLANK(TInventW[[#This Row],[Bouwdeel omschrijving]]),"",VLOOKUP(TInventW[[#This Row],[Bouwdeel omschrijving]],TsblW[],2,FALSE))</f>
        <v/>
      </c>
      <c r="C26" s="366"/>
      <c r="D26" s="190"/>
      <c r="E26" s="365" t="str">
        <f>IF(ISBLANK(TInventW[[#This Row],[Bouwdeel omschrijving]]),"",$B$4)</f>
        <v/>
      </c>
      <c r="F26" s="191"/>
      <c r="G26" s="192"/>
      <c r="H26" s="193"/>
      <c r="I26" s="190"/>
      <c r="J26" s="365" t="str">
        <f>IF(ISBLANK(TInventW[[#This Row],[Bouwdeel omschrijving]]),"",VLOOKUP(TInventW[[#This Row],[Bouwdeel omschrijving]],TsblW[],4,FALSE))</f>
        <v/>
      </c>
      <c r="K26" s="365" t="str">
        <f>IF(ISBLANK(TInventW[[#This Row],[Bouwdeel omschrijving]]),"",VLOOKUP(TInventW[[#This Row],[Bouwdeel omschrijving]],TsblW[],3,FALSE))</f>
        <v/>
      </c>
      <c r="L26" s="382" t="str">
        <f t="shared" si="0"/>
        <v/>
      </c>
      <c r="M26" s="193"/>
      <c r="N26" s="370"/>
      <c r="O26" s="370"/>
      <c r="P26" s="205"/>
      <c r="Q26" s="381" t="str">
        <f>IF(ISBLANK(TInventW[[#This Row],[Technische levensduur 
'[jaren']]]),"",(TInventW[[#This Row],[Datum van constructie of productie
'[jjjj-mm-dd']]]+(TInventW[[#This Row],[Technische levensduur 
'[jaren']]]*365)))</f>
        <v/>
      </c>
      <c r="R26" s="372"/>
      <c r="S26" s="195"/>
      <c r="T26" s="195"/>
      <c r="U26" s="196"/>
      <c r="V26" s="190"/>
      <c r="W26" s="197" t="str">
        <f>IF(ISBLANK(TInventW[[#This Row],[Bouwdeel omschrijving]]),"",VLOOKUP(TInventW[[#This Row],[Bouwdeel omschrijving]],TsblW[],5,FALSE))</f>
        <v/>
      </c>
      <c r="X26" s="373"/>
      <c r="Y26" s="374"/>
      <c r="Z26" s="375"/>
      <c r="AA26" s="200"/>
      <c r="AB26" s="619"/>
      <c r="AC26" s="189"/>
      <c r="AD26" s="189"/>
      <c r="AE26" s="189"/>
      <c r="AF26" s="196" t="s">
        <v>739</v>
      </c>
      <c r="AG26" s="201" t="s">
        <v>739</v>
      </c>
      <c r="AH26" s="377"/>
      <c r="AI26" s="378"/>
      <c r="AJ26" s="378"/>
      <c r="AK26" s="379"/>
      <c r="AL26" s="203"/>
      <c r="AM26" s="169"/>
      <c r="AO26" s="169"/>
      <c r="AQ26" s="169"/>
      <c r="AS26" s="169"/>
      <c r="AX26" s="169"/>
      <c r="BA26" s="169"/>
      <c r="BB26" s="169"/>
    </row>
    <row r="27" spans="1:54" ht="10.5" x14ac:dyDescent="0.25">
      <c r="A27" s="369" t="str">
        <f>IF(ISBLANK(TInventW[[#This Row],[Bouwdeel omschrijving]]),"",CONCATENATE(TInventW[[#This Row],[Code Bouwdeeltype]],"-",TInventW[[#This Row],[Volgnr.]]))</f>
        <v/>
      </c>
      <c r="B27" s="365" t="str">
        <f>IF(ISBLANK(TInventW[[#This Row],[Bouwdeel omschrijving]]),"",VLOOKUP(TInventW[[#This Row],[Bouwdeel omschrijving]],TsblW[],2,FALSE))</f>
        <v/>
      </c>
      <c r="C27" s="366"/>
      <c r="D27" s="190"/>
      <c r="E27" s="365" t="str">
        <f>IF(ISBLANK(TInventW[[#This Row],[Bouwdeel omschrijving]]),"",$B$4)</f>
        <v/>
      </c>
      <c r="F27" s="191"/>
      <c r="G27" s="206"/>
      <c r="H27" s="203"/>
      <c r="I27" s="190"/>
      <c r="J27" s="365" t="str">
        <f>IF(ISBLANK(TInventW[[#This Row],[Bouwdeel omschrijving]]),"",VLOOKUP(TInventW[[#This Row],[Bouwdeel omschrijving]],TsblW[],4,FALSE))</f>
        <v/>
      </c>
      <c r="K27" s="365" t="str">
        <f>IF(ISBLANK(TInventW[[#This Row],[Bouwdeel omschrijving]]),"",VLOOKUP(TInventW[[#This Row],[Bouwdeel omschrijving]],TsblW[],3,FALSE))</f>
        <v/>
      </c>
      <c r="L27" s="380" t="str">
        <f t="shared" si="0"/>
        <v/>
      </c>
      <c r="M27" s="203"/>
      <c r="N27" s="370"/>
      <c r="O27" s="370"/>
      <c r="P27" s="205"/>
      <c r="Q27" s="381" t="str">
        <f>IF(ISBLANK(TInventW[[#This Row],[Technische levensduur 
'[jaren']]]),"",(TInventW[[#This Row],[Datum van constructie of productie
'[jjjj-mm-dd']]]+(TInventW[[#This Row],[Technische levensduur 
'[jaren']]]*365)))</f>
        <v/>
      </c>
      <c r="R27" s="372"/>
      <c r="S27" s="195"/>
      <c r="T27" s="195"/>
      <c r="U27" s="196"/>
      <c r="V27" s="190"/>
      <c r="W27" s="197" t="str">
        <f>IF(ISBLANK(TInventW[[#This Row],[Bouwdeel omschrijving]]),"",VLOOKUP(TInventW[[#This Row],[Bouwdeel omschrijving]],TsblW[],5,FALSE))</f>
        <v/>
      </c>
      <c r="X27" s="373"/>
      <c r="Y27" s="374"/>
      <c r="Z27" s="375"/>
      <c r="AA27" s="200"/>
      <c r="AB27" s="619"/>
      <c r="AC27" s="189"/>
      <c r="AD27" s="189"/>
      <c r="AE27" s="189"/>
      <c r="AF27" s="196" t="s">
        <v>739</v>
      </c>
      <c r="AG27" s="201" t="s">
        <v>739</v>
      </c>
      <c r="AH27" s="377"/>
      <c r="AI27" s="378"/>
      <c r="AJ27" s="378"/>
      <c r="AK27" s="379"/>
      <c r="AL27" s="203"/>
      <c r="AM27" s="169"/>
      <c r="AO27" s="169"/>
      <c r="AQ27" s="169"/>
      <c r="AS27" s="169"/>
      <c r="AX27" s="169"/>
      <c r="BA27" s="169"/>
      <c r="BB27" s="169"/>
    </row>
    <row r="28" spans="1:54" ht="10.5" x14ac:dyDescent="0.25">
      <c r="A28" s="369" t="str">
        <f>IF(ISBLANK(TInventW[[#This Row],[Bouwdeel omschrijving]]),"",CONCATENATE(TInventW[[#This Row],[Code Bouwdeeltype]],"-",TInventW[[#This Row],[Volgnr.]]))</f>
        <v/>
      </c>
      <c r="B28" s="365" t="str">
        <f>IF(ISBLANK(TInventW[[#This Row],[Bouwdeel omschrijving]]),"",VLOOKUP(TInventW[[#This Row],[Bouwdeel omschrijving]],TsblW[],2,FALSE))</f>
        <v/>
      </c>
      <c r="C28" s="366"/>
      <c r="D28" s="190"/>
      <c r="E28" s="365" t="str">
        <f>IF(ISBLANK(TInventW[[#This Row],[Bouwdeel omschrijving]]),"",$B$4)</f>
        <v/>
      </c>
      <c r="F28" s="191"/>
      <c r="G28" s="192"/>
      <c r="H28" s="193"/>
      <c r="I28" s="190"/>
      <c r="J28" s="365" t="str">
        <f>IF(ISBLANK(TInventW[[#This Row],[Bouwdeel omschrijving]]),"",VLOOKUP(TInventW[[#This Row],[Bouwdeel omschrijving]],TsblW[],4,FALSE))</f>
        <v/>
      </c>
      <c r="K28" s="365" t="str">
        <f>IF(ISBLANK(TInventW[[#This Row],[Bouwdeel omschrijving]]),"",VLOOKUP(TInventW[[#This Row],[Bouwdeel omschrijving]],TsblW[],3,FALSE))</f>
        <v/>
      </c>
      <c r="L28" s="382" t="str">
        <f t="shared" si="0"/>
        <v/>
      </c>
      <c r="M28" s="193"/>
      <c r="N28" s="370"/>
      <c r="O28" s="370"/>
      <c r="P28" s="205"/>
      <c r="Q28" s="381" t="str">
        <f>IF(ISBLANK(TInventW[[#This Row],[Technische levensduur 
'[jaren']]]),"",(TInventW[[#This Row],[Datum van constructie of productie
'[jjjj-mm-dd']]]+(TInventW[[#This Row],[Technische levensduur 
'[jaren']]]*365)))</f>
        <v/>
      </c>
      <c r="R28" s="372"/>
      <c r="S28" s="195"/>
      <c r="T28" s="195"/>
      <c r="U28" s="196"/>
      <c r="V28" s="190"/>
      <c r="W28" s="197" t="str">
        <f>IF(ISBLANK(TInventW[[#This Row],[Bouwdeel omschrijving]]),"",VLOOKUP(TInventW[[#This Row],[Bouwdeel omschrijving]],TsblW[],5,FALSE))</f>
        <v/>
      </c>
      <c r="X28" s="373"/>
      <c r="Y28" s="374"/>
      <c r="Z28" s="375"/>
      <c r="AA28" s="200"/>
      <c r="AB28" s="619"/>
      <c r="AC28" s="189"/>
      <c r="AD28" s="189"/>
      <c r="AE28" s="189"/>
      <c r="AF28" s="196" t="s">
        <v>739</v>
      </c>
      <c r="AG28" s="201" t="s">
        <v>739</v>
      </c>
      <c r="AH28" s="377"/>
      <c r="AI28" s="378"/>
      <c r="AJ28" s="378"/>
      <c r="AK28" s="379"/>
      <c r="AL28" s="203"/>
      <c r="AM28" s="169"/>
      <c r="AO28" s="169"/>
      <c r="AQ28" s="169"/>
      <c r="AS28" s="169"/>
      <c r="AX28" s="169"/>
      <c r="BA28" s="169"/>
      <c r="BB28" s="169"/>
    </row>
    <row r="29" spans="1:54" ht="10.5" x14ac:dyDescent="0.25">
      <c r="A29" s="369" t="str">
        <f>IF(ISBLANK(TInventW[[#This Row],[Bouwdeel omschrijving]]),"",CONCATENATE(TInventW[[#This Row],[Code Bouwdeeltype]],"-",TInventW[[#This Row],[Volgnr.]]))</f>
        <v/>
      </c>
      <c r="B29" s="365" t="str">
        <f>IF(ISBLANK(TInventW[[#This Row],[Bouwdeel omschrijving]]),"",VLOOKUP(TInventW[[#This Row],[Bouwdeel omschrijving]],TsblW[],2,FALSE))</f>
        <v/>
      </c>
      <c r="C29" s="366"/>
      <c r="D29" s="190"/>
      <c r="E29" s="365" t="str">
        <f>IF(ISBLANK(TInventW[[#This Row],[Bouwdeel omschrijving]]),"",$B$4)</f>
        <v/>
      </c>
      <c r="F29" s="191"/>
      <c r="G29" s="206"/>
      <c r="H29" s="203"/>
      <c r="I29" s="190"/>
      <c r="J29" s="365" t="str">
        <f>IF(ISBLANK(TInventW[[#This Row],[Bouwdeel omschrijving]]),"",VLOOKUP(TInventW[[#This Row],[Bouwdeel omschrijving]],TsblW[],4,FALSE))</f>
        <v/>
      </c>
      <c r="K29" s="365" t="str">
        <f>IF(ISBLANK(TInventW[[#This Row],[Bouwdeel omschrijving]]),"",VLOOKUP(TInventW[[#This Row],[Bouwdeel omschrijving]],TsblW[],3,FALSE))</f>
        <v/>
      </c>
      <c r="L29" s="380" t="str">
        <f t="shared" si="0"/>
        <v/>
      </c>
      <c r="M29" s="203"/>
      <c r="N29" s="370"/>
      <c r="O29" s="370"/>
      <c r="P29" s="205"/>
      <c r="Q29" s="381" t="str">
        <f>IF(ISBLANK(TInventW[[#This Row],[Technische levensduur 
'[jaren']]]),"",(TInventW[[#This Row],[Datum van constructie of productie
'[jjjj-mm-dd']]]+(TInventW[[#This Row],[Technische levensduur 
'[jaren']]]*365)))</f>
        <v/>
      </c>
      <c r="R29" s="372"/>
      <c r="S29" s="195"/>
      <c r="T29" s="195"/>
      <c r="U29" s="196"/>
      <c r="V29" s="190"/>
      <c r="W29" s="197" t="str">
        <f>IF(ISBLANK(TInventW[[#This Row],[Bouwdeel omschrijving]]),"",VLOOKUP(TInventW[[#This Row],[Bouwdeel omschrijving]],TsblW[],5,FALSE))</f>
        <v/>
      </c>
      <c r="X29" s="373"/>
      <c r="Y29" s="374"/>
      <c r="Z29" s="375"/>
      <c r="AA29" s="200"/>
      <c r="AB29" s="619"/>
      <c r="AC29" s="189"/>
      <c r="AD29" s="189"/>
      <c r="AE29" s="189"/>
      <c r="AF29" s="196" t="s">
        <v>739</v>
      </c>
      <c r="AG29" s="201" t="s">
        <v>739</v>
      </c>
      <c r="AH29" s="377"/>
      <c r="AI29" s="378"/>
      <c r="AJ29" s="378"/>
      <c r="AK29" s="379"/>
      <c r="AL29" s="203"/>
      <c r="AM29" s="169"/>
      <c r="AO29" s="169"/>
      <c r="AQ29" s="169"/>
      <c r="AS29" s="169"/>
      <c r="AX29" s="169"/>
      <c r="BA29" s="169"/>
      <c r="BB29" s="169"/>
    </row>
    <row r="30" spans="1:54" ht="10.5" x14ac:dyDescent="0.25">
      <c r="A30" s="369" t="str">
        <f>IF(ISBLANK(TInventW[[#This Row],[Bouwdeel omschrijving]]),"",CONCATENATE(TInventW[[#This Row],[Code Bouwdeeltype]],"-",TInventW[[#This Row],[Volgnr.]]))</f>
        <v/>
      </c>
      <c r="B30" s="365" t="str">
        <f>IF(ISBLANK(TInventW[[#This Row],[Bouwdeel omschrijving]]),"",VLOOKUP(TInventW[[#This Row],[Bouwdeel omschrijving]],TsblW[],2,FALSE))</f>
        <v/>
      </c>
      <c r="C30" s="366"/>
      <c r="D30" s="190"/>
      <c r="E30" s="365" t="str">
        <f>IF(ISBLANK(TInventW[[#This Row],[Bouwdeel omschrijving]]),"",$B$4)</f>
        <v/>
      </c>
      <c r="F30" s="191"/>
      <c r="G30" s="192"/>
      <c r="H30" s="193"/>
      <c r="I30" s="190"/>
      <c r="J30" s="365" t="str">
        <f>IF(ISBLANK(TInventW[[#This Row],[Bouwdeel omschrijving]]),"",VLOOKUP(TInventW[[#This Row],[Bouwdeel omschrijving]],TsblW[],4,FALSE))</f>
        <v/>
      </c>
      <c r="K30" s="365" t="str">
        <f>IF(ISBLANK(TInventW[[#This Row],[Bouwdeel omschrijving]]),"",VLOOKUP(TInventW[[#This Row],[Bouwdeel omschrijving]],TsblW[],3,FALSE))</f>
        <v/>
      </c>
      <c r="L30" s="382" t="str">
        <f t="shared" si="0"/>
        <v/>
      </c>
      <c r="M30" s="193"/>
      <c r="N30" s="370"/>
      <c r="O30" s="370"/>
      <c r="P30" s="205"/>
      <c r="Q30" s="381" t="str">
        <f>IF(ISBLANK(TInventW[[#This Row],[Technische levensduur 
'[jaren']]]),"",(TInventW[[#This Row],[Datum van constructie of productie
'[jjjj-mm-dd']]]+(TInventW[[#This Row],[Technische levensduur 
'[jaren']]]*365)))</f>
        <v/>
      </c>
      <c r="R30" s="372"/>
      <c r="S30" s="195"/>
      <c r="T30" s="195"/>
      <c r="U30" s="196"/>
      <c r="V30" s="190"/>
      <c r="W30" s="197" t="str">
        <f>IF(ISBLANK(TInventW[[#This Row],[Bouwdeel omschrijving]]),"",VLOOKUP(TInventW[[#This Row],[Bouwdeel omschrijving]],TsblW[],5,FALSE))</f>
        <v/>
      </c>
      <c r="X30" s="373"/>
      <c r="Y30" s="374"/>
      <c r="Z30" s="375"/>
      <c r="AA30" s="200"/>
      <c r="AB30" s="619"/>
      <c r="AC30" s="189"/>
      <c r="AD30" s="189"/>
      <c r="AE30" s="189"/>
      <c r="AF30" s="196" t="s">
        <v>739</v>
      </c>
      <c r="AG30" s="201" t="s">
        <v>739</v>
      </c>
      <c r="AH30" s="377"/>
      <c r="AI30" s="378"/>
      <c r="AJ30" s="378"/>
      <c r="AK30" s="379"/>
      <c r="AL30" s="203"/>
      <c r="AM30" s="169"/>
      <c r="AO30" s="169"/>
      <c r="AQ30" s="169"/>
      <c r="AS30" s="169"/>
      <c r="AX30" s="169"/>
      <c r="BA30" s="169"/>
      <c r="BB30" s="169"/>
    </row>
    <row r="31" spans="1:54" ht="10.5" x14ac:dyDescent="0.25">
      <c r="A31" s="369" t="str">
        <f>IF(ISBLANK(TInventW[[#This Row],[Bouwdeel omschrijving]]),"",CONCATENATE(TInventW[[#This Row],[Code Bouwdeeltype]],"-",TInventW[[#This Row],[Volgnr.]]))</f>
        <v/>
      </c>
      <c r="B31" s="365" t="str">
        <f>IF(ISBLANK(TInventW[[#This Row],[Bouwdeel omschrijving]]),"",VLOOKUP(TInventW[[#This Row],[Bouwdeel omschrijving]],TsblW[],2,FALSE))</f>
        <v/>
      </c>
      <c r="C31" s="366"/>
      <c r="D31" s="190"/>
      <c r="E31" s="365" t="str">
        <f>IF(ISBLANK(TInventW[[#This Row],[Bouwdeel omschrijving]]),"",$B$4)</f>
        <v/>
      </c>
      <c r="F31" s="191"/>
      <c r="G31" s="206"/>
      <c r="H31" s="203"/>
      <c r="I31" s="190"/>
      <c r="J31" s="365" t="str">
        <f>IF(ISBLANK(TInventW[[#This Row],[Bouwdeel omschrijving]]),"",VLOOKUP(TInventW[[#This Row],[Bouwdeel omschrijving]],TsblW[],4,FALSE))</f>
        <v/>
      </c>
      <c r="K31" s="365" t="str">
        <f>IF(ISBLANK(TInventW[[#This Row],[Bouwdeel omschrijving]]),"",VLOOKUP(TInventW[[#This Row],[Bouwdeel omschrijving]],TsblW[],3,FALSE))</f>
        <v/>
      </c>
      <c r="L31" s="380" t="str">
        <f t="shared" si="0"/>
        <v/>
      </c>
      <c r="M31" s="203"/>
      <c r="N31" s="370"/>
      <c r="O31" s="370"/>
      <c r="P31" s="205"/>
      <c r="Q31" s="381" t="str">
        <f>IF(ISBLANK(TInventW[[#This Row],[Technische levensduur 
'[jaren']]]),"",(TInventW[[#This Row],[Datum van constructie of productie
'[jjjj-mm-dd']]]+(TInventW[[#This Row],[Technische levensduur 
'[jaren']]]*365)))</f>
        <v/>
      </c>
      <c r="R31" s="372"/>
      <c r="S31" s="195"/>
      <c r="T31" s="195"/>
      <c r="U31" s="196"/>
      <c r="V31" s="190"/>
      <c r="W31" s="197" t="str">
        <f>IF(ISBLANK(TInventW[[#This Row],[Bouwdeel omschrijving]]),"",VLOOKUP(TInventW[[#This Row],[Bouwdeel omschrijving]],TsblW[],5,FALSE))</f>
        <v/>
      </c>
      <c r="X31" s="373"/>
      <c r="Y31" s="374"/>
      <c r="Z31" s="375"/>
      <c r="AA31" s="200"/>
      <c r="AB31" s="619"/>
      <c r="AC31" s="189"/>
      <c r="AD31" s="189"/>
      <c r="AE31" s="189"/>
      <c r="AF31" s="196" t="s">
        <v>739</v>
      </c>
      <c r="AG31" s="201" t="s">
        <v>739</v>
      </c>
      <c r="AH31" s="377"/>
      <c r="AI31" s="378"/>
      <c r="AJ31" s="378"/>
      <c r="AK31" s="379"/>
      <c r="AL31" s="203"/>
      <c r="AM31" s="169"/>
      <c r="AO31" s="169"/>
      <c r="AQ31" s="169"/>
      <c r="AS31" s="169"/>
      <c r="AX31" s="169"/>
      <c r="BA31" s="169"/>
      <c r="BB31" s="169"/>
    </row>
    <row r="32" spans="1:54" ht="10.5" x14ac:dyDescent="0.25">
      <c r="A32" s="369" t="str">
        <f>IF(ISBLANK(TInventW[[#This Row],[Bouwdeel omschrijving]]),"",CONCATENATE(TInventW[[#This Row],[Code Bouwdeeltype]],"-",TInventW[[#This Row],[Volgnr.]]))</f>
        <v/>
      </c>
      <c r="B32" s="365" t="str">
        <f>IF(ISBLANK(TInventW[[#This Row],[Bouwdeel omschrijving]]),"",VLOOKUP(TInventW[[#This Row],[Bouwdeel omschrijving]],TsblW[],2,FALSE))</f>
        <v/>
      </c>
      <c r="C32" s="366"/>
      <c r="D32" s="190"/>
      <c r="E32" s="365" t="str">
        <f>IF(ISBLANK(TInventW[[#This Row],[Bouwdeel omschrijving]]),"",$B$4)</f>
        <v/>
      </c>
      <c r="F32" s="191"/>
      <c r="G32" s="192"/>
      <c r="H32" s="193"/>
      <c r="I32" s="190"/>
      <c r="J32" s="365" t="str">
        <f>IF(ISBLANK(TInventW[[#This Row],[Bouwdeel omschrijving]]),"",VLOOKUP(TInventW[[#This Row],[Bouwdeel omschrijving]],TsblW[],4,FALSE))</f>
        <v/>
      </c>
      <c r="K32" s="365" t="str">
        <f>IF(ISBLANK(TInventW[[#This Row],[Bouwdeel omschrijving]]),"",VLOOKUP(TInventW[[#This Row],[Bouwdeel omschrijving]],TsblW[],3,FALSE))</f>
        <v/>
      </c>
      <c r="L32" s="382" t="str">
        <f t="shared" si="0"/>
        <v/>
      </c>
      <c r="M32" s="193"/>
      <c r="N32" s="370"/>
      <c r="O32" s="370"/>
      <c r="P32" s="205"/>
      <c r="Q32" s="381" t="str">
        <f>IF(ISBLANK(TInventW[[#This Row],[Technische levensduur 
'[jaren']]]),"",(TInventW[[#This Row],[Datum van constructie of productie
'[jjjj-mm-dd']]]+(TInventW[[#This Row],[Technische levensduur 
'[jaren']]]*365)))</f>
        <v/>
      </c>
      <c r="R32" s="372"/>
      <c r="S32" s="195"/>
      <c r="T32" s="195"/>
      <c r="U32" s="196"/>
      <c r="V32" s="190"/>
      <c r="W32" s="197" t="str">
        <f>IF(ISBLANK(TInventW[[#This Row],[Bouwdeel omschrijving]]),"",VLOOKUP(TInventW[[#This Row],[Bouwdeel omschrijving]],TsblW[],5,FALSE))</f>
        <v/>
      </c>
      <c r="X32" s="373"/>
      <c r="Y32" s="374"/>
      <c r="Z32" s="375"/>
      <c r="AA32" s="200"/>
      <c r="AB32" s="619"/>
      <c r="AC32" s="189"/>
      <c r="AD32" s="189"/>
      <c r="AE32" s="189"/>
      <c r="AF32" s="196" t="s">
        <v>739</v>
      </c>
      <c r="AG32" s="201" t="s">
        <v>739</v>
      </c>
      <c r="AH32" s="377"/>
      <c r="AI32" s="378"/>
      <c r="AJ32" s="378"/>
      <c r="AK32" s="379"/>
      <c r="AL32" s="203"/>
      <c r="AM32" s="169"/>
      <c r="AO32" s="169"/>
      <c r="AQ32" s="169"/>
      <c r="AS32" s="169"/>
      <c r="AX32" s="169"/>
      <c r="BA32" s="169"/>
      <c r="BB32" s="169"/>
    </row>
    <row r="33" spans="1:54" ht="10.5" x14ac:dyDescent="0.25">
      <c r="A33" s="369" t="str">
        <f>IF(ISBLANK(TInventW[[#This Row],[Bouwdeel omschrijving]]),"",CONCATENATE(TInventW[[#This Row],[Code Bouwdeeltype]],"-",TInventW[[#This Row],[Volgnr.]]))</f>
        <v/>
      </c>
      <c r="B33" s="365" t="str">
        <f>IF(ISBLANK(TInventW[[#This Row],[Bouwdeel omschrijving]]),"",VLOOKUP(TInventW[[#This Row],[Bouwdeel omschrijving]],TsblW[],2,FALSE))</f>
        <v/>
      </c>
      <c r="C33" s="366"/>
      <c r="D33" s="190"/>
      <c r="E33" s="365" t="str">
        <f>IF(ISBLANK(TInventW[[#This Row],[Bouwdeel omschrijving]]),"",$B$4)</f>
        <v/>
      </c>
      <c r="F33" s="191"/>
      <c r="G33" s="206"/>
      <c r="H33" s="203"/>
      <c r="I33" s="190"/>
      <c r="J33" s="365" t="str">
        <f>IF(ISBLANK(TInventW[[#This Row],[Bouwdeel omschrijving]]),"",VLOOKUP(TInventW[[#This Row],[Bouwdeel omschrijving]],TsblW[],4,FALSE))</f>
        <v/>
      </c>
      <c r="K33" s="365" t="str">
        <f>IF(ISBLANK(TInventW[[#This Row],[Bouwdeel omschrijving]]),"",VLOOKUP(TInventW[[#This Row],[Bouwdeel omschrijving]],TsblW[],3,FALSE))</f>
        <v/>
      </c>
      <c r="L33" s="380" t="str">
        <f t="shared" si="0"/>
        <v/>
      </c>
      <c r="M33" s="203"/>
      <c r="N33" s="370"/>
      <c r="O33" s="370"/>
      <c r="P33" s="205"/>
      <c r="Q33" s="381" t="str">
        <f>IF(ISBLANK(TInventW[[#This Row],[Technische levensduur 
'[jaren']]]),"",(TInventW[[#This Row],[Datum van constructie of productie
'[jjjj-mm-dd']]]+(TInventW[[#This Row],[Technische levensduur 
'[jaren']]]*365)))</f>
        <v/>
      </c>
      <c r="R33" s="372"/>
      <c r="S33" s="195"/>
      <c r="T33" s="195"/>
      <c r="U33" s="196"/>
      <c r="V33" s="190"/>
      <c r="W33" s="197" t="str">
        <f>IF(ISBLANK(TInventW[[#This Row],[Bouwdeel omschrijving]]),"",VLOOKUP(TInventW[[#This Row],[Bouwdeel omschrijving]],TsblW[],5,FALSE))</f>
        <v/>
      </c>
      <c r="X33" s="373"/>
      <c r="Y33" s="374"/>
      <c r="Z33" s="375"/>
      <c r="AA33" s="200"/>
      <c r="AB33" s="619"/>
      <c r="AC33" s="189"/>
      <c r="AD33" s="189"/>
      <c r="AE33" s="189"/>
      <c r="AF33" s="196" t="s">
        <v>739</v>
      </c>
      <c r="AG33" s="201" t="s">
        <v>739</v>
      </c>
      <c r="AH33" s="377"/>
      <c r="AI33" s="378"/>
      <c r="AJ33" s="378"/>
      <c r="AK33" s="379"/>
      <c r="AL33" s="203"/>
      <c r="AM33" s="169"/>
      <c r="AO33" s="169"/>
      <c r="AQ33" s="169"/>
      <c r="AS33" s="169"/>
      <c r="AX33" s="169"/>
      <c r="BA33" s="169"/>
      <c r="BB33" s="169"/>
    </row>
    <row r="34" spans="1:54" ht="10.5" x14ac:dyDescent="0.25">
      <c r="A34" s="369" t="str">
        <f>IF(ISBLANK(TInventW[[#This Row],[Bouwdeel omschrijving]]),"",CONCATENATE(TInventW[[#This Row],[Code Bouwdeeltype]],"-",TInventW[[#This Row],[Volgnr.]]))</f>
        <v/>
      </c>
      <c r="B34" s="365" t="str">
        <f>IF(ISBLANK(TInventW[[#This Row],[Bouwdeel omschrijving]]),"",VLOOKUP(TInventW[[#This Row],[Bouwdeel omschrijving]],TsblW[],2,FALSE))</f>
        <v/>
      </c>
      <c r="C34" s="366"/>
      <c r="D34" s="190"/>
      <c r="E34" s="365" t="str">
        <f>IF(ISBLANK(TInventW[[#This Row],[Bouwdeel omschrijving]]),"",$B$4)</f>
        <v/>
      </c>
      <c r="F34" s="191"/>
      <c r="G34" s="192"/>
      <c r="H34" s="193"/>
      <c r="I34" s="190"/>
      <c r="J34" s="365" t="str">
        <f>IF(ISBLANK(TInventW[[#This Row],[Bouwdeel omschrijving]]),"",VLOOKUP(TInventW[[#This Row],[Bouwdeel omschrijving]],TsblW[],4,FALSE))</f>
        <v/>
      </c>
      <c r="K34" s="365" t="str">
        <f>IF(ISBLANK(TInventW[[#This Row],[Bouwdeel omschrijving]]),"",VLOOKUP(TInventW[[#This Row],[Bouwdeel omschrijving]],TsblW[],3,FALSE))</f>
        <v/>
      </c>
      <c r="L34" s="382" t="str">
        <f t="shared" si="0"/>
        <v/>
      </c>
      <c r="M34" s="193"/>
      <c r="N34" s="370"/>
      <c r="O34" s="370"/>
      <c r="P34" s="205"/>
      <c r="Q34" s="381" t="str">
        <f>IF(ISBLANK(TInventW[[#This Row],[Technische levensduur 
'[jaren']]]),"",(TInventW[[#This Row],[Datum van constructie of productie
'[jjjj-mm-dd']]]+(TInventW[[#This Row],[Technische levensduur 
'[jaren']]]*365)))</f>
        <v/>
      </c>
      <c r="R34" s="372"/>
      <c r="S34" s="195"/>
      <c r="T34" s="195"/>
      <c r="U34" s="196"/>
      <c r="V34" s="190"/>
      <c r="W34" s="197" t="str">
        <f>IF(ISBLANK(TInventW[[#This Row],[Bouwdeel omschrijving]]),"",VLOOKUP(TInventW[[#This Row],[Bouwdeel omschrijving]],TsblW[],5,FALSE))</f>
        <v/>
      </c>
      <c r="X34" s="373"/>
      <c r="Y34" s="374"/>
      <c r="Z34" s="375"/>
      <c r="AA34" s="200"/>
      <c r="AB34" s="619"/>
      <c r="AC34" s="189"/>
      <c r="AD34" s="189"/>
      <c r="AE34" s="189"/>
      <c r="AF34" s="196" t="s">
        <v>739</v>
      </c>
      <c r="AG34" s="201" t="s">
        <v>739</v>
      </c>
      <c r="AH34" s="377"/>
      <c r="AI34" s="378"/>
      <c r="AJ34" s="378"/>
      <c r="AK34" s="379"/>
      <c r="AL34" s="203"/>
      <c r="AM34" s="169"/>
      <c r="AO34" s="169"/>
      <c r="AQ34" s="169"/>
      <c r="AS34" s="169"/>
      <c r="AX34" s="169"/>
      <c r="BA34" s="169"/>
      <c r="BB34" s="169"/>
    </row>
    <row r="35" spans="1:54" ht="10.5" x14ac:dyDescent="0.25">
      <c r="A35" s="369" t="str">
        <f>IF(ISBLANK(TInventW[[#This Row],[Bouwdeel omschrijving]]),"",CONCATENATE(TInventW[[#This Row],[Code Bouwdeeltype]],"-",TInventW[[#This Row],[Volgnr.]]))</f>
        <v/>
      </c>
      <c r="B35" s="365" t="str">
        <f>IF(ISBLANK(TInventW[[#This Row],[Bouwdeel omschrijving]]),"",VLOOKUP(TInventW[[#This Row],[Bouwdeel omschrijving]],TsblW[],2,FALSE))</f>
        <v/>
      </c>
      <c r="C35" s="366"/>
      <c r="D35" s="190"/>
      <c r="E35" s="365" t="str">
        <f>IF(ISBLANK(TInventW[[#This Row],[Bouwdeel omschrijving]]),"",$B$4)</f>
        <v/>
      </c>
      <c r="F35" s="191"/>
      <c r="G35" s="206"/>
      <c r="H35" s="203"/>
      <c r="I35" s="190"/>
      <c r="J35" s="365" t="str">
        <f>IF(ISBLANK(TInventW[[#This Row],[Bouwdeel omschrijving]]),"",VLOOKUP(TInventW[[#This Row],[Bouwdeel omschrijving]],TsblW[],4,FALSE))</f>
        <v/>
      </c>
      <c r="K35" s="365" t="str">
        <f>IF(ISBLANK(TInventW[[#This Row],[Bouwdeel omschrijving]]),"",VLOOKUP(TInventW[[#This Row],[Bouwdeel omschrijving]],TsblW[],3,FALSE))</f>
        <v/>
      </c>
      <c r="L35" s="382" t="str">
        <f t="shared" si="0"/>
        <v/>
      </c>
      <c r="M35" s="203"/>
      <c r="N35" s="370"/>
      <c r="O35" s="370"/>
      <c r="P35" s="205"/>
      <c r="Q35" s="381" t="str">
        <f>IF(ISBLANK(TInventW[[#This Row],[Technische levensduur 
'[jaren']]]),"",(TInventW[[#This Row],[Datum van constructie of productie
'[jjjj-mm-dd']]]+(TInventW[[#This Row],[Technische levensduur 
'[jaren']]]*365)))</f>
        <v/>
      </c>
      <c r="R35" s="372"/>
      <c r="S35" s="195"/>
      <c r="T35" s="195"/>
      <c r="U35" s="196"/>
      <c r="V35" s="190"/>
      <c r="W35" s="197" t="str">
        <f>IF(ISBLANK(TInventW[[#This Row],[Bouwdeel omschrijving]]),"",VLOOKUP(TInventW[[#This Row],[Bouwdeel omschrijving]],TsblW[],5,FALSE))</f>
        <v/>
      </c>
      <c r="X35" s="373"/>
      <c r="Y35" s="374"/>
      <c r="Z35" s="375"/>
      <c r="AA35" s="200"/>
      <c r="AB35" s="619"/>
      <c r="AC35" s="189"/>
      <c r="AD35" s="189"/>
      <c r="AE35" s="189"/>
      <c r="AF35" s="196" t="s">
        <v>739</v>
      </c>
      <c r="AG35" s="201" t="s">
        <v>739</v>
      </c>
      <c r="AH35" s="377"/>
      <c r="AI35" s="378"/>
      <c r="AJ35" s="378"/>
      <c r="AK35" s="379"/>
      <c r="AL35" s="203"/>
      <c r="AM35" s="169"/>
      <c r="AO35" s="169"/>
      <c r="AQ35" s="169"/>
      <c r="AS35" s="169"/>
      <c r="AX35" s="169"/>
      <c r="BA35" s="169"/>
      <c r="BB35" s="169"/>
    </row>
    <row r="36" spans="1:54" ht="10.5" x14ac:dyDescent="0.25">
      <c r="A36" s="369" t="str">
        <f>IF(ISBLANK(TInventW[[#This Row],[Bouwdeel omschrijving]]),"",CONCATENATE(TInventW[[#This Row],[Code Bouwdeeltype]],"-",TInventW[[#This Row],[Volgnr.]]))</f>
        <v/>
      </c>
      <c r="B36" s="365" t="str">
        <f>IF(ISBLANK(TInventW[[#This Row],[Bouwdeel omschrijving]]),"",VLOOKUP(TInventW[[#This Row],[Bouwdeel omschrijving]],TsblW[],2,FALSE))</f>
        <v/>
      </c>
      <c r="C36" s="366"/>
      <c r="D36" s="190"/>
      <c r="E36" s="365" t="str">
        <f>IF(ISBLANK(TInventW[[#This Row],[Bouwdeel omschrijving]]),"",$B$4)</f>
        <v/>
      </c>
      <c r="F36" s="191"/>
      <c r="G36" s="206"/>
      <c r="H36" s="203"/>
      <c r="I36" s="190"/>
      <c r="J36" s="365" t="str">
        <f>IF(ISBLANK(TInventW[[#This Row],[Bouwdeel omschrijving]]),"",VLOOKUP(TInventW[[#This Row],[Bouwdeel omschrijving]],TsblW[],4,FALSE))</f>
        <v/>
      </c>
      <c r="K36" s="365" t="str">
        <f>IF(ISBLANK(TInventW[[#This Row],[Bouwdeel omschrijving]]),"",VLOOKUP(TInventW[[#This Row],[Bouwdeel omschrijving]],TsblW[],3,FALSE))</f>
        <v/>
      </c>
      <c r="L36" s="382" t="str">
        <f t="shared" si="0"/>
        <v/>
      </c>
      <c r="M36" s="203"/>
      <c r="N36" s="370"/>
      <c r="O36" s="370"/>
      <c r="P36" s="205"/>
      <c r="Q36" s="381" t="str">
        <f>IF(ISBLANK(TInventW[[#This Row],[Technische levensduur 
'[jaren']]]),"",(TInventW[[#This Row],[Datum van constructie of productie
'[jjjj-mm-dd']]]+(TInventW[[#This Row],[Technische levensduur 
'[jaren']]]*365)))</f>
        <v/>
      </c>
      <c r="R36" s="372"/>
      <c r="S36" s="195"/>
      <c r="T36" s="195"/>
      <c r="U36" s="196"/>
      <c r="V36" s="190"/>
      <c r="W36" s="197" t="str">
        <f>IF(ISBLANK(TInventW[[#This Row],[Bouwdeel omschrijving]]),"",VLOOKUP(TInventW[[#This Row],[Bouwdeel omschrijving]],TsblW[],5,FALSE))</f>
        <v/>
      </c>
      <c r="X36" s="373"/>
      <c r="Y36" s="374"/>
      <c r="Z36" s="375"/>
      <c r="AA36" s="200"/>
      <c r="AB36" s="619"/>
      <c r="AC36" s="189"/>
      <c r="AD36" s="189"/>
      <c r="AE36" s="189"/>
      <c r="AF36" s="196" t="s">
        <v>739</v>
      </c>
      <c r="AG36" s="201" t="s">
        <v>739</v>
      </c>
      <c r="AH36" s="377"/>
      <c r="AI36" s="378"/>
      <c r="AJ36" s="378"/>
      <c r="AK36" s="379"/>
      <c r="AL36" s="203"/>
      <c r="AM36" s="169"/>
      <c r="AO36" s="169"/>
      <c r="AQ36" s="169"/>
      <c r="AS36" s="169"/>
      <c r="AX36" s="169"/>
      <c r="BA36" s="169"/>
      <c r="BB36" s="169"/>
    </row>
    <row r="37" spans="1:54" ht="10.5" x14ac:dyDescent="0.25">
      <c r="A37" s="369" t="str">
        <f>IF(ISBLANK(TInventW[[#This Row],[Bouwdeel omschrijving]]),"",CONCATENATE(TInventW[[#This Row],[Code Bouwdeeltype]],"-",TInventW[[#This Row],[Volgnr.]]))</f>
        <v/>
      </c>
      <c r="B37" s="365" t="str">
        <f>IF(ISBLANK(TInventW[[#This Row],[Bouwdeel omschrijving]]),"",VLOOKUP(TInventW[[#This Row],[Bouwdeel omschrijving]],TsblW[],2,FALSE))</f>
        <v/>
      </c>
      <c r="C37" s="366"/>
      <c r="D37" s="190"/>
      <c r="E37" s="365" t="str">
        <f>IF(ISBLANK(TInventW[[#This Row],[Bouwdeel omschrijving]]),"",$B$4)</f>
        <v/>
      </c>
      <c r="F37" s="191"/>
      <c r="G37" s="206"/>
      <c r="H37" s="203"/>
      <c r="I37" s="190"/>
      <c r="J37" s="365" t="str">
        <f>IF(ISBLANK(TInventW[[#This Row],[Bouwdeel omschrijving]]),"",VLOOKUP(TInventW[[#This Row],[Bouwdeel omschrijving]],TsblW[],4,FALSE))</f>
        <v/>
      </c>
      <c r="K37" s="365" t="str">
        <f>IF(ISBLANK(TInventW[[#This Row],[Bouwdeel omschrijving]]),"",VLOOKUP(TInventW[[#This Row],[Bouwdeel omschrijving]],TsblW[],3,FALSE))</f>
        <v/>
      </c>
      <c r="L37" s="382" t="str">
        <f t="shared" si="0"/>
        <v/>
      </c>
      <c r="M37" s="203"/>
      <c r="N37" s="370"/>
      <c r="O37" s="370"/>
      <c r="P37" s="205"/>
      <c r="Q37" s="381" t="str">
        <f>IF(ISBLANK(TInventW[[#This Row],[Technische levensduur 
'[jaren']]]),"",(TInventW[[#This Row],[Datum van constructie of productie
'[jjjj-mm-dd']]]+(TInventW[[#This Row],[Technische levensduur 
'[jaren']]]*365)))</f>
        <v/>
      </c>
      <c r="R37" s="372"/>
      <c r="S37" s="195"/>
      <c r="T37" s="195"/>
      <c r="U37" s="196"/>
      <c r="V37" s="190"/>
      <c r="W37" s="197" t="str">
        <f>IF(ISBLANK(TInventW[[#This Row],[Bouwdeel omschrijving]]),"",VLOOKUP(TInventW[[#This Row],[Bouwdeel omschrijving]],TsblW[],5,FALSE))</f>
        <v/>
      </c>
      <c r="X37" s="373"/>
      <c r="Y37" s="374"/>
      <c r="Z37" s="375"/>
      <c r="AA37" s="200"/>
      <c r="AB37" s="619"/>
      <c r="AC37" s="189"/>
      <c r="AD37" s="189"/>
      <c r="AE37" s="189"/>
      <c r="AF37" s="196" t="s">
        <v>739</v>
      </c>
      <c r="AG37" s="201" t="s">
        <v>739</v>
      </c>
      <c r="AH37" s="377"/>
      <c r="AI37" s="378"/>
      <c r="AJ37" s="378"/>
      <c r="AK37" s="379"/>
      <c r="AL37" s="203"/>
      <c r="AM37" s="169"/>
      <c r="AO37" s="169"/>
      <c r="AQ37" s="169"/>
      <c r="AS37" s="169"/>
      <c r="AX37" s="169"/>
      <c r="BA37" s="169"/>
      <c r="BB37" s="169"/>
    </row>
    <row r="38" spans="1:54" ht="10.5" x14ac:dyDescent="0.25">
      <c r="A38" s="369" t="str">
        <f>IF(ISBLANK(TInventW[[#This Row],[Bouwdeel omschrijving]]),"",CONCATENATE(TInventW[[#This Row],[Code Bouwdeeltype]],"-",TInventW[[#This Row],[Volgnr.]]))</f>
        <v/>
      </c>
      <c r="B38" s="365" t="str">
        <f>IF(ISBLANK(TInventW[[#This Row],[Bouwdeel omschrijving]]),"",VLOOKUP(TInventW[[#This Row],[Bouwdeel omschrijving]],TsblW[],2,FALSE))</f>
        <v/>
      </c>
      <c r="C38" s="366"/>
      <c r="D38" s="190"/>
      <c r="E38" s="365" t="str">
        <f>IF(ISBLANK(TInventW[[#This Row],[Bouwdeel omschrijving]]),"",$B$4)</f>
        <v/>
      </c>
      <c r="F38" s="191"/>
      <c r="G38" s="206"/>
      <c r="H38" s="203"/>
      <c r="I38" s="190"/>
      <c r="J38" s="365" t="str">
        <f>IF(ISBLANK(TInventW[[#This Row],[Bouwdeel omschrijving]]),"",VLOOKUP(TInventW[[#This Row],[Bouwdeel omschrijving]],TsblW[],4,FALSE))</f>
        <v/>
      </c>
      <c r="K38" s="365" t="str">
        <f>IF(ISBLANK(TInventW[[#This Row],[Bouwdeel omschrijving]]),"",VLOOKUP(TInventW[[#This Row],[Bouwdeel omschrijving]],TsblW[],3,FALSE))</f>
        <v/>
      </c>
      <c r="L38" s="382" t="str">
        <f t="shared" si="0"/>
        <v/>
      </c>
      <c r="M38" s="203"/>
      <c r="N38" s="370"/>
      <c r="O38" s="370"/>
      <c r="P38" s="205"/>
      <c r="Q38" s="381" t="str">
        <f>IF(ISBLANK(TInventW[[#This Row],[Technische levensduur 
'[jaren']]]),"",(TInventW[[#This Row],[Datum van constructie of productie
'[jjjj-mm-dd']]]+(TInventW[[#This Row],[Technische levensduur 
'[jaren']]]*365)))</f>
        <v/>
      </c>
      <c r="R38" s="372"/>
      <c r="S38" s="195"/>
      <c r="T38" s="195"/>
      <c r="U38" s="196"/>
      <c r="V38" s="190"/>
      <c r="W38" s="197" t="str">
        <f>IF(ISBLANK(TInventW[[#This Row],[Bouwdeel omschrijving]]),"",VLOOKUP(TInventW[[#This Row],[Bouwdeel omschrijving]],TsblW[],5,FALSE))</f>
        <v/>
      </c>
      <c r="X38" s="373"/>
      <c r="Y38" s="374"/>
      <c r="Z38" s="375"/>
      <c r="AA38" s="200"/>
      <c r="AB38" s="619"/>
      <c r="AC38" s="189"/>
      <c r="AD38" s="189"/>
      <c r="AE38" s="189"/>
      <c r="AF38" s="196" t="s">
        <v>739</v>
      </c>
      <c r="AG38" s="201" t="s">
        <v>739</v>
      </c>
      <c r="AH38" s="377"/>
      <c r="AI38" s="378"/>
      <c r="AJ38" s="378"/>
      <c r="AK38" s="379"/>
      <c r="AL38" s="203"/>
      <c r="AM38" s="169"/>
      <c r="AO38" s="169"/>
      <c r="AQ38" s="169"/>
      <c r="AS38" s="169"/>
      <c r="AX38" s="169"/>
      <c r="BA38" s="169"/>
      <c r="BB38" s="169"/>
    </row>
    <row r="39" spans="1:54" ht="10.5" x14ac:dyDescent="0.25">
      <c r="A39" s="369" t="str">
        <f>IF(ISBLANK(TInventW[[#This Row],[Bouwdeel omschrijving]]),"",CONCATENATE(TInventW[[#This Row],[Code Bouwdeeltype]],"-",TInventW[[#This Row],[Volgnr.]]))</f>
        <v/>
      </c>
      <c r="B39" s="365" t="str">
        <f>IF(ISBLANK(TInventW[[#This Row],[Bouwdeel omschrijving]]),"",VLOOKUP(TInventW[[#This Row],[Bouwdeel omschrijving]],TsblW[],2,FALSE))</f>
        <v/>
      </c>
      <c r="C39" s="366"/>
      <c r="D39" s="190"/>
      <c r="E39" s="365" t="str">
        <f>IF(ISBLANK(TInventW[[#This Row],[Bouwdeel omschrijving]]),"",$B$4)</f>
        <v/>
      </c>
      <c r="F39" s="191"/>
      <c r="G39" s="206"/>
      <c r="H39" s="203"/>
      <c r="I39" s="190"/>
      <c r="J39" s="365" t="str">
        <f>IF(ISBLANK(TInventW[[#This Row],[Bouwdeel omschrijving]]),"",VLOOKUP(TInventW[[#This Row],[Bouwdeel omschrijving]],TsblW[],4,FALSE))</f>
        <v/>
      </c>
      <c r="K39" s="365" t="str">
        <f>IF(ISBLANK(TInventW[[#This Row],[Bouwdeel omschrijving]]),"",VLOOKUP(TInventW[[#This Row],[Bouwdeel omschrijving]],TsblW[],3,FALSE))</f>
        <v/>
      </c>
      <c r="L39" s="382" t="str">
        <f t="shared" si="0"/>
        <v/>
      </c>
      <c r="M39" s="203"/>
      <c r="N39" s="370"/>
      <c r="O39" s="370"/>
      <c r="P39" s="205"/>
      <c r="Q39" s="381" t="str">
        <f>IF(ISBLANK(TInventW[[#This Row],[Technische levensduur 
'[jaren']]]),"",(TInventW[[#This Row],[Datum van constructie of productie
'[jjjj-mm-dd']]]+(TInventW[[#This Row],[Technische levensduur 
'[jaren']]]*365)))</f>
        <v/>
      </c>
      <c r="R39" s="372"/>
      <c r="S39" s="195"/>
      <c r="T39" s="195"/>
      <c r="U39" s="206"/>
      <c r="V39" s="190"/>
      <c r="W39" s="197" t="str">
        <f>IF(ISBLANK(TInventW[[#This Row],[Bouwdeel omschrijving]]),"",VLOOKUP(TInventW[[#This Row],[Bouwdeel omschrijving]],TsblW[],5,FALSE))</f>
        <v/>
      </c>
      <c r="X39" s="373"/>
      <c r="Y39" s="374"/>
      <c r="Z39" s="375"/>
      <c r="AA39" s="200"/>
      <c r="AB39" s="619"/>
      <c r="AC39" s="189"/>
      <c r="AD39" s="189"/>
      <c r="AE39" s="189"/>
      <c r="AF39" s="196" t="s">
        <v>739</v>
      </c>
      <c r="AG39" s="201" t="s">
        <v>739</v>
      </c>
      <c r="AH39" s="377"/>
      <c r="AI39" s="378"/>
      <c r="AJ39" s="378"/>
      <c r="AK39" s="379"/>
      <c r="AL39" s="203"/>
      <c r="AM39" s="169"/>
      <c r="AO39" s="169"/>
      <c r="AQ39" s="169"/>
      <c r="AS39" s="169"/>
      <c r="AX39" s="169"/>
      <c r="BA39" s="169"/>
      <c r="BB39" s="169"/>
    </row>
    <row r="40" spans="1:54" ht="10.5" x14ac:dyDescent="0.25">
      <c r="A40" s="369" t="str">
        <f>IF(ISBLANK(TInventW[[#This Row],[Bouwdeel omschrijving]]),"",CONCATENATE(TInventW[[#This Row],[Code Bouwdeeltype]],"-",TInventW[[#This Row],[Volgnr.]]))</f>
        <v/>
      </c>
      <c r="B40" s="365" t="str">
        <f>IF(ISBLANK(TInventW[[#This Row],[Bouwdeel omschrijving]]),"",VLOOKUP(TInventW[[#This Row],[Bouwdeel omschrijving]],TsblW[],2,FALSE))</f>
        <v/>
      </c>
      <c r="C40" s="366"/>
      <c r="D40" s="190"/>
      <c r="E40" s="365" t="str">
        <f>IF(ISBLANK(TInventW[[#This Row],[Bouwdeel omschrijving]]),"",$B$4)</f>
        <v/>
      </c>
      <c r="F40" s="191"/>
      <c r="G40" s="206"/>
      <c r="H40" s="203"/>
      <c r="I40" s="190"/>
      <c r="J40" s="365" t="str">
        <f>IF(ISBLANK(TInventW[[#This Row],[Bouwdeel omschrijving]]),"",VLOOKUP(TInventW[[#This Row],[Bouwdeel omschrijving]],TsblW[],4,FALSE))</f>
        <v/>
      </c>
      <c r="K40" s="365" t="str">
        <f>IF(ISBLANK(TInventW[[#This Row],[Bouwdeel omschrijving]]),"",VLOOKUP(TInventW[[#This Row],[Bouwdeel omschrijving]],TsblW[],3,FALSE))</f>
        <v/>
      </c>
      <c r="L40" s="382" t="str">
        <f t="shared" si="0"/>
        <v/>
      </c>
      <c r="M40" s="203"/>
      <c r="N40" s="370"/>
      <c r="O40" s="370"/>
      <c r="P40" s="205"/>
      <c r="Q40" s="381" t="str">
        <f>IF(ISBLANK(TInventW[[#This Row],[Technische levensduur 
'[jaren']]]),"",(TInventW[[#This Row],[Datum van constructie of productie
'[jjjj-mm-dd']]]+(TInventW[[#This Row],[Technische levensduur 
'[jaren']]]*365)))</f>
        <v/>
      </c>
      <c r="R40" s="372"/>
      <c r="S40" s="195"/>
      <c r="T40" s="195"/>
      <c r="U40" s="196"/>
      <c r="V40" s="190"/>
      <c r="W40" s="197" t="str">
        <f>IF(ISBLANK(TInventW[[#This Row],[Bouwdeel omschrijving]]),"",VLOOKUP(TInventW[[#This Row],[Bouwdeel omschrijving]],TsblW[],5,FALSE))</f>
        <v/>
      </c>
      <c r="X40" s="373"/>
      <c r="Y40" s="374"/>
      <c r="Z40" s="375"/>
      <c r="AA40" s="200"/>
      <c r="AB40" s="619"/>
      <c r="AC40" s="189"/>
      <c r="AD40" s="189"/>
      <c r="AE40" s="189"/>
      <c r="AF40" s="196" t="s">
        <v>739</v>
      </c>
      <c r="AG40" s="201" t="s">
        <v>739</v>
      </c>
      <c r="AH40" s="377"/>
      <c r="AI40" s="378"/>
      <c r="AJ40" s="378"/>
      <c r="AK40" s="379"/>
      <c r="AL40" s="203"/>
      <c r="AM40" s="169"/>
      <c r="AO40" s="169"/>
      <c r="AQ40" s="169"/>
      <c r="AS40" s="169"/>
      <c r="AX40" s="169"/>
      <c r="BA40" s="169"/>
      <c r="BB40" s="169"/>
    </row>
    <row r="41" spans="1:54" ht="10.5" x14ac:dyDescent="0.25">
      <c r="A41" s="369" t="str">
        <f>IF(ISBLANK(TInventW[[#This Row],[Bouwdeel omschrijving]]),"",CONCATENATE(TInventW[[#This Row],[Code Bouwdeeltype]],"-",TInventW[[#This Row],[Volgnr.]]))</f>
        <v/>
      </c>
      <c r="B41" s="365" t="str">
        <f>IF(ISBLANK(TInventW[[#This Row],[Bouwdeel omschrijving]]),"",VLOOKUP(TInventW[[#This Row],[Bouwdeel omschrijving]],TsblW[],2,FALSE))</f>
        <v/>
      </c>
      <c r="C41" s="366"/>
      <c r="D41" s="190"/>
      <c r="E41" s="365" t="str">
        <f>IF(ISBLANK(TInventW[[#This Row],[Bouwdeel omschrijving]]),"",$B$4)</f>
        <v/>
      </c>
      <c r="F41" s="191"/>
      <c r="G41" s="206"/>
      <c r="H41" s="203"/>
      <c r="I41" s="190"/>
      <c r="J41" s="365" t="str">
        <f>IF(ISBLANK(TInventW[[#This Row],[Bouwdeel omschrijving]]),"",VLOOKUP(TInventW[[#This Row],[Bouwdeel omschrijving]],TsblW[],4,FALSE))</f>
        <v/>
      </c>
      <c r="K41" s="365" t="str">
        <f>IF(ISBLANK(TInventW[[#This Row],[Bouwdeel omschrijving]]),"",VLOOKUP(TInventW[[#This Row],[Bouwdeel omschrijving]],TsblW[],3,FALSE))</f>
        <v/>
      </c>
      <c r="L41" s="382" t="str">
        <f t="shared" si="0"/>
        <v/>
      </c>
      <c r="M41" s="203"/>
      <c r="N41" s="370"/>
      <c r="O41" s="370"/>
      <c r="P41" s="205"/>
      <c r="Q41" s="381" t="str">
        <f>IF(ISBLANK(TInventW[[#This Row],[Technische levensduur 
'[jaren']]]),"",(TInventW[[#This Row],[Datum van constructie of productie
'[jjjj-mm-dd']]]+(TInventW[[#This Row],[Technische levensduur 
'[jaren']]]*365)))</f>
        <v/>
      </c>
      <c r="R41" s="372"/>
      <c r="S41" s="195"/>
      <c r="T41" s="195"/>
      <c r="U41" s="196"/>
      <c r="V41" s="190"/>
      <c r="W41" s="197" t="str">
        <f>IF(ISBLANK(TInventW[[#This Row],[Bouwdeel omschrijving]]),"",VLOOKUP(TInventW[[#This Row],[Bouwdeel omschrijving]],TsblW[],5,FALSE))</f>
        <v/>
      </c>
      <c r="X41" s="373"/>
      <c r="Y41" s="374"/>
      <c r="Z41" s="375"/>
      <c r="AA41" s="200"/>
      <c r="AB41" s="619"/>
      <c r="AC41" s="189"/>
      <c r="AD41" s="189"/>
      <c r="AE41" s="189"/>
      <c r="AF41" s="196" t="s">
        <v>739</v>
      </c>
      <c r="AG41" s="201" t="s">
        <v>739</v>
      </c>
      <c r="AH41" s="377"/>
      <c r="AI41" s="378"/>
      <c r="AJ41" s="378"/>
      <c r="AK41" s="379"/>
      <c r="AL41" s="203"/>
      <c r="AM41" s="169"/>
      <c r="AO41" s="169"/>
      <c r="AQ41" s="169"/>
      <c r="AS41" s="169"/>
      <c r="AX41" s="169"/>
      <c r="BA41" s="169"/>
      <c r="BB41" s="169"/>
    </row>
    <row r="42" spans="1:54" ht="10.5" x14ac:dyDescent="0.25">
      <c r="A42" s="369" t="str">
        <f>IF(ISBLANK(TInventW[[#This Row],[Bouwdeel omschrijving]]),"",CONCATENATE(TInventW[[#This Row],[Code Bouwdeeltype]],"-",TInventW[[#This Row],[Volgnr.]]))</f>
        <v/>
      </c>
      <c r="B42" s="365" t="str">
        <f>IF(ISBLANK(TInventW[[#This Row],[Bouwdeel omschrijving]]),"",VLOOKUP(TInventW[[#This Row],[Bouwdeel omschrijving]],TsblW[],2,FALSE))</f>
        <v/>
      </c>
      <c r="C42" s="366"/>
      <c r="D42" s="190"/>
      <c r="E42" s="365" t="str">
        <f>IF(ISBLANK(TInventW[[#This Row],[Bouwdeel omschrijving]]),"",$B$4)</f>
        <v/>
      </c>
      <c r="F42" s="191"/>
      <c r="G42" s="206"/>
      <c r="H42" s="203"/>
      <c r="I42" s="190"/>
      <c r="J42" s="365" t="str">
        <f>IF(ISBLANK(TInventW[[#This Row],[Bouwdeel omschrijving]]),"",VLOOKUP(TInventW[[#This Row],[Bouwdeel omschrijving]],TsblW[],4,FALSE))</f>
        <v/>
      </c>
      <c r="K42" s="365" t="str">
        <f>IF(ISBLANK(TInventW[[#This Row],[Bouwdeel omschrijving]]),"",VLOOKUP(TInventW[[#This Row],[Bouwdeel omschrijving]],TsblW[],3,FALSE))</f>
        <v/>
      </c>
      <c r="L42" s="382" t="str">
        <f t="shared" si="0"/>
        <v/>
      </c>
      <c r="M42" s="203"/>
      <c r="N42" s="370"/>
      <c r="O42" s="370"/>
      <c r="P42" s="205"/>
      <c r="Q42" s="381" t="str">
        <f>IF(ISBLANK(TInventW[[#This Row],[Technische levensduur 
'[jaren']]]),"",(TInventW[[#This Row],[Datum van constructie of productie
'[jjjj-mm-dd']]]+(TInventW[[#This Row],[Technische levensduur 
'[jaren']]]*365)))</f>
        <v/>
      </c>
      <c r="R42" s="372"/>
      <c r="S42" s="195"/>
      <c r="T42" s="195"/>
      <c r="U42" s="196"/>
      <c r="V42" s="190"/>
      <c r="W42" s="197" t="str">
        <f>IF(ISBLANK(TInventW[[#This Row],[Bouwdeel omschrijving]]),"",VLOOKUP(TInventW[[#This Row],[Bouwdeel omschrijving]],TsblW[],5,FALSE))</f>
        <v/>
      </c>
      <c r="X42" s="373"/>
      <c r="Y42" s="374"/>
      <c r="Z42" s="375"/>
      <c r="AA42" s="200"/>
      <c r="AB42" s="619"/>
      <c r="AC42" s="189"/>
      <c r="AD42" s="189"/>
      <c r="AE42" s="189"/>
      <c r="AF42" s="196" t="s">
        <v>739</v>
      </c>
      <c r="AG42" s="201" t="s">
        <v>739</v>
      </c>
      <c r="AH42" s="377"/>
      <c r="AI42" s="378"/>
      <c r="AJ42" s="378"/>
      <c r="AK42" s="379"/>
      <c r="AL42" s="203"/>
      <c r="AM42" s="169"/>
      <c r="AO42" s="169"/>
      <c r="AQ42" s="169"/>
      <c r="AS42" s="169"/>
      <c r="AX42" s="169"/>
      <c r="BA42" s="169"/>
      <c r="BB42" s="169"/>
    </row>
    <row r="43" spans="1:54" ht="10.5" x14ac:dyDescent="0.25">
      <c r="A43" s="369" t="str">
        <f>IF(ISBLANK(TInventW[[#This Row],[Bouwdeel omschrijving]]),"",CONCATENATE(TInventW[[#This Row],[Code Bouwdeeltype]],"-",TInventW[[#This Row],[Volgnr.]]))</f>
        <v/>
      </c>
      <c r="B43" s="365" t="str">
        <f>IF(ISBLANK(TInventW[[#This Row],[Bouwdeel omschrijving]]),"",VLOOKUP(TInventW[[#This Row],[Bouwdeel omschrijving]],TsblW[],2,FALSE))</f>
        <v/>
      </c>
      <c r="C43" s="366"/>
      <c r="D43" s="190"/>
      <c r="E43" s="365" t="str">
        <f>IF(ISBLANK(TInventW[[#This Row],[Bouwdeel omschrijving]]),"",$B$4)</f>
        <v/>
      </c>
      <c r="F43" s="191"/>
      <c r="G43" s="206"/>
      <c r="H43" s="203"/>
      <c r="I43" s="190"/>
      <c r="J43" s="365" t="str">
        <f>IF(ISBLANK(TInventW[[#This Row],[Bouwdeel omschrijving]]),"",VLOOKUP(TInventW[[#This Row],[Bouwdeel omschrijving]],TsblW[],4,FALSE))</f>
        <v/>
      </c>
      <c r="K43" s="365" t="str">
        <f>IF(ISBLANK(TInventW[[#This Row],[Bouwdeel omschrijving]]),"",VLOOKUP(TInventW[[#This Row],[Bouwdeel omschrijving]],TsblW[],3,FALSE))</f>
        <v/>
      </c>
      <c r="L43" s="382" t="str">
        <f t="shared" si="0"/>
        <v/>
      </c>
      <c r="M43" s="203"/>
      <c r="N43" s="370"/>
      <c r="O43" s="370"/>
      <c r="P43" s="205"/>
      <c r="Q43" s="381" t="str">
        <f>IF(ISBLANK(TInventW[[#This Row],[Technische levensduur 
'[jaren']]]),"",(TInventW[[#This Row],[Datum van constructie of productie
'[jjjj-mm-dd']]]+(TInventW[[#This Row],[Technische levensduur 
'[jaren']]]*365)))</f>
        <v/>
      </c>
      <c r="R43" s="372"/>
      <c r="S43" s="195"/>
      <c r="T43" s="195"/>
      <c r="U43" s="196"/>
      <c r="V43" s="190"/>
      <c r="W43" s="197" t="str">
        <f>IF(ISBLANK(TInventW[[#This Row],[Bouwdeel omschrijving]]),"",VLOOKUP(TInventW[[#This Row],[Bouwdeel omschrijving]],TsblW[],5,FALSE))</f>
        <v/>
      </c>
      <c r="X43" s="373"/>
      <c r="Y43" s="374"/>
      <c r="Z43" s="375"/>
      <c r="AA43" s="200"/>
      <c r="AB43" s="619"/>
      <c r="AC43" s="189"/>
      <c r="AD43" s="189"/>
      <c r="AE43" s="189"/>
      <c r="AF43" s="196" t="s">
        <v>739</v>
      </c>
      <c r="AG43" s="201" t="s">
        <v>739</v>
      </c>
      <c r="AH43" s="377"/>
      <c r="AI43" s="378"/>
      <c r="AJ43" s="378"/>
      <c r="AK43" s="379"/>
      <c r="AL43" s="203"/>
      <c r="AM43" s="169"/>
      <c r="AO43" s="169"/>
      <c r="AQ43" s="169"/>
      <c r="AS43" s="169"/>
      <c r="AX43" s="169"/>
      <c r="BA43" s="169"/>
      <c r="BB43" s="169"/>
    </row>
    <row r="44" spans="1:54" ht="10.5" x14ac:dyDescent="0.25">
      <c r="A44" s="369" t="str">
        <f>IF(ISBLANK(TInventW[[#This Row],[Bouwdeel omschrijving]]),"",CONCATENATE(TInventW[[#This Row],[Code Bouwdeeltype]],"-",TInventW[[#This Row],[Volgnr.]]))</f>
        <v/>
      </c>
      <c r="B44" s="365" t="str">
        <f>IF(ISBLANK(TInventW[[#This Row],[Bouwdeel omschrijving]]),"",VLOOKUP(TInventW[[#This Row],[Bouwdeel omschrijving]],TsblW[],2,FALSE))</f>
        <v/>
      </c>
      <c r="C44" s="366"/>
      <c r="D44" s="190"/>
      <c r="E44" s="365" t="str">
        <f>IF(ISBLANK(TInventW[[#This Row],[Bouwdeel omschrijving]]),"",$B$4)</f>
        <v/>
      </c>
      <c r="F44" s="191"/>
      <c r="G44" s="206"/>
      <c r="H44" s="203"/>
      <c r="I44" s="190"/>
      <c r="J44" s="365" t="str">
        <f>IF(ISBLANK(TInventW[[#This Row],[Bouwdeel omschrijving]]),"",VLOOKUP(TInventW[[#This Row],[Bouwdeel omschrijving]],TsblW[],4,FALSE))</f>
        <v/>
      </c>
      <c r="K44" s="365" t="str">
        <f>IF(ISBLANK(TInventW[[#This Row],[Bouwdeel omschrijving]]),"",VLOOKUP(TInventW[[#This Row],[Bouwdeel omschrijving]],TsblW[],3,FALSE))</f>
        <v/>
      </c>
      <c r="L44" s="382" t="str">
        <f t="shared" si="0"/>
        <v/>
      </c>
      <c r="M44" s="203"/>
      <c r="N44" s="370"/>
      <c r="O44" s="370"/>
      <c r="P44" s="205"/>
      <c r="Q44" s="381" t="str">
        <f>IF(ISBLANK(TInventW[[#This Row],[Technische levensduur 
'[jaren']]]),"",(TInventW[[#This Row],[Datum van constructie of productie
'[jjjj-mm-dd']]]+(TInventW[[#This Row],[Technische levensduur 
'[jaren']]]*365)))</f>
        <v/>
      </c>
      <c r="R44" s="372"/>
      <c r="S44" s="195"/>
      <c r="T44" s="195"/>
      <c r="U44" s="206"/>
      <c r="V44" s="190"/>
      <c r="W44" s="197" t="str">
        <f>IF(ISBLANK(TInventW[[#This Row],[Bouwdeel omschrijving]]),"",VLOOKUP(TInventW[[#This Row],[Bouwdeel omschrijving]],TsblW[],5,FALSE))</f>
        <v/>
      </c>
      <c r="X44" s="373"/>
      <c r="Y44" s="374"/>
      <c r="Z44" s="375"/>
      <c r="AA44" s="200"/>
      <c r="AB44" s="619"/>
      <c r="AC44" s="189"/>
      <c r="AD44" s="189"/>
      <c r="AE44" s="189"/>
      <c r="AF44" s="196" t="s">
        <v>739</v>
      </c>
      <c r="AG44" s="201" t="s">
        <v>739</v>
      </c>
      <c r="AH44" s="377"/>
      <c r="AI44" s="378"/>
      <c r="AJ44" s="378"/>
      <c r="AK44" s="379"/>
      <c r="AL44" s="203"/>
      <c r="AM44" s="169"/>
      <c r="AO44" s="169"/>
      <c r="AQ44" s="169"/>
      <c r="AS44" s="169"/>
      <c r="AX44" s="169"/>
      <c r="BA44" s="169"/>
      <c r="BB44" s="169"/>
    </row>
    <row r="45" spans="1:54" ht="10.5" x14ac:dyDescent="0.25">
      <c r="A45" s="369" t="str">
        <f>IF(ISBLANK(TInventW[[#This Row],[Bouwdeel omschrijving]]),"",CONCATENATE(TInventW[[#This Row],[Code Bouwdeeltype]],"-",TInventW[[#This Row],[Volgnr.]]))</f>
        <v/>
      </c>
      <c r="B45" s="365" t="str">
        <f>IF(ISBLANK(TInventW[[#This Row],[Bouwdeel omschrijving]]),"",VLOOKUP(TInventW[[#This Row],[Bouwdeel omschrijving]],TsblW[],2,FALSE))</f>
        <v/>
      </c>
      <c r="C45" s="366"/>
      <c r="D45" s="190"/>
      <c r="E45" s="365" t="str">
        <f>IF(ISBLANK(TInventW[[#This Row],[Bouwdeel omschrijving]]),"",$B$4)</f>
        <v/>
      </c>
      <c r="F45" s="191"/>
      <c r="G45" s="206"/>
      <c r="H45" s="203"/>
      <c r="I45" s="190"/>
      <c r="J45" s="365" t="str">
        <f>IF(ISBLANK(TInventW[[#This Row],[Bouwdeel omschrijving]]),"",VLOOKUP(TInventW[[#This Row],[Bouwdeel omschrijving]],TsblW[],4,FALSE))</f>
        <v/>
      </c>
      <c r="K45" s="365" t="str">
        <f>IF(ISBLANK(TInventW[[#This Row],[Bouwdeel omschrijving]]),"",VLOOKUP(TInventW[[#This Row],[Bouwdeel omschrijving]],TsblW[],3,FALSE))</f>
        <v/>
      </c>
      <c r="L45" s="382" t="str">
        <f t="shared" si="0"/>
        <v/>
      </c>
      <c r="M45" s="203"/>
      <c r="N45" s="370"/>
      <c r="O45" s="370"/>
      <c r="P45" s="205"/>
      <c r="Q45" s="381" t="str">
        <f>IF(ISBLANK(TInventW[[#This Row],[Technische levensduur 
'[jaren']]]),"",(TInventW[[#This Row],[Datum van constructie of productie
'[jjjj-mm-dd']]]+(TInventW[[#This Row],[Technische levensduur 
'[jaren']]]*365)))</f>
        <v/>
      </c>
      <c r="R45" s="372"/>
      <c r="S45" s="195"/>
      <c r="T45" s="195"/>
      <c r="U45" s="196"/>
      <c r="V45" s="190"/>
      <c r="W45" s="197" t="str">
        <f>IF(ISBLANK(TInventW[[#This Row],[Bouwdeel omschrijving]]),"",VLOOKUP(TInventW[[#This Row],[Bouwdeel omschrijving]],TsblW[],5,FALSE))</f>
        <v/>
      </c>
      <c r="X45" s="373"/>
      <c r="Y45" s="374"/>
      <c r="Z45" s="375"/>
      <c r="AA45" s="200"/>
      <c r="AB45" s="619"/>
      <c r="AC45" s="189"/>
      <c r="AD45" s="189"/>
      <c r="AE45" s="189"/>
      <c r="AF45" s="196" t="s">
        <v>739</v>
      </c>
      <c r="AG45" s="201" t="s">
        <v>739</v>
      </c>
      <c r="AH45" s="377"/>
      <c r="AI45" s="378"/>
      <c r="AJ45" s="378"/>
      <c r="AK45" s="379"/>
      <c r="AL45" s="203"/>
      <c r="AM45" s="169"/>
      <c r="AO45" s="169"/>
      <c r="AQ45" s="169"/>
      <c r="AS45" s="169"/>
      <c r="AX45" s="169"/>
      <c r="BA45" s="169"/>
      <c r="BB45" s="169"/>
    </row>
    <row r="46" spans="1:54" ht="10.5" x14ac:dyDescent="0.25">
      <c r="A46" s="369" t="str">
        <f>IF(ISBLANK(TInventW[[#This Row],[Bouwdeel omschrijving]]),"",CONCATENATE(TInventW[[#This Row],[Code Bouwdeeltype]],"-",TInventW[[#This Row],[Volgnr.]]))</f>
        <v/>
      </c>
      <c r="B46" s="365" t="str">
        <f>IF(ISBLANK(TInventW[[#This Row],[Bouwdeel omschrijving]]),"",VLOOKUP(TInventW[[#This Row],[Bouwdeel omschrijving]],TsblW[],2,FALSE))</f>
        <v/>
      </c>
      <c r="C46" s="366"/>
      <c r="D46" s="190"/>
      <c r="E46" s="365" t="str">
        <f>IF(ISBLANK(TInventW[[#This Row],[Bouwdeel omschrijving]]),"",$B$4)</f>
        <v/>
      </c>
      <c r="F46" s="191"/>
      <c r="G46" s="206"/>
      <c r="H46" s="203"/>
      <c r="I46" s="190"/>
      <c r="J46" s="365" t="str">
        <f>IF(ISBLANK(TInventW[[#This Row],[Bouwdeel omschrijving]]),"",VLOOKUP(TInventW[[#This Row],[Bouwdeel omschrijving]],TsblW[],4,FALSE))</f>
        <v/>
      </c>
      <c r="K46" s="365" t="str">
        <f>IF(ISBLANK(TInventW[[#This Row],[Bouwdeel omschrijving]]),"",VLOOKUP(TInventW[[#This Row],[Bouwdeel omschrijving]],TsblW[],3,FALSE))</f>
        <v/>
      </c>
      <c r="L46" s="369" t="str">
        <f t="shared" si="0"/>
        <v/>
      </c>
      <c r="M46" s="203"/>
      <c r="N46" s="370"/>
      <c r="O46" s="370"/>
      <c r="P46" s="205"/>
      <c r="Q46" s="381" t="str">
        <f>IF(ISBLANK(TInventW[[#This Row],[Technische levensduur 
'[jaren']]]),"",(TInventW[[#This Row],[Datum van constructie of productie
'[jjjj-mm-dd']]]+(TInventW[[#This Row],[Technische levensduur 
'[jaren']]]*365)))</f>
        <v/>
      </c>
      <c r="R46" s="372"/>
      <c r="S46" s="195"/>
      <c r="T46" s="195"/>
      <c r="U46" s="196"/>
      <c r="V46" s="190"/>
      <c r="W46" s="197" t="str">
        <f>IF(ISBLANK(TInventW[[#This Row],[Bouwdeel omschrijving]]),"",VLOOKUP(TInventW[[#This Row],[Bouwdeel omschrijving]],TsblW[],5,FALSE))</f>
        <v/>
      </c>
      <c r="X46" s="373"/>
      <c r="Y46" s="374"/>
      <c r="Z46" s="375"/>
      <c r="AA46" s="200"/>
      <c r="AB46" s="619"/>
      <c r="AC46" s="189"/>
      <c r="AD46" s="189"/>
      <c r="AE46" s="189"/>
      <c r="AF46" s="196" t="s">
        <v>739</v>
      </c>
      <c r="AG46" s="201" t="s">
        <v>739</v>
      </c>
      <c r="AH46" s="377"/>
      <c r="AI46" s="378"/>
      <c r="AJ46" s="378"/>
      <c r="AK46" s="379"/>
      <c r="AL46" s="203"/>
      <c r="AM46" s="169"/>
      <c r="AO46" s="169"/>
      <c r="AQ46" s="169"/>
      <c r="AS46" s="169"/>
      <c r="AX46" s="169"/>
      <c r="BA46" s="169"/>
      <c r="BB46" s="169"/>
    </row>
    <row r="47" spans="1:54" ht="10.5" x14ac:dyDescent="0.25">
      <c r="A47" s="369" t="str">
        <f>IF(ISBLANK(TInventW[[#This Row],[Bouwdeel omschrijving]]),"",CONCATENATE(TInventW[[#This Row],[Code Bouwdeeltype]],"-",TInventW[[#This Row],[Volgnr.]]))</f>
        <v/>
      </c>
      <c r="B47" s="365" t="str">
        <f>IF(ISBLANK(TInventW[[#This Row],[Bouwdeel omschrijving]]),"",VLOOKUP(TInventW[[#This Row],[Bouwdeel omschrijving]],TsblW[],2,FALSE))</f>
        <v/>
      </c>
      <c r="C47" s="366"/>
      <c r="D47" s="190"/>
      <c r="E47" s="365" t="str">
        <f>IF(ISBLANK(TInventW[[#This Row],[Bouwdeel omschrijving]]),"",$B$4)</f>
        <v/>
      </c>
      <c r="F47" s="191"/>
      <c r="G47" s="206"/>
      <c r="H47" s="203"/>
      <c r="I47" s="190"/>
      <c r="J47" s="365" t="str">
        <f>IF(ISBLANK(TInventW[[#This Row],[Bouwdeel omschrijving]]),"",VLOOKUP(TInventW[[#This Row],[Bouwdeel omschrijving]],TsblW[],4,FALSE))</f>
        <v/>
      </c>
      <c r="K47" s="365" t="str">
        <f>IF(ISBLANK(TInventW[[#This Row],[Bouwdeel omschrijving]]),"",VLOOKUP(TInventW[[#This Row],[Bouwdeel omschrijving]],TsblW[],3,FALSE))</f>
        <v/>
      </c>
      <c r="L47" s="369" t="str">
        <f t="shared" si="0"/>
        <v/>
      </c>
      <c r="M47" s="189"/>
      <c r="N47" s="370"/>
      <c r="O47" s="370"/>
      <c r="P47" s="205"/>
      <c r="Q47" s="381" t="str">
        <f>IF(ISBLANK(TInventW[[#This Row],[Technische levensduur 
'[jaren']]]),"",(TInventW[[#This Row],[Datum van constructie of productie
'[jjjj-mm-dd']]]+(TInventW[[#This Row],[Technische levensduur 
'[jaren']]]*365)))</f>
        <v/>
      </c>
      <c r="R47" s="372"/>
      <c r="S47" s="195"/>
      <c r="T47" s="195"/>
      <c r="U47" s="196"/>
      <c r="V47" s="190"/>
      <c r="W47" s="197" t="str">
        <f>IF(ISBLANK(TInventW[[#This Row],[Bouwdeel omschrijving]]),"",VLOOKUP(TInventW[[#This Row],[Bouwdeel omschrijving]],TsblW[],5,FALSE))</f>
        <v/>
      </c>
      <c r="X47" s="373"/>
      <c r="Y47" s="374"/>
      <c r="Z47" s="375"/>
      <c r="AA47" s="200"/>
      <c r="AB47" s="619"/>
      <c r="AC47" s="189"/>
      <c r="AD47" s="189"/>
      <c r="AE47" s="189"/>
      <c r="AF47" s="196" t="s">
        <v>739</v>
      </c>
      <c r="AG47" s="201" t="s">
        <v>739</v>
      </c>
      <c r="AH47" s="377"/>
      <c r="AI47" s="378"/>
      <c r="AJ47" s="378"/>
      <c r="AK47" s="379"/>
      <c r="AL47" s="189"/>
      <c r="AM47" s="169"/>
      <c r="AO47" s="169"/>
      <c r="AQ47" s="169"/>
      <c r="AS47" s="169"/>
      <c r="AX47" s="169"/>
      <c r="BA47" s="169"/>
      <c r="BB47" s="169"/>
    </row>
    <row r="48" spans="1:54" ht="10.5" x14ac:dyDescent="0.25">
      <c r="A48" s="369" t="str">
        <f>IF(ISBLANK(TInventW[[#This Row],[Bouwdeel omschrijving]]),"",CONCATENATE(TInventW[[#This Row],[Code Bouwdeeltype]],"-",TInventW[[#This Row],[Volgnr.]]))</f>
        <v/>
      </c>
      <c r="B48" s="365" t="str">
        <f>IF(ISBLANK(TInventW[[#This Row],[Bouwdeel omschrijving]]),"",VLOOKUP(TInventW[[#This Row],[Bouwdeel omschrijving]],TsblW[],2,FALSE))</f>
        <v/>
      </c>
      <c r="C48" s="366"/>
      <c r="D48" s="190"/>
      <c r="E48" s="365" t="str">
        <f>IF(ISBLANK(TInventW[[#This Row],[Bouwdeel omschrijving]]),"",$B$4)</f>
        <v/>
      </c>
      <c r="F48" s="191"/>
      <c r="G48" s="206"/>
      <c r="H48" s="203"/>
      <c r="I48" s="190"/>
      <c r="J48" s="365" t="str">
        <f>IF(ISBLANK(TInventW[[#This Row],[Bouwdeel omschrijving]]),"",VLOOKUP(TInventW[[#This Row],[Bouwdeel omschrijving]],TsblW[],4,FALSE))</f>
        <v/>
      </c>
      <c r="K48" s="365" t="str">
        <f>IF(ISBLANK(TInventW[[#This Row],[Bouwdeel omschrijving]]),"",VLOOKUP(TInventW[[#This Row],[Bouwdeel omschrijving]],TsblW[],3,FALSE))</f>
        <v/>
      </c>
      <c r="L48" s="369" t="str">
        <f t="shared" si="0"/>
        <v/>
      </c>
      <c r="M48" s="189"/>
      <c r="N48" s="370"/>
      <c r="O48" s="370"/>
      <c r="P48" s="205"/>
      <c r="Q48" s="381" t="str">
        <f>IF(ISBLANK(TInventW[[#This Row],[Technische levensduur 
'[jaren']]]),"",(TInventW[[#This Row],[Datum van constructie of productie
'[jjjj-mm-dd']]]+(TInventW[[#This Row],[Technische levensduur 
'[jaren']]]*365)))</f>
        <v/>
      </c>
      <c r="R48" s="372"/>
      <c r="S48" s="195"/>
      <c r="T48" s="195"/>
      <c r="U48" s="196"/>
      <c r="V48" s="190"/>
      <c r="W48" s="197" t="str">
        <f>IF(ISBLANK(TInventW[[#This Row],[Bouwdeel omschrijving]]),"",VLOOKUP(TInventW[[#This Row],[Bouwdeel omschrijving]],TsblW[],5,FALSE))</f>
        <v/>
      </c>
      <c r="X48" s="373"/>
      <c r="Y48" s="374"/>
      <c r="Z48" s="375"/>
      <c r="AA48" s="200"/>
      <c r="AB48" s="619"/>
      <c r="AC48" s="189"/>
      <c r="AD48" s="189"/>
      <c r="AE48" s="189"/>
      <c r="AF48" s="196" t="s">
        <v>739</v>
      </c>
      <c r="AG48" s="201" t="s">
        <v>739</v>
      </c>
      <c r="AH48" s="377"/>
      <c r="AI48" s="378"/>
      <c r="AJ48" s="378"/>
      <c r="AK48" s="379"/>
      <c r="AL48" s="189"/>
      <c r="AM48" s="169"/>
      <c r="AO48" s="169"/>
      <c r="AQ48" s="169"/>
      <c r="AS48" s="169"/>
      <c r="AX48" s="169"/>
      <c r="BA48" s="169"/>
      <c r="BB48" s="169"/>
    </row>
    <row r="49" spans="1:54" ht="10.5" x14ac:dyDescent="0.25">
      <c r="A49" s="369" t="str">
        <f>IF(ISBLANK(TInventW[[#This Row],[Bouwdeel omschrijving]]),"",CONCATENATE(TInventW[[#This Row],[Code Bouwdeeltype]],"-",TInventW[[#This Row],[Volgnr.]]))</f>
        <v/>
      </c>
      <c r="B49" s="365" t="str">
        <f>IF(ISBLANK(TInventW[[#This Row],[Bouwdeel omschrijving]]),"",VLOOKUP(TInventW[[#This Row],[Bouwdeel omschrijving]],TsblW[],2,FALSE))</f>
        <v/>
      </c>
      <c r="C49" s="366"/>
      <c r="D49" s="190"/>
      <c r="E49" s="365" t="str">
        <f>IF(ISBLANK(TInventW[[#This Row],[Bouwdeel omschrijving]]),"",$B$4)</f>
        <v/>
      </c>
      <c r="F49" s="383"/>
      <c r="G49" s="206"/>
      <c r="H49" s="203"/>
      <c r="I49" s="190"/>
      <c r="J49" s="365" t="str">
        <f>IF(ISBLANK(TInventW[[#This Row],[Bouwdeel omschrijving]]),"",VLOOKUP(TInventW[[#This Row],[Bouwdeel omschrijving]],TsblW[],4,FALSE))</f>
        <v/>
      </c>
      <c r="K49" s="365" t="str">
        <f>IF(ISBLANK(TInventW[[#This Row],[Bouwdeel omschrijving]]),"",VLOOKUP(TInventW[[#This Row],[Bouwdeel omschrijving]],TsblW[],3,FALSE))</f>
        <v/>
      </c>
      <c r="L49" s="369" t="str">
        <f t="shared" si="0"/>
        <v/>
      </c>
      <c r="M49" s="189"/>
      <c r="N49" s="370"/>
      <c r="O49" s="370"/>
      <c r="P49" s="205"/>
      <c r="Q49" s="381" t="str">
        <f>IF(ISBLANK(TInventW[[#This Row],[Technische levensduur 
'[jaren']]]),"",(TInventW[[#This Row],[Datum van constructie of productie
'[jjjj-mm-dd']]]+(TInventW[[#This Row],[Technische levensduur 
'[jaren']]]*365)))</f>
        <v/>
      </c>
      <c r="R49" s="372"/>
      <c r="S49" s="195"/>
      <c r="T49" s="195"/>
      <c r="U49" s="196"/>
      <c r="V49" s="190"/>
      <c r="W49" s="197" t="str">
        <f>IF(ISBLANK(TInventW[[#This Row],[Bouwdeel omschrijving]]),"",VLOOKUP(TInventW[[#This Row],[Bouwdeel omschrijving]],TsblW[],5,FALSE))</f>
        <v/>
      </c>
      <c r="X49" s="373"/>
      <c r="Y49" s="374"/>
      <c r="Z49" s="375"/>
      <c r="AA49" s="200"/>
      <c r="AB49" s="619"/>
      <c r="AC49" s="189"/>
      <c r="AD49" s="189"/>
      <c r="AE49" s="189"/>
      <c r="AF49" s="196" t="s">
        <v>739</v>
      </c>
      <c r="AG49" s="201" t="s">
        <v>739</v>
      </c>
      <c r="AH49" s="377"/>
      <c r="AI49" s="378"/>
      <c r="AJ49" s="378"/>
      <c r="AK49" s="379"/>
      <c r="AL49" s="189"/>
      <c r="AM49" s="169"/>
      <c r="AO49" s="169"/>
      <c r="AQ49" s="169"/>
      <c r="AS49" s="169"/>
      <c r="AX49" s="169"/>
      <c r="BA49" s="169"/>
      <c r="BB49" s="169"/>
    </row>
    <row r="50" spans="1:54" ht="10.5" x14ac:dyDescent="0.25">
      <c r="A50" s="369" t="str">
        <f>IF(ISBLANK(TInventW[[#This Row],[Bouwdeel omschrijving]]),"",CONCATENATE(TInventW[[#This Row],[Code Bouwdeeltype]],"-",TInventW[[#This Row],[Volgnr.]]))</f>
        <v/>
      </c>
      <c r="B50" s="365" t="str">
        <f>IF(ISBLANK(TInventW[[#This Row],[Bouwdeel omschrijving]]),"",VLOOKUP(TInventW[[#This Row],[Bouwdeel omschrijving]],TsblW[],2,FALSE))</f>
        <v/>
      </c>
      <c r="C50" s="366"/>
      <c r="D50" s="190"/>
      <c r="E50" s="365" t="str">
        <f>IF(ISBLANK(TInventW[[#This Row],[Bouwdeel omschrijving]]),"",$B$4)</f>
        <v/>
      </c>
      <c r="F50" s="191"/>
      <c r="G50" s="206"/>
      <c r="H50" s="203"/>
      <c r="I50" s="190"/>
      <c r="J50" s="365" t="str">
        <f>IF(ISBLANK(TInventW[[#This Row],[Bouwdeel omschrijving]]),"",VLOOKUP(TInventW[[#This Row],[Bouwdeel omschrijving]],TsblW[],4,FALSE))</f>
        <v/>
      </c>
      <c r="K50" s="365" t="str">
        <f>IF(ISBLANK(TInventW[[#This Row],[Bouwdeel omschrijving]]),"",VLOOKUP(TInventW[[#This Row],[Bouwdeel omschrijving]],TsblW[],3,FALSE))</f>
        <v/>
      </c>
      <c r="L50" s="369" t="str">
        <f t="shared" si="0"/>
        <v/>
      </c>
      <c r="M50" s="189"/>
      <c r="N50" s="370"/>
      <c r="O50" s="370"/>
      <c r="P50" s="205"/>
      <c r="Q50" s="381" t="str">
        <f>IF(ISBLANK(TInventW[[#This Row],[Technische levensduur 
'[jaren']]]),"",(TInventW[[#This Row],[Datum van constructie of productie
'[jjjj-mm-dd']]]+(TInventW[[#This Row],[Technische levensduur 
'[jaren']]]*365)))</f>
        <v/>
      </c>
      <c r="R50" s="372"/>
      <c r="S50" s="195"/>
      <c r="T50" s="195"/>
      <c r="U50" s="196"/>
      <c r="V50" s="190"/>
      <c r="W50" s="197" t="str">
        <f>IF(ISBLANK(TInventW[[#This Row],[Bouwdeel omschrijving]]),"",VLOOKUP(TInventW[[#This Row],[Bouwdeel omschrijving]],TsblW[],5,FALSE))</f>
        <v/>
      </c>
      <c r="X50" s="373"/>
      <c r="Y50" s="374"/>
      <c r="Z50" s="375"/>
      <c r="AA50" s="200"/>
      <c r="AB50" s="619"/>
      <c r="AC50" s="189"/>
      <c r="AD50" s="189"/>
      <c r="AE50" s="189"/>
      <c r="AF50" s="196" t="s">
        <v>739</v>
      </c>
      <c r="AG50" s="201" t="s">
        <v>739</v>
      </c>
      <c r="AH50" s="377"/>
      <c r="AI50" s="378"/>
      <c r="AJ50" s="378"/>
      <c r="AK50" s="379"/>
      <c r="AL50" s="189"/>
      <c r="AM50" s="169"/>
      <c r="AO50" s="169"/>
      <c r="AQ50" s="169"/>
      <c r="AS50" s="169"/>
      <c r="AX50" s="169"/>
      <c r="BA50" s="169"/>
      <c r="BB50" s="169"/>
    </row>
    <row r="51" spans="1:54" ht="10.5" x14ac:dyDescent="0.25">
      <c r="A51" s="369" t="str">
        <f>IF(ISBLANK(TInventW[[#This Row],[Bouwdeel omschrijving]]),"",CONCATENATE(TInventW[[#This Row],[Code Bouwdeeltype]],"-",TInventW[[#This Row],[Volgnr.]]))</f>
        <v/>
      </c>
      <c r="B51" s="365" t="str">
        <f>IF(ISBLANK(TInventW[[#This Row],[Bouwdeel omschrijving]]),"",VLOOKUP(TInventW[[#This Row],[Bouwdeel omschrijving]],TsblW[],2,FALSE))</f>
        <v/>
      </c>
      <c r="C51" s="366"/>
      <c r="D51" s="190"/>
      <c r="E51" s="365" t="str">
        <f>IF(ISBLANK(TInventW[[#This Row],[Bouwdeel omschrijving]]),"",$B$4)</f>
        <v/>
      </c>
      <c r="F51" s="191"/>
      <c r="G51" s="206"/>
      <c r="H51" s="203"/>
      <c r="I51" s="190"/>
      <c r="J51" s="365" t="str">
        <f>IF(ISBLANK(TInventW[[#This Row],[Bouwdeel omschrijving]]),"",VLOOKUP(TInventW[[#This Row],[Bouwdeel omschrijving]],TsblW[],4,FALSE))</f>
        <v/>
      </c>
      <c r="K51" s="365" t="str">
        <f>IF(ISBLANK(TInventW[[#This Row],[Bouwdeel omschrijving]]),"",VLOOKUP(TInventW[[#This Row],[Bouwdeel omschrijving]],TsblW[],3,FALSE))</f>
        <v/>
      </c>
      <c r="L51" s="369" t="str">
        <f t="shared" si="0"/>
        <v/>
      </c>
      <c r="M51" s="189"/>
      <c r="N51" s="370"/>
      <c r="O51" s="370"/>
      <c r="P51" s="205"/>
      <c r="Q51" s="381" t="str">
        <f>IF(ISBLANK(TInventW[[#This Row],[Technische levensduur 
'[jaren']]]),"",(TInventW[[#This Row],[Datum van constructie of productie
'[jjjj-mm-dd']]]+(TInventW[[#This Row],[Technische levensduur 
'[jaren']]]*365)))</f>
        <v/>
      </c>
      <c r="R51" s="372"/>
      <c r="S51" s="195"/>
      <c r="T51" s="195"/>
      <c r="U51" s="196"/>
      <c r="V51" s="190"/>
      <c r="W51" s="197" t="str">
        <f>IF(ISBLANK(TInventW[[#This Row],[Bouwdeel omschrijving]]),"",VLOOKUP(TInventW[[#This Row],[Bouwdeel omschrijving]],TsblW[],5,FALSE))</f>
        <v/>
      </c>
      <c r="X51" s="373"/>
      <c r="Y51" s="374"/>
      <c r="Z51" s="375"/>
      <c r="AA51" s="200"/>
      <c r="AB51" s="619"/>
      <c r="AC51" s="189"/>
      <c r="AD51" s="189"/>
      <c r="AE51" s="189"/>
      <c r="AF51" s="196" t="s">
        <v>739</v>
      </c>
      <c r="AG51" s="201" t="s">
        <v>739</v>
      </c>
      <c r="AH51" s="377"/>
      <c r="AI51" s="378"/>
      <c r="AJ51" s="378"/>
      <c r="AK51" s="379"/>
      <c r="AL51" s="189"/>
      <c r="AM51" s="169"/>
      <c r="AO51" s="169"/>
      <c r="AQ51" s="169"/>
      <c r="AS51" s="169"/>
      <c r="AX51" s="169"/>
      <c r="BA51" s="169"/>
      <c r="BB51" s="169"/>
    </row>
    <row r="52" spans="1:54" ht="10.5" x14ac:dyDescent="0.25">
      <c r="A52" s="369" t="str">
        <f>IF(ISBLANK(TInventW[[#This Row],[Bouwdeel omschrijving]]),"",CONCATENATE(TInventW[[#This Row],[Code Bouwdeeltype]],"-",TInventW[[#This Row],[Volgnr.]]))</f>
        <v/>
      </c>
      <c r="B52" s="365" t="str">
        <f>IF(ISBLANK(TInventW[[#This Row],[Bouwdeel omschrijving]]),"",VLOOKUP(TInventW[[#This Row],[Bouwdeel omschrijving]],TsblW[],2,FALSE))</f>
        <v/>
      </c>
      <c r="C52" s="366"/>
      <c r="D52" s="190"/>
      <c r="E52" s="365" t="str">
        <f>IF(ISBLANK(TInventW[[#This Row],[Bouwdeel omschrijving]]),"",$B$4)</f>
        <v/>
      </c>
      <c r="F52" s="191"/>
      <c r="G52" s="206"/>
      <c r="H52" s="203"/>
      <c r="I52" s="190"/>
      <c r="J52" s="365" t="str">
        <f>IF(ISBLANK(TInventW[[#This Row],[Bouwdeel omschrijving]]),"",VLOOKUP(TInventW[[#This Row],[Bouwdeel omschrijving]],TsblW[],4,FALSE))</f>
        <v/>
      </c>
      <c r="K52" s="365" t="str">
        <f>IF(ISBLANK(TInventW[[#This Row],[Bouwdeel omschrijving]]),"",VLOOKUP(TInventW[[#This Row],[Bouwdeel omschrijving]],TsblW[],3,FALSE))</f>
        <v/>
      </c>
      <c r="L52" s="369" t="str">
        <f t="shared" si="0"/>
        <v/>
      </c>
      <c r="M52" s="189"/>
      <c r="N52" s="370"/>
      <c r="O52" s="370"/>
      <c r="P52" s="205"/>
      <c r="Q52" s="381" t="str">
        <f>IF(ISBLANK(TInventW[[#This Row],[Technische levensduur 
'[jaren']]]),"",(TInventW[[#This Row],[Datum van constructie of productie
'[jjjj-mm-dd']]]+(TInventW[[#This Row],[Technische levensduur 
'[jaren']]]*365)))</f>
        <v/>
      </c>
      <c r="R52" s="372"/>
      <c r="S52" s="195"/>
      <c r="T52" s="195"/>
      <c r="U52" s="196"/>
      <c r="V52" s="190"/>
      <c r="W52" s="197" t="str">
        <f>IF(ISBLANK(TInventW[[#This Row],[Bouwdeel omschrijving]]),"",VLOOKUP(TInventW[[#This Row],[Bouwdeel omschrijving]],TsblW[],5,FALSE))</f>
        <v/>
      </c>
      <c r="X52" s="373"/>
      <c r="Y52" s="374"/>
      <c r="Z52" s="375"/>
      <c r="AA52" s="200"/>
      <c r="AB52" s="619"/>
      <c r="AC52" s="189"/>
      <c r="AD52" s="189"/>
      <c r="AE52" s="189"/>
      <c r="AF52" s="196" t="s">
        <v>739</v>
      </c>
      <c r="AG52" s="201" t="s">
        <v>739</v>
      </c>
      <c r="AH52" s="377"/>
      <c r="AI52" s="378"/>
      <c r="AJ52" s="378"/>
      <c r="AK52" s="379"/>
      <c r="AL52" s="189"/>
      <c r="AM52" s="169"/>
      <c r="AO52" s="169"/>
      <c r="AQ52" s="169"/>
      <c r="AS52" s="169"/>
      <c r="AX52" s="169"/>
      <c r="BA52" s="169"/>
      <c r="BB52" s="169"/>
    </row>
    <row r="53" spans="1:54" ht="10.5" x14ac:dyDescent="0.25">
      <c r="A53" s="369" t="str">
        <f>IF(ISBLANK(TInventW[[#This Row],[Bouwdeel omschrijving]]),"",CONCATENATE(TInventW[[#This Row],[Code Bouwdeeltype]],"-",TInventW[[#This Row],[Volgnr.]]))</f>
        <v/>
      </c>
      <c r="B53" s="365" t="str">
        <f>IF(ISBLANK(TInventW[[#This Row],[Bouwdeel omschrijving]]),"",VLOOKUP(TInventW[[#This Row],[Bouwdeel omschrijving]],TsblW[],2,FALSE))</f>
        <v/>
      </c>
      <c r="C53" s="366"/>
      <c r="D53" s="190"/>
      <c r="E53" s="365" t="str">
        <f>IF(ISBLANK(TInventW[[#This Row],[Bouwdeel omschrijving]]),"",$B$4)</f>
        <v/>
      </c>
      <c r="F53" s="191"/>
      <c r="G53" s="206"/>
      <c r="H53" s="203"/>
      <c r="I53" s="190"/>
      <c r="J53" s="365" t="str">
        <f>IF(ISBLANK(TInventW[[#This Row],[Bouwdeel omschrijving]]),"",VLOOKUP(TInventW[[#This Row],[Bouwdeel omschrijving]],TsblW[],4,FALSE))</f>
        <v/>
      </c>
      <c r="K53" s="365" t="str">
        <f>IF(ISBLANK(TInventW[[#This Row],[Bouwdeel omschrijving]]),"",VLOOKUP(TInventW[[#This Row],[Bouwdeel omschrijving]],TsblW[],3,FALSE))</f>
        <v/>
      </c>
      <c r="L53" s="369" t="str">
        <f t="shared" si="0"/>
        <v/>
      </c>
      <c r="M53" s="189"/>
      <c r="N53" s="370"/>
      <c r="O53" s="370"/>
      <c r="P53" s="205"/>
      <c r="Q53" s="381" t="str">
        <f>IF(ISBLANK(TInventW[[#This Row],[Technische levensduur 
'[jaren']]]),"",(TInventW[[#This Row],[Datum van constructie of productie
'[jjjj-mm-dd']]]+(TInventW[[#This Row],[Technische levensduur 
'[jaren']]]*365)))</f>
        <v/>
      </c>
      <c r="R53" s="372"/>
      <c r="S53" s="195"/>
      <c r="T53" s="195"/>
      <c r="U53" s="196"/>
      <c r="V53" s="190"/>
      <c r="W53" s="197" t="str">
        <f>IF(ISBLANK(TInventW[[#This Row],[Bouwdeel omschrijving]]),"",VLOOKUP(TInventW[[#This Row],[Bouwdeel omschrijving]],TsblW[],5,FALSE))</f>
        <v/>
      </c>
      <c r="X53" s="373"/>
      <c r="Y53" s="374"/>
      <c r="Z53" s="375"/>
      <c r="AA53" s="200"/>
      <c r="AB53" s="619"/>
      <c r="AC53" s="189"/>
      <c r="AD53" s="189"/>
      <c r="AE53" s="189"/>
      <c r="AF53" s="196" t="s">
        <v>739</v>
      </c>
      <c r="AG53" s="201" t="s">
        <v>739</v>
      </c>
      <c r="AH53" s="377"/>
      <c r="AI53" s="378"/>
      <c r="AJ53" s="378"/>
      <c r="AK53" s="379"/>
      <c r="AL53" s="189"/>
      <c r="AM53" s="169"/>
      <c r="AO53" s="169"/>
      <c r="AQ53" s="169"/>
      <c r="AS53" s="169"/>
      <c r="AX53" s="169"/>
      <c r="BA53" s="169"/>
      <c r="BB53" s="169"/>
    </row>
    <row r="54" spans="1:54" ht="10.5" x14ac:dyDescent="0.25">
      <c r="A54" s="369" t="str">
        <f>IF(ISBLANK(TInventW[[#This Row],[Bouwdeel omschrijving]]),"",CONCATENATE(TInventW[[#This Row],[Code Bouwdeeltype]],"-",TInventW[[#This Row],[Volgnr.]]))</f>
        <v/>
      </c>
      <c r="B54" s="365" t="str">
        <f>IF(ISBLANK(TInventW[[#This Row],[Bouwdeel omschrijving]]),"",VLOOKUP(TInventW[[#This Row],[Bouwdeel omschrijving]],TsblW[],2,FALSE))</f>
        <v/>
      </c>
      <c r="C54" s="366"/>
      <c r="D54" s="190"/>
      <c r="E54" s="365" t="str">
        <f>IF(ISBLANK(TInventW[[#This Row],[Bouwdeel omschrijving]]),"",$B$4)</f>
        <v/>
      </c>
      <c r="F54" s="191"/>
      <c r="G54" s="206"/>
      <c r="H54" s="203"/>
      <c r="I54" s="190"/>
      <c r="J54" s="365" t="str">
        <f>IF(ISBLANK(TInventW[[#This Row],[Bouwdeel omschrijving]]),"",VLOOKUP(TInventW[[#This Row],[Bouwdeel omschrijving]],TsblW[],4,FALSE))</f>
        <v/>
      </c>
      <c r="K54" s="365" t="str">
        <f>IF(ISBLANK(TInventW[[#This Row],[Bouwdeel omschrijving]]),"",VLOOKUP(TInventW[[#This Row],[Bouwdeel omschrijving]],TsblW[],3,FALSE))</f>
        <v/>
      </c>
      <c r="L54" s="369" t="str">
        <f t="shared" si="0"/>
        <v/>
      </c>
      <c r="M54" s="189"/>
      <c r="N54" s="370"/>
      <c r="O54" s="370"/>
      <c r="P54" s="205"/>
      <c r="Q54" s="381" t="str">
        <f>IF(ISBLANK(TInventW[[#This Row],[Technische levensduur 
'[jaren']]]),"",(TInventW[[#This Row],[Datum van constructie of productie
'[jjjj-mm-dd']]]+(TInventW[[#This Row],[Technische levensduur 
'[jaren']]]*365)))</f>
        <v/>
      </c>
      <c r="R54" s="372"/>
      <c r="S54" s="195"/>
      <c r="T54" s="195"/>
      <c r="U54" s="196"/>
      <c r="V54" s="190"/>
      <c r="W54" s="197" t="str">
        <f>IF(ISBLANK(TInventW[[#This Row],[Bouwdeel omschrijving]]),"",VLOOKUP(TInventW[[#This Row],[Bouwdeel omschrijving]],TsblW[],5,FALSE))</f>
        <v/>
      </c>
      <c r="X54" s="373"/>
      <c r="Y54" s="374"/>
      <c r="Z54" s="375"/>
      <c r="AA54" s="200"/>
      <c r="AB54" s="619"/>
      <c r="AC54" s="189"/>
      <c r="AD54" s="189"/>
      <c r="AE54" s="189"/>
      <c r="AF54" s="196" t="s">
        <v>739</v>
      </c>
      <c r="AG54" s="201" t="s">
        <v>739</v>
      </c>
      <c r="AH54" s="377"/>
      <c r="AI54" s="378"/>
      <c r="AJ54" s="378"/>
      <c r="AK54" s="379"/>
      <c r="AL54" s="189"/>
      <c r="AM54" s="169"/>
      <c r="AO54" s="169"/>
      <c r="AQ54" s="169"/>
      <c r="AS54" s="169"/>
      <c r="AX54" s="169"/>
      <c r="BA54" s="169"/>
      <c r="BB54" s="169"/>
    </row>
    <row r="55" spans="1:54" ht="10.5" x14ac:dyDescent="0.25">
      <c r="A55" s="369" t="str">
        <f>IF(ISBLANK(TInventW[[#This Row],[Bouwdeel omschrijving]]),"",CONCATENATE(TInventW[[#This Row],[Code Bouwdeeltype]],"-",TInventW[[#This Row],[Volgnr.]]))</f>
        <v/>
      </c>
      <c r="B55" s="365" t="str">
        <f>IF(ISBLANK(TInventW[[#This Row],[Bouwdeel omschrijving]]),"",VLOOKUP(TInventW[[#This Row],[Bouwdeel omschrijving]],TsblW[],2,FALSE))</f>
        <v/>
      </c>
      <c r="C55" s="366"/>
      <c r="D55" s="190"/>
      <c r="E55" s="365" t="str">
        <f>IF(ISBLANK(TInventW[[#This Row],[Bouwdeel omschrijving]]),"",$B$4)</f>
        <v/>
      </c>
      <c r="F55" s="191"/>
      <c r="G55" s="206"/>
      <c r="H55" s="203"/>
      <c r="I55" s="190"/>
      <c r="J55" s="365" t="str">
        <f>IF(ISBLANK(TInventW[[#This Row],[Bouwdeel omschrijving]]),"",VLOOKUP(TInventW[[#This Row],[Bouwdeel omschrijving]],TsblW[],4,FALSE))</f>
        <v/>
      </c>
      <c r="K55" s="365" t="str">
        <f>IF(ISBLANK(TInventW[[#This Row],[Bouwdeel omschrijving]]),"",VLOOKUP(TInventW[[#This Row],[Bouwdeel omschrijving]],TsblW[],3,FALSE))</f>
        <v/>
      </c>
      <c r="L55" s="369" t="str">
        <f t="shared" si="0"/>
        <v/>
      </c>
      <c r="M55" s="189"/>
      <c r="N55" s="370"/>
      <c r="O55" s="370"/>
      <c r="P55" s="205"/>
      <c r="Q55" s="381" t="str">
        <f>IF(ISBLANK(TInventW[[#This Row],[Technische levensduur 
'[jaren']]]),"",(TInventW[[#This Row],[Datum van constructie of productie
'[jjjj-mm-dd']]]+(TInventW[[#This Row],[Technische levensduur 
'[jaren']]]*365)))</f>
        <v/>
      </c>
      <c r="R55" s="372"/>
      <c r="S55" s="195"/>
      <c r="T55" s="195"/>
      <c r="U55" s="196"/>
      <c r="V55" s="190"/>
      <c r="W55" s="197" t="str">
        <f>IF(ISBLANK(TInventW[[#This Row],[Bouwdeel omschrijving]]),"",VLOOKUP(TInventW[[#This Row],[Bouwdeel omschrijving]],TsblW[],5,FALSE))</f>
        <v/>
      </c>
      <c r="X55" s="373"/>
      <c r="Y55" s="374"/>
      <c r="Z55" s="375"/>
      <c r="AA55" s="200"/>
      <c r="AB55" s="619"/>
      <c r="AC55" s="189"/>
      <c r="AD55" s="189"/>
      <c r="AE55" s="189"/>
      <c r="AF55" s="196" t="s">
        <v>739</v>
      </c>
      <c r="AG55" s="201" t="s">
        <v>739</v>
      </c>
      <c r="AH55" s="377"/>
      <c r="AI55" s="378"/>
      <c r="AJ55" s="378"/>
      <c r="AK55" s="379"/>
      <c r="AL55" s="189"/>
      <c r="AM55" s="169"/>
      <c r="AO55" s="169"/>
      <c r="AQ55" s="169"/>
      <c r="AS55" s="169"/>
      <c r="AX55" s="169"/>
      <c r="BA55" s="169"/>
      <c r="BB55" s="169"/>
    </row>
    <row r="56" spans="1:54" ht="10.5" x14ac:dyDescent="0.25">
      <c r="A56" s="369" t="str">
        <f>IF(ISBLANK(TInventW[[#This Row],[Bouwdeel omschrijving]]),"",CONCATENATE(TInventW[[#This Row],[Code Bouwdeeltype]],"-",TInventW[[#This Row],[Volgnr.]]))</f>
        <v/>
      </c>
      <c r="B56" s="384" t="str">
        <f>IF(ISBLANK(TInventW[[#This Row],[Bouwdeel omschrijving]]),"",VLOOKUP(TInventW[[#This Row],[Bouwdeel omschrijving]],TsblW[],2,FALSE))</f>
        <v/>
      </c>
      <c r="C56" s="366"/>
      <c r="D56" s="190"/>
      <c r="E56" s="384" t="str">
        <f>IF(ISBLANK(TInventW[[#This Row],[Bouwdeel omschrijving]]),"",$B$4)</f>
        <v/>
      </c>
      <c r="F56" s="191"/>
      <c r="G56" s="206"/>
      <c r="H56" s="203"/>
      <c r="I56" s="190"/>
      <c r="J56" s="384" t="str">
        <f>IF(ISBLANK(TInventW[[#This Row],[Bouwdeel omschrijving]]),"",VLOOKUP(TInventW[[#This Row],[Bouwdeel omschrijving]],TsblW[],4,FALSE))</f>
        <v/>
      </c>
      <c r="K56" s="384" t="str">
        <f>IF(ISBLANK(TInventW[[#This Row],[Bouwdeel omschrijving]]),"",VLOOKUP(TInventW[[#This Row],[Bouwdeel omschrijving]],TsblW[],3,FALSE))</f>
        <v/>
      </c>
      <c r="L56" s="387" t="str">
        <f t="shared" si="0"/>
        <v/>
      </c>
      <c r="M56" s="189"/>
      <c r="N56" s="370"/>
      <c r="O56" s="370"/>
      <c r="P56" s="205"/>
      <c r="Q56" s="390" t="str">
        <f>IF(ISBLANK(TInventW[[#This Row],[Technische levensduur 
'[jaren']]]),"",(TInventW[[#This Row],[Datum van constructie of productie
'[jjjj-mm-dd']]]+(TInventW[[#This Row],[Technische levensduur 
'[jaren']]]*365)))</f>
        <v/>
      </c>
      <c r="R56" s="372"/>
      <c r="S56" s="195"/>
      <c r="T56" s="195"/>
      <c r="U56" s="196"/>
      <c r="V56" s="190"/>
      <c r="W56" s="197" t="str">
        <f>IF(ISBLANK(TInventW[[#This Row],[Bouwdeel omschrijving]]),"",VLOOKUP(TInventW[[#This Row],[Bouwdeel omschrijving]],TsblW[],5,FALSE))</f>
        <v/>
      </c>
      <c r="X56" s="373"/>
      <c r="Y56" s="374"/>
      <c r="Z56" s="375"/>
      <c r="AA56" s="200"/>
      <c r="AB56" s="619"/>
      <c r="AC56" s="189"/>
      <c r="AD56" s="189"/>
      <c r="AE56" s="189"/>
      <c r="AF56" s="196" t="s">
        <v>739</v>
      </c>
      <c r="AG56" s="201" t="s">
        <v>739</v>
      </c>
      <c r="AH56" s="377"/>
      <c r="AI56" s="378"/>
      <c r="AJ56" s="378"/>
      <c r="AK56" s="379"/>
      <c r="AL56" s="203"/>
      <c r="AM56" s="169"/>
      <c r="AO56" s="169"/>
      <c r="AQ56" s="169"/>
      <c r="AS56" s="169"/>
      <c r="AX56" s="169"/>
      <c r="BA56" s="169"/>
      <c r="BB56" s="169"/>
    </row>
    <row r="57" spans="1:54" ht="10.5" x14ac:dyDescent="0.25">
      <c r="A57" s="369" t="str">
        <f>IF(ISBLANK(TInventW[[#This Row],[Bouwdeel omschrijving]]),"",CONCATENATE(TInventW[[#This Row],[Code Bouwdeeltype]],"-",TInventW[[#This Row],[Volgnr.]]))</f>
        <v/>
      </c>
      <c r="B57" s="365" t="str">
        <f>IF(ISBLANK(TInventW[[#This Row],[Bouwdeel omschrijving]]),"",VLOOKUP(TInventW[[#This Row],[Bouwdeel omschrijving]],TsblW[],2,FALSE))</f>
        <v/>
      </c>
      <c r="C57" s="366"/>
      <c r="D57" s="385"/>
      <c r="E57" s="365" t="str">
        <f>IF(ISBLANK(TInventW[[#This Row],[Bouwdeel omschrijving]]),"",$B$4)</f>
        <v/>
      </c>
      <c r="F57" s="386"/>
      <c r="G57" s="596"/>
      <c r="H57" s="393"/>
      <c r="I57" s="385"/>
      <c r="J57" s="365" t="str">
        <f>IF(ISBLANK(TInventW[[#This Row],[Bouwdeel omschrijving]]),"",VLOOKUP(TInventW[[#This Row],[Bouwdeel omschrijving]],TsblW[],4,FALSE))</f>
        <v/>
      </c>
      <c r="K57" s="365" t="str">
        <f>IF(ISBLANK(TInventW[[#This Row],[Bouwdeel omschrijving]]),"",VLOOKUP(TInventW[[#This Row],[Bouwdeel omschrijving]],TsblW[],3,FALSE))</f>
        <v/>
      </c>
      <c r="L57" s="369" t="str">
        <f t="shared" si="0"/>
        <v/>
      </c>
      <c r="M57" s="388"/>
      <c r="N57" s="370"/>
      <c r="O57" s="370"/>
      <c r="P57" s="389"/>
      <c r="Q57" s="381" t="str">
        <f>IF(ISBLANK(TInventW[[#This Row],[Technische levensduur 
'[jaren']]]),"",(TInventW[[#This Row],[Datum van constructie of productie
'[jjjj-mm-dd']]]+(TInventW[[#This Row],[Technische levensduur 
'[jaren']]]*365)))</f>
        <v/>
      </c>
      <c r="R57" s="372"/>
      <c r="S57" s="195"/>
      <c r="T57" s="195"/>
      <c r="U57" s="391"/>
      <c r="V57" s="385"/>
      <c r="W57" s="197" t="str">
        <f>IF(ISBLANK(TInventW[[#This Row],[Bouwdeel omschrijving]]),"",VLOOKUP(TInventW[[#This Row],[Bouwdeel omschrijving]],TsblW[],5,FALSE))</f>
        <v/>
      </c>
      <c r="X57" s="373"/>
      <c r="Y57" s="374"/>
      <c r="Z57" s="375"/>
      <c r="AA57" s="200"/>
      <c r="AB57" s="619"/>
      <c r="AC57" s="388"/>
      <c r="AD57" s="388"/>
      <c r="AE57" s="388"/>
      <c r="AF57" s="196" t="s">
        <v>739</v>
      </c>
      <c r="AG57" s="201" t="s">
        <v>739</v>
      </c>
      <c r="AH57" s="377"/>
      <c r="AI57" s="378"/>
      <c r="AJ57" s="378"/>
      <c r="AK57" s="379"/>
      <c r="AL57" s="393"/>
      <c r="AM57" s="169"/>
      <c r="AO57" s="169"/>
      <c r="AQ57" s="169"/>
      <c r="AS57" s="169"/>
      <c r="AX57" s="169"/>
      <c r="BA57" s="169"/>
      <c r="BB57" s="169"/>
    </row>
    <row r="58" spans="1:54" ht="10.5" x14ac:dyDescent="0.25">
      <c r="A58" s="369" t="str">
        <f>IF(ISBLANK(TInventW[[#This Row],[Bouwdeel omschrijving]]),"",CONCATENATE(TInventW[[#This Row],[Code Bouwdeeltype]],"-",TInventW[[#This Row],[Volgnr.]]))</f>
        <v/>
      </c>
      <c r="B58" s="365" t="str">
        <f>IF(ISBLANK(TInventW[[#This Row],[Bouwdeel omschrijving]]),"",VLOOKUP(TInventW[[#This Row],[Bouwdeel omschrijving]],TsblW[],2,FALSE))</f>
        <v/>
      </c>
      <c r="C58" s="366"/>
      <c r="D58" s="190"/>
      <c r="E58" s="365" t="str">
        <f>IF(ISBLANK(TInventW[[#This Row],[Bouwdeel omschrijving]]),"",$B$4)</f>
        <v/>
      </c>
      <c r="F58" s="191"/>
      <c r="G58" s="206"/>
      <c r="H58" s="203"/>
      <c r="I58" s="190"/>
      <c r="J58" s="365" t="str">
        <f>IF(ISBLANK(TInventW[[#This Row],[Bouwdeel omschrijving]]),"",VLOOKUP(TInventW[[#This Row],[Bouwdeel omschrijving]],TsblW[],4,FALSE))</f>
        <v/>
      </c>
      <c r="K58" s="365" t="str">
        <f>IF(ISBLANK(TInventW[[#This Row],[Bouwdeel omschrijving]]),"",VLOOKUP(TInventW[[#This Row],[Bouwdeel omschrijving]],TsblW[],3,FALSE))</f>
        <v/>
      </c>
      <c r="L58" s="394" t="str">
        <f t="shared" si="0"/>
        <v/>
      </c>
      <c r="M58" s="189"/>
      <c r="N58" s="370"/>
      <c r="O58" s="370"/>
      <c r="P58" s="205"/>
      <c r="Q58" s="381" t="str">
        <f>IF(ISBLANK(TInventW[[#This Row],[Technische levensduur 
'[jaren']]]),"",(TInventW[[#This Row],[Datum van constructie of productie
'[jjjj-mm-dd']]]+(TInventW[[#This Row],[Technische levensduur 
'[jaren']]]*365)))</f>
        <v/>
      </c>
      <c r="R58" s="372"/>
      <c r="S58" s="195"/>
      <c r="T58" s="195"/>
      <c r="U58" s="196"/>
      <c r="V58" s="190"/>
      <c r="W58" s="197" t="str">
        <f>IF(ISBLANK(TInventW[[#This Row],[Bouwdeel omschrijving]]),"",VLOOKUP(TInventW[[#This Row],[Bouwdeel omschrijving]],TsblW[],5,FALSE))</f>
        <v/>
      </c>
      <c r="X58" s="373"/>
      <c r="Y58" s="374"/>
      <c r="Z58" s="375"/>
      <c r="AA58" s="200"/>
      <c r="AB58" s="619"/>
      <c r="AC58" s="189"/>
      <c r="AD58" s="189"/>
      <c r="AE58" s="189"/>
      <c r="AF58" s="196" t="s">
        <v>739</v>
      </c>
      <c r="AG58" s="201" t="s">
        <v>739</v>
      </c>
      <c r="AH58" s="377"/>
      <c r="AI58" s="378"/>
      <c r="AJ58" s="378"/>
      <c r="AK58" s="379"/>
      <c r="AL58" s="203"/>
      <c r="AM58" s="169"/>
      <c r="AO58" s="169"/>
      <c r="AQ58" s="169"/>
      <c r="AS58" s="169"/>
      <c r="AX58" s="169"/>
      <c r="BA58" s="169"/>
      <c r="BB58" s="169"/>
    </row>
    <row r="59" spans="1:54" ht="10.5" x14ac:dyDescent="0.25">
      <c r="A59" s="387" t="str">
        <f>IF(ISBLANK(TInventW[[#This Row],[Bouwdeel omschrijving]]),"",CONCATENATE(TInventW[[#This Row],[Code Bouwdeeltype]],"-",TInventW[[#This Row],[Volgnr.]]))</f>
        <v/>
      </c>
      <c r="B59" s="365" t="str">
        <f>IF(ISBLANK(TInventW[[#This Row],[Bouwdeel omschrijving]]),"",VLOOKUP(TInventW[[#This Row],[Bouwdeel omschrijving]],TsblW[],2,FALSE))</f>
        <v/>
      </c>
      <c r="C59" s="366"/>
      <c r="D59" s="190"/>
      <c r="E59" s="365" t="str">
        <f>IF(ISBLANK(TInventW[[#This Row],[Bouwdeel omschrijving]]),"",$B$4)</f>
        <v/>
      </c>
      <c r="F59" s="383"/>
      <c r="G59" s="419"/>
      <c r="H59" s="618"/>
      <c r="I59" s="190"/>
      <c r="J59" s="365" t="str">
        <f>IF(ISBLANK(TInventW[[#This Row],[Bouwdeel omschrijving]]),"",VLOOKUP(TInventW[[#This Row],[Bouwdeel omschrijving]],TsblW[],4,FALSE))</f>
        <v/>
      </c>
      <c r="K59" s="365" t="str">
        <f>IF(ISBLANK(TInventW[[#This Row],[Bouwdeel omschrijving]]),"",VLOOKUP(TInventW[[#This Row],[Bouwdeel omschrijving]],TsblW[],3,FALSE))</f>
        <v/>
      </c>
      <c r="L59" s="369" t="str">
        <f t="shared" si="0"/>
        <v/>
      </c>
      <c r="M59" s="395"/>
      <c r="N59" s="370"/>
      <c r="O59" s="370"/>
      <c r="P59" s="205"/>
      <c r="Q59" s="381" t="str">
        <f>IF(ISBLANK(TInventW[[#This Row],[Technische levensduur 
'[jaren']]]),"",(TInventW[[#This Row],[Datum van constructie of productie
'[jjjj-mm-dd']]]+(TInventW[[#This Row],[Technische levensduur 
'[jaren']]]*365)))</f>
        <v/>
      </c>
      <c r="R59" s="372"/>
      <c r="S59" s="195"/>
      <c r="T59" s="195"/>
      <c r="U59" s="190"/>
      <c r="V59" s="190"/>
      <c r="W59" s="197" t="str">
        <f>IF(ISBLANK(TInventW[[#This Row],[Bouwdeel omschrijving]]),"",VLOOKUP(TInventW[[#This Row],[Bouwdeel omschrijving]],TsblW[],5,FALSE))</f>
        <v/>
      </c>
      <c r="X59" s="373"/>
      <c r="Y59" s="374"/>
      <c r="Z59" s="375"/>
      <c r="AA59" s="200"/>
      <c r="AB59" s="619"/>
      <c r="AC59" s="395"/>
      <c r="AD59" s="395"/>
      <c r="AE59" s="395"/>
      <c r="AF59" s="196" t="s">
        <v>739</v>
      </c>
      <c r="AG59" s="201" t="s">
        <v>739</v>
      </c>
      <c r="AH59" s="377"/>
      <c r="AI59" s="378"/>
      <c r="AJ59" s="378"/>
      <c r="AK59" s="379"/>
      <c r="AL59" s="203"/>
      <c r="AM59" s="169"/>
      <c r="AO59" s="169"/>
      <c r="AQ59" s="169"/>
      <c r="AS59" s="169"/>
      <c r="AX59" s="169"/>
      <c r="BA59" s="169"/>
      <c r="BB59" s="169"/>
    </row>
    <row r="60" spans="1:54" x14ac:dyDescent="0.25">
      <c r="A60" s="606" t="str">
        <f>IF(ISBLANK(TInventW[[#This Row],[Bouwdeel omschrijving]]),"",CONCATENATE(TInventW[[#This Row],[Code Bouwdeeltype]],"-",TInventW[[#This Row],[Volgnr.]]))</f>
        <v/>
      </c>
      <c r="B60" s="607" t="str">
        <f>IF(ISBLANK(TInventW[[#This Row],[Bouwdeel omschrijving]]),"",VLOOKUP(TInventW[[#This Row],[Bouwdeel omschrijving]],TsblW[],2,FALSE))</f>
        <v/>
      </c>
      <c r="C60" s="366"/>
      <c r="D60" s="190"/>
      <c r="E60" s="608" t="str">
        <f>IF(ISBLANK(TInventW[[#This Row],[Bouwdeel omschrijving]]),"",$B$4)</f>
        <v/>
      </c>
      <c r="F60" s="191"/>
      <c r="G60" s="206"/>
      <c r="H60" s="203"/>
      <c r="I60" s="190"/>
      <c r="J60" s="608" t="str">
        <f>IF(ISBLANK(TInventW[[#This Row],[Bouwdeel omschrijving]]),"",VLOOKUP(TInventW[[#This Row],[Bouwdeel omschrijving]],TsblW[],4,FALSE))</f>
        <v/>
      </c>
      <c r="K60" s="609" t="str">
        <f>IF(ISBLANK(TInventW[[#This Row],[Bouwdeel omschrijving]]),"",VLOOKUP(TInventW[[#This Row],[Bouwdeel omschrijving]],TsblW[],3,FALSE))</f>
        <v/>
      </c>
      <c r="L60" s="610" t="str">
        <f>IF(ISBLANK(C60),"",$L$4)</f>
        <v/>
      </c>
      <c r="M60" s="189"/>
      <c r="N60" s="370"/>
      <c r="O60" s="370"/>
      <c r="P60" s="205"/>
      <c r="Q60" s="611" t="str">
        <f>IF(ISBLANK(TInventW[[#This Row],[Technische levensduur 
'[jaren']]]),"",(TInventW[[#This Row],[Datum van constructie of productie
'[jjjj-mm-dd']]]+(TInventW[[#This Row],[Technische levensduur 
'[jaren']]]*365)))</f>
        <v/>
      </c>
      <c r="R60" s="372"/>
      <c r="S60" s="195"/>
      <c r="T60" s="195"/>
      <c r="U60" s="196"/>
      <c r="V60" s="190"/>
      <c r="W60" s="219" t="str">
        <f>IF(ISBLANK(TInventW[[#This Row],[Bouwdeel omschrijving]]),"",VLOOKUP(TInventW[[#This Row],[Bouwdeel omschrijving]],TsblW[],5,FALSE))</f>
        <v/>
      </c>
      <c r="X60" s="612"/>
      <c r="Y60" s="613"/>
      <c r="Z60" s="614"/>
      <c r="AA60" s="615"/>
      <c r="AB60" s="619"/>
      <c r="AC60" s="189"/>
      <c r="AD60" s="189"/>
      <c r="AE60" s="189"/>
      <c r="AF60" s="221"/>
      <c r="AG60" s="221"/>
      <c r="AH60" s="616"/>
      <c r="AI60" s="378"/>
      <c r="AJ60" s="617"/>
      <c r="AK60" s="378"/>
      <c r="AL60" s="203"/>
    </row>
  </sheetData>
  <mergeCells count="4">
    <mergeCell ref="C4:F4"/>
    <mergeCell ref="S4:W4"/>
    <mergeCell ref="X5:AA5"/>
    <mergeCell ref="AH5:AK5"/>
  </mergeCells>
  <dataValidations count="1">
    <dataValidation type="list" allowBlank="1" showInputMessage="1" showErrorMessage="1" sqref="S2 AH2:AJ2" xr:uid="{B0335E56-CA5C-43E3-8778-2D3BF8F014FD}">
      <formula1>"Concept,Definitief"</formula1>
    </dataValidation>
  </dataValidations>
  <pageMargins left="0.7" right="0.7" top="0.75" bottom="0.75" header="0.3" footer="0.3"/>
  <legacyDrawing r:id="rId1"/>
  <tableParts count="1">
    <tablePart r:id="rId2"/>
  </tableParts>
  <extLst>
    <ext xmlns:x14="http://schemas.microsoft.com/office/spreadsheetml/2009/9/main" uri="{CCE6A557-97BC-4b89-ADB6-D9C93CAAB3DF}">
      <x14:dataValidations xmlns:xm="http://schemas.microsoft.com/office/excel/2006/main" count="7">
        <x14:dataValidation type="list" allowBlank="1" showInputMessage="1" showErrorMessage="1" xr:uid="{8E8E92D6-FDA2-49B6-B88D-266365F2A1C9}">
          <x14:formula1>
            <xm:f>'Menu''s'!$H$287:$H$289</xm:f>
          </x14:formula1>
          <xm:sqref>AI8:AI60</xm:sqref>
        </x14:dataValidation>
        <x14:dataValidation type="list" allowBlank="1" showInputMessage="1" showErrorMessage="1" xr:uid="{738EDC81-4950-445F-883F-4F37C5CC3172}">
          <x14:formula1>
            <xm:f>'Menu''s'!$H$298:$H$300</xm:f>
          </x14:formula1>
          <xm:sqref>AK8:AK60</xm:sqref>
        </x14:dataValidation>
        <x14:dataValidation type="list" allowBlank="1" showInputMessage="1" showErrorMessage="1" xr:uid="{8C75C8B0-59AE-47F6-8087-9096CCAFC509}">
          <x14:formula1>
            <xm:f>'Menu''s'!$H$292:$H$295</xm:f>
          </x14:formula1>
          <xm:sqref>AJ8:AJ60</xm:sqref>
        </x14:dataValidation>
        <x14:dataValidation type="list" allowBlank="1" showInputMessage="1" showErrorMessage="1" xr:uid="{28C83117-1AE2-4A05-B9D4-FF586DC362B7}">
          <x14:formula1>
            <xm:f>'Menu''s'!$H$282:$H$284</xm:f>
          </x14:formula1>
          <xm:sqref>AH8:AH60</xm:sqref>
        </x14:dataValidation>
        <x14:dataValidation type="list" allowBlank="1" showInputMessage="1" showErrorMessage="1" xr:uid="{DFB15088-1840-44FD-9AE3-4BA0929F4063}">
          <x14:formula1>
            <xm:f>'Menu''s'!$H$275:$H$279</xm:f>
          </x14:formula1>
          <xm:sqref>Z8:Z60</xm:sqref>
        </x14:dataValidation>
        <x14:dataValidation type="list" allowBlank="1" showInputMessage="1" showErrorMessage="1" xr:uid="{69CD8F66-0BD2-4983-B19A-9799F7B6FB8A}">
          <x14:formula1>
            <xm:f>'Menu''s'!$H$271:$H$272</xm:f>
          </x14:formula1>
          <xm:sqref>Y8:Y60</xm:sqref>
        </x14:dataValidation>
        <x14:dataValidation type="list" allowBlank="1" showInputMessage="1" showErrorMessage="1" xr:uid="{AFF35BF8-0763-485C-817F-2F74105C8A28}">
          <x14:formula1>
            <xm:f>'Menu''s'!$H$267:$H$268</xm:f>
          </x14:formula1>
          <xm:sqref>X8:X60</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4E5EE-E2FB-45A8-84BD-B182A99E71D3}">
  <sheetPr>
    <tabColor rgb="FFFFFF00"/>
  </sheetPr>
  <dimension ref="A1:AE196"/>
  <sheetViews>
    <sheetView tabSelected="1" topLeftCell="A10" zoomScale="101" zoomScaleNormal="90" workbookViewId="0">
      <pane xSplit="5" topLeftCell="F1" activePane="topRight" state="frozen"/>
      <selection activeCell="A4" sqref="A4"/>
      <selection pane="topRight" activeCell="O10" sqref="O10:Y54"/>
    </sheetView>
  </sheetViews>
  <sheetFormatPr defaultColWidth="8.85546875" defaultRowHeight="15" x14ac:dyDescent="0.25"/>
  <cols>
    <col min="1" max="1" width="16" style="169" customWidth="1"/>
    <col min="2" max="2" width="14.140625" style="169" customWidth="1"/>
    <col min="3" max="3" width="8.5703125" style="169" bestFit="1" customWidth="1"/>
    <col min="4" max="4" width="34.5703125" style="169" customWidth="1"/>
    <col min="5" max="5" width="7.5703125" style="169" customWidth="1"/>
    <col min="6" max="6" width="8.5703125" style="169" customWidth="1"/>
    <col min="7" max="7" width="13.85546875" style="169" customWidth="1"/>
    <col min="8" max="8" width="17.42578125" style="169" customWidth="1"/>
    <col min="9" max="9" width="10.5703125" style="169" customWidth="1"/>
    <col min="10" max="10" width="12" style="169" customWidth="1"/>
    <col min="11" max="11" width="9.140625" style="169" customWidth="1"/>
    <col min="12" max="12" width="11.140625" style="216" bestFit="1" customWidth="1"/>
    <col min="13" max="13" width="14.42578125" style="169" customWidth="1"/>
    <col min="14" max="14" width="7.5703125" style="216" hidden="1" customWidth="1"/>
    <col min="15" max="15" width="19.5703125" style="170" customWidth="1"/>
    <col min="16" max="17" width="22.42578125" style="217" customWidth="1"/>
    <col min="18" max="18" width="38.42578125" style="170" customWidth="1"/>
    <col min="19" max="19" width="12.42578125" style="170" bestFit="1" customWidth="1"/>
    <col min="20" max="22" width="35.5703125" style="170" customWidth="1"/>
    <col min="23" max="23" width="25.5703125" style="170" customWidth="1"/>
    <col min="24" max="24" width="9.140625" style="169" customWidth="1"/>
    <col min="25" max="25" width="8.5703125" style="169" bestFit="1" customWidth="1"/>
    <col min="26" max="26" width="12.42578125" style="172" bestFit="1" customWidth="1"/>
    <col min="27" max="27" width="8.85546875" hidden="1" customWidth="1"/>
    <col min="28" max="30" width="8.85546875" style="169" hidden="1" customWidth="1"/>
    <col min="31" max="31" width="11" style="169" hidden="1" customWidth="1"/>
    <col min="32" max="32" width="10.42578125" style="169" customWidth="1"/>
    <col min="33" max="16384" width="8.85546875" style="169"/>
  </cols>
  <sheetData>
    <row r="1" spans="1:31" ht="29.25" x14ac:dyDescent="0.2">
      <c r="A1" s="168" t="s">
        <v>1117</v>
      </c>
      <c r="J1" s="396"/>
      <c r="K1" s="397" t="s">
        <v>741</v>
      </c>
      <c r="L1" s="398"/>
      <c r="M1" s="397"/>
      <c r="N1" s="398"/>
      <c r="AA1" s="169"/>
    </row>
    <row r="2" spans="1:31" ht="10.5" x14ac:dyDescent="0.25">
      <c r="A2" s="399" t="s">
        <v>728</v>
      </c>
      <c r="B2" s="169" t="s">
        <v>742</v>
      </c>
      <c r="I2" s="170"/>
      <c r="J2" s="170"/>
      <c r="K2" s="170"/>
      <c r="L2" s="170"/>
      <c r="M2" s="170"/>
      <c r="N2" s="400"/>
      <c r="AA2" s="399"/>
      <c r="AB2" s="399"/>
    </row>
    <row r="3" spans="1:31" x14ac:dyDescent="0.25">
      <c r="A3" s="399" t="s">
        <v>743</v>
      </c>
      <c r="B3" s="169" t="s">
        <v>744</v>
      </c>
      <c r="J3" s="403" t="s">
        <v>380</v>
      </c>
      <c r="K3" s="530">
        <f>Advies!B34</f>
        <v>3</v>
      </c>
      <c r="L3" s="402"/>
      <c r="M3" s="170"/>
      <c r="N3" s="400"/>
      <c r="AA3" s="399"/>
      <c r="AB3" s="399"/>
    </row>
    <row r="4" spans="1:31" x14ac:dyDescent="0.25">
      <c r="A4" s="399" t="s">
        <v>737</v>
      </c>
      <c r="B4" s="169" t="s">
        <v>745</v>
      </c>
      <c r="J4" s="403" t="s">
        <v>381</v>
      </c>
      <c r="K4" s="526">
        <f>Advies!B34</f>
        <v>3</v>
      </c>
      <c r="L4" s="402"/>
      <c r="M4" s="170"/>
      <c r="N4" s="400"/>
      <c r="AA4" s="399"/>
      <c r="AB4" s="399"/>
    </row>
    <row r="5" spans="1:31" x14ac:dyDescent="0.25">
      <c r="A5" s="399" t="s">
        <v>746</v>
      </c>
      <c r="B5" s="404">
        <f>'Inventarisatie B'!S1</f>
        <v>46261</v>
      </c>
      <c r="J5" s="528" t="s">
        <v>382</v>
      </c>
      <c r="K5" s="529">
        <f>Advies!B34</f>
        <v>3</v>
      </c>
      <c r="L5" s="402"/>
      <c r="M5" s="170"/>
      <c r="N5" s="405"/>
      <c r="AA5" s="399"/>
      <c r="AB5" s="399"/>
    </row>
    <row r="6" spans="1:31" x14ac:dyDescent="0.25">
      <c r="A6" s="399" t="s">
        <v>747</v>
      </c>
      <c r="B6" s="406" t="s">
        <v>382</v>
      </c>
      <c r="C6" s="406"/>
      <c r="D6" s="406"/>
      <c r="J6" s="403" t="s">
        <v>383</v>
      </c>
      <c r="K6" s="526">
        <f>Advies!B34</f>
        <v>3</v>
      </c>
      <c r="L6" s="402"/>
      <c r="M6" s="170"/>
      <c r="N6" s="400"/>
      <c r="AA6" s="399"/>
      <c r="AB6" s="399"/>
    </row>
    <row r="7" spans="1:31" x14ac:dyDescent="0.25">
      <c r="J7" s="403" t="s">
        <v>164</v>
      </c>
      <c r="K7" s="526">
        <f>Advies!B34</f>
        <v>3</v>
      </c>
      <c r="L7" s="402"/>
      <c r="M7" s="170"/>
      <c r="N7" s="400"/>
      <c r="AA7" s="399"/>
      <c r="AB7" s="399"/>
    </row>
    <row r="8" spans="1:31" ht="10.5" x14ac:dyDescent="0.25">
      <c r="A8" s="357" t="s">
        <v>737</v>
      </c>
      <c r="B8" s="356" t="s">
        <v>736</v>
      </c>
      <c r="C8" s="356" t="s">
        <v>736</v>
      </c>
      <c r="D8" s="356" t="s">
        <v>736</v>
      </c>
      <c r="E8" s="169" t="s">
        <v>738</v>
      </c>
      <c r="F8" s="357" t="s">
        <v>737</v>
      </c>
      <c r="G8" s="356" t="s">
        <v>736</v>
      </c>
      <c r="H8" s="356" t="s">
        <v>736</v>
      </c>
      <c r="I8" s="356" t="s">
        <v>736</v>
      </c>
      <c r="J8" s="169" t="s">
        <v>738</v>
      </c>
      <c r="K8" s="356" t="s">
        <v>736</v>
      </c>
      <c r="L8" s="400" t="s">
        <v>738</v>
      </c>
      <c r="M8" s="356" t="s">
        <v>736</v>
      </c>
      <c r="N8" s="407" t="s">
        <v>738</v>
      </c>
      <c r="O8" s="170" t="s">
        <v>738</v>
      </c>
      <c r="P8" s="170" t="s">
        <v>738</v>
      </c>
      <c r="Q8" s="357" t="s">
        <v>737</v>
      </c>
      <c r="R8" s="170" t="s">
        <v>738</v>
      </c>
      <c r="S8" s="357" t="s">
        <v>737</v>
      </c>
      <c r="T8" s="170" t="s">
        <v>738</v>
      </c>
      <c r="U8" s="170" t="s">
        <v>738</v>
      </c>
      <c r="V8" s="357" t="s">
        <v>737</v>
      </c>
      <c r="W8" s="357" t="s">
        <v>737</v>
      </c>
      <c r="X8" s="169" t="s">
        <v>738</v>
      </c>
      <c r="Y8" s="169" t="s">
        <v>738</v>
      </c>
      <c r="Z8" s="356" t="s">
        <v>736</v>
      </c>
      <c r="AA8" s="356" t="s">
        <v>736</v>
      </c>
      <c r="AB8" s="356" t="s">
        <v>736</v>
      </c>
      <c r="AC8" s="356" t="s">
        <v>736</v>
      </c>
      <c r="AD8" s="356" t="s">
        <v>736</v>
      </c>
      <c r="AE8" s="356" t="s">
        <v>736</v>
      </c>
    </row>
    <row r="9" spans="1:31" ht="41.1" customHeight="1" x14ac:dyDescent="0.25">
      <c r="A9" s="208" t="s">
        <v>572</v>
      </c>
      <c r="B9" s="208" t="s">
        <v>573</v>
      </c>
      <c r="C9" s="209" t="s">
        <v>609</v>
      </c>
      <c r="D9" s="209" t="s">
        <v>610</v>
      </c>
      <c r="E9" s="210" t="s">
        <v>611</v>
      </c>
      <c r="F9" s="209" t="s">
        <v>612</v>
      </c>
      <c r="G9" s="209" t="s">
        <v>613</v>
      </c>
      <c r="H9" s="209" t="s">
        <v>614</v>
      </c>
      <c r="I9" s="209" t="s">
        <v>615</v>
      </c>
      <c r="J9" s="209" t="s">
        <v>591</v>
      </c>
      <c r="K9" s="211" t="s">
        <v>616</v>
      </c>
      <c r="L9" s="212" t="s">
        <v>617</v>
      </c>
      <c r="M9" s="213" t="s">
        <v>618</v>
      </c>
      <c r="N9" s="214" t="s">
        <v>619</v>
      </c>
      <c r="O9" s="209" t="s">
        <v>620</v>
      </c>
      <c r="P9" s="208" t="s">
        <v>621</v>
      </c>
      <c r="Q9" s="213" t="s">
        <v>1370</v>
      </c>
      <c r="R9" s="209" t="s">
        <v>622</v>
      </c>
      <c r="S9" s="209" t="s">
        <v>398</v>
      </c>
      <c r="T9" s="209" t="s">
        <v>623</v>
      </c>
      <c r="U9" s="209" t="s">
        <v>624</v>
      </c>
      <c r="V9" s="209" t="s">
        <v>1152</v>
      </c>
      <c r="W9" s="209" t="s">
        <v>748</v>
      </c>
      <c r="X9" s="209" t="s">
        <v>626</v>
      </c>
      <c r="Y9" s="209" t="s">
        <v>355</v>
      </c>
      <c r="Z9" s="215" t="s">
        <v>627</v>
      </c>
      <c r="AA9" s="408" t="s">
        <v>749</v>
      </c>
      <c r="AB9" s="184" t="s">
        <v>750</v>
      </c>
      <c r="AC9" s="409" t="s">
        <v>751</v>
      </c>
      <c r="AD9" s="409" t="s">
        <v>752</v>
      </c>
      <c r="AE9" s="409" t="s">
        <v>753</v>
      </c>
    </row>
    <row r="10" spans="1:31" ht="52.5" x14ac:dyDescent="0.25">
      <c r="A10" s="337" t="s">
        <v>1494</v>
      </c>
      <c r="B10" s="410">
        <f>IF(TInspectieW[[#This Row],[UVID]]="","",VLOOKUP(TInspectieW[[#This Row],[UVID]],TInventW[],2,FALSE))</f>
        <v>531010</v>
      </c>
      <c r="C10" s="365" t="str">
        <f>IF(TInspectieW[[#This Row],[UVID]]="","",VLOOKUP(TInspectieW[[#This Row],[UVID]],TInventW[],11,FALSE))</f>
        <v>W</v>
      </c>
      <c r="D10" s="411" t="str">
        <f>IF(TInspectieW[[#This Row],[UVID]]="","",VLOOKUP(TInspectieW[[#This Row],[UVID]],TInventW[],3,FALSE))</f>
        <v>Leidingen, appendages en toebehoren water</v>
      </c>
      <c r="E10" s="839" t="s">
        <v>160</v>
      </c>
      <c r="F10" s="840" t="s">
        <v>822</v>
      </c>
      <c r="G10" s="413" t="str">
        <f>IF(ISBLANK(TInspectieW[[#This Row],[Soort gebrek]]),"",VLOOKUP(TInspectieW[[#This Row],[Soort gebrek]],TSoortGebrek[#Data],3,FALSE))</f>
        <v>Theoretisch</v>
      </c>
      <c r="H10" s="413" t="str">
        <f>IF(ISBLANK(TInspectieW[[#This Row],[Soort gebrek]]),"",VLOOKUP(TInspectieW[[#This Row],[Soort gebrek]],TSoortGebrek[#Data],2,FALSE))</f>
        <v>Verval  ≥ 87,5%</v>
      </c>
      <c r="I10" s="413" t="str">
        <f>IF(TInspectieW[[#This Row],[Soort gebrek]]=0,"",VLOOKUP(TInspectieW[[#This Row],[Soort gebrek]],TSoortGebrek[],4,FALSE))</f>
        <v>Eind</v>
      </c>
      <c r="J10" s="841">
        <v>1</v>
      </c>
      <c r="K10" s="415">
        <f>IF(TInspectieW[[#This Row],[Soort gebrek]]=0,"",VLOOKUP(TInspectieW[[#This Row],[Combi]],TPrio[#Data],2,FALSE))</f>
        <v>8</v>
      </c>
      <c r="L10" s="843">
        <v>1</v>
      </c>
      <c r="M10" s="416" t="str">
        <f>IF(ISBLANK(TInspectieW[[#This Row],[Gebrek nr.]]),"",TInspectieW[[#This Row],[UVID]]&amp;"-"&amp;TInspectieW[[#This Row],[Gebrek nr.]])</f>
        <v>531010-1-1</v>
      </c>
      <c r="N10" s="417"/>
      <c r="O10" s="853" t="s">
        <v>1651</v>
      </c>
      <c r="P10" s="813" t="s">
        <v>1456</v>
      </c>
      <c r="Q10" s="819"/>
      <c r="R10" s="862" t="s">
        <v>1505</v>
      </c>
      <c r="S10" s="830" t="s">
        <v>776</v>
      </c>
      <c r="T10" s="830" t="s">
        <v>1510</v>
      </c>
      <c r="U10" s="830" t="s">
        <v>1540</v>
      </c>
      <c r="V10" s="830" t="s">
        <v>1425</v>
      </c>
      <c r="W10" s="830" t="s">
        <v>890</v>
      </c>
      <c r="X10" s="845">
        <v>1899</v>
      </c>
      <c r="Y10" s="846">
        <v>1</v>
      </c>
      <c r="Z10" s="421">
        <f>IF(ISBLANK(TInspectieW[[#This Row],[Aantal]]),"",ROUND(TInspectieW[[#This Row],[Kengetal]]*TInspectieW[[#This Row],[Aantal]],-1))</f>
        <v>1900</v>
      </c>
      <c r="AA10" s="422">
        <f>IF(TInspectieW[[#This Row],[Vak-groep]]="","1",VLOOKUP(C10,$J$2:$K$7,2,FALSE))</f>
        <v>3</v>
      </c>
      <c r="AB10" s="423" t="str">
        <f>CONCATENATE(TInspectieW[[#This Row],[Soort gebrek]],TInspectieW[[#This Row],[Trede]])</f>
        <v>T-87,53</v>
      </c>
      <c r="AC10" s="413" t="e">
        <v>#N/A</v>
      </c>
      <c r="AD10" s="413" t="e">
        <v>#N/A</v>
      </c>
      <c r="AE10" s="424">
        <v>0</v>
      </c>
    </row>
    <row r="11" spans="1:31" ht="31.5" x14ac:dyDescent="0.25">
      <c r="A11" s="337" t="s">
        <v>1494</v>
      </c>
      <c r="B11" s="410">
        <f>IF(TInspectieW[[#This Row],[UVID]]="","",VLOOKUP(TInspectieW[[#This Row],[UVID]],TInventW[],2,FALSE))</f>
        <v>531010</v>
      </c>
      <c r="C11" s="365" t="str">
        <f>IF(TInspectieW[[#This Row],[UVID]]="","",VLOOKUP(TInspectieW[[#This Row],[UVID]],TInventW[],11,FALSE))</f>
        <v>W</v>
      </c>
      <c r="D11" s="411" t="str">
        <f>IF(TInspectieW[[#This Row],[UVID]]="","",VLOOKUP(TInspectieW[[#This Row],[UVID]],TInventW[],3,FALSE))</f>
        <v>Leidingen, appendages en toebehoren water</v>
      </c>
      <c r="E11" s="839" t="s">
        <v>381</v>
      </c>
      <c r="F11" s="840" t="s">
        <v>832</v>
      </c>
      <c r="G11" s="413" t="str">
        <f>IF(ISBLANK(TInspectieW[[#This Row],[Soort gebrek]]),"",VLOOKUP(TInspectieW[[#This Row],[Soort gebrek]],TSoortGebrek[#Data],3,FALSE))</f>
        <v>Geen</v>
      </c>
      <c r="H11" s="413" t="str">
        <f>IF(ISBLANK(TInspectieW[[#This Row],[Soort gebrek]]),"",VLOOKUP(TInspectieW[[#This Row],[Soort gebrek]],TSoortGebrek[#Data],2,FALSE))</f>
        <v>Geen gebrek</v>
      </c>
      <c r="I11" s="413" t="str">
        <f>IF(TInspectieW[[#This Row],[Soort gebrek]]=0,"",VLOOKUP(TInspectieW[[#This Row],[Soort gebrek]],TSoortGebrek[],4,FALSE))</f>
        <v>Eind</v>
      </c>
      <c r="J11" s="841">
        <v>1</v>
      </c>
      <c r="K11" s="415">
        <f>IF(TInspectieW[[#This Row],[Soort gebrek]]=0,"",VLOOKUP(TInspectieW[[#This Row],[Combi]],TPrio[#Data],2,FALSE))</f>
        <v>0</v>
      </c>
      <c r="L11" s="843">
        <v>2</v>
      </c>
      <c r="M11" s="416" t="str">
        <f>IF(ISBLANK(TInspectieW[[#This Row],[Gebrek nr.]]),"",TInspectieW[[#This Row],[UVID]]&amp;"-"&amp;TInspectieW[[#This Row],[Gebrek nr.]])</f>
        <v>531010-1-2</v>
      </c>
      <c r="N11" s="417"/>
      <c r="O11" s="853" t="s">
        <v>1651</v>
      </c>
      <c r="P11" s="813" t="s">
        <v>1456</v>
      </c>
      <c r="Q11" s="819"/>
      <c r="R11" s="830" t="s">
        <v>628</v>
      </c>
      <c r="S11" s="828" t="s">
        <v>96</v>
      </c>
      <c r="T11" s="830" t="s">
        <v>1511</v>
      </c>
      <c r="U11" s="830" t="s">
        <v>1401</v>
      </c>
      <c r="V11" s="828" t="s">
        <v>1425</v>
      </c>
      <c r="W11" s="830" t="s">
        <v>358</v>
      </c>
      <c r="X11" s="845">
        <f>[1]Inventarisatie!U34</f>
        <v>0</v>
      </c>
      <c r="Y11" s="846"/>
      <c r="Z11" s="421" t="str">
        <f>IF(ISBLANK(TInspectieW[[#This Row],[Aantal]]),"",ROUND(TInspectieW[[#This Row],[Kengetal]]*TInspectieW[[#This Row],[Aantal]],-1))</f>
        <v/>
      </c>
      <c r="AA11" s="422">
        <f>IF(TInspectieW[[#This Row],[Vak-groep]]="","1",VLOOKUP(C11,$J$2:$K$7,2,FALSE))</f>
        <v>3</v>
      </c>
      <c r="AB11" s="423" t="str">
        <f>CONCATENATE(TInspectieW[[#This Row],[Soort gebrek]],TInspectieW[[#This Row],[Trede]])</f>
        <v>GG3</v>
      </c>
      <c r="AC11" s="413" t="e">
        <v>#N/A</v>
      </c>
      <c r="AD11" s="413" t="e">
        <v>#N/A</v>
      </c>
      <c r="AE11" s="424">
        <v>0</v>
      </c>
    </row>
    <row r="12" spans="1:31" ht="63" x14ac:dyDescent="0.25">
      <c r="A12" s="337" t="s">
        <v>1495</v>
      </c>
      <c r="B12" s="410">
        <f>IF(TInspectieW[[#This Row],[UVID]]="","",VLOOKUP(TInspectieW[[#This Row],[UVID]],TInventW[],2,FALSE))</f>
        <v>532110</v>
      </c>
      <c r="C12" s="365" t="str">
        <f>IF(TInspectieW[[#This Row],[UVID]]="","",VLOOKUP(TInspectieW[[#This Row],[UVID]],TInventW[],11,FALSE))</f>
        <v>W</v>
      </c>
      <c r="D12" s="411" t="str">
        <f>IF(TInspectieW[[#This Row],[UVID]]="","",VLOOKUP(TInspectieW[[#This Row],[UVID]],TInventW[],3,FALSE))</f>
        <v>Verwarmd tapwater boiler</v>
      </c>
      <c r="E12" s="839" t="s">
        <v>160</v>
      </c>
      <c r="F12" s="840" t="s">
        <v>822</v>
      </c>
      <c r="G12" s="413" t="str">
        <f>IF(ISBLANK(TInspectieW[[#This Row],[Soort gebrek]]),"",VLOOKUP(TInspectieW[[#This Row],[Soort gebrek]],TSoortGebrek[#Data],3,FALSE))</f>
        <v>Theoretisch</v>
      </c>
      <c r="H12" s="413" t="str">
        <f>IF(ISBLANK(TInspectieW[[#This Row],[Soort gebrek]]),"",VLOOKUP(TInspectieW[[#This Row],[Soort gebrek]],TSoortGebrek[#Data],2,FALSE))</f>
        <v>Verval  ≥ 87,5%</v>
      </c>
      <c r="I12" s="413" t="str">
        <f>IF(TInspectieW[[#This Row],[Soort gebrek]]=0,"",VLOOKUP(TInspectieW[[#This Row],[Soort gebrek]],TSoortGebrek[],4,FALSE))</f>
        <v>Eind</v>
      </c>
      <c r="J12" s="841">
        <v>1</v>
      </c>
      <c r="K12" s="415">
        <f>IF(TInspectieW[[#This Row],[Soort gebrek]]=0,"",VLOOKUP(TInspectieW[[#This Row],[Combi]],TPrio[#Data],2,FALSE))</f>
        <v>8</v>
      </c>
      <c r="L12" s="843">
        <v>1</v>
      </c>
      <c r="M12" s="416" t="str">
        <f>IF(ISBLANK(TInspectieW[[#This Row],[Gebrek nr.]]),"",TInspectieW[[#This Row],[UVID]]&amp;"-"&amp;TInspectieW[[#This Row],[Gebrek nr.]])</f>
        <v>532110-1-1</v>
      </c>
      <c r="N12" s="417"/>
      <c r="O12" s="844" t="s">
        <v>1652</v>
      </c>
      <c r="P12" s="828" t="s">
        <v>1456</v>
      </c>
      <c r="Q12" s="819" t="s">
        <v>838</v>
      </c>
      <c r="R12" s="830" t="s">
        <v>1506</v>
      </c>
      <c r="S12" s="828" t="s">
        <v>776</v>
      </c>
      <c r="T12" s="830" t="s">
        <v>1510</v>
      </c>
      <c r="U12" s="830" t="s">
        <v>1541</v>
      </c>
      <c r="V12" s="828" t="s">
        <v>1124</v>
      </c>
      <c r="W12" s="830" t="s">
        <v>890</v>
      </c>
      <c r="X12" s="845">
        <v>1163</v>
      </c>
      <c r="Y12" s="846">
        <v>1</v>
      </c>
      <c r="Z12" s="421">
        <f>IF(ISBLANK(TInspectieW[[#This Row],[Aantal]]),"",ROUND(TInspectieW[[#This Row],[Kengetal]]*TInspectieW[[#This Row],[Aantal]],-1))</f>
        <v>1160</v>
      </c>
      <c r="AA12" s="422">
        <f>IF(TInspectieW[[#This Row],[Vak-groep]]="","1",VLOOKUP(C12,$J$2:$K$7,2,FALSE))</f>
        <v>3</v>
      </c>
      <c r="AB12" s="423" t="str">
        <f>CONCATENATE(TInspectieW[[#This Row],[Soort gebrek]],TInspectieW[[#This Row],[Trede]])</f>
        <v>T-87,53</v>
      </c>
      <c r="AC12" s="413" t="e">
        <v>#N/A</v>
      </c>
      <c r="AD12" s="413" t="e">
        <v>#N/A</v>
      </c>
      <c r="AE12" s="424">
        <v>0</v>
      </c>
    </row>
    <row r="13" spans="1:31" ht="31.5" x14ac:dyDescent="0.25">
      <c r="A13" s="337" t="s">
        <v>1495</v>
      </c>
      <c r="B13" s="410">
        <f>IF(TInspectieW[[#This Row],[UVID]]="","",VLOOKUP(TInspectieW[[#This Row],[UVID]],TInventW[],2,FALSE))</f>
        <v>532110</v>
      </c>
      <c r="C13" s="365" t="str">
        <f>IF(TInspectieW[[#This Row],[UVID]]="","",VLOOKUP(TInspectieW[[#This Row],[UVID]],TInventW[],11,FALSE))</f>
        <v>W</v>
      </c>
      <c r="D13" s="411" t="str">
        <f>IF(TInspectieW[[#This Row],[UVID]]="","",VLOOKUP(TInspectieW[[#This Row],[UVID]],TInventW[],3,FALSE))</f>
        <v>Verwarmd tapwater boiler</v>
      </c>
      <c r="E13" s="839" t="s">
        <v>381</v>
      </c>
      <c r="F13" s="840" t="s">
        <v>832</v>
      </c>
      <c r="G13" s="413" t="str">
        <f>IF(ISBLANK(TInspectieW[[#This Row],[Soort gebrek]]),"",VLOOKUP(TInspectieW[[#This Row],[Soort gebrek]],TSoortGebrek[#Data],3,FALSE))</f>
        <v>Geen</v>
      </c>
      <c r="H13" s="413" t="str">
        <f>IF(ISBLANK(TInspectieW[[#This Row],[Soort gebrek]]),"",VLOOKUP(TInspectieW[[#This Row],[Soort gebrek]],TSoortGebrek[#Data],2,FALSE))</f>
        <v>Geen gebrek</v>
      </c>
      <c r="I13" s="413" t="str">
        <f>IF(TInspectieW[[#This Row],[Soort gebrek]]=0,"",VLOOKUP(TInspectieW[[#This Row],[Soort gebrek]],TSoortGebrek[],4,FALSE))</f>
        <v>Eind</v>
      </c>
      <c r="J13" s="841">
        <v>1</v>
      </c>
      <c r="K13" s="415">
        <f>IF(TInspectieW[[#This Row],[Soort gebrek]]=0,"",VLOOKUP(TInspectieW[[#This Row],[Combi]],TPrio[#Data],2,FALSE))</f>
        <v>0</v>
      </c>
      <c r="L13" s="843">
        <v>2</v>
      </c>
      <c r="M13" s="416" t="str">
        <f>IF(ISBLANK(TInspectieW[[#This Row],[Gebrek nr.]]),"",TInspectieW[[#This Row],[UVID]]&amp;"-"&amp;TInspectieW[[#This Row],[Gebrek nr.]])</f>
        <v>532110-1-2</v>
      </c>
      <c r="N13" s="417"/>
      <c r="O13" s="844" t="s">
        <v>1652</v>
      </c>
      <c r="P13" s="828" t="s">
        <v>1456</v>
      </c>
      <c r="Q13" s="819" t="s">
        <v>838</v>
      </c>
      <c r="R13" s="828" t="s">
        <v>628</v>
      </c>
      <c r="S13" s="828" t="s">
        <v>98</v>
      </c>
      <c r="T13" s="828" t="s">
        <v>1512</v>
      </c>
      <c r="U13" s="828" t="s">
        <v>628</v>
      </c>
      <c r="V13" s="828" t="s">
        <v>1425</v>
      </c>
      <c r="W13" s="830" t="s">
        <v>358</v>
      </c>
      <c r="X13" s="845"/>
      <c r="Y13" s="863"/>
      <c r="Z13" s="421" t="str">
        <f>IF(ISBLANK(TInspectieW[[#This Row],[Aantal]]),"",ROUND(TInspectieW[[#This Row],[Kengetal]]*TInspectieW[[#This Row],[Aantal]],-1))</f>
        <v/>
      </c>
      <c r="AA13" s="422">
        <f>IF(TInspectieW[[#This Row],[Vak-groep]]="","1",VLOOKUP(C13,$J$2:$K$7,2,FALSE))</f>
        <v>3</v>
      </c>
      <c r="AB13" s="423" t="str">
        <f>CONCATENATE(TInspectieW[[#This Row],[Soort gebrek]],TInspectieW[[#This Row],[Trede]])</f>
        <v>GG3</v>
      </c>
      <c r="AC13" s="413" t="e">
        <v>#N/A</v>
      </c>
      <c r="AD13" s="413" t="e">
        <v>#N/A</v>
      </c>
      <c r="AE13" s="424">
        <v>0</v>
      </c>
    </row>
    <row r="14" spans="1:31" ht="94.5" x14ac:dyDescent="0.25">
      <c r="A14" s="337" t="s">
        <v>1496</v>
      </c>
      <c r="B14" s="410">
        <f>IF(TInspectieW[[#This Row],[UVID]]="","",VLOOKUP(TInspectieW[[#This Row],[UVID]],TInventW[],2,FALSE))</f>
        <v>552110</v>
      </c>
      <c r="C14" s="365" t="str">
        <f>IF(TInspectieW[[#This Row],[UVID]]="","",VLOOKUP(TInspectieW[[#This Row],[UVID]],TInventW[],11,FALSE))</f>
        <v>W</v>
      </c>
      <c r="D14" s="411" t="str">
        <f>IF(TInspectieW[[#This Row],[UVID]]="","",VLOOKUP(TInspectieW[[#This Row],[UVID]],TInventW[],3,FALSE))</f>
        <v>Warmtepomp</v>
      </c>
      <c r="E14" s="839" t="s">
        <v>160</v>
      </c>
      <c r="F14" s="840" t="s">
        <v>822</v>
      </c>
      <c r="G14" s="413" t="str">
        <f>IF(ISBLANK(TInspectieW[[#This Row],[Soort gebrek]]),"",VLOOKUP(TInspectieW[[#This Row],[Soort gebrek]],TSoortGebrek[#Data],3,FALSE))</f>
        <v>Theoretisch</v>
      </c>
      <c r="H14" s="413" t="str">
        <f>IF(ISBLANK(TInspectieW[[#This Row],[Soort gebrek]]),"",VLOOKUP(TInspectieW[[#This Row],[Soort gebrek]],TSoortGebrek[#Data],2,FALSE))</f>
        <v>Verval  ≥ 87,5%</v>
      </c>
      <c r="I14" s="413" t="str">
        <f>IF(TInspectieW[[#This Row],[Soort gebrek]]=0,"",VLOOKUP(TInspectieW[[#This Row],[Soort gebrek]],TSoortGebrek[],4,FALSE))</f>
        <v>Eind</v>
      </c>
      <c r="J14" s="841">
        <v>1</v>
      </c>
      <c r="K14" s="415">
        <f>IF(TInspectieW[[#This Row],[Soort gebrek]]=0,"",VLOOKUP(TInspectieW[[#This Row],[Combi]],TPrio[#Data],2,FALSE))</f>
        <v>8</v>
      </c>
      <c r="L14" s="843">
        <v>1</v>
      </c>
      <c r="M14" s="416" t="str">
        <f>IF(ISBLANK(TInspectieW[[#This Row],[Gebrek nr.]]),"",TInspectieW[[#This Row],[UVID]]&amp;"-"&amp;TInspectieW[[#This Row],[Gebrek nr.]])</f>
        <v>552110-1-1</v>
      </c>
      <c r="N14" s="417"/>
      <c r="O14" s="828" t="s">
        <v>1642</v>
      </c>
      <c r="P14" s="813">
        <v>2</v>
      </c>
      <c r="Q14" s="819" t="s">
        <v>838</v>
      </c>
      <c r="R14" s="828" t="s">
        <v>1506</v>
      </c>
      <c r="S14" s="828" t="s">
        <v>776</v>
      </c>
      <c r="T14" s="830" t="s">
        <v>1510</v>
      </c>
      <c r="U14" s="830" t="s">
        <v>1542</v>
      </c>
      <c r="V14" s="828" t="s">
        <v>1425</v>
      </c>
      <c r="W14" s="830" t="s">
        <v>890</v>
      </c>
      <c r="X14" s="845">
        <v>5744</v>
      </c>
      <c r="Y14" s="846">
        <v>1</v>
      </c>
      <c r="Z14" s="421">
        <f>IF(ISBLANK(TInspectieW[[#This Row],[Aantal]]),"",ROUND(TInspectieW[[#This Row],[Kengetal]]*TInspectieW[[#This Row],[Aantal]],-1))</f>
        <v>5740</v>
      </c>
      <c r="AA14" s="422">
        <f>IF(TInspectieW[[#This Row],[Vak-groep]]="","1",VLOOKUP(C14,$J$2:$K$7,2,FALSE))</f>
        <v>3</v>
      </c>
      <c r="AB14" s="423" t="str">
        <f>CONCATENATE(TInspectieW[[#This Row],[Soort gebrek]],TInspectieW[[#This Row],[Trede]])</f>
        <v>T-87,53</v>
      </c>
      <c r="AC14" s="413" t="e">
        <v>#N/A</v>
      </c>
      <c r="AD14" s="413" t="e">
        <v>#N/A</v>
      </c>
      <c r="AE14" s="424">
        <v>0</v>
      </c>
    </row>
    <row r="15" spans="1:31" ht="94.5" x14ac:dyDescent="0.25">
      <c r="A15" s="337" t="s">
        <v>1496</v>
      </c>
      <c r="B15" s="410">
        <f>IF(TInspectieW[[#This Row],[UVID]]="","",VLOOKUP(TInspectieW[[#This Row],[UVID]],TInventW[],2,FALSE))</f>
        <v>552110</v>
      </c>
      <c r="C15" s="365" t="str">
        <f>IF(TInspectieW[[#This Row],[UVID]]="","",VLOOKUP(TInspectieW[[#This Row],[UVID]],TInventW[],11,FALSE))</f>
        <v>W</v>
      </c>
      <c r="D15" s="411" t="str">
        <f>IF(TInspectieW[[#This Row],[UVID]]="","",VLOOKUP(TInspectieW[[#This Row],[UVID]],TInventW[],3,FALSE))</f>
        <v>Warmtepomp</v>
      </c>
      <c r="E15" s="839" t="s">
        <v>381</v>
      </c>
      <c r="F15" s="840" t="s">
        <v>832</v>
      </c>
      <c r="G15" s="413" t="str">
        <f>IF(ISBLANK(TInspectieW[[#This Row],[Soort gebrek]]),"",VLOOKUP(TInspectieW[[#This Row],[Soort gebrek]],TSoortGebrek[#Data],3,FALSE))</f>
        <v>Geen</v>
      </c>
      <c r="H15" s="413" t="str">
        <f>IF(ISBLANK(TInspectieW[[#This Row],[Soort gebrek]]),"",VLOOKUP(TInspectieW[[#This Row],[Soort gebrek]],TSoortGebrek[#Data],2,FALSE))</f>
        <v>Geen gebrek</v>
      </c>
      <c r="I15" s="413" t="str">
        <f>IF(TInspectieW[[#This Row],[Soort gebrek]]=0,"",VLOOKUP(TInspectieW[[#This Row],[Soort gebrek]],TSoortGebrek[],4,FALSE))</f>
        <v>Eind</v>
      </c>
      <c r="J15" s="841">
        <v>0.5</v>
      </c>
      <c r="K15" s="415">
        <f>IF(TInspectieW[[#This Row],[Soort gebrek]]=0,"",VLOOKUP(TInspectieW[[#This Row],[Combi]],TPrio[#Data],2,FALSE))</f>
        <v>0</v>
      </c>
      <c r="L15" s="843">
        <v>2</v>
      </c>
      <c r="M15" s="416" t="str">
        <f>IF(ISBLANK(TInspectieW[[#This Row],[Gebrek nr.]]),"",TInspectieW[[#This Row],[UVID]]&amp;"-"&amp;TInspectieW[[#This Row],[Gebrek nr.]])</f>
        <v>552110-1-2</v>
      </c>
      <c r="N15" s="417"/>
      <c r="O15" s="828" t="s">
        <v>1642</v>
      </c>
      <c r="P15" s="828">
        <v>2</v>
      </c>
      <c r="Q15" s="819" t="s">
        <v>838</v>
      </c>
      <c r="R15" s="828" t="s">
        <v>628</v>
      </c>
      <c r="S15" s="828" t="s">
        <v>82</v>
      </c>
      <c r="T15" s="828" t="s">
        <v>1513</v>
      </c>
      <c r="U15" s="828" t="s">
        <v>628</v>
      </c>
      <c r="V15" s="828" t="s">
        <v>1425</v>
      </c>
      <c r="W15" s="830" t="s">
        <v>358</v>
      </c>
      <c r="X15" s="845">
        <f>[1]Inventarisatie!U32</f>
        <v>0</v>
      </c>
      <c r="Y15" s="863"/>
      <c r="Z15" s="421" t="str">
        <f>IF(ISBLANK(TInspectieW[[#This Row],[Aantal]]),"",ROUND(TInspectieW[[#This Row],[Kengetal]]*TInspectieW[[#This Row],[Aantal]],-1))</f>
        <v/>
      </c>
      <c r="AA15" s="422">
        <f>IF(TInspectieW[[#This Row],[Vak-groep]]="","1",VLOOKUP(C15,$J$2:$K$7,2,FALSE))</f>
        <v>3</v>
      </c>
      <c r="AB15" s="423" t="str">
        <f>CONCATENATE(TInspectieW[[#This Row],[Soort gebrek]],TInspectieW[[#This Row],[Trede]])</f>
        <v>GG3</v>
      </c>
      <c r="AC15" s="413" t="e">
        <v>#N/A</v>
      </c>
      <c r="AD15" s="413" t="e">
        <v>#N/A</v>
      </c>
      <c r="AE15" s="424">
        <v>0</v>
      </c>
    </row>
    <row r="16" spans="1:31" ht="94.5" x14ac:dyDescent="0.25">
      <c r="A16" s="337" t="s">
        <v>1496</v>
      </c>
      <c r="B16" s="410">
        <f>IF(TInspectieW[[#This Row],[UVID]]="","",VLOOKUP(TInspectieW[[#This Row],[UVID]],TInventW[],2,FALSE))</f>
        <v>552110</v>
      </c>
      <c r="C16" s="365" t="str">
        <f>IF(TInspectieW[[#This Row],[UVID]]="","",VLOOKUP(TInspectieW[[#This Row],[UVID]],TInventW[],11,FALSE))</f>
        <v>W</v>
      </c>
      <c r="D16" s="411" t="str">
        <f>IF(TInspectieW[[#This Row],[UVID]]="","",VLOOKUP(TInspectieW[[#This Row],[UVID]],TInventW[],3,FALSE))</f>
        <v>Warmtepomp</v>
      </c>
      <c r="E16" s="839" t="s">
        <v>381</v>
      </c>
      <c r="F16" s="840" t="s">
        <v>832</v>
      </c>
      <c r="G16" s="413" t="str">
        <f>IF(ISBLANK(TInspectieW[[#This Row],[Soort gebrek]]),"",VLOOKUP(TInspectieW[[#This Row],[Soort gebrek]],TSoortGebrek[#Data],3,FALSE))</f>
        <v>Geen</v>
      </c>
      <c r="H16" s="413" t="str">
        <f>IF(ISBLANK(TInspectieW[[#This Row],[Soort gebrek]]),"",VLOOKUP(TInspectieW[[#This Row],[Soort gebrek]],TSoortGebrek[#Data],2,FALSE))</f>
        <v>Geen gebrek</v>
      </c>
      <c r="I16" s="413" t="str">
        <f>IF(TInspectieW[[#This Row],[Soort gebrek]]=0,"",VLOOKUP(TInspectieW[[#This Row],[Soort gebrek]],TSoortGebrek[],4,FALSE))</f>
        <v>Eind</v>
      </c>
      <c r="J16" s="841">
        <v>0.5</v>
      </c>
      <c r="K16" s="415">
        <f>IF(TInspectieW[[#This Row],[Soort gebrek]]=0,"",VLOOKUP(TInspectieW[[#This Row],[Combi]],TPrio[#Data],2,FALSE))</f>
        <v>0</v>
      </c>
      <c r="L16" s="843">
        <v>3</v>
      </c>
      <c r="M16" s="416" t="str">
        <f>IF(ISBLANK(TInspectieW[[#This Row],[Gebrek nr.]]),"",TInspectieW[[#This Row],[UVID]]&amp;"-"&amp;TInspectieW[[#This Row],[Gebrek nr.]])</f>
        <v>552110-1-3</v>
      </c>
      <c r="N16" s="417"/>
      <c r="O16" s="828" t="s">
        <v>1642</v>
      </c>
      <c r="P16" s="828">
        <v>2</v>
      </c>
      <c r="Q16" s="819" t="s">
        <v>838</v>
      </c>
      <c r="R16" s="828" t="s">
        <v>628</v>
      </c>
      <c r="S16" s="828" t="s">
        <v>83</v>
      </c>
      <c r="T16" s="828" t="s">
        <v>1514</v>
      </c>
      <c r="U16" s="828" t="s">
        <v>628</v>
      </c>
      <c r="V16" s="828" t="s">
        <v>1425</v>
      </c>
      <c r="W16" s="830" t="s">
        <v>358</v>
      </c>
      <c r="X16" s="845">
        <f>[1]Inventarisatie!U40</f>
        <v>0</v>
      </c>
      <c r="Y16" s="863"/>
      <c r="Z16" s="421" t="str">
        <f>IF(ISBLANK(TInspectieW[[#This Row],[Aantal]]),"",ROUND(TInspectieW[[#This Row],[Kengetal]]*TInspectieW[[#This Row],[Aantal]],-1))</f>
        <v/>
      </c>
      <c r="AA16" s="422">
        <f>IF(TInspectieW[[#This Row],[Vak-groep]]="","1",VLOOKUP(C16,$J$2:$K$7,2,FALSE))</f>
        <v>3</v>
      </c>
      <c r="AB16" s="423" t="str">
        <f>CONCATENATE(TInspectieW[[#This Row],[Soort gebrek]],TInspectieW[[#This Row],[Trede]])</f>
        <v>GG3</v>
      </c>
      <c r="AC16" s="413" t="e">
        <v>#N/A</v>
      </c>
      <c r="AD16" s="413" t="e">
        <v>#N/A</v>
      </c>
      <c r="AE16" s="424">
        <v>0</v>
      </c>
    </row>
    <row r="17" spans="1:31" ht="94.5" x14ac:dyDescent="0.25">
      <c r="A17" s="337" t="s">
        <v>1497</v>
      </c>
      <c r="B17" s="410">
        <f>IF(TInspectieW[[#This Row],[UVID]]="","",VLOOKUP(TInspectieW[[#This Row],[UVID]],TInventW[],2,FALSE))</f>
        <v>552110</v>
      </c>
      <c r="C17" s="365" t="str">
        <f>IF(TInspectieW[[#This Row],[UVID]]="","",VLOOKUP(TInspectieW[[#This Row],[UVID]],TInventW[],11,FALSE))</f>
        <v>W</v>
      </c>
      <c r="D17" s="411" t="str">
        <f>IF(TInspectieW[[#This Row],[UVID]]="","",VLOOKUP(TInspectieW[[#This Row],[UVID]],TInventW[],3,FALSE))</f>
        <v>Warmtepomp</v>
      </c>
      <c r="E17" s="839" t="s">
        <v>160</v>
      </c>
      <c r="F17" s="840" t="s">
        <v>822</v>
      </c>
      <c r="G17" s="413" t="str">
        <f>IF(ISBLANK(TInspectieW[[#This Row],[Soort gebrek]]),"",VLOOKUP(TInspectieW[[#This Row],[Soort gebrek]],TSoortGebrek[#Data],3,FALSE))</f>
        <v>Theoretisch</v>
      </c>
      <c r="H17" s="413" t="str">
        <f>IF(ISBLANK(TInspectieW[[#This Row],[Soort gebrek]]),"",VLOOKUP(TInspectieW[[#This Row],[Soort gebrek]],TSoortGebrek[#Data],2,FALSE))</f>
        <v>Verval  ≥ 87,5%</v>
      </c>
      <c r="I17" s="413" t="str">
        <f>IF(TInspectieW[[#This Row],[Soort gebrek]]=0,"",VLOOKUP(TInspectieW[[#This Row],[Soort gebrek]],TSoortGebrek[],4,FALSE))</f>
        <v>Eind</v>
      </c>
      <c r="J17" s="841">
        <v>1</v>
      </c>
      <c r="K17" s="415">
        <f>IF(TInspectieW[[#This Row],[Soort gebrek]]=0,"",VLOOKUP(TInspectieW[[#This Row],[Combi]],TPrio[#Data],2,FALSE))</f>
        <v>8</v>
      </c>
      <c r="L17" s="843">
        <v>1</v>
      </c>
      <c r="M17" s="416" t="str">
        <f>IF(ISBLANK(TInspectieW[[#This Row],[Gebrek nr.]]),"",TInspectieW[[#This Row],[UVID]]&amp;"-"&amp;TInspectieW[[#This Row],[Gebrek nr.]])</f>
        <v>552110-2-1</v>
      </c>
      <c r="N17" s="417"/>
      <c r="O17" s="853" t="s">
        <v>1643</v>
      </c>
      <c r="P17" s="813">
        <v>12</v>
      </c>
      <c r="Q17" s="819" t="s">
        <v>838</v>
      </c>
      <c r="R17" s="828" t="s">
        <v>1506</v>
      </c>
      <c r="S17" s="828" t="s">
        <v>776</v>
      </c>
      <c r="T17" s="830" t="s">
        <v>1510</v>
      </c>
      <c r="U17" s="830" t="s">
        <v>1542</v>
      </c>
      <c r="V17" s="828" t="s">
        <v>1425</v>
      </c>
      <c r="W17" s="830" t="s">
        <v>890</v>
      </c>
      <c r="X17" s="845">
        <v>5744</v>
      </c>
      <c r="Y17" s="846">
        <v>1</v>
      </c>
      <c r="Z17" s="421">
        <f>IF(ISBLANK(TInspectieW[[#This Row],[Aantal]]),"",ROUND(TInspectieW[[#This Row],[Kengetal]]*TInspectieW[[#This Row],[Aantal]],-1))</f>
        <v>5740</v>
      </c>
      <c r="AA17" s="422">
        <f>IF(TInspectieW[[#This Row],[Vak-groep]]="","1",VLOOKUP(C17,$J$2:$K$7,2,FALSE))</f>
        <v>3</v>
      </c>
      <c r="AB17" s="423" t="str">
        <f>CONCATENATE(TInspectieW[[#This Row],[Soort gebrek]],TInspectieW[[#This Row],[Trede]])</f>
        <v>T-87,53</v>
      </c>
      <c r="AC17" s="413" t="e">
        <v>#N/A</v>
      </c>
      <c r="AD17" s="413" t="e">
        <v>#N/A</v>
      </c>
      <c r="AE17" s="424">
        <v>0</v>
      </c>
    </row>
    <row r="18" spans="1:31" ht="94.5" x14ac:dyDescent="0.25">
      <c r="A18" s="337" t="s">
        <v>1497</v>
      </c>
      <c r="B18" s="410">
        <f>IF(TInspectieW[[#This Row],[UVID]]="","",VLOOKUP(TInspectieW[[#This Row],[UVID]],TInventW[],2,FALSE))</f>
        <v>552110</v>
      </c>
      <c r="C18" s="365" t="str">
        <f>IF(TInspectieW[[#This Row],[UVID]]="","",VLOOKUP(TInspectieW[[#This Row],[UVID]],TInventW[],11,FALSE))</f>
        <v>W</v>
      </c>
      <c r="D18" s="411" t="str">
        <f>IF(TInspectieW[[#This Row],[UVID]]="","",VLOOKUP(TInspectieW[[#This Row],[UVID]],TInventW[],3,FALSE))</f>
        <v>Warmtepomp</v>
      </c>
      <c r="E18" s="839" t="s">
        <v>381</v>
      </c>
      <c r="F18" s="840" t="s">
        <v>832</v>
      </c>
      <c r="G18" s="413" t="str">
        <f>IF(ISBLANK(TInspectieW[[#This Row],[Soort gebrek]]),"",VLOOKUP(TInspectieW[[#This Row],[Soort gebrek]],TSoortGebrek[#Data],3,FALSE))</f>
        <v>Geen</v>
      </c>
      <c r="H18" s="413" t="str">
        <f>IF(ISBLANK(TInspectieW[[#This Row],[Soort gebrek]]),"",VLOOKUP(TInspectieW[[#This Row],[Soort gebrek]],TSoortGebrek[#Data],2,FALSE))</f>
        <v>Geen gebrek</v>
      </c>
      <c r="I18" s="413" t="str">
        <f>IF(TInspectieW[[#This Row],[Soort gebrek]]=0,"",VLOOKUP(TInspectieW[[#This Row],[Soort gebrek]],TSoortGebrek[],4,FALSE))</f>
        <v>Eind</v>
      </c>
      <c r="J18" s="841">
        <v>0.5</v>
      </c>
      <c r="K18" s="415">
        <f>IF(TInspectieW[[#This Row],[Soort gebrek]]=0,"",VLOOKUP(TInspectieW[[#This Row],[Combi]],TPrio[#Data],2,FALSE))</f>
        <v>0</v>
      </c>
      <c r="L18" s="843">
        <v>2</v>
      </c>
      <c r="M18" s="416" t="str">
        <f>IF(ISBLANK(TInspectieW[[#This Row],[Gebrek nr.]]),"",TInspectieW[[#This Row],[UVID]]&amp;"-"&amp;TInspectieW[[#This Row],[Gebrek nr.]])</f>
        <v>552110-2-2</v>
      </c>
      <c r="N18" s="417"/>
      <c r="O18" s="853" t="s">
        <v>1643</v>
      </c>
      <c r="P18" s="828">
        <v>12</v>
      </c>
      <c r="Q18" s="819" t="s">
        <v>838</v>
      </c>
      <c r="R18" s="828" t="s">
        <v>628</v>
      </c>
      <c r="S18" s="828" t="s">
        <v>82</v>
      </c>
      <c r="T18" s="828" t="s">
        <v>1513</v>
      </c>
      <c r="U18" s="828" t="s">
        <v>628</v>
      </c>
      <c r="V18" s="828" t="s">
        <v>1425</v>
      </c>
      <c r="W18" s="830" t="s">
        <v>358</v>
      </c>
      <c r="X18" s="845">
        <f>[1]Inventarisatie!U34</f>
        <v>0</v>
      </c>
      <c r="Y18" s="863"/>
      <c r="Z18" s="421" t="str">
        <f>IF(ISBLANK(TInspectieW[[#This Row],[Aantal]]),"",ROUND(TInspectieW[[#This Row],[Kengetal]]*TInspectieW[[#This Row],[Aantal]],-1))</f>
        <v/>
      </c>
      <c r="AA18" s="422">
        <f>IF(TInspectieW[[#This Row],[Vak-groep]]="","1",VLOOKUP(C18,$J$2:$K$7,2,FALSE))</f>
        <v>3</v>
      </c>
      <c r="AB18" s="423" t="str">
        <f>CONCATENATE(TInspectieW[[#This Row],[Soort gebrek]],TInspectieW[[#This Row],[Trede]])</f>
        <v>GG3</v>
      </c>
      <c r="AC18" s="413" t="e">
        <v>#N/A</v>
      </c>
      <c r="AD18" s="413" t="e">
        <v>#N/A</v>
      </c>
      <c r="AE18" s="424">
        <v>0</v>
      </c>
    </row>
    <row r="19" spans="1:31" ht="94.5" x14ac:dyDescent="0.25">
      <c r="A19" s="337" t="s">
        <v>1497</v>
      </c>
      <c r="B19" s="410">
        <f>IF(TInspectieW[[#This Row],[UVID]]="","",VLOOKUP(TInspectieW[[#This Row],[UVID]],TInventW[],2,FALSE))</f>
        <v>552110</v>
      </c>
      <c r="C19" s="365" t="str">
        <f>IF(TInspectieW[[#This Row],[UVID]]="","",VLOOKUP(TInspectieW[[#This Row],[UVID]],TInventW[],11,FALSE))</f>
        <v>W</v>
      </c>
      <c r="D19" s="411" t="str">
        <f>IF(TInspectieW[[#This Row],[UVID]]="","",VLOOKUP(TInspectieW[[#This Row],[UVID]],TInventW[],3,FALSE))</f>
        <v>Warmtepomp</v>
      </c>
      <c r="E19" s="839" t="s">
        <v>381</v>
      </c>
      <c r="F19" s="840" t="s">
        <v>832</v>
      </c>
      <c r="G19" s="413" t="str">
        <f>IF(ISBLANK(TInspectieW[[#This Row],[Soort gebrek]]),"",VLOOKUP(TInspectieW[[#This Row],[Soort gebrek]],TSoortGebrek[#Data],3,FALSE))</f>
        <v>Geen</v>
      </c>
      <c r="H19" s="413" t="str">
        <f>IF(ISBLANK(TInspectieW[[#This Row],[Soort gebrek]]),"",VLOOKUP(TInspectieW[[#This Row],[Soort gebrek]],TSoortGebrek[#Data],2,FALSE))</f>
        <v>Geen gebrek</v>
      </c>
      <c r="I19" s="413" t="str">
        <f>IF(TInspectieW[[#This Row],[Soort gebrek]]=0,"",VLOOKUP(TInspectieW[[#This Row],[Soort gebrek]],TSoortGebrek[],4,FALSE))</f>
        <v>Eind</v>
      </c>
      <c r="J19" s="841">
        <v>0.5</v>
      </c>
      <c r="K19" s="415">
        <f>IF(TInspectieW[[#This Row],[Soort gebrek]]=0,"",VLOOKUP(TInspectieW[[#This Row],[Combi]],TPrio[#Data],2,FALSE))</f>
        <v>0</v>
      </c>
      <c r="L19" s="843">
        <v>3</v>
      </c>
      <c r="M19" s="416" t="str">
        <f>IF(ISBLANK(TInspectieW[[#This Row],[Gebrek nr.]]),"",TInspectieW[[#This Row],[UVID]]&amp;"-"&amp;TInspectieW[[#This Row],[Gebrek nr.]])</f>
        <v>552110-2-3</v>
      </c>
      <c r="N19" s="417"/>
      <c r="O19" s="853" t="s">
        <v>1643</v>
      </c>
      <c r="P19" s="828">
        <v>12</v>
      </c>
      <c r="Q19" s="819" t="s">
        <v>838</v>
      </c>
      <c r="R19" s="828" t="s">
        <v>628</v>
      </c>
      <c r="S19" s="828" t="s">
        <v>83</v>
      </c>
      <c r="T19" s="828" t="s">
        <v>1515</v>
      </c>
      <c r="U19" s="828" t="s">
        <v>628</v>
      </c>
      <c r="V19" s="828" t="s">
        <v>1425</v>
      </c>
      <c r="W19" s="830" t="s">
        <v>358</v>
      </c>
      <c r="X19" s="845">
        <f>[1]Inventarisatie!U42</f>
        <v>0</v>
      </c>
      <c r="Y19" s="863"/>
      <c r="Z19" s="421" t="str">
        <f>IF(ISBLANK(TInspectieW[[#This Row],[Aantal]]),"",ROUND(TInspectieW[[#This Row],[Kengetal]]*TInspectieW[[#This Row],[Aantal]],-1))</f>
        <v/>
      </c>
      <c r="AA19" s="422">
        <f>IF(TInspectieW[[#This Row],[Vak-groep]]="","1",VLOOKUP(C19,$J$2:$K$7,2,FALSE))</f>
        <v>3</v>
      </c>
      <c r="AB19" s="423" t="str">
        <f>CONCATENATE(TInspectieW[[#This Row],[Soort gebrek]],TInspectieW[[#This Row],[Trede]])</f>
        <v>GG3</v>
      </c>
      <c r="AC19" s="413" t="e">
        <v>#N/A</v>
      </c>
      <c r="AD19" s="413" t="e">
        <v>#N/A</v>
      </c>
      <c r="AE19" s="424">
        <v>0</v>
      </c>
    </row>
    <row r="20" spans="1:31" ht="115.5" x14ac:dyDescent="0.25">
      <c r="A20" s="337" t="s">
        <v>1498</v>
      </c>
      <c r="B20" s="410">
        <f>IF(TInspectieW[[#This Row],[UVID]]="","",VLOOKUP(TInspectieW[[#This Row],[UVID]],TInventW[],2,FALSE))</f>
        <v>562110</v>
      </c>
      <c r="C20" s="365" t="str">
        <f>IF(TInspectieW[[#This Row],[UVID]]="","",VLOOKUP(TInspectieW[[#This Row],[UVID]],TInventW[],11,FALSE))</f>
        <v>W</v>
      </c>
      <c r="D20" s="411" t="str">
        <f>IF(TInspectieW[[#This Row],[UVID]]="","",VLOOKUP(TInspectieW[[#This Row],[UVID]],TInventW[],3,FALSE))</f>
        <v>Verwarming opwekking centraal</v>
      </c>
      <c r="E20" s="839" t="s">
        <v>160</v>
      </c>
      <c r="F20" s="840" t="s">
        <v>830</v>
      </c>
      <c r="G20" s="413" t="str">
        <f>IF(ISBLANK(TInspectieW[[#This Row],[Soort gebrek]]),"",VLOOKUP(TInspectieW[[#This Row],[Soort gebrek]],TSoortGebrek[#Data],3,FALSE))</f>
        <v>Theoretisch</v>
      </c>
      <c r="H20" s="413" t="str">
        <f>IF(ISBLANK(TInspectieW[[#This Row],[Soort gebrek]]),"",VLOOKUP(TInspectieW[[#This Row],[Soort gebrek]],TSoortGebrek[#Data],2,FALSE))</f>
        <v>Verval &lt; 50%</v>
      </c>
      <c r="I20" s="413" t="str">
        <f>IF(TInspectieW[[#This Row],[Soort gebrek]]=0,"",VLOOKUP(TInspectieW[[#This Row],[Soort gebrek]],TSoortGebrek[],4,FALSE))</f>
        <v>Begin</v>
      </c>
      <c r="J20" s="842">
        <v>1</v>
      </c>
      <c r="K20" s="415">
        <f>IF(TInspectieW[[#This Row],[Soort gebrek]]=0,"",VLOOKUP(TInspectieW[[#This Row],[Combi]],TPrio[#Data],2,FALSE))</f>
        <v>9</v>
      </c>
      <c r="L20" s="843">
        <v>1</v>
      </c>
      <c r="M20" s="416" t="str">
        <f>IF(ISBLANK(TInspectieW[[#This Row],[Gebrek nr.]]),"",TInspectieW[[#This Row],[UVID]]&amp;"-"&amp;TInspectieW[[#This Row],[Gebrek nr.]])</f>
        <v>562110-1-1</v>
      </c>
      <c r="N20" s="417"/>
      <c r="O20" s="844" t="s">
        <v>1653</v>
      </c>
      <c r="P20" s="830">
        <v>6</v>
      </c>
      <c r="Q20" s="819" t="s">
        <v>836</v>
      </c>
      <c r="R20" s="830" t="s">
        <v>1507</v>
      </c>
      <c r="S20" s="828" t="s">
        <v>776</v>
      </c>
      <c r="T20" s="830" t="s">
        <v>1510</v>
      </c>
      <c r="U20" s="828" t="s">
        <v>1543</v>
      </c>
      <c r="V20" s="828" t="s">
        <v>1130</v>
      </c>
      <c r="W20" s="830" t="s">
        <v>890</v>
      </c>
      <c r="X20" s="845">
        <v>59000</v>
      </c>
      <c r="Y20" s="845">
        <v>1</v>
      </c>
      <c r="Z20" s="421">
        <f>IF(ISBLANK(TInspectieW[[#This Row],[Aantal]]),"",ROUND(TInspectieW[[#This Row],[Kengetal]]*TInspectieW[[#This Row],[Aantal]],-1))</f>
        <v>59000</v>
      </c>
      <c r="AA20" s="422">
        <f>IF(TInspectieW[[#This Row],[Vak-groep]]="","1",VLOOKUP(C20,$J$2:$K$7,2,FALSE))</f>
        <v>3</v>
      </c>
      <c r="AB20" s="423" t="str">
        <f>CONCATENATE(TInspectieW[[#This Row],[Soort gebrek]],TInspectieW[[#This Row],[Trede]])</f>
        <v>T-03</v>
      </c>
      <c r="AC20" s="413" t="e">
        <v>#N/A</v>
      </c>
      <c r="AD20" s="413" t="e">
        <v>#N/A</v>
      </c>
      <c r="AE20" s="424">
        <v>0</v>
      </c>
    </row>
    <row r="21" spans="1:31" ht="31.5" x14ac:dyDescent="0.25">
      <c r="A21" s="337" t="s">
        <v>1498</v>
      </c>
      <c r="B21" s="410">
        <f>IF(TInspectieW[[#This Row],[UVID]]="","",VLOOKUP(TInspectieW[[#This Row],[UVID]],TInventW[],2,FALSE))</f>
        <v>562110</v>
      </c>
      <c r="C21" s="365" t="str">
        <f>IF(TInspectieW[[#This Row],[UVID]]="","",VLOOKUP(TInspectieW[[#This Row],[UVID]],TInventW[],11,FALSE))</f>
        <v>W</v>
      </c>
      <c r="D21" s="411" t="str">
        <f>IF(TInspectieW[[#This Row],[UVID]]="","",VLOOKUP(TInspectieW[[#This Row],[UVID]],TInventW[],3,FALSE))</f>
        <v>Verwarming opwekking centraal</v>
      </c>
      <c r="E21" s="839" t="s">
        <v>381</v>
      </c>
      <c r="F21" s="840" t="s">
        <v>832</v>
      </c>
      <c r="G21" s="413" t="str">
        <f>IF(ISBLANK(TInspectieW[[#This Row],[Soort gebrek]]),"",VLOOKUP(TInspectieW[[#This Row],[Soort gebrek]],TSoortGebrek[#Data],3,FALSE))</f>
        <v>Geen</v>
      </c>
      <c r="H21" s="413" t="str">
        <f>IF(ISBLANK(TInspectieW[[#This Row],[Soort gebrek]]),"",VLOOKUP(TInspectieW[[#This Row],[Soort gebrek]],TSoortGebrek[#Data],2,FALSE))</f>
        <v>Geen gebrek</v>
      </c>
      <c r="I21" s="413" t="str">
        <f>IF(TInspectieW[[#This Row],[Soort gebrek]]=0,"",VLOOKUP(TInspectieW[[#This Row],[Soort gebrek]],TSoortGebrek[],4,FALSE))</f>
        <v>Eind</v>
      </c>
      <c r="J21" s="842">
        <v>0.1</v>
      </c>
      <c r="K21" s="415">
        <f>IF(TInspectieW[[#This Row],[Soort gebrek]]=0,"",VLOOKUP(TInspectieW[[#This Row],[Combi]],TPrio[#Data],2,FALSE))</f>
        <v>0</v>
      </c>
      <c r="L21" s="843">
        <v>2</v>
      </c>
      <c r="M21" s="416" t="str">
        <f>IF(ISBLANK(TInspectieW[[#This Row],[Gebrek nr.]]),"",TInspectieW[[#This Row],[UVID]]&amp;"-"&amp;TInspectieW[[#This Row],[Gebrek nr.]])</f>
        <v>562110-1-2</v>
      </c>
      <c r="N21" s="417"/>
      <c r="O21" s="844" t="s">
        <v>1653</v>
      </c>
      <c r="P21" s="830">
        <v>6</v>
      </c>
      <c r="Q21" s="819" t="s">
        <v>838</v>
      </c>
      <c r="R21" s="830" t="s">
        <v>628</v>
      </c>
      <c r="S21" s="828" t="s">
        <v>83</v>
      </c>
      <c r="T21" s="830" t="s">
        <v>1516</v>
      </c>
      <c r="U21" s="830" t="s">
        <v>628</v>
      </c>
      <c r="V21" s="828" t="s">
        <v>1425</v>
      </c>
      <c r="W21" s="830" t="s">
        <v>358</v>
      </c>
      <c r="X21" s="845"/>
      <c r="Y21" s="846"/>
      <c r="Z21" s="421" t="str">
        <f>IF(ISBLANK(TInspectieW[[#This Row],[Aantal]]),"",ROUND(TInspectieW[[#This Row],[Kengetal]]*TInspectieW[[#This Row],[Aantal]],-1))</f>
        <v/>
      </c>
      <c r="AA21" s="422">
        <f>IF(TInspectieW[[#This Row],[Vak-groep]]="","1",VLOOKUP(C21,$J$2:$K$7,2,FALSE))</f>
        <v>3</v>
      </c>
      <c r="AB21" s="423" t="str">
        <f>CONCATENATE(TInspectieW[[#This Row],[Soort gebrek]],TInspectieW[[#This Row],[Trede]])</f>
        <v>GG3</v>
      </c>
      <c r="AC21" s="413" t="e">
        <v>#N/A</v>
      </c>
      <c r="AD21" s="413" t="e">
        <v>#N/A</v>
      </c>
      <c r="AE21" s="424">
        <v>0</v>
      </c>
    </row>
    <row r="22" spans="1:31" ht="42" x14ac:dyDescent="0.25">
      <c r="A22" s="337" t="s">
        <v>1498</v>
      </c>
      <c r="B22" s="410">
        <f>IF(TInspectieW[[#This Row],[UVID]]="","",VLOOKUP(TInspectieW[[#This Row],[UVID]],TInventW[],2,FALSE))</f>
        <v>562110</v>
      </c>
      <c r="C22" s="365" t="str">
        <f>IF(TInspectieW[[#This Row],[UVID]]="","",VLOOKUP(TInspectieW[[#This Row],[UVID]],TInventW[],11,FALSE))</f>
        <v>W</v>
      </c>
      <c r="D22" s="411" t="str">
        <f>IF(TInspectieW[[#This Row],[UVID]]="","",VLOOKUP(TInspectieW[[#This Row],[UVID]],TInventW[],3,FALSE))</f>
        <v>Verwarming opwekking centraal</v>
      </c>
      <c r="E22" s="839" t="s">
        <v>381</v>
      </c>
      <c r="F22" s="840" t="s">
        <v>832</v>
      </c>
      <c r="G22" s="413" t="str">
        <f>IF(ISBLANK(TInspectieW[[#This Row],[Soort gebrek]]),"",VLOOKUP(TInspectieW[[#This Row],[Soort gebrek]],TSoortGebrek[#Data],3,FALSE))</f>
        <v>Geen</v>
      </c>
      <c r="H22" s="413" t="str">
        <f>IF(ISBLANK(TInspectieW[[#This Row],[Soort gebrek]]),"",VLOOKUP(TInspectieW[[#This Row],[Soort gebrek]],TSoortGebrek[#Data],2,FALSE))</f>
        <v>Geen gebrek</v>
      </c>
      <c r="I22" s="413" t="str">
        <f>IF(TInspectieW[[#This Row],[Soort gebrek]]=0,"",VLOOKUP(TInspectieW[[#This Row],[Soort gebrek]],TSoortGebrek[],4,FALSE))</f>
        <v>Eind</v>
      </c>
      <c r="J22" s="841">
        <v>0.1</v>
      </c>
      <c r="K22" s="415">
        <f>IF(TInspectieW[[#This Row],[Soort gebrek]]=0,"",VLOOKUP(TInspectieW[[#This Row],[Combi]],TPrio[#Data],2,FALSE))</f>
        <v>0</v>
      </c>
      <c r="L22" s="843">
        <v>3</v>
      </c>
      <c r="M22" s="416" t="str">
        <f>IF(ISBLANK(TInspectieW[[#This Row],[Gebrek nr.]]),"",TInspectieW[[#This Row],[UVID]]&amp;"-"&amp;TInspectieW[[#This Row],[Gebrek nr.]])</f>
        <v>562110-1-3</v>
      </c>
      <c r="N22" s="417"/>
      <c r="O22" s="844" t="s">
        <v>1653</v>
      </c>
      <c r="P22" s="828">
        <v>6</v>
      </c>
      <c r="Q22" s="819" t="s">
        <v>836</v>
      </c>
      <c r="R22" s="830" t="s">
        <v>628</v>
      </c>
      <c r="S22" s="828" t="s">
        <v>82</v>
      </c>
      <c r="T22" s="828" t="s">
        <v>1517</v>
      </c>
      <c r="U22" s="830" t="s">
        <v>628</v>
      </c>
      <c r="V22" s="828" t="s">
        <v>1425</v>
      </c>
      <c r="W22" s="830" t="s">
        <v>358</v>
      </c>
      <c r="X22" s="845"/>
      <c r="Y22" s="846"/>
      <c r="Z22" s="421" t="str">
        <f>IF(ISBLANK(TInspectieW[[#This Row],[Aantal]]),"",ROUND(TInspectieW[[#This Row],[Kengetal]]*TInspectieW[[#This Row],[Aantal]],-1))</f>
        <v/>
      </c>
      <c r="AA22" s="422">
        <f>IF(TInspectieW[[#This Row],[Vak-groep]]="","1",VLOOKUP(C22,$J$2:$K$7,2,FALSE))</f>
        <v>3</v>
      </c>
      <c r="AB22" s="423" t="str">
        <f>CONCATENATE(TInspectieW[[#This Row],[Soort gebrek]],TInspectieW[[#This Row],[Trede]])</f>
        <v>GG3</v>
      </c>
      <c r="AC22" s="413" t="e">
        <v>#N/A</v>
      </c>
      <c r="AD22" s="413" t="e">
        <v>#N/A</v>
      </c>
      <c r="AE22" s="424">
        <v>0</v>
      </c>
    </row>
    <row r="23" spans="1:31" ht="31.5" x14ac:dyDescent="0.25">
      <c r="A23" s="337" t="s">
        <v>1498</v>
      </c>
      <c r="B23" s="410">
        <f>IF(TInspectieW[[#This Row],[UVID]]="","",VLOOKUP(TInspectieW[[#This Row],[UVID]],TInventW[],2,FALSE))</f>
        <v>562110</v>
      </c>
      <c r="C23" s="365" t="str">
        <f>IF(TInspectieW[[#This Row],[UVID]]="","",VLOOKUP(TInspectieW[[#This Row],[UVID]],TInventW[],11,FALSE))</f>
        <v>W</v>
      </c>
      <c r="D23" s="411" t="str">
        <f>IF(TInspectieW[[#This Row],[UVID]]="","",VLOOKUP(TInspectieW[[#This Row],[UVID]],TInventW[],3,FALSE))</f>
        <v>Verwarming opwekking centraal</v>
      </c>
      <c r="E23" s="839" t="s">
        <v>381</v>
      </c>
      <c r="F23" s="840" t="s">
        <v>832</v>
      </c>
      <c r="G23" s="413" t="str">
        <f>IF(ISBLANK(TInspectieW[[#This Row],[Soort gebrek]]),"",VLOOKUP(TInspectieW[[#This Row],[Soort gebrek]],TSoortGebrek[#Data],3,FALSE))</f>
        <v>Geen</v>
      </c>
      <c r="H23" s="413" t="str">
        <f>IF(ISBLANK(TInspectieW[[#This Row],[Soort gebrek]]),"",VLOOKUP(TInspectieW[[#This Row],[Soort gebrek]],TSoortGebrek[#Data],2,FALSE))</f>
        <v>Geen gebrek</v>
      </c>
      <c r="I23" s="413" t="str">
        <f>IF(TInspectieW[[#This Row],[Soort gebrek]]=0,"",VLOOKUP(TInspectieW[[#This Row],[Soort gebrek]],TSoortGebrek[],4,FALSE))</f>
        <v>Eind</v>
      </c>
      <c r="J23" s="841">
        <v>0.2</v>
      </c>
      <c r="K23" s="415">
        <f>IF(TInspectieW[[#This Row],[Soort gebrek]]=0,"",VLOOKUP(TInspectieW[[#This Row],[Combi]],TPrio[#Data],2,FALSE))</f>
        <v>0</v>
      </c>
      <c r="L23" s="843">
        <v>4</v>
      </c>
      <c r="M23" s="416" t="str">
        <f>IF(ISBLANK(TInspectieW[[#This Row],[Gebrek nr.]]),"",TInspectieW[[#This Row],[UVID]]&amp;"-"&amp;TInspectieW[[#This Row],[Gebrek nr.]])</f>
        <v>562110-1-4</v>
      </c>
      <c r="N23" s="417"/>
      <c r="O23" s="844" t="s">
        <v>1653</v>
      </c>
      <c r="P23" s="828">
        <v>6</v>
      </c>
      <c r="Q23" s="819" t="s">
        <v>838</v>
      </c>
      <c r="R23" s="830" t="s">
        <v>628</v>
      </c>
      <c r="S23" s="828"/>
      <c r="T23" s="828" t="s">
        <v>1518</v>
      </c>
      <c r="U23" s="830" t="s">
        <v>628</v>
      </c>
      <c r="V23" s="828" t="s">
        <v>1425</v>
      </c>
      <c r="W23" s="830" t="s">
        <v>358</v>
      </c>
      <c r="X23" s="845"/>
      <c r="Y23" s="863"/>
      <c r="Z23" s="421" t="str">
        <f>IF(ISBLANK(TInspectieW[[#This Row],[Aantal]]),"",ROUND(TInspectieW[[#This Row],[Kengetal]]*TInspectieW[[#This Row],[Aantal]],-1))</f>
        <v/>
      </c>
      <c r="AA23" s="422">
        <f>IF(TInspectieW[[#This Row],[Vak-groep]]="","1",VLOOKUP(C23,$J$2:$K$7,2,FALSE))</f>
        <v>3</v>
      </c>
      <c r="AB23" s="423" t="str">
        <f>CONCATENATE(TInspectieW[[#This Row],[Soort gebrek]],TInspectieW[[#This Row],[Trede]])</f>
        <v>GG3</v>
      </c>
      <c r="AC23" s="413" t="e">
        <v>#N/A</v>
      </c>
      <c r="AD23" s="413" t="e">
        <v>#N/A</v>
      </c>
      <c r="AE23" s="424">
        <v>0</v>
      </c>
    </row>
    <row r="24" spans="1:31" ht="31.5" x14ac:dyDescent="0.25">
      <c r="A24" s="337" t="s">
        <v>1498</v>
      </c>
      <c r="B24" s="410">
        <f>IF(TInspectieW[[#This Row],[UVID]]="","",VLOOKUP(TInspectieW[[#This Row],[UVID]],TInventW[],2,FALSE))</f>
        <v>562110</v>
      </c>
      <c r="C24" s="365" t="str">
        <f>IF(TInspectieW[[#This Row],[UVID]]="","",VLOOKUP(TInspectieW[[#This Row],[UVID]],TInventW[],11,FALSE))</f>
        <v>W</v>
      </c>
      <c r="D24" s="411" t="str">
        <f>IF(TInspectieW[[#This Row],[UVID]]="","",VLOOKUP(TInspectieW[[#This Row],[UVID]],TInventW[],3,FALSE))</f>
        <v>Verwarming opwekking centraal</v>
      </c>
      <c r="E24" s="839" t="s">
        <v>381</v>
      </c>
      <c r="F24" s="840" t="s">
        <v>832</v>
      </c>
      <c r="G24" s="413" t="str">
        <f>IF(ISBLANK(TInspectieW[[#This Row],[Soort gebrek]]),"",VLOOKUP(TInspectieW[[#This Row],[Soort gebrek]],TSoortGebrek[#Data],3,FALSE))</f>
        <v>Geen</v>
      </c>
      <c r="H24" s="413" t="str">
        <f>IF(ISBLANK(TInspectieW[[#This Row],[Soort gebrek]]),"",VLOOKUP(TInspectieW[[#This Row],[Soort gebrek]],TSoortGebrek[#Data],2,FALSE))</f>
        <v>Geen gebrek</v>
      </c>
      <c r="I24" s="413" t="str">
        <f>IF(TInspectieW[[#This Row],[Soort gebrek]]=0,"",VLOOKUP(TInspectieW[[#This Row],[Soort gebrek]],TSoortGebrek[],4,FALSE))</f>
        <v>Eind</v>
      </c>
      <c r="J24" s="841">
        <v>0.2</v>
      </c>
      <c r="K24" s="415">
        <f>IF(TInspectieW[[#This Row],[Soort gebrek]]=0,"",VLOOKUP(TInspectieW[[#This Row],[Combi]],TPrio[#Data],2,FALSE))</f>
        <v>0</v>
      </c>
      <c r="L24" s="843">
        <v>6</v>
      </c>
      <c r="M24" s="416" t="str">
        <f>IF(ISBLANK(TInspectieW[[#This Row],[Gebrek nr.]]),"",TInspectieW[[#This Row],[UVID]]&amp;"-"&amp;TInspectieW[[#This Row],[Gebrek nr.]])</f>
        <v>562110-1-6</v>
      </c>
      <c r="N24" s="417"/>
      <c r="O24" s="844" t="s">
        <v>1653</v>
      </c>
      <c r="P24" s="828">
        <v>6</v>
      </c>
      <c r="Q24" s="819" t="s">
        <v>836</v>
      </c>
      <c r="R24" s="830" t="s">
        <v>628</v>
      </c>
      <c r="S24" s="828" t="s">
        <v>23</v>
      </c>
      <c r="T24" s="828" t="s">
        <v>1519</v>
      </c>
      <c r="U24" s="830" t="s">
        <v>628</v>
      </c>
      <c r="V24" s="828" t="s">
        <v>1425</v>
      </c>
      <c r="W24" s="830" t="s">
        <v>358</v>
      </c>
      <c r="X24" s="845"/>
      <c r="Y24" s="863"/>
      <c r="Z24" s="421" t="str">
        <f>IF(ISBLANK(TInspectieW[[#This Row],[Aantal]]),"",ROUND(TInspectieW[[#This Row],[Kengetal]]*TInspectieW[[#This Row],[Aantal]],-1))</f>
        <v/>
      </c>
      <c r="AA24" s="422">
        <f>IF(TInspectieW[[#This Row],[Vak-groep]]="","1",VLOOKUP(C24,$J$2:$K$7,2,FALSE))</f>
        <v>3</v>
      </c>
      <c r="AB24" s="423" t="str">
        <f>CONCATENATE(TInspectieW[[#This Row],[Soort gebrek]],TInspectieW[[#This Row],[Trede]])</f>
        <v>GG3</v>
      </c>
      <c r="AC24" s="413" t="e">
        <v>#N/A</v>
      </c>
      <c r="AD24" s="413" t="e">
        <v>#N/A</v>
      </c>
      <c r="AE24" s="424">
        <v>0</v>
      </c>
    </row>
    <row r="25" spans="1:31" ht="31.5" x14ac:dyDescent="0.25">
      <c r="A25" s="337" t="s">
        <v>1498</v>
      </c>
      <c r="B25" s="410">
        <f>IF(TInspectieW[[#This Row],[UVID]]="","",VLOOKUP(TInspectieW[[#This Row],[UVID]],TInventW[],2,FALSE))</f>
        <v>562110</v>
      </c>
      <c r="C25" s="365" t="str">
        <f>IF(TInspectieW[[#This Row],[UVID]]="","",VLOOKUP(TInspectieW[[#This Row],[UVID]],TInventW[],11,FALSE))</f>
        <v>W</v>
      </c>
      <c r="D25" s="411" t="str">
        <f>IF(TInspectieW[[#This Row],[UVID]]="","",VLOOKUP(TInspectieW[[#This Row],[UVID]],TInventW[],3,FALSE))</f>
        <v>Verwarming opwekking centraal</v>
      </c>
      <c r="E25" s="839" t="s">
        <v>381</v>
      </c>
      <c r="F25" s="840" t="s">
        <v>832</v>
      </c>
      <c r="G25" s="413" t="str">
        <f>IF(ISBLANK(TInspectieW[[#This Row],[Soort gebrek]]),"",VLOOKUP(TInspectieW[[#This Row],[Soort gebrek]],TSoortGebrek[#Data],3,FALSE))</f>
        <v>Geen</v>
      </c>
      <c r="H25" s="413" t="str">
        <f>IF(ISBLANK(TInspectieW[[#This Row],[Soort gebrek]]),"",VLOOKUP(TInspectieW[[#This Row],[Soort gebrek]],TSoortGebrek[#Data],2,FALSE))</f>
        <v>Geen gebrek</v>
      </c>
      <c r="I25" s="413" t="str">
        <f>IF(TInspectieW[[#This Row],[Soort gebrek]]=0,"",VLOOKUP(TInspectieW[[#This Row],[Soort gebrek]],TSoortGebrek[],4,FALSE))</f>
        <v>Eind</v>
      </c>
      <c r="J25" s="841">
        <v>0.2</v>
      </c>
      <c r="K25" s="415">
        <f>IF(TInspectieW[[#This Row],[Soort gebrek]]=0,"",VLOOKUP(TInspectieW[[#This Row],[Combi]],TPrio[#Data],2,FALSE))</f>
        <v>0</v>
      </c>
      <c r="L25" s="843">
        <v>7</v>
      </c>
      <c r="M25" s="416" t="str">
        <f>IF(ISBLANK(TInspectieW[[#This Row],[Gebrek nr.]]),"",TInspectieW[[#This Row],[UVID]]&amp;"-"&amp;TInspectieW[[#This Row],[Gebrek nr.]])</f>
        <v>562110-1-7</v>
      </c>
      <c r="N25" s="417"/>
      <c r="O25" s="844" t="s">
        <v>1653</v>
      </c>
      <c r="P25" s="828">
        <v>6</v>
      </c>
      <c r="Q25" s="819" t="s">
        <v>838</v>
      </c>
      <c r="R25" s="830" t="s">
        <v>628</v>
      </c>
      <c r="S25" s="828" t="s">
        <v>25</v>
      </c>
      <c r="T25" s="828" t="s">
        <v>1520</v>
      </c>
      <c r="U25" s="830" t="s">
        <v>628</v>
      </c>
      <c r="V25" s="828" t="s">
        <v>1425</v>
      </c>
      <c r="W25" s="830" t="s">
        <v>358</v>
      </c>
      <c r="X25" s="845"/>
      <c r="Y25" s="863"/>
      <c r="Z25" s="421" t="str">
        <f>IF(ISBLANK(TInspectieW[[#This Row],[Aantal]]),"",ROUND(TInspectieW[[#This Row],[Kengetal]]*TInspectieW[[#This Row],[Aantal]],-1))</f>
        <v/>
      </c>
      <c r="AA25" s="422">
        <f>IF(TInspectieW[[#This Row],[Vak-groep]]="","1",VLOOKUP(C25,$J$2:$K$7,2,FALSE))</f>
        <v>3</v>
      </c>
      <c r="AB25" s="423" t="str">
        <f>CONCATENATE(TInspectieW[[#This Row],[Soort gebrek]],TInspectieW[[#This Row],[Trede]])</f>
        <v>GG3</v>
      </c>
      <c r="AC25" s="413" t="e">
        <v>#N/A</v>
      </c>
      <c r="AD25" s="413" t="e">
        <v>#N/A</v>
      </c>
      <c r="AE25" s="424">
        <v>0</v>
      </c>
    </row>
    <row r="26" spans="1:31" ht="63" x14ac:dyDescent="0.25">
      <c r="A26" s="337" t="s">
        <v>1498</v>
      </c>
      <c r="B26" s="410">
        <f>IF(TInspectieW[[#This Row],[UVID]]="","",VLOOKUP(TInspectieW[[#This Row],[UVID]],TInventW[],2,FALSE))</f>
        <v>562110</v>
      </c>
      <c r="C26" s="365" t="str">
        <f>IF(TInspectieW[[#This Row],[UVID]]="","",VLOOKUP(TInspectieW[[#This Row],[UVID]],TInventW[],11,FALSE))</f>
        <v>W</v>
      </c>
      <c r="D26" s="411" t="str">
        <f>IF(TInspectieW[[#This Row],[UVID]]="","",VLOOKUP(TInspectieW[[#This Row],[UVID]],TInventW[],3,FALSE))</f>
        <v>Verwarming opwekking centraal</v>
      </c>
      <c r="E26" s="839" t="s">
        <v>381</v>
      </c>
      <c r="F26" s="840" t="s">
        <v>832</v>
      </c>
      <c r="G26" s="413" t="str">
        <f>IF(ISBLANK(TInspectieW[[#This Row],[Soort gebrek]]),"",VLOOKUP(TInspectieW[[#This Row],[Soort gebrek]],TSoortGebrek[#Data],3,FALSE))</f>
        <v>Geen</v>
      </c>
      <c r="H26" s="413" t="str">
        <f>IF(ISBLANK(TInspectieW[[#This Row],[Soort gebrek]]),"",VLOOKUP(TInspectieW[[#This Row],[Soort gebrek]],TSoortGebrek[#Data],2,FALSE))</f>
        <v>Geen gebrek</v>
      </c>
      <c r="I26" s="413" t="str">
        <f>IF(TInspectieW[[#This Row],[Soort gebrek]]=0,"",VLOOKUP(TInspectieW[[#This Row],[Soort gebrek]],TSoortGebrek[],4,FALSE))</f>
        <v>Eind</v>
      </c>
      <c r="J26" s="841">
        <v>0.2</v>
      </c>
      <c r="K26" s="415">
        <f>IF(TInspectieW[[#This Row],[Soort gebrek]]=0,"",VLOOKUP(TInspectieW[[#This Row],[Combi]],TPrio[#Data],2,FALSE))</f>
        <v>0</v>
      </c>
      <c r="L26" s="843">
        <v>8</v>
      </c>
      <c r="M26" s="416" t="str">
        <f>IF(ISBLANK(TInspectieW[[#This Row],[Gebrek nr.]]),"",TInspectieW[[#This Row],[UVID]]&amp;"-"&amp;TInspectieW[[#This Row],[Gebrek nr.]])</f>
        <v>562110-1-8</v>
      </c>
      <c r="N26" s="417"/>
      <c r="O26" s="844" t="s">
        <v>1653</v>
      </c>
      <c r="P26" s="828">
        <v>6</v>
      </c>
      <c r="Q26" s="819" t="s">
        <v>836</v>
      </c>
      <c r="R26" s="830" t="s">
        <v>628</v>
      </c>
      <c r="S26" s="828" t="s">
        <v>98</v>
      </c>
      <c r="T26" s="828" t="s">
        <v>1521</v>
      </c>
      <c r="U26" s="830" t="s">
        <v>628</v>
      </c>
      <c r="V26" s="828" t="s">
        <v>1425</v>
      </c>
      <c r="W26" s="830" t="s">
        <v>358</v>
      </c>
      <c r="X26" s="845"/>
      <c r="Y26" s="863"/>
      <c r="Z26" s="421" t="str">
        <f>IF(ISBLANK(TInspectieW[[#This Row],[Aantal]]),"",ROUND(TInspectieW[[#This Row],[Kengetal]]*TInspectieW[[#This Row],[Aantal]],-1))</f>
        <v/>
      </c>
      <c r="AA26" s="422">
        <f>IF(TInspectieW[[#This Row],[Vak-groep]]="","1",VLOOKUP(C26,$J$2:$K$7,2,FALSE))</f>
        <v>3</v>
      </c>
      <c r="AB26" s="423" t="str">
        <f>CONCATENATE(TInspectieW[[#This Row],[Soort gebrek]],TInspectieW[[#This Row],[Trede]])</f>
        <v>GG3</v>
      </c>
      <c r="AC26" s="413" t="e">
        <v>#N/A</v>
      </c>
      <c r="AD26" s="413" t="e">
        <v>#N/A</v>
      </c>
      <c r="AE26" s="424">
        <v>0</v>
      </c>
    </row>
    <row r="27" spans="1:31" ht="115.5" x14ac:dyDescent="0.25">
      <c r="A27" s="337" t="s">
        <v>1499</v>
      </c>
      <c r="B27" s="410">
        <f>IF(TInspectieW[[#This Row],[UVID]]="","",VLOOKUP(TInspectieW[[#This Row],[UVID]],TInventW[],2,FALSE))</f>
        <v>562110</v>
      </c>
      <c r="C27" s="365" t="str">
        <f>IF(TInspectieW[[#This Row],[UVID]]="","",VLOOKUP(TInspectieW[[#This Row],[UVID]],TInventW[],11,FALSE))</f>
        <v>W</v>
      </c>
      <c r="D27" s="411" t="str">
        <f>IF(TInspectieW[[#This Row],[UVID]]="","",VLOOKUP(TInspectieW[[#This Row],[UVID]],TInventW[],3,FALSE))</f>
        <v>Verwarming opwekking centraal</v>
      </c>
      <c r="E27" s="839" t="s">
        <v>160</v>
      </c>
      <c r="F27" s="840" t="s">
        <v>830</v>
      </c>
      <c r="G27" s="413" t="str">
        <f>IF(ISBLANK(TInspectieW[[#This Row],[Soort gebrek]]),"",VLOOKUP(TInspectieW[[#This Row],[Soort gebrek]],TSoortGebrek[#Data],3,FALSE))</f>
        <v>Theoretisch</v>
      </c>
      <c r="H27" s="413" t="str">
        <f>IF(ISBLANK(TInspectieW[[#This Row],[Soort gebrek]]),"",VLOOKUP(TInspectieW[[#This Row],[Soort gebrek]],TSoortGebrek[#Data],2,FALSE))</f>
        <v>Verval &lt; 50%</v>
      </c>
      <c r="I27" s="413" t="str">
        <f>IF(TInspectieW[[#This Row],[Soort gebrek]]=0,"",VLOOKUP(TInspectieW[[#This Row],[Soort gebrek]],TSoortGebrek[],4,FALSE))</f>
        <v>Begin</v>
      </c>
      <c r="J27" s="842">
        <v>1</v>
      </c>
      <c r="K27" s="415">
        <f>IF(TInspectieW[[#This Row],[Soort gebrek]]=0,"",VLOOKUP(TInspectieW[[#This Row],[Combi]],TPrio[#Data],2,FALSE))</f>
        <v>9</v>
      </c>
      <c r="L27" s="843">
        <v>1</v>
      </c>
      <c r="M27" s="416" t="str">
        <f>IF(ISBLANK(TInspectieW[[#This Row],[Gebrek nr.]]),"",TInspectieW[[#This Row],[UVID]]&amp;"-"&amp;TInspectieW[[#This Row],[Gebrek nr.]])</f>
        <v>562110-2-1</v>
      </c>
      <c r="N27" s="417"/>
      <c r="O27" s="862" t="s">
        <v>1653</v>
      </c>
      <c r="P27" s="828">
        <v>6</v>
      </c>
      <c r="Q27" s="819" t="s">
        <v>838</v>
      </c>
      <c r="R27" s="830" t="s">
        <v>1507</v>
      </c>
      <c r="S27" s="828" t="s">
        <v>776</v>
      </c>
      <c r="T27" s="830" t="s">
        <v>1510</v>
      </c>
      <c r="U27" s="828" t="s">
        <v>1543</v>
      </c>
      <c r="V27" s="828" t="s">
        <v>1130</v>
      </c>
      <c r="W27" s="830" t="s">
        <v>890</v>
      </c>
      <c r="X27" s="845">
        <v>59000</v>
      </c>
      <c r="Y27" s="863">
        <v>1</v>
      </c>
      <c r="Z27" s="421">
        <f>IF(ISBLANK(TInspectieW[[#This Row],[Aantal]]),"",ROUND(TInspectieW[[#This Row],[Kengetal]]*TInspectieW[[#This Row],[Aantal]],-1))</f>
        <v>59000</v>
      </c>
      <c r="AA27" s="422">
        <f>IF(TInspectieW[[#This Row],[Vak-groep]]="","1",VLOOKUP(C27,$J$2:$K$7,2,FALSE))</f>
        <v>3</v>
      </c>
      <c r="AB27" s="423" t="str">
        <f>CONCATENATE(TInspectieW[[#This Row],[Soort gebrek]],TInspectieW[[#This Row],[Trede]])</f>
        <v>T-03</v>
      </c>
      <c r="AC27" s="413" t="e">
        <v>#N/A</v>
      </c>
      <c r="AD27" s="413" t="e">
        <v>#N/A</v>
      </c>
      <c r="AE27" s="424">
        <v>0</v>
      </c>
    </row>
    <row r="28" spans="1:31" ht="31.5" x14ac:dyDescent="0.25">
      <c r="A28" s="337" t="s">
        <v>1499</v>
      </c>
      <c r="B28" s="410">
        <f>IF(TInspectieW[[#This Row],[UVID]]="","",VLOOKUP(TInspectieW[[#This Row],[UVID]],TInventW[],2,FALSE))</f>
        <v>562110</v>
      </c>
      <c r="C28" s="365" t="str">
        <f>IF(TInspectieW[[#This Row],[UVID]]="","",VLOOKUP(TInspectieW[[#This Row],[UVID]],TInventW[],11,FALSE))</f>
        <v>W</v>
      </c>
      <c r="D28" s="411" t="str">
        <f>IF(TInspectieW[[#This Row],[UVID]]="","",VLOOKUP(TInspectieW[[#This Row],[UVID]],TInventW[],3,FALSE))</f>
        <v>Verwarming opwekking centraal</v>
      </c>
      <c r="E28" s="839" t="s">
        <v>381</v>
      </c>
      <c r="F28" s="840" t="s">
        <v>832</v>
      </c>
      <c r="G28" s="413" t="str">
        <f>IF(ISBLANK(TInspectieW[[#This Row],[Soort gebrek]]),"",VLOOKUP(TInspectieW[[#This Row],[Soort gebrek]],TSoortGebrek[#Data],3,FALSE))</f>
        <v>Geen</v>
      </c>
      <c r="H28" s="413" t="str">
        <f>IF(ISBLANK(TInspectieW[[#This Row],[Soort gebrek]]),"",VLOOKUP(TInspectieW[[#This Row],[Soort gebrek]],TSoortGebrek[#Data],2,FALSE))</f>
        <v>Geen gebrek</v>
      </c>
      <c r="I28" s="413" t="str">
        <f>IF(TInspectieW[[#This Row],[Soort gebrek]]=0,"",VLOOKUP(TInspectieW[[#This Row],[Soort gebrek]],TSoortGebrek[],4,FALSE))</f>
        <v>Eind</v>
      </c>
      <c r="J28" s="842">
        <v>0.1</v>
      </c>
      <c r="K28" s="415">
        <f>IF(TInspectieW[[#This Row],[Soort gebrek]]=0,"",VLOOKUP(TInspectieW[[#This Row],[Combi]],TPrio[#Data],2,FALSE))</f>
        <v>0</v>
      </c>
      <c r="L28" s="843">
        <v>2</v>
      </c>
      <c r="M28" s="416" t="str">
        <f>IF(ISBLANK(TInspectieW[[#This Row],[Gebrek nr.]]),"",TInspectieW[[#This Row],[UVID]]&amp;"-"&amp;TInspectieW[[#This Row],[Gebrek nr.]])</f>
        <v>562110-2-2</v>
      </c>
      <c r="N28" s="417"/>
      <c r="O28" s="862" t="s">
        <v>1653</v>
      </c>
      <c r="P28" s="828">
        <v>6</v>
      </c>
      <c r="Q28" s="819" t="s">
        <v>836</v>
      </c>
      <c r="R28" s="830" t="s">
        <v>628</v>
      </c>
      <c r="S28" s="828" t="s">
        <v>83</v>
      </c>
      <c r="T28" s="830" t="s">
        <v>1516</v>
      </c>
      <c r="U28" s="830" t="s">
        <v>628</v>
      </c>
      <c r="V28" s="828" t="s">
        <v>1425</v>
      </c>
      <c r="W28" s="830" t="s">
        <v>358</v>
      </c>
      <c r="X28" s="845"/>
      <c r="Y28" s="863"/>
      <c r="Z28" s="421" t="str">
        <f>IF(ISBLANK(TInspectieW[[#This Row],[Aantal]]),"",ROUND(TInspectieW[[#This Row],[Kengetal]]*TInspectieW[[#This Row],[Aantal]],-1))</f>
        <v/>
      </c>
      <c r="AA28" s="422">
        <f>IF(TInspectieW[[#This Row],[Vak-groep]]="","1",VLOOKUP(C28,$J$2:$K$7,2,FALSE))</f>
        <v>3</v>
      </c>
      <c r="AB28" s="423" t="str">
        <f>CONCATENATE(TInspectieW[[#This Row],[Soort gebrek]],TInspectieW[[#This Row],[Trede]])</f>
        <v>GG3</v>
      </c>
      <c r="AC28" s="413" t="e">
        <v>#N/A</v>
      </c>
      <c r="AD28" s="413" t="e">
        <v>#N/A</v>
      </c>
      <c r="AE28" s="424">
        <v>0</v>
      </c>
    </row>
    <row r="29" spans="1:31" ht="42" x14ac:dyDescent="0.25">
      <c r="A29" s="337" t="s">
        <v>1499</v>
      </c>
      <c r="B29" s="410">
        <f>IF(TInspectieW[[#This Row],[UVID]]="","",VLOOKUP(TInspectieW[[#This Row],[UVID]],TInventW[],2,FALSE))</f>
        <v>562110</v>
      </c>
      <c r="C29" s="365" t="str">
        <f>IF(TInspectieW[[#This Row],[UVID]]="","",VLOOKUP(TInspectieW[[#This Row],[UVID]],TInventW[],11,FALSE))</f>
        <v>W</v>
      </c>
      <c r="D29" s="411" t="str">
        <f>IF(TInspectieW[[#This Row],[UVID]]="","",VLOOKUP(TInspectieW[[#This Row],[UVID]],TInventW[],3,FALSE))</f>
        <v>Verwarming opwekking centraal</v>
      </c>
      <c r="E29" s="839" t="s">
        <v>381</v>
      </c>
      <c r="F29" s="840" t="s">
        <v>832</v>
      </c>
      <c r="G29" s="413" t="str">
        <f>IF(ISBLANK(TInspectieW[[#This Row],[Soort gebrek]]),"",VLOOKUP(TInspectieW[[#This Row],[Soort gebrek]],TSoortGebrek[#Data],3,FALSE))</f>
        <v>Geen</v>
      </c>
      <c r="H29" s="413" t="str">
        <f>IF(ISBLANK(TInspectieW[[#This Row],[Soort gebrek]]),"",VLOOKUP(TInspectieW[[#This Row],[Soort gebrek]],TSoortGebrek[#Data],2,FALSE))</f>
        <v>Geen gebrek</v>
      </c>
      <c r="I29" s="413" t="str">
        <f>IF(TInspectieW[[#This Row],[Soort gebrek]]=0,"",VLOOKUP(TInspectieW[[#This Row],[Soort gebrek]],TSoortGebrek[],4,FALSE))</f>
        <v>Eind</v>
      </c>
      <c r="J29" s="841">
        <v>0.2</v>
      </c>
      <c r="K29" s="415">
        <f>IF(TInspectieW[[#This Row],[Soort gebrek]]=0,"",VLOOKUP(TInspectieW[[#This Row],[Combi]],TPrio[#Data],2,FALSE))</f>
        <v>0</v>
      </c>
      <c r="L29" s="843">
        <v>3</v>
      </c>
      <c r="M29" s="416" t="str">
        <f>IF(ISBLANK(TInspectieW[[#This Row],[Gebrek nr.]]),"",TInspectieW[[#This Row],[UVID]]&amp;"-"&amp;TInspectieW[[#This Row],[Gebrek nr.]])</f>
        <v>562110-2-3</v>
      </c>
      <c r="N29" s="417"/>
      <c r="O29" s="862" t="s">
        <v>1653</v>
      </c>
      <c r="P29" s="828">
        <v>6</v>
      </c>
      <c r="Q29" s="819" t="s">
        <v>838</v>
      </c>
      <c r="R29" s="830" t="s">
        <v>628</v>
      </c>
      <c r="S29" s="828" t="s">
        <v>82</v>
      </c>
      <c r="T29" s="828" t="s">
        <v>1517</v>
      </c>
      <c r="U29" s="830" t="s">
        <v>628</v>
      </c>
      <c r="V29" s="828" t="s">
        <v>1425</v>
      </c>
      <c r="W29" s="830" t="s">
        <v>358</v>
      </c>
      <c r="X29" s="845"/>
      <c r="Y29" s="863"/>
      <c r="Z29" s="421" t="str">
        <f>IF(ISBLANK(TInspectieW[[#This Row],[Aantal]]),"",ROUND(TInspectieW[[#This Row],[Kengetal]]*TInspectieW[[#This Row],[Aantal]],-1))</f>
        <v/>
      </c>
      <c r="AA29" s="422">
        <f>IF(TInspectieW[[#This Row],[Vak-groep]]="","1",VLOOKUP(C29,$J$2:$K$7,2,FALSE))</f>
        <v>3</v>
      </c>
      <c r="AB29" s="423" t="str">
        <f>CONCATENATE(TInspectieW[[#This Row],[Soort gebrek]],TInspectieW[[#This Row],[Trede]])</f>
        <v>GG3</v>
      </c>
      <c r="AC29" s="413" t="e">
        <v>#N/A</v>
      </c>
      <c r="AD29" s="413" t="e">
        <v>#N/A</v>
      </c>
      <c r="AE29" s="424">
        <v>0</v>
      </c>
    </row>
    <row r="30" spans="1:31" ht="31.5" x14ac:dyDescent="0.25">
      <c r="A30" s="337" t="s">
        <v>1499</v>
      </c>
      <c r="B30" s="410">
        <f>IF(TInspectieW[[#This Row],[UVID]]="","",VLOOKUP(TInspectieW[[#This Row],[UVID]],TInventW[],2,FALSE))</f>
        <v>562110</v>
      </c>
      <c r="C30" s="365" t="str">
        <f>IF(TInspectieW[[#This Row],[UVID]]="","",VLOOKUP(TInspectieW[[#This Row],[UVID]],TInventW[],11,FALSE))</f>
        <v>W</v>
      </c>
      <c r="D30" s="411" t="str">
        <f>IF(TInspectieW[[#This Row],[UVID]]="","",VLOOKUP(TInspectieW[[#This Row],[UVID]],TInventW[],3,FALSE))</f>
        <v>Verwarming opwekking centraal</v>
      </c>
      <c r="E30" s="839" t="s">
        <v>381</v>
      </c>
      <c r="F30" s="840" t="s">
        <v>832</v>
      </c>
      <c r="G30" s="413" t="str">
        <f>IF(ISBLANK(TInspectieW[[#This Row],[Soort gebrek]]),"",VLOOKUP(TInspectieW[[#This Row],[Soort gebrek]],TSoortGebrek[#Data],3,FALSE))</f>
        <v>Geen</v>
      </c>
      <c r="H30" s="413" t="str">
        <f>IF(ISBLANK(TInspectieW[[#This Row],[Soort gebrek]]),"",VLOOKUP(TInspectieW[[#This Row],[Soort gebrek]],TSoortGebrek[#Data],2,FALSE))</f>
        <v>Geen gebrek</v>
      </c>
      <c r="I30" s="413" t="str">
        <f>IF(TInspectieW[[#This Row],[Soort gebrek]]=0,"",VLOOKUP(TInspectieW[[#This Row],[Soort gebrek]],TSoortGebrek[],4,FALSE))</f>
        <v>Eind</v>
      </c>
      <c r="J30" s="841">
        <v>0.1</v>
      </c>
      <c r="K30" s="415">
        <f>IF(TInspectieW[[#This Row],[Soort gebrek]]=0,"",VLOOKUP(TInspectieW[[#This Row],[Combi]],TPrio[#Data],2,FALSE))</f>
        <v>0</v>
      </c>
      <c r="L30" s="843">
        <v>4</v>
      </c>
      <c r="M30" s="416" t="str">
        <f>IF(ISBLANK(TInspectieW[[#This Row],[Gebrek nr.]]),"",TInspectieW[[#This Row],[UVID]]&amp;"-"&amp;TInspectieW[[#This Row],[Gebrek nr.]])</f>
        <v>562110-2-4</v>
      </c>
      <c r="N30" s="417"/>
      <c r="O30" s="844" t="s">
        <v>1647</v>
      </c>
      <c r="P30" s="828">
        <v>6</v>
      </c>
      <c r="Q30" s="819" t="s">
        <v>836</v>
      </c>
      <c r="R30" s="830" t="s">
        <v>628</v>
      </c>
      <c r="S30" s="828"/>
      <c r="T30" s="828" t="s">
        <v>1518</v>
      </c>
      <c r="U30" s="830" t="s">
        <v>628</v>
      </c>
      <c r="V30" s="828" t="s">
        <v>1425</v>
      </c>
      <c r="W30" s="830" t="s">
        <v>358</v>
      </c>
      <c r="X30" s="845"/>
      <c r="Y30" s="863"/>
      <c r="Z30" s="421" t="str">
        <f>IF(ISBLANK(TInspectieW[[#This Row],[Aantal]]),"",ROUND(TInspectieW[[#This Row],[Kengetal]]*TInspectieW[[#This Row],[Aantal]],-1))</f>
        <v/>
      </c>
      <c r="AA30" s="422">
        <f>IF(TInspectieW[[#This Row],[Vak-groep]]="","1",VLOOKUP(C30,$J$2:$K$7,2,FALSE))</f>
        <v>3</v>
      </c>
      <c r="AB30" s="423" t="str">
        <f>CONCATENATE(TInspectieW[[#This Row],[Soort gebrek]],TInspectieW[[#This Row],[Trede]])</f>
        <v>GG3</v>
      </c>
      <c r="AC30" s="413" t="e">
        <v>#N/A</v>
      </c>
      <c r="AD30" s="413" t="e">
        <v>#N/A</v>
      </c>
      <c r="AE30" s="424">
        <v>0</v>
      </c>
    </row>
    <row r="31" spans="1:31" ht="21" x14ac:dyDescent="0.25">
      <c r="A31" s="337" t="s">
        <v>1499</v>
      </c>
      <c r="B31" s="410">
        <f>IF(TInspectieW[[#This Row],[UVID]]="","",VLOOKUP(TInspectieW[[#This Row],[UVID]],TInventW[],2,FALSE))</f>
        <v>562110</v>
      </c>
      <c r="C31" s="365" t="str">
        <f>IF(TInspectieW[[#This Row],[UVID]]="","",VLOOKUP(TInspectieW[[#This Row],[UVID]],TInventW[],11,FALSE))</f>
        <v>W</v>
      </c>
      <c r="D31" s="411" t="str">
        <f>IF(TInspectieW[[#This Row],[UVID]]="","",VLOOKUP(TInspectieW[[#This Row],[UVID]],TInventW[],3,FALSE))</f>
        <v>Verwarming opwekking centraal</v>
      </c>
      <c r="E31" s="839" t="s">
        <v>381</v>
      </c>
      <c r="F31" s="840" t="s">
        <v>832</v>
      </c>
      <c r="G31" s="413" t="str">
        <f>IF(ISBLANK(TInspectieW[[#This Row],[Soort gebrek]]),"",VLOOKUP(TInspectieW[[#This Row],[Soort gebrek]],TSoortGebrek[#Data],3,FALSE))</f>
        <v>Geen</v>
      </c>
      <c r="H31" s="413" t="str">
        <f>IF(ISBLANK(TInspectieW[[#This Row],[Soort gebrek]]),"",VLOOKUP(TInspectieW[[#This Row],[Soort gebrek]],TSoortGebrek[#Data],2,FALSE))</f>
        <v>Geen gebrek</v>
      </c>
      <c r="I31" s="413" t="str">
        <f>IF(TInspectieW[[#This Row],[Soort gebrek]]=0,"",VLOOKUP(TInspectieW[[#This Row],[Soort gebrek]],TSoortGebrek[],4,FALSE))</f>
        <v>Eind</v>
      </c>
      <c r="J31" s="841">
        <v>0.2</v>
      </c>
      <c r="K31" s="415">
        <f>IF(TInspectieW[[#This Row],[Soort gebrek]]=0,"",VLOOKUP(TInspectieW[[#This Row],[Combi]],TPrio[#Data],2,FALSE))</f>
        <v>0</v>
      </c>
      <c r="L31" s="843">
        <v>6</v>
      </c>
      <c r="M31" s="416" t="str">
        <f>IF(ISBLANK(TInspectieW[[#This Row],[Gebrek nr.]]),"",TInspectieW[[#This Row],[UVID]]&amp;"-"&amp;TInspectieW[[#This Row],[Gebrek nr.]])</f>
        <v>562110-2-6</v>
      </c>
      <c r="N31" s="417"/>
      <c r="O31" s="844" t="s">
        <v>1647</v>
      </c>
      <c r="P31" s="828">
        <v>6</v>
      </c>
      <c r="Q31" s="819" t="s">
        <v>838</v>
      </c>
      <c r="R31" s="830" t="s">
        <v>628</v>
      </c>
      <c r="S31" s="828" t="s">
        <v>23</v>
      </c>
      <c r="T31" s="828" t="s">
        <v>1522</v>
      </c>
      <c r="U31" s="830" t="s">
        <v>628</v>
      </c>
      <c r="V31" s="828" t="s">
        <v>1425</v>
      </c>
      <c r="W31" s="830" t="s">
        <v>358</v>
      </c>
      <c r="X31" s="845"/>
      <c r="Y31" s="863"/>
      <c r="Z31" s="421" t="str">
        <f>IF(ISBLANK(TInspectieW[[#This Row],[Aantal]]),"",ROUND(TInspectieW[[#This Row],[Kengetal]]*TInspectieW[[#This Row],[Aantal]],-1))</f>
        <v/>
      </c>
      <c r="AA31" s="422">
        <f>IF(TInspectieW[[#This Row],[Vak-groep]]="","1",VLOOKUP(C31,$J$2:$K$7,2,FALSE))</f>
        <v>3</v>
      </c>
      <c r="AB31" s="423" t="str">
        <f>CONCATENATE(TInspectieW[[#This Row],[Soort gebrek]],TInspectieW[[#This Row],[Trede]])</f>
        <v>GG3</v>
      </c>
      <c r="AC31" s="413" t="e">
        <v>#N/A</v>
      </c>
      <c r="AD31" s="413" t="e">
        <v>#N/A</v>
      </c>
      <c r="AE31" s="424">
        <v>0</v>
      </c>
    </row>
    <row r="32" spans="1:31" ht="21" x14ac:dyDescent="0.25">
      <c r="A32" s="337" t="s">
        <v>1499</v>
      </c>
      <c r="B32" s="410">
        <f>IF(TInspectieW[[#This Row],[UVID]]="","",VLOOKUP(TInspectieW[[#This Row],[UVID]],TInventW[],2,FALSE))</f>
        <v>562110</v>
      </c>
      <c r="C32" s="365" t="str">
        <f>IF(TInspectieW[[#This Row],[UVID]]="","",VLOOKUP(TInspectieW[[#This Row],[UVID]],TInventW[],11,FALSE))</f>
        <v>W</v>
      </c>
      <c r="D32" s="411" t="str">
        <f>IF(TInspectieW[[#This Row],[UVID]]="","",VLOOKUP(TInspectieW[[#This Row],[UVID]],TInventW[],3,FALSE))</f>
        <v>Verwarming opwekking centraal</v>
      </c>
      <c r="E32" s="839" t="s">
        <v>381</v>
      </c>
      <c r="F32" s="840" t="s">
        <v>832</v>
      </c>
      <c r="G32" s="413" t="str">
        <f>IF(ISBLANK(TInspectieW[[#This Row],[Soort gebrek]]),"",VLOOKUP(TInspectieW[[#This Row],[Soort gebrek]],TSoortGebrek[#Data],3,FALSE))</f>
        <v>Geen</v>
      </c>
      <c r="H32" s="413" t="str">
        <f>IF(ISBLANK(TInspectieW[[#This Row],[Soort gebrek]]),"",VLOOKUP(TInspectieW[[#This Row],[Soort gebrek]],TSoortGebrek[#Data],2,FALSE))</f>
        <v>Geen gebrek</v>
      </c>
      <c r="I32" s="413" t="str">
        <f>IF(TInspectieW[[#This Row],[Soort gebrek]]=0,"",VLOOKUP(TInspectieW[[#This Row],[Soort gebrek]],TSoortGebrek[],4,FALSE))</f>
        <v>Eind</v>
      </c>
      <c r="J32" s="841">
        <v>0.2</v>
      </c>
      <c r="K32" s="415">
        <f>IF(TInspectieW[[#This Row],[Soort gebrek]]=0,"",VLOOKUP(TInspectieW[[#This Row],[Combi]],TPrio[#Data],2,FALSE))</f>
        <v>0</v>
      </c>
      <c r="L32" s="843">
        <v>7</v>
      </c>
      <c r="M32" s="416" t="str">
        <f>IF(ISBLANK(TInspectieW[[#This Row],[Gebrek nr.]]),"",TInspectieW[[#This Row],[UVID]]&amp;"-"&amp;TInspectieW[[#This Row],[Gebrek nr.]])</f>
        <v>562110-2-7</v>
      </c>
      <c r="N32" s="417"/>
      <c r="O32" s="844" t="s">
        <v>1647</v>
      </c>
      <c r="P32" s="828">
        <v>6</v>
      </c>
      <c r="Q32" s="819" t="s">
        <v>836</v>
      </c>
      <c r="R32" s="830" t="s">
        <v>628</v>
      </c>
      <c r="S32" s="828" t="s">
        <v>25</v>
      </c>
      <c r="T32" s="828" t="s">
        <v>1523</v>
      </c>
      <c r="U32" s="830" t="s">
        <v>628</v>
      </c>
      <c r="V32" s="828" t="s">
        <v>1425</v>
      </c>
      <c r="W32" s="830" t="s">
        <v>358</v>
      </c>
      <c r="X32" s="845"/>
      <c r="Y32" s="863"/>
      <c r="Z32" s="421" t="str">
        <f>IF(ISBLANK(TInspectieW[[#This Row],[Aantal]]),"",ROUND(TInspectieW[[#This Row],[Kengetal]]*TInspectieW[[#This Row],[Aantal]],-1))</f>
        <v/>
      </c>
      <c r="AA32" s="422">
        <f>IF(TInspectieW[[#This Row],[Vak-groep]]="","1",VLOOKUP(C32,$J$2:$K$7,2,FALSE))</f>
        <v>3</v>
      </c>
      <c r="AB32" s="423" t="str">
        <f>CONCATENATE(TInspectieW[[#This Row],[Soort gebrek]],TInspectieW[[#This Row],[Trede]])</f>
        <v>GG3</v>
      </c>
      <c r="AC32" s="413" t="e">
        <v>#N/A</v>
      </c>
      <c r="AD32" s="413" t="e">
        <v>#N/A</v>
      </c>
      <c r="AE32" s="424">
        <v>0</v>
      </c>
    </row>
    <row r="33" spans="1:31" ht="63" x14ac:dyDescent="0.25">
      <c r="A33" s="337" t="s">
        <v>1499</v>
      </c>
      <c r="B33" s="410">
        <f>IF(TInspectieW[[#This Row],[UVID]]="","",VLOOKUP(TInspectieW[[#This Row],[UVID]],TInventW[],2,FALSE))</f>
        <v>562110</v>
      </c>
      <c r="C33" s="365" t="str">
        <f>IF(TInspectieW[[#This Row],[UVID]]="","",VLOOKUP(TInspectieW[[#This Row],[UVID]],TInventW[],11,FALSE))</f>
        <v>W</v>
      </c>
      <c r="D33" s="411" t="str">
        <f>IF(TInspectieW[[#This Row],[UVID]]="","",VLOOKUP(TInspectieW[[#This Row],[UVID]],TInventW[],3,FALSE))</f>
        <v>Verwarming opwekking centraal</v>
      </c>
      <c r="E33" s="839" t="s">
        <v>381</v>
      </c>
      <c r="F33" s="840" t="s">
        <v>832</v>
      </c>
      <c r="G33" s="413" t="str">
        <f>IF(ISBLANK(TInspectieW[[#This Row],[Soort gebrek]]),"",VLOOKUP(TInspectieW[[#This Row],[Soort gebrek]],TSoortGebrek[#Data],3,FALSE))</f>
        <v>Geen</v>
      </c>
      <c r="H33" s="413" t="str">
        <f>IF(ISBLANK(TInspectieW[[#This Row],[Soort gebrek]]),"",VLOOKUP(TInspectieW[[#This Row],[Soort gebrek]],TSoortGebrek[#Data],2,FALSE))</f>
        <v>Geen gebrek</v>
      </c>
      <c r="I33" s="413" t="str">
        <f>IF(TInspectieW[[#This Row],[Soort gebrek]]=0,"",VLOOKUP(TInspectieW[[#This Row],[Soort gebrek]],TSoortGebrek[],4,FALSE))</f>
        <v>Eind</v>
      </c>
      <c r="J33" s="841">
        <v>0.2</v>
      </c>
      <c r="K33" s="415">
        <f>IF(TInspectieW[[#This Row],[Soort gebrek]]=0,"",VLOOKUP(TInspectieW[[#This Row],[Combi]],TPrio[#Data],2,FALSE))</f>
        <v>0</v>
      </c>
      <c r="L33" s="843">
        <v>8</v>
      </c>
      <c r="M33" s="416" t="str">
        <f>IF(ISBLANK(TInspectieW[[#This Row],[Gebrek nr.]]),"",TInspectieW[[#This Row],[UVID]]&amp;"-"&amp;TInspectieW[[#This Row],[Gebrek nr.]])</f>
        <v>562110-2-8</v>
      </c>
      <c r="N33" s="417"/>
      <c r="O33" s="844" t="s">
        <v>1647</v>
      </c>
      <c r="P33" s="828">
        <v>6</v>
      </c>
      <c r="Q33" s="819" t="s">
        <v>838</v>
      </c>
      <c r="R33" s="830" t="s">
        <v>628</v>
      </c>
      <c r="S33" s="828" t="s">
        <v>98</v>
      </c>
      <c r="T33" s="828" t="s">
        <v>1524</v>
      </c>
      <c r="U33" s="830" t="s">
        <v>628</v>
      </c>
      <c r="V33" s="828" t="s">
        <v>1425</v>
      </c>
      <c r="W33" s="830" t="s">
        <v>358</v>
      </c>
      <c r="X33" s="845"/>
      <c r="Y33" s="863"/>
      <c r="Z33" s="421" t="str">
        <f>IF(ISBLANK(TInspectieW[[#This Row],[Aantal]]),"",ROUND(TInspectieW[[#This Row],[Kengetal]]*TInspectieW[[#This Row],[Aantal]],-1))</f>
        <v/>
      </c>
      <c r="AA33" s="422">
        <f>IF(TInspectieW[[#This Row],[Vak-groep]]="","1",VLOOKUP(C33,$J$2:$K$7,2,FALSE))</f>
        <v>3</v>
      </c>
      <c r="AB33" s="423" t="str">
        <f>CONCATENATE(TInspectieW[[#This Row],[Soort gebrek]],TInspectieW[[#This Row],[Trede]])</f>
        <v>GG3</v>
      </c>
      <c r="AC33" s="413" t="e">
        <v>#N/A</v>
      </c>
      <c r="AD33" s="413" t="e">
        <v>#N/A</v>
      </c>
      <c r="AE33" s="424">
        <v>0</v>
      </c>
    </row>
    <row r="34" spans="1:31" ht="52.5" x14ac:dyDescent="0.25">
      <c r="A34" s="337" t="s">
        <v>1500</v>
      </c>
      <c r="B34" s="410">
        <f>IF(TInspectieW[[#This Row],[UVID]]="","",VLOOKUP(TInspectieW[[#This Row],[UVID]],TInventW[],2,FALSE))</f>
        <v>563010</v>
      </c>
      <c r="C34" s="365" t="str">
        <f>IF(TInspectieW[[#This Row],[UVID]]="","",VLOOKUP(TInspectieW[[#This Row],[UVID]],TInventW[],11,FALSE))</f>
        <v>W</v>
      </c>
      <c r="D34" s="411" t="str">
        <f>IF(TInspectieW[[#This Row],[UVID]]="","",VLOOKUP(TInspectieW[[#This Row],[UVID]],TInventW[],3,FALSE))</f>
        <v>Verdeler/verzamelaar verwarmen</v>
      </c>
      <c r="E34" s="839" t="s">
        <v>160</v>
      </c>
      <c r="F34" s="840" t="s">
        <v>822</v>
      </c>
      <c r="G34" s="413" t="str">
        <f>IF(ISBLANK(TInspectieW[[#This Row],[Soort gebrek]]),"",VLOOKUP(TInspectieW[[#This Row],[Soort gebrek]],TSoortGebrek[#Data],3,FALSE))</f>
        <v>Theoretisch</v>
      </c>
      <c r="H34" s="413" t="str">
        <f>IF(ISBLANK(TInspectieW[[#This Row],[Soort gebrek]]),"",VLOOKUP(TInspectieW[[#This Row],[Soort gebrek]],TSoortGebrek[#Data],2,FALSE))</f>
        <v>Verval  ≥ 87,5%</v>
      </c>
      <c r="I34" s="413" t="str">
        <f>IF(TInspectieW[[#This Row],[Soort gebrek]]=0,"",VLOOKUP(TInspectieW[[#This Row],[Soort gebrek]],TSoortGebrek[],4,FALSE))</f>
        <v>Eind</v>
      </c>
      <c r="J34" s="841">
        <v>1</v>
      </c>
      <c r="K34" s="415">
        <f>IF(TInspectieW[[#This Row],[Soort gebrek]]=0,"",VLOOKUP(TInspectieW[[#This Row],[Combi]],TPrio[#Data],2,FALSE))</f>
        <v>8</v>
      </c>
      <c r="L34" s="843">
        <v>1</v>
      </c>
      <c r="M34" s="416" t="str">
        <f>IF(ISBLANK(TInspectieW[[#This Row],[Gebrek nr.]]),"",TInspectieW[[#This Row],[UVID]]&amp;"-"&amp;TInspectieW[[#This Row],[Gebrek nr.]])</f>
        <v>563010-1-1</v>
      </c>
      <c r="N34" s="417"/>
      <c r="O34" s="862" t="s">
        <v>1654</v>
      </c>
      <c r="P34" s="828">
        <v>6</v>
      </c>
      <c r="Q34" s="819" t="s">
        <v>839</v>
      </c>
      <c r="R34" s="830" t="s">
        <v>1506</v>
      </c>
      <c r="S34" s="828" t="s">
        <v>776</v>
      </c>
      <c r="T34" s="830" t="s">
        <v>1510</v>
      </c>
      <c r="U34" s="830" t="s">
        <v>1544</v>
      </c>
      <c r="V34" s="828" t="s">
        <v>1425</v>
      </c>
      <c r="W34" s="830" t="s">
        <v>890</v>
      </c>
      <c r="X34" s="845">
        <v>10140</v>
      </c>
      <c r="Y34" s="863">
        <v>1</v>
      </c>
      <c r="Z34" s="421">
        <f>IF(ISBLANK(TInspectieW[[#This Row],[Aantal]]),"",ROUND(TInspectieW[[#This Row],[Kengetal]]*TInspectieW[[#This Row],[Aantal]],-1))</f>
        <v>10140</v>
      </c>
      <c r="AA34" s="422">
        <f>IF(TInspectieW[[#This Row],[Vak-groep]]="","1",VLOOKUP(C34,$J$2:$K$7,2,FALSE))</f>
        <v>3</v>
      </c>
      <c r="AB34" s="423" t="str">
        <f>CONCATENATE(TInspectieW[[#This Row],[Soort gebrek]],TInspectieW[[#This Row],[Trede]])</f>
        <v>T-87,53</v>
      </c>
      <c r="AC34" s="413" t="e">
        <v>#N/A</v>
      </c>
      <c r="AD34" s="413" t="e">
        <v>#N/A</v>
      </c>
      <c r="AE34" s="424">
        <v>0</v>
      </c>
    </row>
    <row r="35" spans="1:31" ht="31.5" x14ac:dyDescent="0.25">
      <c r="A35" s="337" t="s">
        <v>1500</v>
      </c>
      <c r="B35" s="410">
        <f>IF(TInspectieW[[#This Row],[UVID]]="","",VLOOKUP(TInspectieW[[#This Row],[UVID]],TInventW[],2,FALSE))</f>
        <v>563010</v>
      </c>
      <c r="C35" s="365" t="str">
        <f>IF(TInspectieW[[#This Row],[UVID]]="","",VLOOKUP(TInspectieW[[#This Row],[UVID]],TInventW[],11,FALSE))</f>
        <v>W</v>
      </c>
      <c r="D35" s="411" t="str">
        <f>IF(TInspectieW[[#This Row],[UVID]]="","",VLOOKUP(TInspectieW[[#This Row],[UVID]],TInventW[],3,FALSE))</f>
        <v>Verdeler/verzamelaar verwarmen</v>
      </c>
      <c r="E35" s="839" t="s">
        <v>381</v>
      </c>
      <c r="F35" s="840" t="s">
        <v>832</v>
      </c>
      <c r="G35" s="413" t="str">
        <f>IF(ISBLANK(TInspectieW[[#This Row],[Soort gebrek]]),"",VLOOKUP(TInspectieW[[#This Row],[Soort gebrek]],TSoortGebrek[#Data],3,FALSE))</f>
        <v>Geen</v>
      </c>
      <c r="H35" s="413" t="str">
        <f>IF(ISBLANK(TInspectieW[[#This Row],[Soort gebrek]]),"",VLOOKUP(TInspectieW[[#This Row],[Soort gebrek]],TSoortGebrek[#Data],2,FALSE))</f>
        <v>Geen gebrek</v>
      </c>
      <c r="I35" s="413" t="str">
        <f>IF(TInspectieW[[#This Row],[Soort gebrek]]=0,"",VLOOKUP(TInspectieW[[#This Row],[Soort gebrek]],TSoortGebrek[],4,FALSE))</f>
        <v>Eind</v>
      </c>
      <c r="J35" s="841">
        <v>0.25</v>
      </c>
      <c r="K35" s="415">
        <f>IF(TInspectieW[[#This Row],[Soort gebrek]]=0,"",VLOOKUP(TInspectieW[[#This Row],[Combi]],TPrio[#Data],2,FALSE))</f>
        <v>0</v>
      </c>
      <c r="L35" s="843">
        <v>2</v>
      </c>
      <c r="M35" s="416" t="str">
        <f>IF(ISBLANK(TInspectieW[[#This Row],[Gebrek nr.]]),"",TInspectieW[[#This Row],[UVID]]&amp;"-"&amp;TInspectieW[[#This Row],[Gebrek nr.]])</f>
        <v>563010-1-2</v>
      </c>
      <c r="N35" s="417"/>
      <c r="O35" s="862" t="s">
        <v>1654</v>
      </c>
      <c r="P35" s="828">
        <v>6</v>
      </c>
      <c r="Q35" s="819" t="s">
        <v>839</v>
      </c>
      <c r="R35" s="830" t="s">
        <v>628</v>
      </c>
      <c r="S35" s="828" t="s">
        <v>84</v>
      </c>
      <c r="T35" s="828" t="s">
        <v>1525</v>
      </c>
      <c r="U35" s="830" t="s">
        <v>628</v>
      </c>
      <c r="V35" s="828" t="s">
        <v>1425</v>
      </c>
      <c r="W35" s="830" t="s">
        <v>358</v>
      </c>
      <c r="X35" s="845"/>
      <c r="Y35" s="863"/>
      <c r="Z35" s="421" t="str">
        <f>IF(ISBLANK(TInspectieW[[#This Row],[Aantal]]),"",ROUND(TInspectieW[[#This Row],[Kengetal]]*TInspectieW[[#This Row],[Aantal]],-1))</f>
        <v/>
      </c>
      <c r="AA35" s="422">
        <f>IF(TInspectieW[[#This Row],[Vak-groep]]="","1",VLOOKUP(C35,$J$2:$K$7,2,FALSE))</f>
        <v>3</v>
      </c>
      <c r="AB35" s="423" t="str">
        <f>CONCATENATE(TInspectieW[[#This Row],[Soort gebrek]],TInspectieW[[#This Row],[Trede]])</f>
        <v>GG3</v>
      </c>
      <c r="AC35" s="413" t="e">
        <v>#N/A</v>
      </c>
      <c r="AD35" s="413" t="e">
        <v>#N/A</v>
      </c>
      <c r="AE35" s="424">
        <v>0</v>
      </c>
    </row>
    <row r="36" spans="1:31" ht="147" x14ac:dyDescent="0.25">
      <c r="A36" s="337" t="s">
        <v>1500</v>
      </c>
      <c r="B36" s="410">
        <f>IF(TInspectieW[[#This Row],[UVID]]="","",VLOOKUP(TInspectieW[[#This Row],[UVID]],TInventW[],2,FALSE))</f>
        <v>563010</v>
      </c>
      <c r="C36" s="365" t="str">
        <f>IF(TInspectieW[[#This Row],[UVID]]="","",VLOOKUP(TInspectieW[[#This Row],[UVID]],TInventW[],11,FALSE))</f>
        <v>W</v>
      </c>
      <c r="D36" s="411" t="str">
        <f>IF(TInspectieW[[#This Row],[UVID]]="","",VLOOKUP(TInspectieW[[#This Row],[UVID]],TInventW[],3,FALSE))</f>
        <v>Verdeler/verzamelaar verwarmen</v>
      </c>
      <c r="E36" s="839" t="s">
        <v>381</v>
      </c>
      <c r="F36" s="840" t="s">
        <v>814</v>
      </c>
      <c r="G36" s="413" t="str">
        <f>IF(ISBLANK(TInspectieW[[#This Row],[Soort gebrek]]),"",VLOOKUP(TInspectieW[[#This Row],[Soort gebrek]],TSoortGebrek[#Data],3,FALSE))</f>
        <v>Wetsgebrek</v>
      </c>
      <c r="H36" s="413" t="str">
        <f>IF(ISBLANK(TInspectieW[[#This Row],[Soort gebrek]]),"",VLOOKUP(TInspectieW[[#This Row],[Soort gebrek]],TSoortGebrek[#Data],2,FALSE))</f>
        <v>wettelijk basiskwaliteit</v>
      </c>
      <c r="I36" s="413" t="str">
        <f>IF(TInspectieW[[#This Row],[Soort gebrek]]=0,"",VLOOKUP(TInspectieW[[#This Row],[Soort gebrek]],TSoortGebrek[],4,FALSE))</f>
        <v>Eind</v>
      </c>
      <c r="J36" s="841">
        <v>0.25</v>
      </c>
      <c r="K36" s="415">
        <f>IF(TInspectieW[[#This Row],[Soort gebrek]]=0,"",VLOOKUP(TInspectieW[[#This Row],[Combi]],TPrio[#Data],2,FALSE))</f>
        <v>4</v>
      </c>
      <c r="L36" s="843">
        <v>3</v>
      </c>
      <c r="M36" s="416" t="str">
        <f>IF(ISBLANK(TInspectieW[[#This Row],[Gebrek nr.]]),"",TInspectieW[[#This Row],[UVID]]&amp;"-"&amp;TInspectieW[[#This Row],[Gebrek nr.]])</f>
        <v>563010-1-3</v>
      </c>
      <c r="N36" s="417"/>
      <c r="O36" s="864" t="s">
        <v>1655</v>
      </c>
      <c r="P36" s="828">
        <v>6</v>
      </c>
      <c r="Q36" s="819" t="s">
        <v>839</v>
      </c>
      <c r="R36" s="828" t="s">
        <v>1508</v>
      </c>
      <c r="S36" s="828" t="s">
        <v>87</v>
      </c>
      <c r="T36" s="828" t="s">
        <v>1526</v>
      </c>
      <c r="U36" s="828" t="s">
        <v>1545</v>
      </c>
      <c r="V36" s="828" t="s">
        <v>1128</v>
      </c>
      <c r="W36" s="830" t="s">
        <v>893</v>
      </c>
      <c r="X36" s="845">
        <v>604.63</v>
      </c>
      <c r="Y36" s="833">
        <v>2</v>
      </c>
      <c r="Z36" s="421">
        <f>IF(ISBLANK(TInspectieW[[#This Row],[Aantal]]),"",ROUND(TInspectieW[[#This Row],[Kengetal]]*TInspectieW[[#This Row],[Aantal]],-1))</f>
        <v>1210</v>
      </c>
      <c r="AA36" s="422">
        <f>IF(TInspectieW[[#This Row],[Vak-groep]]="","1",VLOOKUP(C36,$J$2:$K$7,2,FALSE))</f>
        <v>3</v>
      </c>
      <c r="AB36" s="423" t="str">
        <f>CONCATENATE(TInspectieW[[#This Row],[Soort gebrek]],TInspectieW[[#This Row],[Trede]])</f>
        <v>W-BK3</v>
      </c>
      <c r="AC36" s="413" t="e">
        <v>#N/A</v>
      </c>
      <c r="AD36" s="413" t="e">
        <v>#N/A</v>
      </c>
      <c r="AE36" s="424">
        <v>0</v>
      </c>
    </row>
    <row r="37" spans="1:31" ht="31.5" x14ac:dyDescent="0.25">
      <c r="A37" s="337" t="s">
        <v>1500</v>
      </c>
      <c r="B37" s="410">
        <f>IF(TInspectieW[[#This Row],[UVID]]="","",VLOOKUP(TInspectieW[[#This Row],[UVID]],TInventW[],2,FALSE))</f>
        <v>563010</v>
      </c>
      <c r="C37" s="365" t="str">
        <f>IF(TInspectieW[[#This Row],[UVID]]="","",VLOOKUP(TInspectieW[[#This Row],[UVID]],TInventW[],11,FALSE))</f>
        <v>W</v>
      </c>
      <c r="D37" s="411" t="str">
        <f>IF(TInspectieW[[#This Row],[UVID]]="","",VLOOKUP(TInspectieW[[#This Row],[UVID]],TInventW[],3,FALSE))</f>
        <v>Verdeler/verzamelaar verwarmen</v>
      </c>
      <c r="E37" s="839" t="s">
        <v>381</v>
      </c>
      <c r="F37" s="840" t="s">
        <v>832</v>
      </c>
      <c r="G37" s="413" t="str">
        <f>IF(ISBLANK(TInspectieW[[#This Row],[Soort gebrek]]),"",VLOOKUP(TInspectieW[[#This Row],[Soort gebrek]],TSoortGebrek[#Data],3,FALSE))</f>
        <v>Geen</v>
      </c>
      <c r="H37" s="413" t="str">
        <f>IF(ISBLANK(TInspectieW[[#This Row],[Soort gebrek]]),"",VLOOKUP(TInspectieW[[#This Row],[Soort gebrek]],TSoortGebrek[#Data],2,FALSE))</f>
        <v>Geen gebrek</v>
      </c>
      <c r="I37" s="413" t="str">
        <f>IF(TInspectieW[[#This Row],[Soort gebrek]]=0,"",VLOOKUP(TInspectieW[[#This Row],[Soort gebrek]],TSoortGebrek[],4,FALSE))</f>
        <v>Eind</v>
      </c>
      <c r="J37" s="841">
        <v>0.25</v>
      </c>
      <c r="K37" s="415">
        <f>IF(TInspectieW[[#This Row],[Soort gebrek]]=0,"",VLOOKUP(TInspectieW[[#This Row],[Combi]],TPrio[#Data],2,FALSE))</f>
        <v>0</v>
      </c>
      <c r="L37" s="843">
        <v>4</v>
      </c>
      <c r="M37" s="416" t="str">
        <f>IF(ISBLANK(TInspectieW[[#This Row],[Gebrek nr.]]),"",TInspectieW[[#This Row],[UVID]]&amp;"-"&amp;TInspectieW[[#This Row],[Gebrek nr.]])</f>
        <v>563010-1-4</v>
      </c>
      <c r="N37" s="417"/>
      <c r="O37" s="864" t="s">
        <v>1654</v>
      </c>
      <c r="P37" s="828">
        <v>6</v>
      </c>
      <c r="Q37" s="819" t="s">
        <v>839</v>
      </c>
      <c r="R37" s="865" t="s">
        <v>1401</v>
      </c>
      <c r="S37" s="828" t="s">
        <v>23</v>
      </c>
      <c r="T37" s="865" t="s">
        <v>1527</v>
      </c>
      <c r="U37" s="865" t="s">
        <v>1401</v>
      </c>
      <c r="V37" s="828" t="s">
        <v>1425</v>
      </c>
      <c r="W37" s="830" t="s">
        <v>1401</v>
      </c>
      <c r="X37" s="845">
        <f>[1]Inventarisatie!U38</f>
        <v>0</v>
      </c>
      <c r="Y37" s="846"/>
      <c r="Z37" s="421" t="str">
        <f>IF(ISBLANK(TInspectieW[[#This Row],[Aantal]]),"",ROUND(TInspectieW[[#This Row],[Kengetal]]*TInspectieW[[#This Row],[Aantal]],-1))</f>
        <v/>
      </c>
      <c r="AA37" s="422">
        <f>IF(TInspectieW[[#This Row],[Vak-groep]]="","1",VLOOKUP(C37,$J$2:$K$7,2,FALSE))</f>
        <v>3</v>
      </c>
      <c r="AB37" s="423" t="str">
        <f>CONCATENATE(TInspectieW[[#This Row],[Soort gebrek]],TInspectieW[[#This Row],[Trede]])</f>
        <v>GG3</v>
      </c>
      <c r="AC37" s="413" t="e">
        <v>#N/A</v>
      </c>
      <c r="AD37" s="413" t="e">
        <v>#N/A</v>
      </c>
      <c r="AE37" s="424">
        <v>0</v>
      </c>
    </row>
    <row r="38" spans="1:31" ht="31.5" x14ac:dyDescent="0.25">
      <c r="A38" s="337" t="s">
        <v>1500</v>
      </c>
      <c r="B38" s="410">
        <f>IF(TInspectieW[[#This Row],[UVID]]="","",VLOOKUP(TInspectieW[[#This Row],[UVID]],TInventW[],2,FALSE))</f>
        <v>563010</v>
      </c>
      <c r="C38" s="365" t="str">
        <f>IF(TInspectieW[[#This Row],[UVID]]="","",VLOOKUP(TInspectieW[[#This Row],[UVID]],TInventW[],11,FALSE))</f>
        <v>W</v>
      </c>
      <c r="D38" s="411" t="str">
        <f>IF(TInspectieW[[#This Row],[UVID]]="","",VLOOKUP(TInspectieW[[#This Row],[UVID]],TInventW[],3,FALSE))</f>
        <v>Verdeler/verzamelaar verwarmen</v>
      </c>
      <c r="E38" s="839" t="s">
        <v>381</v>
      </c>
      <c r="F38" s="840" t="s">
        <v>832</v>
      </c>
      <c r="G38" s="413" t="str">
        <f>IF(ISBLANK(TInspectieW[[#This Row],[Soort gebrek]]),"",VLOOKUP(TInspectieW[[#This Row],[Soort gebrek]],TSoortGebrek[#Data],3,FALSE))</f>
        <v>Geen</v>
      </c>
      <c r="H38" s="413" t="str">
        <f>IF(ISBLANK(TInspectieW[[#This Row],[Soort gebrek]]),"",VLOOKUP(TInspectieW[[#This Row],[Soort gebrek]],TSoortGebrek[#Data],2,FALSE))</f>
        <v>Geen gebrek</v>
      </c>
      <c r="I38" s="413" t="str">
        <f>IF(TInspectieW[[#This Row],[Soort gebrek]]=0,"",VLOOKUP(TInspectieW[[#This Row],[Soort gebrek]],TSoortGebrek[],4,FALSE))</f>
        <v>Eind</v>
      </c>
      <c r="J38" s="841">
        <v>0.25</v>
      </c>
      <c r="K38" s="415">
        <f>IF(TInspectieW[[#This Row],[Soort gebrek]]=0,"",VLOOKUP(TInspectieW[[#This Row],[Combi]],TPrio[#Data],2,FALSE))</f>
        <v>0</v>
      </c>
      <c r="L38" s="843">
        <v>5</v>
      </c>
      <c r="M38" s="416" t="str">
        <f>IF(ISBLANK(TInspectieW[[#This Row],[Gebrek nr.]]),"",TInspectieW[[#This Row],[UVID]]&amp;"-"&amp;TInspectieW[[#This Row],[Gebrek nr.]])</f>
        <v>563010-1-5</v>
      </c>
      <c r="N38" s="417"/>
      <c r="O38" s="864" t="s">
        <v>1654</v>
      </c>
      <c r="P38" s="828">
        <v>6</v>
      </c>
      <c r="Q38" s="819" t="s">
        <v>839</v>
      </c>
      <c r="R38" s="865" t="s">
        <v>1401</v>
      </c>
      <c r="S38" s="828" t="s">
        <v>25</v>
      </c>
      <c r="T38" s="865" t="s">
        <v>1528</v>
      </c>
      <c r="U38" s="865" t="s">
        <v>1401</v>
      </c>
      <c r="V38" s="828" t="s">
        <v>1425</v>
      </c>
      <c r="W38" s="830" t="s">
        <v>1401</v>
      </c>
      <c r="X38" s="845">
        <f>[1]Inventarisatie!U39</f>
        <v>0</v>
      </c>
      <c r="Y38" s="846"/>
      <c r="Z38" s="421" t="str">
        <f>IF(ISBLANK(TInspectieW[[#This Row],[Aantal]]),"",ROUND(TInspectieW[[#This Row],[Kengetal]]*TInspectieW[[#This Row],[Aantal]],-1))</f>
        <v/>
      </c>
      <c r="AA38" s="422">
        <f>IF(TInspectieW[[#This Row],[Vak-groep]]="","1",VLOOKUP(C38,$J$2:$K$7,2,FALSE))</f>
        <v>3</v>
      </c>
      <c r="AB38" s="423" t="str">
        <f>CONCATENATE(TInspectieW[[#This Row],[Soort gebrek]],TInspectieW[[#This Row],[Trede]])</f>
        <v>GG3</v>
      </c>
      <c r="AC38" s="413" t="e">
        <v>#N/A</v>
      </c>
      <c r="AD38" s="413" t="e">
        <v>#N/A</v>
      </c>
      <c r="AE38" s="424">
        <v>0</v>
      </c>
    </row>
    <row r="39" spans="1:31" ht="52.5" x14ac:dyDescent="0.25">
      <c r="A39" s="337" t="s">
        <v>1501</v>
      </c>
      <c r="B39" s="410">
        <f>IF(TInspectieW[[#This Row],[UVID]]="","",VLOOKUP(TInspectieW[[#This Row],[UVID]],TInventW[],2,FALSE))</f>
        <v>568010</v>
      </c>
      <c r="C39" s="365" t="str">
        <f>IF(TInspectieW[[#This Row],[UVID]]="","",VLOOKUP(TInspectieW[[#This Row],[UVID]],TInventW[],11,FALSE))</f>
        <v>W</v>
      </c>
      <c r="D39" s="411" t="str">
        <f>IF(TInspectieW[[#This Row],[UVID]]="","",VLOOKUP(TInspectieW[[#This Row],[UVID]],TInventW[],3,FALSE))</f>
        <v>Afgifte element warmte</v>
      </c>
      <c r="E39" s="839" t="s">
        <v>160</v>
      </c>
      <c r="F39" s="840" t="s">
        <v>822</v>
      </c>
      <c r="G39" s="413" t="str">
        <f>IF(ISBLANK(TInspectieW[[#This Row],[Soort gebrek]]),"",VLOOKUP(TInspectieW[[#This Row],[Soort gebrek]],TSoortGebrek[#Data],3,FALSE))</f>
        <v>Theoretisch</v>
      </c>
      <c r="H39" s="413" t="str">
        <f>IF(ISBLANK(TInspectieW[[#This Row],[Soort gebrek]]),"",VLOOKUP(TInspectieW[[#This Row],[Soort gebrek]],TSoortGebrek[#Data],2,FALSE))</f>
        <v>Verval  ≥ 87,5%</v>
      </c>
      <c r="I39" s="413" t="str">
        <f>IF(TInspectieW[[#This Row],[Soort gebrek]]=0,"",VLOOKUP(TInspectieW[[#This Row],[Soort gebrek]],TSoortGebrek[],4,FALSE))</f>
        <v>Eind</v>
      </c>
      <c r="J39" s="841">
        <v>1</v>
      </c>
      <c r="K39" s="415">
        <f>IF(TInspectieW[[#This Row],[Soort gebrek]]=0,"",VLOOKUP(TInspectieW[[#This Row],[Combi]],TPrio[#Data],2,FALSE))</f>
        <v>8</v>
      </c>
      <c r="L39" s="843">
        <v>1</v>
      </c>
      <c r="M39" s="416" t="str">
        <f>IF(ISBLANK(TInspectieW[[#This Row],[Gebrek nr.]]),"",TInspectieW[[#This Row],[UVID]]&amp;"-"&amp;TInspectieW[[#This Row],[Gebrek nr.]])</f>
        <v>568010-1-1</v>
      </c>
      <c r="N39" s="417"/>
      <c r="O39" s="866" t="s">
        <v>1647</v>
      </c>
      <c r="P39" s="813" t="s">
        <v>1458</v>
      </c>
      <c r="Q39" s="819" t="s">
        <v>838</v>
      </c>
      <c r="R39" s="828" t="s">
        <v>1506</v>
      </c>
      <c r="S39" s="828" t="s">
        <v>776</v>
      </c>
      <c r="T39" s="830" t="s">
        <v>1510</v>
      </c>
      <c r="U39" s="830" t="s">
        <v>1546</v>
      </c>
      <c r="V39" s="828" t="s">
        <v>1425</v>
      </c>
      <c r="W39" s="830" t="s">
        <v>890</v>
      </c>
      <c r="X39" s="845">
        <v>700</v>
      </c>
      <c r="Y39" s="846">
        <v>15</v>
      </c>
      <c r="Z39" s="421">
        <f>IF(ISBLANK(TInspectieW[[#This Row],[Aantal]]),"",ROUND(TInspectieW[[#This Row],[Kengetal]]*TInspectieW[[#This Row],[Aantal]],-1))</f>
        <v>10500</v>
      </c>
      <c r="AA39" s="422">
        <f>IF(TInspectieW[[#This Row],[Vak-groep]]="","1",VLOOKUP(C39,$J$2:$K$7,2,FALSE))</f>
        <v>3</v>
      </c>
      <c r="AB39" s="423" t="str">
        <f>CONCATENATE(TInspectieW[[#This Row],[Soort gebrek]],TInspectieW[[#This Row],[Trede]])</f>
        <v>T-87,53</v>
      </c>
      <c r="AC39" s="413" t="e">
        <v>#N/A</v>
      </c>
      <c r="AD39" s="413" t="e">
        <v>#N/A</v>
      </c>
      <c r="AE39" s="424">
        <v>0</v>
      </c>
    </row>
    <row r="40" spans="1:31" ht="21" x14ac:dyDescent="0.25">
      <c r="A40" s="337" t="s">
        <v>1501</v>
      </c>
      <c r="B40" s="410">
        <f>IF(TInspectieW[[#This Row],[UVID]]="","",VLOOKUP(TInspectieW[[#This Row],[UVID]],TInventW[],2,FALSE))</f>
        <v>568010</v>
      </c>
      <c r="C40" s="365" t="str">
        <f>IF(TInspectieW[[#This Row],[UVID]]="","",VLOOKUP(TInspectieW[[#This Row],[UVID]],TInventW[],11,FALSE))</f>
        <v>W</v>
      </c>
      <c r="D40" s="411" t="str">
        <f>IF(TInspectieW[[#This Row],[UVID]]="","",VLOOKUP(TInspectieW[[#This Row],[UVID]],TInventW[],3,FALSE))</f>
        <v>Afgifte element warmte</v>
      </c>
      <c r="E40" s="839" t="s">
        <v>381</v>
      </c>
      <c r="F40" s="840" t="s">
        <v>832</v>
      </c>
      <c r="G40" s="413" t="str">
        <f>IF(ISBLANK(TInspectieW[[#This Row],[Soort gebrek]]),"",VLOOKUP(TInspectieW[[#This Row],[Soort gebrek]],TSoortGebrek[#Data],3,FALSE))</f>
        <v>Geen</v>
      </c>
      <c r="H40" s="413" t="str">
        <f>IF(ISBLANK(TInspectieW[[#This Row],[Soort gebrek]]),"",VLOOKUP(TInspectieW[[#This Row],[Soort gebrek]],TSoortGebrek[#Data],2,FALSE))</f>
        <v>Geen gebrek</v>
      </c>
      <c r="I40" s="413" t="str">
        <f>IF(TInspectieW[[#This Row],[Soort gebrek]]=0,"",VLOOKUP(TInspectieW[[#This Row],[Soort gebrek]],TSoortGebrek[],4,FALSE))</f>
        <v>Eind</v>
      </c>
      <c r="J40" s="841">
        <v>1</v>
      </c>
      <c r="K40" s="415">
        <f>IF(TInspectieW[[#This Row],[Soort gebrek]]=0,"",VLOOKUP(TInspectieW[[#This Row],[Combi]],TPrio[#Data],2,FALSE))</f>
        <v>0</v>
      </c>
      <c r="L40" s="843">
        <v>2</v>
      </c>
      <c r="M40" s="416" t="str">
        <f>IF(ISBLANK(TInspectieW[[#This Row],[Gebrek nr.]]),"",TInspectieW[[#This Row],[UVID]]&amp;"-"&amp;TInspectieW[[#This Row],[Gebrek nr.]])</f>
        <v>568010-1-2</v>
      </c>
      <c r="N40" s="417"/>
      <c r="O40" s="866" t="s">
        <v>1647</v>
      </c>
      <c r="P40" s="813" t="s">
        <v>1458</v>
      </c>
      <c r="Q40" s="819" t="s">
        <v>838</v>
      </c>
      <c r="R40" s="828" t="s">
        <v>358</v>
      </c>
      <c r="S40" s="828" t="s">
        <v>86</v>
      </c>
      <c r="T40" s="828" t="s">
        <v>1529</v>
      </c>
      <c r="U40" s="828" t="s">
        <v>1401</v>
      </c>
      <c r="V40" s="828" t="s">
        <v>1425</v>
      </c>
      <c r="W40" s="830" t="s">
        <v>358</v>
      </c>
      <c r="X40" s="845"/>
      <c r="Y40" s="846"/>
      <c r="Z40" s="421" t="str">
        <f>IF(ISBLANK(TInspectieW[[#This Row],[Aantal]]),"",ROUND(TInspectieW[[#This Row],[Kengetal]]*TInspectieW[[#This Row],[Aantal]],-1))</f>
        <v/>
      </c>
      <c r="AA40" s="422">
        <f>IF(TInspectieW[[#This Row],[Vak-groep]]="","1",VLOOKUP(C40,$J$2:$K$7,2,FALSE))</f>
        <v>3</v>
      </c>
      <c r="AB40" s="423" t="str">
        <f>CONCATENATE(TInspectieW[[#This Row],[Soort gebrek]],TInspectieW[[#This Row],[Trede]])</f>
        <v>GG3</v>
      </c>
      <c r="AC40" s="413" t="e">
        <v>#N/A</v>
      </c>
      <c r="AD40" s="413" t="e">
        <v>#N/A</v>
      </c>
      <c r="AE40" s="424">
        <v>0</v>
      </c>
    </row>
    <row r="41" spans="1:31" ht="63" x14ac:dyDescent="0.25">
      <c r="A41" s="337" t="s">
        <v>1502</v>
      </c>
      <c r="B41" s="410">
        <f>IF(TInspectieW[[#This Row],[UVID]]="","",VLOOKUP(TInspectieW[[#This Row],[UVID]],TInventW[],2,FALSE))</f>
        <v>569030</v>
      </c>
      <c r="C41" s="365" t="str">
        <f>IF(TInspectieW[[#This Row],[UVID]]="","",VLOOKUP(TInspectieW[[#This Row],[UVID]],TInventW[],11,FALSE))</f>
        <v>W</v>
      </c>
      <c r="D41" s="411" t="str">
        <f>IF(TInspectieW[[#This Row],[UVID]]="","",VLOOKUP(TInspectieW[[#This Row],[UVID]],TInventW[],3,FALSE))</f>
        <v>Leidingnet en appendages verwarmen</v>
      </c>
      <c r="E41" s="839" t="s">
        <v>160</v>
      </c>
      <c r="F41" s="840" t="s">
        <v>822</v>
      </c>
      <c r="G41" s="413" t="str">
        <f>IF(ISBLANK(TInspectieW[[#This Row],[Soort gebrek]]),"",VLOOKUP(TInspectieW[[#This Row],[Soort gebrek]],TSoortGebrek[#Data],3,FALSE))</f>
        <v>Theoretisch</v>
      </c>
      <c r="H41" s="413" t="str">
        <f>IF(ISBLANK(TInspectieW[[#This Row],[Soort gebrek]]),"",VLOOKUP(TInspectieW[[#This Row],[Soort gebrek]],TSoortGebrek[#Data],2,FALSE))</f>
        <v>Verval  ≥ 87,5%</v>
      </c>
      <c r="I41" s="413" t="str">
        <f>IF(TInspectieW[[#This Row],[Soort gebrek]]=0,"",VLOOKUP(TInspectieW[[#This Row],[Soort gebrek]],TSoortGebrek[],4,FALSE))</f>
        <v>Eind</v>
      </c>
      <c r="J41" s="841">
        <v>1</v>
      </c>
      <c r="K41" s="415">
        <f>IF(TInspectieW[[#This Row],[Soort gebrek]]=0,"",VLOOKUP(TInspectieW[[#This Row],[Combi]],TPrio[#Data],2,FALSE))</f>
        <v>8</v>
      </c>
      <c r="L41" s="843">
        <v>1</v>
      </c>
      <c r="M41" s="416" t="str">
        <f>IF(ISBLANK(TInspectieW[[#This Row],[Gebrek nr.]]),"",TInspectieW[[#This Row],[UVID]]&amp;"-"&amp;TInspectieW[[#This Row],[Gebrek nr.]])</f>
        <v>569030-1-1</v>
      </c>
      <c r="N41" s="417"/>
      <c r="O41" s="844" t="s">
        <v>1648</v>
      </c>
      <c r="P41" s="828">
        <v>106</v>
      </c>
      <c r="Q41" s="819" t="s">
        <v>839</v>
      </c>
      <c r="R41" s="830" t="s">
        <v>1506</v>
      </c>
      <c r="S41" s="828" t="s">
        <v>776</v>
      </c>
      <c r="T41" s="830" t="s">
        <v>1510</v>
      </c>
      <c r="U41" s="830" t="s">
        <v>1544</v>
      </c>
      <c r="V41" s="828" t="s">
        <v>1425</v>
      </c>
      <c r="W41" s="830" t="s">
        <v>890</v>
      </c>
      <c r="X41" s="845">
        <v>25255</v>
      </c>
      <c r="Y41" s="846">
        <v>1</v>
      </c>
      <c r="Z41" s="421">
        <f>IF(ISBLANK(TInspectieW[[#This Row],[Aantal]]),"",ROUND(TInspectieW[[#This Row],[Kengetal]]*TInspectieW[[#This Row],[Aantal]],-1))</f>
        <v>25260</v>
      </c>
      <c r="AA41" s="422">
        <f>IF(TInspectieW[[#This Row],[Vak-groep]]="","1",VLOOKUP(C41,$J$2:$K$7,2,FALSE))</f>
        <v>3</v>
      </c>
      <c r="AB41" s="423" t="str">
        <f>CONCATENATE(TInspectieW[[#This Row],[Soort gebrek]],TInspectieW[[#This Row],[Trede]])</f>
        <v>T-87,53</v>
      </c>
      <c r="AC41" s="413" t="e">
        <v>#N/A</v>
      </c>
      <c r="AD41" s="413" t="e">
        <v>#N/A</v>
      </c>
      <c r="AE41" s="424">
        <v>0</v>
      </c>
    </row>
    <row r="42" spans="1:31" ht="63" x14ac:dyDescent="0.25">
      <c r="A42" s="337" t="s">
        <v>1502</v>
      </c>
      <c r="B42" s="410">
        <f>IF(TInspectieW[[#This Row],[UVID]]="","",VLOOKUP(TInspectieW[[#This Row],[UVID]],TInventW[],2,FALSE))</f>
        <v>569030</v>
      </c>
      <c r="C42" s="365" t="str">
        <f>IF(TInspectieW[[#This Row],[UVID]]="","",VLOOKUP(TInspectieW[[#This Row],[UVID]],TInventW[],11,FALSE))</f>
        <v>W</v>
      </c>
      <c r="D42" s="411" t="str">
        <f>IF(TInspectieW[[#This Row],[UVID]]="","",VLOOKUP(TInspectieW[[#This Row],[UVID]],TInventW[],3,FALSE))</f>
        <v>Leidingnet en appendages verwarmen</v>
      </c>
      <c r="E42" s="839" t="s">
        <v>381</v>
      </c>
      <c r="F42" s="840" t="s">
        <v>814</v>
      </c>
      <c r="G42" s="413" t="str">
        <f>IF(ISBLANK(TInspectieW[[#This Row],[Soort gebrek]]),"",VLOOKUP(TInspectieW[[#This Row],[Soort gebrek]],TSoortGebrek[#Data],3,FALSE))</f>
        <v>Wetsgebrek</v>
      </c>
      <c r="H42" s="413" t="str">
        <f>IF(ISBLANK(TInspectieW[[#This Row],[Soort gebrek]]),"",VLOOKUP(TInspectieW[[#This Row],[Soort gebrek]],TSoortGebrek[#Data],2,FALSE))</f>
        <v>wettelijk basiskwaliteit</v>
      </c>
      <c r="I42" s="413" t="str">
        <f>IF(TInspectieW[[#This Row],[Soort gebrek]]=0,"",VLOOKUP(TInspectieW[[#This Row],[Soort gebrek]],TSoortGebrek[],4,FALSE))</f>
        <v>Eind</v>
      </c>
      <c r="J42" s="841">
        <v>0.1</v>
      </c>
      <c r="K42" s="415">
        <f>IF(TInspectieW[[#This Row],[Soort gebrek]]=0,"",VLOOKUP(TInspectieW[[#This Row],[Combi]],TPrio[#Data],2,FALSE))</f>
        <v>4</v>
      </c>
      <c r="L42" s="843">
        <v>2</v>
      </c>
      <c r="M42" s="416" t="str">
        <f>IF(ISBLANK(TInspectieW[[#This Row],[Gebrek nr.]]),"",TInspectieW[[#This Row],[UVID]]&amp;"-"&amp;TInspectieW[[#This Row],[Gebrek nr.]])</f>
        <v>569030-1-2</v>
      </c>
      <c r="N42" s="417"/>
      <c r="O42" s="844" t="s">
        <v>1648</v>
      </c>
      <c r="P42" s="828">
        <v>106</v>
      </c>
      <c r="Q42" s="819" t="s">
        <v>839</v>
      </c>
      <c r="R42" s="830" t="s">
        <v>1444</v>
      </c>
      <c r="S42" s="828" t="s">
        <v>84</v>
      </c>
      <c r="T42" s="830" t="s">
        <v>1530</v>
      </c>
      <c r="U42" s="830" t="s">
        <v>1547</v>
      </c>
      <c r="V42" s="828" t="s">
        <v>1132</v>
      </c>
      <c r="W42" s="830" t="s">
        <v>893</v>
      </c>
      <c r="X42" s="845">
        <v>61</v>
      </c>
      <c r="Y42" s="846">
        <v>30</v>
      </c>
      <c r="Z42" s="421">
        <f>IF(ISBLANK(TInspectieW[[#This Row],[Aantal]]),"",ROUND(TInspectieW[[#This Row],[Kengetal]]*TInspectieW[[#This Row],[Aantal]],-1))</f>
        <v>1830</v>
      </c>
      <c r="AA42" s="422">
        <f>IF(TInspectieW[[#This Row],[Vak-groep]]="","1",VLOOKUP(C42,$J$2:$K$7,2,FALSE))</f>
        <v>3</v>
      </c>
      <c r="AB42" s="423" t="str">
        <f>CONCATENATE(TInspectieW[[#This Row],[Soort gebrek]],TInspectieW[[#This Row],[Trede]])</f>
        <v>W-BK3</v>
      </c>
      <c r="AC42" s="413" t="e">
        <v>#N/A</v>
      </c>
      <c r="AD42" s="413" t="e">
        <v>#N/A</v>
      </c>
      <c r="AE42" s="424">
        <v>0</v>
      </c>
    </row>
    <row r="43" spans="1:31" ht="31.5" x14ac:dyDescent="0.25">
      <c r="A43" s="337" t="s">
        <v>1502</v>
      </c>
      <c r="B43" s="410">
        <f>IF(TInspectieW[[#This Row],[UVID]]="","",VLOOKUP(TInspectieW[[#This Row],[UVID]],TInventW[],2,FALSE))</f>
        <v>569030</v>
      </c>
      <c r="C43" s="365" t="str">
        <f>IF(TInspectieW[[#This Row],[UVID]]="","",VLOOKUP(TInspectieW[[#This Row],[UVID]],TInventW[],11,FALSE))</f>
        <v>W</v>
      </c>
      <c r="D43" s="411" t="str">
        <f>IF(TInspectieW[[#This Row],[UVID]]="","",VLOOKUP(TInspectieW[[#This Row],[UVID]],TInventW[],3,FALSE))</f>
        <v>Leidingnet en appendages verwarmen</v>
      </c>
      <c r="E43" s="839" t="s">
        <v>381</v>
      </c>
      <c r="F43" s="840" t="s">
        <v>832</v>
      </c>
      <c r="G43" s="413" t="str">
        <f>IF(ISBLANK(TInspectieW[[#This Row],[Soort gebrek]]),"",VLOOKUP(TInspectieW[[#This Row],[Soort gebrek]],TSoortGebrek[#Data],3,FALSE))</f>
        <v>Geen</v>
      </c>
      <c r="H43" s="413" t="str">
        <f>IF(ISBLANK(TInspectieW[[#This Row],[Soort gebrek]]),"",VLOOKUP(TInspectieW[[#This Row],[Soort gebrek]],TSoortGebrek[#Data],2,FALSE))</f>
        <v>Geen gebrek</v>
      </c>
      <c r="I43" s="413" t="str">
        <f>IF(TInspectieW[[#This Row],[Soort gebrek]]=0,"",VLOOKUP(TInspectieW[[#This Row],[Soort gebrek]],TSoortGebrek[],4,FALSE))</f>
        <v>Eind</v>
      </c>
      <c r="J43" s="841">
        <v>0.3</v>
      </c>
      <c r="K43" s="415">
        <f>IF(TInspectieW[[#This Row],[Soort gebrek]]=0,"",VLOOKUP(TInspectieW[[#This Row],[Combi]],TPrio[#Data],2,FALSE))</f>
        <v>0</v>
      </c>
      <c r="L43" s="843">
        <v>3</v>
      </c>
      <c r="M43" s="416" t="str">
        <f>IF(ISBLANK(TInspectieW[[#This Row],[Gebrek nr.]]),"",TInspectieW[[#This Row],[UVID]]&amp;"-"&amp;TInspectieW[[#This Row],[Gebrek nr.]])</f>
        <v>569030-1-3</v>
      </c>
      <c r="N43" s="417"/>
      <c r="O43" s="844" t="s">
        <v>1656</v>
      </c>
      <c r="P43" s="828">
        <v>106</v>
      </c>
      <c r="Q43" s="819" t="s">
        <v>839</v>
      </c>
      <c r="R43" s="828" t="s">
        <v>358</v>
      </c>
      <c r="S43" s="828" t="s">
        <v>87</v>
      </c>
      <c r="T43" s="828" t="s">
        <v>1531</v>
      </c>
      <c r="U43" s="828" t="s">
        <v>1401</v>
      </c>
      <c r="V43" s="828" t="s">
        <v>1425</v>
      </c>
      <c r="W43" s="830" t="s">
        <v>358</v>
      </c>
      <c r="X43" s="845"/>
      <c r="Y43" s="833"/>
      <c r="Z43" s="421" t="str">
        <f>IF(ISBLANK(TInspectieW[[#This Row],[Aantal]]),"",ROUND(TInspectieW[[#This Row],[Kengetal]]*TInspectieW[[#This Row],[Aantal]],-1))</f>
        <v/>
      </c>
      <c r="AA43" s="422">
        <f>IF(TInspectieW[[#This Row],[Vak-groep]]="","1",VLOOKUP(C43,$J$2:$K$7,2,FALSE))</f>
        <v>3</v>
      </c>
      <c r="AB43" s="423" t="str">
        <f>CONCATENATE(TInspectieW[[#This Row],[Soort gebrek]],TInspectieW[[#This Row],[Trede]])</f>
        <v>GG3</v>
      </c>
      <c r="AC43" s="413" t="e">
        <v>#N/A</v>
      </c>
      <c r="AD43" s="413" t="e">
        <v>#N/A</v>
      </c>
      <c r="AE43" s="424">
        <v>0</v>
      </c>
    </row>
    <row r="44" spans="1:31" ht="52.5" x14ac:dyDescent="0.25">
      <c r="A44" s="337" t="s">
        <v>1502</v>
      </c>
      <c r="B44" s="410">
        <f>IF(TInspectieW[[#This Row],[UVID]]="","",VLOOKUP(TInspectieW[[#This Row],[UVID]],TInventW[],2,FALSE))</f>
        <v>569030</v>
      </c>
      <c r="C44" s="365" t="str">
        <f>IF(TInspectieW[[#This Row],[UVID]]="","",VLOOKUP(TInspectieW[[#This Row],[UVID]],TInventW[],11,FALSE))</f>
        <v>W</v>
      </c>
      <c r="D44" s="411" t="str">
        <f>IF(TInspectieW[[#This Row],[UVID]]="","",VLOOKUP(TInspectieW[[#This Row],[UVID]],TInventW[],3,FALSE))</f>
        <v>Leidingnet en appendages verwarmen</v>
      </c>
      <c r="E44" s="839" t="s">
        <v>381</v>
      </c>
      <c r="F44" s="840" t="s">
        <v>832</v>
      </c>
      <c r="G44" s="413" t="str">
        <f>IF(ISBLANK(TInspectieW[[#This Row],[Soort gebrek]]),"",VLOOKUP(TInspectieW[[#This Row],[Soort gebrek]],TSoortGebrek[#Data],3,FALSE))</f>
        <v>Geen</v>
      </c>
      <c r="H44" s="413" t="str">
        <f>IF(ISBLANK(TInspectieW[[#This Row],[Soort gebrek]]),"",VLOOKUP(TInspectieW[[#This Row],[Soort gebrek]],TSoortGebrek[#Data],2,FALSE))</f>
        <v>Geen gebrek</v>
      </c>
      <c r="I44" s="413" t="str">
        <f>IF(TInspectieW[[#This Row],[Soort gebrek]]=0,"",VLOOKUP(TInspectieW[[#This Row],[Soort gebrek]],TSoortGebrek[],4,FALSE))</f>
        <v>Eind</v>
      </c>
      <c r="J44" s="841">
        <v>0.6</v>
      </c>
      <c r="K44" s="415">
        <f>IF(TInspectieW[[#This Row],[Soort gebrek]]=0,"",VLOOKUP(TInspectieW[[#This Row],[Combi]],TPrio[#Data],2,FALSE))</f>
        <v>0</v>
      </c>
      <c r="L44" s="843">
        <v>6</v>
      </c>
      <c r="M44" s="416" t="str">
        <f>IF(ISBLANK(TInspectieW[[#This Row],[Gebrek nr.]]),"",TInspectieW[[#This Row],[UVID]]&amp;"-"&amp;TInspectieW[[#This Row],[Gebrek nr.]])</f>
        <v>569030-1-6</v>
      </c>
      <c r="N44" s="417"/>
      <c r="O44" s="844" t="s">
        <v>1657</v>
      </c>
      <c r="P44" s="828">
        <v>106</v>
      </c>
      <c r="Q44" s="819" t="s">
        <v>839</v>
      </c>
      <c r="R44" s="865" t="s">
        <v>1401</v>
      </c>
      <c r="S44" s="828" t="s">
        <v>23</v>
      </c>
      <c r="T44" s="867" t="s">
        <v>1527</v>
      </c>
      <c r="U44" s="865" t="s">
        <v>1401</v>
      </c>
      <c r="V44" s="828" t="s">
        <v>1425</v>
      </c>
      <c r="W44" s="830" t="s">
        <v>1401</v>
      </c>
      <c r="X44" s="845"/>
      <c r="Y44" s="846"/>
      <c r="Z44" s="421" t="str">
        <f>IF(ISBLANK(TInspectieW[[#This Row],[Aantal]]),"",ROUND(TInspectieW[[#This Row],[Kengetal]]*TInspectieW[[#This Row],[Aantal]],-1))</f>
        <v/>
      </c>
      <c r="AA44" s="422">
        <f>IF(TInspectieW[[#This Row],[Vak-groep]]="","1",VLOOKUP(C44,$J$2:$K$7,2,FALSE))</f>
        <v>3</v>
      </c>
      <c r="AB44" s="423" t="str">
        <f>CONCATENATE(TInspectieW[[#This Row],[Soort gebrek]],TInspectieW[[#This Row],[Trede]])</f>
        <v>GG3</v>
      </c>
      <c r="AC44" s="413" t="e">
        <v>#N/A</v>
      </c>
      <c r="AD44" s="413" t="e">
        <v>#N/A</v>
      </c>
      <c r="AE44" s="424">
        <v>0</v>
      </c>
    </row>
    <row r="45" spans="1:31" ht="84" x14ac:dyDescent="0.25">
      <c r="A45" s="337" t="s">
        <v>1503</v>
      </c>
      <c r="B45" s="410">
        <f>IF(TInspectieW[[#This Row],[UVID]]="","",VLOOKUP(TInspectieW[[#This Row],[UVID]],TInventW[],2,FALSE))</f>
        <v>573020</v>
      </c>
      <c r="C45" s="365" t="str">
        <f>IF(TInspectieW[[#This Row],[UVID]]="","",VLOOKUP(TInspectieW[[#This Row],[UVID]],TInventW[],11,FALSE))</f>
        <v>W</v>
      </c>
      <c r="D45" s="411" t="str">
        <f>IF(TInspectieW[[#This Row],[UVID]]="","",VLOOKUP(TInspectieW[[#This Row],[UVID]],TInventW[],3,FALSE))</f>
        <v>Mechanische luchtbehandeling</v>
      </c>
      <c r="E45" s="839" t="s">
        <v>160</v>
      </c>
      <c r="F45" s="840" t="s">
        <v>822</v>
      </c>
      <c r="G45" s="413" t="str">
        <f>IF(ISBLANK(TInspectieW[[#This Row],[Soort gebrek]]),"",VLOOKUP(TInspectieW[[#This Row],[Soort gebrek]],TSoortGebrek[#Data],3,FALSE))</f>
        <v>Theoretisch</v>
      </c>
      <c r="H45" s="413" t="str">
        <f>IF(ISBLANK(TInspectieW[[#This Row],[Soort gebrek]]),"",VLOOKUP(TInspectieW[[#This Row],[Soort gebrek]],TSoortGebrek[#Data],2,FALSE))</f>
        <v>Verval  ≥ 87,5%</v>
      </c>
      <c r="I45" s="413" t="str">
        <f>IF(TInspectieW[[#This Row],[Soort gebrek]]=0,"",VLOOKUP(TInspectieW[[#This Row],[Soort gebrek]],TSoortGebrek[],4,FALSE))</f>
        <v>Eind</v>
      </c>
      <c r="J45" s="841">
        <v>1</v>
      </c>
      <c r="K45" s="415">
        <f>IF(TInspectieW[[#This Row],[Soort gebrek]]=0,"",VLOOKUP(TInspectieW[[#This Row],[Combi]],TPrio[#Data],2,FALSE))</f>
        <v>8</v>
      </c>
      <c r="L45" s="843">
        <v>1</v>
      </c>
      <c r="M45" s="416" t="str">
        <f>IF(ISBLANK(TInspectieW[[#This Row],[Gebrek nr.]]),"",TInspectieW[[#This Row],[UVID]]&amp;"-"&amp;TInspectieW[[#This Row],[Gebrek nr.]])</f>
        <v>573020-1-1</v>
      </c>
      <c r="N45" s="417"/>
      <c r="O45" s="844" t="s">
        <v>1649</v>
      </c>
      <c r="P45" s="828">
        <v>106</v>
      </c>
      <c r="Q45" s="819" t="s">
        <v>838</v>
      </c>
      <c r="R45" s="828" t="s">
        <v>1509</v>
      </c>
      <c r="S45" s="828" t="s">
        <v>776</v>
      </c>
      <c r="T45" s="830" t="s">
        <v>1510</v>
      </c>
      <c r="U45" s="830" t="s">
        <v>1548</v>
      </c>
      <c r="V45" s="828" t="s">
        <v>1425</v>
      </c>
      <c r="W45" s="830" t="s">
        <v>890</v>
      </c>
      <c r="X45" s="845">
        <v>4176</v>
      </c>
      <c r="Y45" s="846">
        <v>1</v>
      </c>
      <c r="Z45" s="421">
        <f>IF(ISBLANK(TInspectieW[[#This Row],[Aantal]]),"",ROUND(TInspectieW[[#This Row],[Kengetal]]*TInspectieW[[#This Row],[Aantal]],-1))</f>
        <v>4180</v>
      </c>
      <c r="AA45" s="422">
        <f>IF(TInspectieW[[#This Row],[Vak-groep]]="","1",VLOOKUP(C45,$J$2:$K$7,2,FALSE))</f>
        <v>3</v>
      </c>
      <c r="AB45" s="423" t="str">
        <f>CONCATENATE(TInspectieW[[#This Row],[Soort gebrek]],TInspectieW[[#This Row],[Trede]])</f>
        <v>T-87,53</v>
      </c>
      <c r="AC45" s="413" t="e">
        <v>#N/A</v>
      </c>
      <c r="AD45" s="413" t="e">
        <v>#N/A</v>
      </c>
      <c r="AE45" s="424">
        <v>0</v>
      </c>
    </row>
    <row r="46" spans="1:31" ht="31.5" x14ac:dyDescent="0.25">
      <c r="A46" s="337" t="s">
        <v>1503</v>
      </c>
      <c r="B46" s="410">
        <f>IF(TInspectieW[[#This Row],[UVID]]="","",VLOOKUP(TInspectieW[[#This Row],[UVID]],TInventW[],2,FALSE))</f>
        <v>573020</v>
      </c>
      <c r="C46" s="365" t="str">
        <f>IF(TInspectieW[[#This Row],[UVID]]="","",VLOOKUP(TInspectieW[[#This Row],[UVID]],TInventW[],11,FALSE))</f>
        <v>W</v>
      </c>
      <c r="D46" s="411" t="str">
        <f>IF(TInspectieW[[#This Row],[UVID]]="","",VLOOKUP(TInspectieW[[#This Row],[UVID]],TInventW[],3,FALSE))</f>
        <v>Mechanische luchtbehandeling</v>
      </c>
      <c r="E46" s="839" t="s">
        <v>381</v>
      </c>
      <c r="F46" s="840" t="s">
        <v>832</v>
      </c>
      <c r="G46" s="413" t="str">
        <f>IF(ISBLANK(TInspectieW[[#This Row],[Soort gebrek]]),"",VLOOKUP(TInspectieW[[#This Row],[Soort gebrek]],TSoortGebrek[#Data],3,FALSE))</f>
        <v>Geen</v>
      </c>
      <c r="H46" s="413" t="str">
        <f>IF(ISBLANK(TInspectieW[[#This Row],[Soort gebrek]]),"",VLOOKUP(TInspectieW[[#This Row],[Soort gebrek]],TSoortGebrek[#Data],2,FALSE))</f>
        <v>Geen gebrek</v>
      </c>
      <c r="I46" s="413" t="str">
        <f>IF(TInspectieW[[#This Row],[Soort gebrek]]=0,"",VLOOKUP(TInspectieW[[#This Row],[Soort gebrek]],TSoortGebrek[],4,FALSE))</f>
        <v>Eind</v>
      </c>
      <c r="J46" s="841">
        <v>0.2</v>
      </c>
      <c r="K46" s="415">
        <f>IF(TInspectieW[[#This Row],[Soort gebrek]]=0,"",VLOOKUP(TInspectieW[[#This Row],[Combi]],TPrio[#Data],2,FALSE))</f>
        <v>0</v>
      </c>
      <c r="L46" s="843">
        <v>2</v>
      </c>
      <c r="M46" s="416" t="str">
        <f>IF(ISBLANK(TInspectieW[[#This Row],[Gebrek nr.]]),"",TInspectieW[[#This Row],[UVID]]&amp;"-"&amp;TInspectieW[[#This Row],[Gebrek nr.]])</f>
        <v>573020-1-2</v>
      </c>
      <c r="N46" s="417"/>
      <c r="O46" s="844" t="s">
        <v>1658</v>
      </c>
      <c r="P46" s="828">
        <v>106</v>
      </c>
      <c r="Q46" s="819" t="s">
        <v>838</v>
      </c>
      <c r="R46" s="828" t="s">
        <v>628</v>
      </c>
      <c r="S46" s="828" t="s">
        <v>1168</v>
      </c>
      <c r="T46" s="828" t="s">
        <v>1532</v>
      </c>
      <c r="U46" s="828" t="s">
        <v>628</v>
      </c>
      <c r="V46" s="828" t="s">
        <v>1425</v>
      </c>
      <c r="W46" s="830" t="s">
        <v>358</v>
      </c>
      <c r="X46" s="845"/>
      <c r="Y46" s="846"/>
      <c r="Z46" s="421" t="str">
        <f>IF(ISBLANK(TInspectieW[[#This Row],[Aantal]]),"",ROUND(TInspectieW[[#This Row],[Kengetal]]*TInspectieW[[#This Row],[Aantal]],-1))</f>
        <v/>
      </c>
      <c r="AA46" s="422">
        <f>IF(TInspectieW[[#This Row],[Vak-groep]]="","1",VLOOKUP(C46,$J$2:$K$7,2,FALSE))</f>
        <v>3</v>
      </c>
      <c r="AB46" s="423" t="str">
        <f>CONCATENATE(TInspectieW[[#This Row],[Soort gebrek]],TInspectieW[[#This Row],[Trede]])</f>
        <v>GG3</v>
      </c>
      <c r="AC46" s="413" t="e">
        <v>#N/A</v>
      </c>
      <c r="AD46" s="413" t="e">
        <v>#N/A</v>
      </c>
      <c r="AE46" s="424">
        <v>0</v>
      </c>
    </row>
    <row r="47" spans="1:31" ht="52.5" x14ac:dyDescent="0.25">
      <c r="A47" s="337" t="s">
        <v>1503</v>
      </c>
      <c r="B47" s="410">
        <f>IF(TInspectieW[[#This Row],[UVID]]="","",VLOOKUP(TInspectieW[[#This Row],[UVID]],TInventW[],2,FALSE))</f>
        <v>573020</v>
      </c>
      <c r="C47" s="365" t="str">
        <f>IF(TInspectieW[[#This Row],[UVID]]="","",VLOOKUP(TInspectieW[[#This Row],[UVID]],TInventW[],11,FALSE))</f>
        <v>W</v>
      </c>
      <c r="D47" s="411" t="str">
        <f>IF(TInspectieW[[#This Row],[UVID]]="","",VLOOKUP(TInspectieW[[#This Row],[UVID]],TInventW[],3,FALSE))</f>
        <v>Mechanische luchtbehandeling</v>
      </c>
      <c r="E47" s="839" t="s">
        <v>381</v>
      </c>
      <c r="F47" s="840" t="s">
        <v>832</v>
      </c>
      <c r="G47" s="413" t="str">
        <f>IF(ISBLANK(TInspectieW[[#This Row],[Soort gebrek]]),"",VLOOKUP(TInspectieW[[#This Row],[Soort gebrek]],TSoortGebrek[#Data],3,FALSE))</f>
        <v>Geen</v>
      </c>
      <c r="H47" s="413" t="str">
        <f>IF(ISBLANK(TInspectieW[[#This Row],[Soort gebrek]]),"",VLOOKUP(TInspectieW[[#This Row],[Soort gebrek]],TSoortGebrek[#Data],2,FALSE))</f>
        <v>Geen gebrek</v>
      </c>
      <c r="I47" s="413" t="str">
        <f>IF(TInspectieW[[#This Row],[Soort gebrek]]=0,"",VLOOKUP(TInspectieW[[#This Row],[Soort gebrek]],TSoortGebrek[],4,FALSE))</f>
        <v>Eind</v>
      </c>
      <c r="J47" s="841">
        <v>0.2</v>
      </c>
      <c r="K47" s="415">
        <f>IF(TInspectieW[[#This Row],[Soort gebrek]]=0,"",VLOOKUP(TInspectieW[[#This Row],[Combi]],TPrio[#Data],2,FALSE))</f>
        <v>0</v>
      </c>
      <c r="L47" s="843">
        <v>3</v>
      </c>
      <c r="M47" s="416" t="str">
        <f>IF(ISBLANK(TInspectieW[[#This Row],[Gebrek nr.]]),"",TInspectieW[[#This Row],[UVID]]&amp;"-"&amp;TInspectieW[[#This Row],[Gebrek nr.]])</f>
        <v>573020-1-3</v>
      </c>
      <c r="N47" s="417"/>
      <c r="O47" s="844" t="s">
        <v>1649</v>
      </c>
      <c r="P47" s="828">
        <v>106</v>
      </c>
      <c r="Q47" s="819" t="s">
        <v>838</v>
      </c>
      <c r="R47" s="828" t="s">
        <v>1444</v>
      </c>
      <c r="S47" s="828" t="s">
        <v>1167</v>
      </c>
      <c r="T47" s="828" t="s">
        <v>1533</v>
      </c>
      <c r="U47" s="828" t="s">
        <v>628</v>
      </c>
      <c r="V47" s="828" t="s">
        <v>1425</v>
      </c>
      <c r="W47" s="830" t="s">
        <v>1550</v>
      </c>
      <c r="X47" s="845"/>
      <c r="Y47" s="846"/>
      <c r="Z47" s="421" t="str">
        <f>IF(ISBLANK(TInspectieW[[#This Row],[Aantal]]),"",ROUND(TInspectieW[[#This Row],[Kengetal]]*TInspectieW[[#This Row],[Aantal]],-1))</f>
        <v/>
      </c>
      <c r="AA47" s="422">
        <f>IF(TInspectieW[[#This Row],[Vak-groep]]="","1",VLOOKUP(C47,$J$2:$K$7,2,FALSE))</f>
        <v>3</v>
      </c>
      <c r="AB47" s="423" t="str">
        <f>CONCATENATE(TInspectieW[[#This Row],[Soort gebrek]],TInspectieW[[#This Row],[Trede]])</f>
        <v>GG3</v>
      </c>
      <c r="AC47" s="413" t="e">
        <v>#N/A</v>
      </c>
      <c r="AD47" s="413" t="e">
        <v>#N/A</v>
      </c>
      <c r="AE47" s="424">
        <v>0</v>
      </c>
    </row>
    <row r="48" spans="1:31" ht="52.5" x14ac:dyDescent="0.25">
      <c r="A48" s="337" t="s">
        <v>1503</v>
      </c>
      <c r="B48" s="410">
        <f>IF(TInspectieW[[#This Row],[UVID]]="","",VLOOKUP(TInspectieW[[#This Row],[UVID]],TInventW[],2,FALSE))</f>
        <v>573020</v>
      </c>
      <c r="C48" s="365" t="str">
        <f>IF(TInspectieW[[#This Row],[UVID]]="","",VLOOKUP(TInspectieW[[#This Row],[UVID]],TInventW[],11,FALSE))</f>
        <v>W</v>
      </c>
      <c r="D48" s="411" t="str">
        <f>IF(TInspectieW[[#This Row],[UVID]]="","",VLOOKUP(TInspectieW[[#This Row],[UVID]],TInventW[],3,FALSE))</f>
        <v>Mechanische luchtbehandeling</v>
      </c>
      <c r="E48" s="839" t="s">
        <v>381</v>
      </c>
      <c r="F48" s="840" t="s">
        <v>832</v>
      </c>
      <c r="G48" s="413" t="str">
        <f>IF(ISBLANK(TInspectieW[[#This Row],[Soort gebrek]]),"",VLOOKUP(TInspectieW[[#This Row],[Soort gebrek]],TSoortGebrek[#Data],3,FALSE))</f>
        <v>Geen</v>
      </c>
      <c r="H48" s="413" t="str">
        <f>IF(ISBLANK(TInspectieW[[#This Row],[Soort gebrek]]),"",VLOOKUP(TInspectieW[[#This Row],[Soort gebrek]],TSoortGebrek[#Data],2,FALSE))</f>
        <v>Geen gebrek</v>
      </c>
      <c r="I48" s="413" t="str">
        <f>IF(TInspectieW[[#This Row],[Soort gebrek]]=0,"",VLOOKUP(TInspectieW[[#This Row],[Soort gebrek]],TSoortGebrek[],4,FALSE))</f>
        <v>Eind</v>
      </c>
      <c r="J48" s="841">
        <v>0.2</v>
      </c>
      <c r="K48" s="415">
        <f>IF(TInspectieW[[#This Row],[Soort gebrek]]=0,"",VLOOKUP(TInspectieW[[#This Row],[Combi]],TPrio[#Data],2,FALSE))</f>
        <v>0</v>
      </c>
      <c r="L48" s="843">
        <v>4</v>
      </c>
      <c r="M48" s="416" t="str">
        <f>IF(ISBLANK(TInspectieW[[#This Row],[Gebrek nr.]]),"",TInspectieW[[#This Row],[UVID]]&amp;"-"&amp;TInspectieW[[#This Row],[Gebrek nr.]])</f>
        <v>573020-1-4</v>
      </c>
      <c r="N48" s="417"/>
      <c r="O48" s="844" t="s">
        <v>1649</v>
      </c>
      <c r="P48" s="828">
        <v>106</v>
      </c>
      <c r="Q48" s="819" t="s">
        <v>838</v>
      </c>
      <c r="R48" s="828" t="s">
        <v>628</v>
      </c>
      <c r="S48" s="828" t="s">
        <v>91</v>
      </c>
      <c r="T48" s="828" t="s">
        <v>1534</v>
      </c>
      <c r="U48" s="828" t="s">
        <v>628</v>
      </c>
      <c r="V48" s="828" t="s">
        <v>1425</v>
      </c>
      <c r="W48" s="830" t="s">
        <v>358</v>
      </c>
      <c r="X48" s="845"/>
      <c r="Y48" s="846"/>
      <c r="Z48" s="421" t="str">
        <f>IF(ISBLANK(TInspectieW[[#This Row],[Aantal]]),"",ROUND(TInspectieW[[#This Row],[Kengetal]]*TInspectieW[[#This Row],[Aantal]],-1))</f>
        <v/>
      </c>
      <c r="AA48" s="422">
        <f>IF(TInspectieW[[#This Row],[Vak-groep]]="","1",VLOOKUP(C48,$J$2:$K$7,2,FALSE))</f>
        <v>3</v>
      </c>
      <c r="AB48" s="423" t="str">
        <f>CONCATENATE(TInspectieW[[#This Row],[Soort gebrek]],TInspectieW[[#This Row],[Trede]])</f>
        <v>GG3</v>
      </c>
      <c r="AC48" s="413" t="e">
        <v>#N/A</v>
      </c>
      <c r="AD48" s="413" t="e">
        <v>#N/A</v>
      </c>
      <c r="AE48" s="424">
        <v>0</v>
      </c>
    </row>
    <row r="49" spans="1:31" ht="52.5" x14ac:dyDescent="0.25">
      <c r="A49" s="337" t="s">
        <v>1503</v>
      </c>
      <c r="B49" s="410">
        <f>IF(TInspectieW[[#This Row],[UVID]]="","",VLOOKUP(TInspectieW[[#This Row],[UVID]],TInventW[],2,FALSE))</f>
        <v>573020</v>
      </c>
      <c r="C49" s="365" t="str">
        <f>IF(TInspectieW[[#This Row],[UVID]]="","",VLOOKUP(TInspectieW[[#This Row],[UVID]],TInventW[],11,FALSE))</f>
        <v>W</v>
      </c>
      <c r="D49" s="411" t="str">
        <f>IF(TInspectieW[[#This Row],[UVID]]="","",VLOOKUP(TInspectieW[[#This Row],[UVID]],TInventW[],3,FALSE))</f>
        <v>Mechanische luchtbehandeling</v>
      </c>
      <c r="E49" s="839" t="s">
        <v>381</v>
      </c>
      <c r="F49" s="840" t="s">
        <v>832</v>
      </c>
      <c r="G49" s="413" t="str">
        <f>IF(ISBLANK(TInspectieW[[#This Row],[Soort gebrek]]),"",VLOOKUP(TInspectieW[[#This Row],[Soort gebrek]],TSoortGebrek[#Data],3,FALSE))</f>
        <v>Geen</v>
      </c>
      <c r="H49" s="413" t="str">
        <f>IF(ISBLANK(TInspectieW[[#This Row],[Soort gebrek]]),"",VLOOKUP(TInspectieW[[#This Row],[Soort gebrek]],TSoortGebrek[#Data],2,FALSE))</f>
        <v>Geen gebrek</v>
      </c>
      <c r="I49" s="413" t="str">
        <f>IF(TInspectieW[[#This Row],[Soort gebrek]]=0,"",VLOOKUP(TInspectieW[[#This Row],[Soort gebrek]],TSoortGebrek[],4,FALSE))</f>
        <v>Eind</v>
      </c>
      <c r="J49" s="841">
        <v>0.2</v>
      </c>
      <c r="K49" s="415">
        <f>IF(TInspectieW[[#This Row],[Soort gebrek]]=0,"",VLOOKUP(TInspectieW[[#This Row],[Combi]],TPrio[#Data],2,FALSE))</f>
        <v>0</v>
      </c>
      <c r="L49" s="843">
        <v>5</v>
      </c>
      <c r="M49" s="416" t="str">
        <f>IF(ISBLANK(TInspectieW[[#This Row],[Gebrek nr.]]),"",TInspectieW[[#This Row],[UVID]]&amp;"-"&amp;TInspectieW[[#This Row],[Gebrek nr.]])</f>
        <v>573020-1-5</v>
      </c>
      <c r="N49" s="417"/>
      <c r="O49" s="844" t="s">
        <v>1649</v>
      </c>
      <c r="P49" s="828">
        <v>106</v>
      </c>
      <c r="Q49" s="819" t="s">
        <v>838</v>
      </c>
      <c r="R49" s="828" t="s">
        <v>628</v>
      </c>
      <c r="S49" s="828" t="s">
        <v>92</v>
      </c>
      <c r="T49" s="828" t="s">
        <v>1535</v>
      </c>
      <c r="U49" s="828" t="s">
        <v>628</v>
      </c>
      <c r="V49" s="828" t="s">
        <v>1425</v>
      </c>
      <c r="W49" s="830" t="s">
        <v>358</v>
      </c>
      <c r="X49" s="845"/>
      <c r="Y49" s="863"/>
      <c r="Z49" s="421" t="str">
        <f>IF(ISBLANK(TInspectieW[[#This Row],[Aantal]]),"",ROUND(TInspectieW[[#This Row],[Kengetal]]*TInspectieW[[#This Row],[Aantal]],-1))</f>
        <v/>
      </c>
      <c r="AA49" s="422">
        <f>IF(TInspectieW[[#This Row],[Vak-groep]]="","1",VLOOKUP(C49,$J$2:$K$7,2,FALSE))</f>
        <v>3</v>
      </c>
      <c r="AB49" s="423" t="str">
        <f>CONCATENATE(TInspectieW[[#This Row],[Soort gebrek]],TInspectieW[[#This Row],[Trede]])</f>
        <v>GG3</v>
      </c>
      <c r="AC49" s="413" t="e">
        <v>#N/A</v>
      </c>
      <c r="AD49" s="413" t="e">
        <v>#N/A</v>
      </c>
      <c r="AE49" s="424">
        <v>0</v>
      </c>
    </row>
    <row r="50" spans="1:31" ht="52.5" x14ac:dyDescent="0.25">
      <c r="A50" s="337" t="s">
        <v>1503</v>
      </c>
      <c r="B50" s="410">
        <f>IF(TInspectieW[[#This Row],[UVID]]="","",VLOOKUP(TInspectieW[[#This Row],[UVID]],TInventW[],2,FALSE))</f>
        <v>573020</v>
      </c>
      <c r="C50" s="365" t="str">
        <f>IF(TInspectieW[[#This Row],[UVID]]="","",VLOOKUP(TInspectieW[[#This Row],[UVID]],TInventW[],11,FALSE))</f>
        <v>W</v>
      </c>
      <c r="D50" s="411" t="str">
        <f>IF(TInspectieW[[#This Row],[UVID]]="","",VLOOKUP(TInspectieW[[#This Row],[UVID]],TInventW[],3,FALSE))</f>
        <v>Mechanische luchtbehandeling</v>
      </c>
      <c r="E50" s="839" t="s">
        <v>381</v>
      </c>
      <c r="F50" s="840" t="s">
        <v>832</v>
      </c>
      <c r="G50" s="413" t="str">
        <f>IF(ISBLANK(TInspectieW[[#This Row],[Soort gebrek]]),"",VLOOKUP(TInspectieW[[#This Row],[Soort gebrek]],TSoortGebrek[#Data],3,FALSE))</f>
        <v>Geen</v>
      </c>
      <c r="H50" s="413" t="str">
        <f>IF(ISBLANK(TInspectieW[[#This Row],[Soort gebrek]]),"",VLOOKUP(TInspectieW[[#This Row],[Soort gebrek]],TSoortGebrek[#Data],2,FALSE))</f>
        <v>Geen gebrek</v>
      </c>
      <c r="I50" s="413" t="str">
        <f>IF(TInspectieW[[#This Row],[Soort gebrek]]=0,"",VLOOKUP(TInspectieW[[#This Row],[Soort gebrek]],TSoortGebrek[],4,FALSE))</f>
        <v>Eind</v>
      </c>
      <c r="J50" s="841">
        <v>0.2</v>
      </c>
      <c r="K50" s="415">
        <f>IF(TInspectieW[[#This Row],[Soort gebrek]]=0,"",VLOOKUP(TInspectieW[[#This Row],[Combi]],TPrio[#Data],2,FALSE))</f>
        <v>0</v>
      </c>
      <c r="L50" s="843">
        <v>6</v>
      </c>
      <c r="M50" s="416" t="str">
        <f>IF(ISBLANK(TInspectieW[[#This Row],[Gebrek nr.]]),"",TInspectieW[[#This Row],[UVID]]&amp;"-"&amp;TInspectieW[[#This Row],[Gebrek nr.]])</f>
        <v>573020-1-6</v>
      </c>
      <c r="N50" s="417"/>
      <c r="O50" s="844" t="s">
        <v>1649</v>
      </c>
      <c r="P50" s="828">
        <v>106</v>
      </c>
      <c r="Q50" s="819" t="s">
        <v>838</v>
      </c>
      <c r="R50" s="828" t="s">
        <v>628</v>
      </c>
      <c r="S50" s="828" t="s">
        <v>93</v>
      </c>
      <c r="T50" s="828" t="s">
        <v>1536</v>
      </c>
      <c r="U50" s="828" t="s">
        <v>628</v>
      </c>
      <c r="V50" s="828" t="s">
        <v>1425</v>
      </c>
      <c r="W50" s="830" t="s">
        <v>358</v>
      </c>
      <c r="X50" s="845"/>
      <c r="Y50" s="863"/>
      <c r="Z50" s="421" t="str">
        <f>IF(ISBLANK(TInspectieW[[#This Row],[Aantal]]),"",ROUND(TInspectieW[[#This Row],[Kengetal]]*TInspectieW[[#This Row],[Aantal]],-1))</f>
        <v/>
      </c>
      <c r="AA50" s="422">
        <f>IF(TInspectieW[[#This Row],[Vak-groep]]="","1",VLOOKUP(C50,$J$2:$K$7,2,FALSE))</f>
        <v>3</v>
      </c>
      <c r="AB50" s="423" t="str">
        <f>CONCATENATE(TInspectieW[[#This Row],[Soort gebrek]],TInspectieW[[#This Row],[Trede]])</f>
        <v>GG3</v>
      </c>
      <c r="AC50" s="413" t="e">
        <v>#N/A</v>
      </c>
      <c r="AD50" s="413" t="e">
        <v>#N/A</v>
      </c>
      <c r="AE50" s="424">
        <v>0</v>
      </c>
    </row>
    <row r="51" spans="1:31" ht="52.5" x14ac:dyDescent="0.25">
      <c r="A51" s="337" t="s">
        <v>1503</v>
      </c>
      <c r="B51" s="410">
        <f>IF(TInspectieW[[#This Row],[UVID]]="","",VLOOKUP(TInspectieW[[#This Row],[UVID]],TInventW[],2,FALSE))</f>
        <v>573020</v>
      </c>
      <c r="C51" s="365" t="str">
        <f>IF(TInspectieW[[#This Row],[UVID]]="","",VLOOKUP(TInspectieW[[#This Row],[UVID]],TInventW[],11,FALSE))</f>
        <v>W</v>
      </c>
      <c r="D51" s="411" t="str">
        <f>IF(TInspectieW[[#This Row],[UVID]]="","",VLOOKUP(TInspectieW[[#This Row],[UVID]],TInventW[],3,FALSE))</f>
        <v>Mechanische luchtbehandeling</v>
      </c>
      <c r="E51" s="839" t="s">
        <v>381</v>
      </c>
      <c r="F51" s="840" t="s">
        <v>832</v>
      </c>
      <c r="G51" s="413" t="str">
        <f>IF(ISBLANK(TInspectieW[[#This Row],[Soort gebrek]]),"",VLOOKUP(TInspectieW[[#This Row],[Soort gebrek]],TSoortGebrek[#Data],3,FALSE))</f>
        <v>Geen</v>
      </c>
      <c r="H51" s="413" t="str">
        <f>IF(ISBLANK(TInspectieW[[#This Row],[Soort gebrek]]),"",VLOOKUP(TInspectieW[[#This Row],[Soort gebrek]],TSoortGebrek[#Data],2,FALSE))</f>
        <v>Geen gebrek</v>
      </c>
      <c r="I51" s="413" t="str">
        <f>IF(TInspectieW[[#This Row],[Soort gebrek]]=0,"",VLOOKUP(TInspectieW[[#This Row],[Soort gebrek]],TSoortGebrek[],4,FALSE))</f>
        <v>Eind</v>
      </c>
      <c r="J51" s="841">
        <v>0.1</v>
      </c>
      <c r="K51" s="415">
        <f>IF(TInspectieW[[#This Row],[Soort gebrek]]=0,"",VLOOKUP(TInspectieW[[#This Row],[Combi]],TPrio[#Data],2,FALSE))</f>
        <v>0</v>
      </c>
      <c r="L51" s="843">
        <v>7</v>
      </c>
      <c r="M51" s="416" t="str">
        <f>IF(ISBLANK(TInspectieW[[#This Row],[Gebrek nr.]]),"",TInspectieW[[#This Row],[UVID]]&amp;"-"&amp;TInspectieW[[#This Row],[Gebrek nr.]])</f>
        <v>573020-1-7</v>
      </c>
      <c r="N51" s="417"/>
      <c r="O51" s="844" t="s">
        <v>1649</v>
      </c>
      <c r="P51" s="828">
        <v>106</v>
      </c>
      <c r="Q51" s="819" t="s">
        <v>838</v>
      </c>
      <c r="R51" s="828" t="s">
        <v>628</v>
      </c>
      <c r="S51" s="828" t="s">
        <v>94</v>
      </c>
      <c r="T51" s="828" t="s">
        <v>1537</v>
      </c>
      <c r="U51" s="828" t="s">
        <v>628</v>
      </c>
      <c r="V51" s="828" t="s">
        <v>1425</v>
      </c>
      <c r="W51" s="830" t="s">
        <v>358</v>
      </c>
      <c r="X51" s="845"/>
      <c r="Y51" s="863"/>
      <c r="Z51" s="421" t="str">
        <f>IF(ISBLANK(TInspectieW[[#This Row],[Aantal]]),"",ROUND(TInspectieW[[#This Row],[Kengetal]]*TInspectieW[[#This Row],[Aantal]],-1))</f>
        <v/>
      </c>
      <c r="AA51" s="422">
        <f>IF(TInspectieW[[#This Row],[Vak-groep]]="","1",VLOOKUP(C51,$J$2:$K$7,2,FALSE))</f>
        <v>3</v>
      </c>
      <c r="AB51" s="423" t="str">
        <f>CONCATENATE(TInspectieW[[#This Row],[Soort gebrek]],TInspectieW[[#This Row],[Trede]])</f>
        <v>GG3</v>
      </c>
      <c r="AC51" s="413" t="e">
        <v>#N/A</v>
      </c>
      <c r="AD51" s="413" t="e">
        <v>#N/A</v>
      </c>
      <c r="AE51" s="424">
        <v>0</v>
      </c>
    </row>
    <row r="52" spans="1:31" ht="52.5" x14ac:dyDescent="0.25">
      <c r="A52" s="337" t="s">
        <v>1503</v>
      </c>
      <c r="B52" s="410">
        <f>IF(TInspectieW[[#This Row],[UVID]]="","",VLOOKUP(TInspectieW[[#This Row],[UVID]],TInventW[],2,FALSE))</f>
        <v>573020</v>
      </c>
      <c r="C52" s="365" t="str">
        <f>IF(TInspectieW[[#This Row],[UVID]]="","",VLOOKUP(TInspectieW[[#This Row],[UVID]],TInventW[],11,FALSE))</f>
        <v>W</v>
      </c>
      <c r="D52" s="411" t="str">
        <f>IF(TInspectieW[[#This Row],[UVID]]="","",VLOOKUP(TInspectieW[[#This Row],[UVID]],TInventW[],3,FALSE))</f>
        <v>Mechanische luchtbehandeling</v>
      </c>
      <c r="E52" s="839" t="s">
        <v>381</v>
      </c>
      <c r="F52" s="840" t="s">
        <v>832</v>
      </c>
      <c r="G52" s="413" t="str">
        <f>IF(ISBLANK(TInspectieW[[#This Row],[Soort gebrek]]),"",VLOOKUP(TInspectieW[[#This Row],[Soort gebrek]],TSoortGebrek[#Data],3,FALSE))</f>
        <v>Geen</v>
      </c>
      <c r="H52" s="413" t="str">
        <f>IF(ISBLANK(TInspectieW[[#This Row],[Soort gebrek]]),"",VLOOKUP(TInspectieW[[#This Row],[Soort gebrek]],TSoortGebrek[#Data],2,FALSE))</f>
        <v>Geen gebrek</v>
      </c>
      <c r="I52" s="413" t="str">
        <f>IF(TInspectieW[[#This Row],[Soort gebrek]]=0,"",VLOOKUP(TInspectieW[[#This Row],[Soort gebrek]],TSoortGebrek[],4,FALSE))</f>
        <v>Eind</v>
      </c>
      <c r="J52" s="841">
        <v>0.1</v>
      </c>
      <c r="K52" s="415">
        <f>IF(TInspectieW[[#This Row],[Soort gebrek]]=0,"",VLOOKUP(TInspectieW[[#This Row],[Combi]],TPrio[#Data],2,FALSE))</f>
        <v>0</v>
      </c>
      <c r="L52" s="843">
        <v>8</v>
      </c>
      <c r="M52" s="416" t="str">
        <f>IF(ISBLANK(TInspectieW[[#This Row],[Gebrek nr.]]),"",TInspectieW[[#This Row],[UVID]]&amp;"-"&amp;TInspectieW[[#This Row],[Gebrek nr.]])</f>
        <v>573020-1-8</v>
      </c>
      <c r="N52" s="417"/>
      <c r="O52" s="844" t="s">
        <v>1649</v>
      </c>
      <c r="P52" s="828">
        <v>106</v>
      </c>
      <c r="Q52" s="819" t="s">
        <v>838</v>
      </c>
      <c r="R52" s="828" t="s">
        <v>628</v>
      </c>
      <c r="S52" s="828" t="s">
        <v>95</v>
      </c>
      <c r="T52" s="828" t="s">
        <v>1538</v>
      </c>
      <c r="U52" s="828" t="s">
        <v>628</v>
      </c>
      <c r="V52" s="828" t="s">
        <v>1425</v>
      </c>
      <c r="W52" s="830" t="s">
        <v>358</v>
      </c>
      <c r="X52" s="845"/>
      <c r="Y52" s="863"/>
      <c r="Z52" s="421" t="str">
        <f>IF(ISBLANK(TInspectieW[[#This Row],[Aantal]]),"",ROUND(TInspectieW[[#This Row],[Kengetal]]*TInspectieW[[#This Row],[Aantal]],-1))</f>
        <v/>
      </c>
      <c r="AA52" s="422">
        <f>IF(TInspectieW[[#This Row],[Vak-groep]]="","1",VLOOKUP(C52,$J$2:$K$7,2,FALSE))</f>
        <v>3</v>
      </c>
      <c r="AB52" s="423" t="str">
        <f>CONCATENATE(TInspectieW[[#This Row],[Soort gebrek]],TInspectieW[[#This Row],[Trede]])</f>
        <v>GG3</v>
      </c>
      <c r="AC52" s="413" t="e">
        <v>#N/A</v>
      </c>
      <c r="AD52" s="413" t="e">
        <v>#N/A</v>
      </c>
      <c r="AE52" s="424">
        <v>0</v>
      </c>
    </row>
    <row r="53" spans="1:31" ht="63" x14ac:dyDescent="0.25">
      <c r="A53" s="337" t="s">
        <v>1504</v>
      </c>
      <c r="B53" s="410">
        <f>IF(TInspectieW[[#This Row],[UVID]]="","",VLOOKUP(TInspectieW[[#This Row],[UVID]],TInventW[],2,FALSE))</f>
        <v>579040</v>
      </c>
      <c r="C53" s="365" t="str">
        <f>IF(TInspectieW[[#This Row],[UVID]]="","",VLOOKUP(TInspectieW[[#This Row],[UVID]],TInventW[],11,FALSE))</f>
        <v>W</v>
      </c>
      <c r="D53" s="411" t="str">
        <f>IF(TInspectieW[[#This Row],[UVID]]="","",VLOOKUP(TInspectieW[[#This Row],[UVID]],TInventW[],3,FALSE))</f>
        <v>Luchtkanalen, appendages en isolatie</v>
      </c>
      <c r="E53" s="839" t="s">
        <v>160</v>
      </c>
      <c r="F53" s="840" t="s">
        <v>822</v>
      </c>
      <c r="G53" s="413" t="str">
        <f>IF(ISBLANK(TInspectieW[[#This Row],[Soort gebrek]]),"",VLOOKUP(TInspectieW[[#This Row],[Soort gebrek]],TSoortGebrek[#Data],3,FALSE))</f>
        <v>Theoretisch</v>
      </c>
      <c r="H53" s="413" t="str">
        <f>IF(ISBLANK(TInspectieW[[#This Row],[Soort gebrek]]),"",VLOOKUP(TInspectieW[[#This Row],[Soort gebrek]],TSoortGebrek[#Data],2,FALSE))</f>
        <v>Verval  ≥ 87,5%</v>
      </c>
      <c r="I53" s="413" t="str">
        <f>IF(TInspectieW[[#This Row],[Soort gebrek]]=0,"",VLOOKUP(TInspectieW[[#This Row],[Soort gebrek]],TSoortGebrek[],4,FALSE))</f>
        <v>Eind</v>
      </c>
      <c r="J53" s="841">
        <v>1</v>
      </c>
      <c r="K53" s="415">
        <f>IF(TInspectieW[[#This Row],[Soort gebrek]]=0,"",VLOOKUP(TInspectieW[[#This Row],[Combi]],TPrio[#Data],2,FALSE))</f>
        <v>8</v>
      </c>
      <c r="L53" s="843">
        <v>1</v>
      </c>
      <c r="M53" s="416" t="str">
        <f>IF(ISBLANK(TInspectieW[[#This Row],[Gebrek nr.]]),"",TInspectieW[[#This Row],[UVID]]&amp;"-"&amp;TInspectieW[[#This Row],[Gebrek nr.]])</f>
        <v>579040-1-1</v>
      </c>
      <c r="N53" s="417"/>
      <c r="O53" s="866" t="s">
        <v>1659</v>
      </c>
      <c r="P53" s="828">
        <v>106</v>
      </c>
      <c r="Q53" s="819" t="s">
        <v>836</v>
      </c>
      <c r="R53" s="868" t="s">
        <v>1506</v>
      </c>
      <c r="S53" s="828" t="s">
        <v>776</v>
      </c>
      <c r="T53" s="830" t="s">
        <v>1510</v>
      </c>
      <c r="U53" s="830" t="s">
        <v>1549</v>
      </c>
      <c r="V53" s="828" t="s">
        <v>1425</v>
      </c>
      <c r="W53" s="830" t="s">
        <v>890</v>
      </c>
      <c r="X53" s="845">
        <v>10000</v>
      </c>
      <c r="Y53" s="869">
        <v>1</v>
      </c>
      <c r="Z53" s="421">
        <f>IF(ISBLANK(TInspectieW[[#This Row],[Aantal]]),"",ROUND(TInspectieW[[#This Row],[Kengetal]]*TInspectieW[[#This Row],[Aantal]],-1))</f>
        <v>10000</v>
      </c>
      <c r="AA53" s="422">
        <f>IF(TInspectieW[[#This Row],[Vak-groep]]="","1",VLOOKUP(C53,$J$2:$K$7,2,FALSE))</f>
        <v>3</v>
      </c>
      <c r="AB53" s="423" t="str">
        <f>CONCATENATE(TInspectieW[[#This Row],[Soort gebrek]],TInspectieW[[#This Row],[Trede]])</f>
        <v>T-87,53</v>
      </c>
      <c r="AC53" s="413" t="e">
        <v>#N/A</v>
      </c>
      <c r="AD53" s="413" t="e">
        <v>#N/A</v>
      </c>
      <c r="AE53" s="424">
        <v>0</v>
      </c>
    </row>
    <row r="54" spans="1:31" ht="63" x14ac:dyDescent="0.25">
      <c r="A54" s="337" t="s">
        <v>1504</v>
      </c>
      <c r="B54" s="410">
        <f>IF(TInspectieW[[#This Row],[UVID]]="","",VLOOKUP(TInspectieW[[#This Row],[UVID]],TInventW[],2,FALSE))</f>
        <v>579040</v>
      </c>
      <c r="C54" s="365" t="str">
        <f>IF(TInspectieW[[#This Row],[UVID]]="","",VLOOKUP(TInspectieW[[#This Row],[UVID]],TInventW[],11,FALSE))</f>
        <v>W</v>
      </c>
      <c r="D54" s="411" t="str">
        <f>IF(TInspectieW[[#This Row],[UVID]]="","",VLOOKUP(TInspectieW[[#This Row],[UVID]],TInventW[],3,FALSE))</f>
        <v>Luchtkanalen, appendages en isolatie</v>
      </c>
      <c r="E54" s="839" t="s">
        <v>381</v>
      </c>
      <c r="F54" s="840" t="s">
        <v>832</v>
      </c>
      <c r="G54" s="413" t="str">
        <f>IF(ISBLANK(TInspectieW[[#This Row],[Soort gebrek]]),"",VLOOKUP(TInspectieW[[#This Row],[Soort gebrek]],TSoortGebrek[#Data],3,FALSE))</f>
        <v>Geen</v>
      </c>
      <c r="H54" s="413" t="str">
        <f>IF(ISBLANK(TInspectieW[[#This Row],[Soort gebrek]]),"",VLOOKUP(TInspectieW[[#This Row],[Soort gebrek]],TSoortGebrek[#Data],2,FALSE))</f>
        <v>Geen gebrek</v>
      </c>
      <c r="I54" s="413" t="str">
        <f>IF(TInspectieW[[#This Row],[Soort gebrek]]=0,"",VLOOKUP(TInspectieW[[#This Row],[Soort gebrek]],TSoortGebrek[],4,FALSE))</f>
        <v>Eind</v>
      </c>
      <c r="J54" s="841">
        <v>1</v>
      </c>
      <c r="K54" s="415">
        <f>IF(TInspectieW[[#This Row],[Soort gebrek]]=0,"",VLOOKUP(TInspectieW[[#This Row],[Combi]],TPrio[#Data],2,FALSE))</f>
        <v>0</v>
      </c>
      <c r="L54" s="843">
        <v>2</v>
      </c>
      <c r="M54" s="416" t="str">
        <f>IF(ISBLANK(TInspectieW[[#This Row],[Gebrek nr.]]),"",TInspectieW[[#This Row],[UVID]]&amp;"-"&amp;TInspectieW[[#This Row],[Gebrek nr.]])</f>
        <v>579040-1-2</v>
      </c>
      <c r="N54" s="417"/>
      <c r="O54" s="866" t="s">
        <v>1659</v>
      </c>
      <c r="P54" s="828">
        <v>106</v>
      </c>
      <c r="Q54" s="819" t="s">
        <v>836</v>
      </c>
      <c r="R54" s="828" t="s">
        <v>628</v>
      </c>
      <c r="S54" s="828" t="s">
        <v>85</v>
      </c>
      <c r="T54" s="828" t="s">
        <v>1539</v>
      </c>
      <c r="U54" s="828" t="s">
        <v>628</v>
      </c>
      <c r="V54" s="828" t="s">
        <v>1425</v>
      </c>
      <c r="W54" s="830" t="s">
        <v>358</v>
      </c>
      <c r="X54" s="845"/>
      <c r="Y54" s="846"/>
      <c r="Z54" s="421" t="str">
        <f>IF(ISBLANK(TInspectieW[[#This Row],[Aantal]]),"",ROUND(TInspectieW[[#This Row],[Kengetal]]*TInspectieW[[#This Row],[Aantal]],-1))</f>
        <v/>
      </c>
      <c r="AA54" s="422">
        <f>IF(TInspectieW[[#This Row],[Vak-groep]]="","1",VLOOKUP(C54,$J$2:$K$7,2,FALSE))</f>
        <v>3</v>
      </c>
      <c r="AB54" s="423" t="str">
        <f>CONCATENATE(TInspectieW[[#This Row],[Soort gebrek]],TInspectieW[[#This Row],[Trede]])</f>
        <v>GG3</v>
      </c>
      <c r="AC54" s="413" t="e">
        <v>#N/A</v>
      </c>
      <c r="AD54" s="413" t="e">
        <v>#N/A</v>
      </c>
      <c r="AE54" s="424">
        <v>0</v>
      </c>
    </row>
    <row r="55" spans="1:31" ht="10.5" x14ac:dyDescent="0.25">
      <c r="A55" s="337"/>
      <c r="B55" s="410" t="str">
        <f>IF(TInspectieW[[#This Row],[UVID]]="","",VLOOKUP(TInspectieW[[#This Row],[UVID]],TInventW[],2,FALSE))</f>
        <v/>
      </c>
      <c r="C55" s="365" t="str">
        <f>IF(TInspectieW[[#This Row],[UVID]]="","",VLOOKUP(TInspectieW[[#This Row],[UVID]],TInventW[],11,FALSE))</f>
        <v/>
      </c>
      <c r="D55" s="411" t="str">
        <f>IF(TInspectieW[[#This Row],[UVID]]="","",VLOOKUP(TInspectieW[[#This Row],[UVID]],TInventW[],3,FALSE))</f>
        <v/>
      </c>
      <c r="E55" s="338"/>
      <c r="F55" s="412"/>
      <c r="G55" s="413" t="str">
        <f>IF(ISBLANK(TInspectieW[[#This Row],[Soort gebrek]]),"",VLOOKUP(TInspectieW[[#This Row],[Soort gebrek]],TSoortGebrek[#Data],3,FALSE))</f>
        <v/>
      </c>
      <c r="H55" s="413" t="str">
        <f>IF(ISBLANK(TInspectieW[[#This Row],[Soort gebrek]]),"",VLOOKUP(TInspectieW[[#This Row],[Soort gebrek]],TSoortGebrek[#Data],2,FALSE))</f>
        <v/>
      </c>
      <c r="I55" s="413" t="str">
        <f>IF(TInspectieW[[#This Row],[Soort gebrek]]=0,"",VLOOKUP(TInspectieW[[#This Row],[Soort gebrek]],TSoortGebrek[],4,FALSE))</f>
        <v/>
      </c>
      <c r="J55" s="425"/>
      <c r="K55" s="415" t="str">
        <f>IF(TInspectieW[[#This Row],[Soort gebrek]]=0,"",VLOOKUP(TInspectieW[[#This Row],[Combi]],TPrio[#Data],2,FALSE))</f>
        <v/>
      </c>
      <c r="L55" s="339"/>
      <c r="M55" s="416" t="str">
        <f>IF(ISBLANK(TInspectieW[[#This Row],[Gebrek nr.]]),"",TInspectieW[[#This Row],[UVID]]&amp;"-"&amp;TInspectieW[[#This Row],[Gebrek nr.]])</f>
        <v/>
      </c>
      <c r="N55" s="417"/>
      <c r="O55" s="418"/>
      <c r="P55" s="206"/>
      <c r="Q55" s="193"/>
      <c r="R55" s="206"/>
      <c r="S55" s="206"/>
      <c r="T55" s="206"/>
      <c r="U55" s="206"/>
      <c r="V55" s="206"/>
      <c r="W55" s="419"/>
      <c r="X55" s="340">
        <f>[1]Inventarisatie!U56</f>
        <v>0</v>
      </c>
      <c r="Y55" s="420"/>
      <c r="Z55" s="421" t="str">
        <f>IF(ISBLANK(TInspectieW[[#This Row],[Aantal]]),"",ROUND(TInspectieW[[#This Row],[Kengetal]]*TInspectieW[[#This Row],[Aantal]],-1))</f>
        <v/>
      </c>
      <c r="AA55" s="422" t="str">
        <f>IF(TInspectieW[[#This Row],[Vak-groep]]="","1",VLOOKUP(C55,$J$2:$K$7,2,FALSE))</f>
        <v>1</v>
      </c>
      <c r="AB55" s="423" t="str">
        <f>CONCATENATE(TInspectieW[[#This Row],[Soort gebrek]],TInspectieW[[#This Row],[Trede]])</f>
        <v>1</v>
      </c>
      <c r="AC55" s="413" t="e">
        <v>#N/A</v>
      </c>
      <c r="AD55" s="413" t="e">
        <v>#N/A</v>
      </c>
      <c r="AE55" s="424">
        <v>0</v>
      </c>
    </row>
    <row r="56" spans="1:31" ht="10.5" x14ac:dyDescent="0.25">
      <c r="A56" s="337"/>
      <c r="B56" s="410" t="str">
        <f>IF(TInspectieW[[#This Row],[UVID]]="","",VLOOKUP(TInspectieW[[#This Row],[UVID]],TInventW[],2,FALSE))</f>
        <v/>
      </c>
      <c r="C56" s="365" t="str">
        <f>IF(TInspectieW[[#This Row],[UVID]]="","",VLOOKUP(TInspectieW[[#This Row],[UVID]],TInventW[],11,FALSE))</f>
        <v/>
      </c>
      <c r="D56" s="411" t="str">
        <f>IF(TInspectieW[[#This Row],[UVID]]="","",VLOOKUP(TInspectieW[[#This Row],[UVID]],TInventW[],3,FALSE))</f>
        <v/>
      </c>
      <c r="E56" s="338"/>
      <c r="F56" s="412"/>
      <c r="G56" s="413" t="str">
        <f>IF(ISBLANK(TInspectieW[[#This Row],[Soort gebrek]]),"",VLOOKUP(TInspectieW[[#This Row],[Soort gebrek]],TSoortGebrek[#Data],3,FALSE))</f>
        <v/>
      </c>
      <c r="H56" s="413" t="str">
        <f>IF(ISBLANK(TInspectieW[[#This Row],[Soort gebrek]]),"",VLOOKUP(TInspectieW[[#This Row],[Soort gebrek]],TSoortGebrek[#Data],2,FALSE))</f>
        <v/>
      </c>
      <c r="I56" s="413" t="str">
        <f>IF(TInspectieW[[#This Row],[Soort gebrek]]=0,"",VLOOKUP(TInspectieW[[#This Row],[Soort gebrek]],TSoortGebrek[],4,FALSE))</f>
        <v/>
      </c>
      <c r="J56" s="425"/>
      <c r="K56" s="415" t="str">
        <f>IF(TInspectieW[[#This Row],[Soort gebrek]]=0,"",VLOOKUP(TInspectieW[[#This Row],[Combi]],TPrio[#Data],2,FALSE))</f>
        <v/>
      </c>
      <c r="L56" s="339"/>
      <c r="M56" s="416" t="str">
        <f>IF(ISBLANK(TInspectieW[[#This Row],[Gebrek nr.]]),"",TInspectieW[[#This Row],[UVID]]&amp;"-"&amp;TInspectieW[[#This Row],[Gebrek nr.]])</f>
        <v/>
      </c>
      <c r="N56" s="417"/>
      <c r="O56" s="418"/>
      <c r="P56" s="206"/>
      <c r="Q56" s="193"/>
      <c r="R56" s="206"/>
      <c r="S56" s="206"/>
      <c r="T56" s="206"/>
      <c r="U56" s="206"/>
      <c r="V56" s="206"/>
      <c r="W56" s="419"/>
      <c r="X56" s="340">
        <f>[1]Inventarisatie!U57</f>
        <v>0</v>
      </c>
      <c r="Y56" s="420"/>
      <c r="Z56" s="421" t="str">
        <f>IF(ISBLANK(TInspectieW[[#This Row],[Aantal]]),"",ROUND(TInspectieW[[#This Row],[Kengetal]]*TInspectieW[[#This Row],[Aantal]],-1))</f>
        <v/>
      </c>
      <c r="AA56" s="422" t="str">
        <f>IF(TInspectieW[[#This Row],[Vak-groep]]="","1",VLOOKUP(C56,$J$2:$K$7,2,FALSE))</f>
        <v>1</v>
      </c>
      <c r="AB56" s="423" t="str">
        <f>CONCATENATE(TInspectieW[[#This Row],[Soort gebrek]],TInspectieW[[#This Row],[Trede]])</f>
        <v>1</v>
      </c>
      <c r="AC56" s="413" t="e">
        <v>#N/A</v>
      </c>
      <c r="AD56" s="413" t="e">
        <v>#N/A</v>
      </c>
      <c r="AE56" s="424">
        <v>0</v>
      </c>
    </row>
    <row r="57" spans="1:31" ht="10.5" x14ac:dyDescent="0.25">
      <c r="A57" s="337"/>
      <c r="B57" s="410" t="str">
        <f>IF(TInspectieW[[#This Row],[UVID]]="","",VLOOKUP(TInspectieW[[#This Row],[UVID]],TInventW[],2,FALSE))</f>
        <v/>
      </c>
      <c r="C57" s="365" t="str">
        <f>IF(TInspectieW[[#This Row],[UVID]]="","",VLOOKUP(TInspectieW[[#This Row],[UVID]],TInventW[],11,FALSE))</f>
        <v/>
      </c>
      <c r="D57" s="411" t="str">
        <f>IF(TInspectieW[[#This Row],[UVID]]="","",VLOOKUP(TInspectieW[[#This Row],[UVID]],TInventW[],3,FALSE))</f>
        <v/>
      </c>
      <c r="E57" s="338"/>
      <c r="F57" s="412"/>
      <c r="G57" s="413" t="str">
        <f>IF(ISBLANK(TInspectieW[[#This Row],[Soort gebrek]]),"",VLOOKUP(TInspectieW[[#This Row],[Soort gebrek]],TSoortGebrek[#Data],3,FALSE))</f>
        <v/>
      </c>
      <c r="H57" s="413" t="str">
        <f>IF(ISBLANK(TInspectieW[[#This Row],[Soort gebrek]]),"",VLOOKUP(TInspectieW[[#This Row],[Soort gebrek]],TSoortGebrek[#Data],2,FALSE))</f>
        <v/>
      </c>
      <c r="I57" s="413" t="str">
        <f>IF(TInspectieW[[#This Row],[Soort gebrek]]=0,"",VLOOKUP(TInspectieW[[#This Row],[Soort gebrek]],TSoortGebrek[],4,FALSE))</f>
        <v/>
      </c>
      <c r="J57" s="425"/>
      <c r="K57" s="415" t="str">
        <f>IF(TInspectieW[[#This Row],[Soort gebrek]]=0,"",VLOOKUP(TInspectieW[[#This Row],[Combi]],TPrio[#Data],2,FALSE))</f>
        <v/>
      </c>
      <c r="L57" s="339"/>
      <c r="M57" s="416" t="str">
        <f>IF(ISBLANK(TInspectieW[[#This Row],[Gebrek nr.]]),"",TInspectieW[[#This Row],[UVID]]&amp;"-"&amp;TInspectieW[[#This Row],[Gebrek nr.]])</f>
        <v/>
      </c>
      <c r="N57" s="417"/>
      <c r="O57" s="418"/>
      <c r="P57" s="206"/>
      <c r="Q57" s="193"/>
      <c r="R57" s="206"/>
      <c r="S57" s="206"/>
      <c r="T57" s="206"/>
      <c r="U57" s="206"/>
      <c r="V57" s="206"/>
      <c r="W57" s="419"/>
      <c r="X57" s="340">
        <f>[1]Inventarisatie!U58</f>
        <v>0</v>
      </c>
      <c r="Y57" s="420"/>
      <c r="Z57" s="421" t="str">
        <f>IF(ISBLANK(TInspectieW[[#This Row],[Aantal]]),"",ROUND(TInspectieW[[#This Row],[Kengetal]]*TInspectieW[[#This Row],[Aantal]],-1))</f>
        <v/>
      </c>
      <c r="AA57" s="422" t="str">
        <f>IF(TInspectieW[[#This Row],[Vak-groep]]="","1",VLOOKUP(C57,$J$2:$K$7,2,FALSE))</f>
        <v>1</v>
      </c>
      <c r="AB57" s="423" t="str">
        <f>CONCATENATE(TInspectieW[[#This Row],[Soort gebrek]],TInspectieW[[#This Row],[Trede]])</f>
        <v>1</v>
      </c>
      <c r="AC57" s="413" t="e">
        <v>#N/A</v>
      </c>
      <c r="AD57" s="413" t="e">
        <v>#N/A</v>
      </c>
      <c r="AE57" s="424">
        <v>0</v>
      </c>
    </row>
    <row r="58" spans="1:31" ht="10.5" x14ac:dyDescent="0.25">
      <c r="A58" s="337"/>
      <c r="B58" s="410" t="str">
        <f>IF(TInspectieW[[#This Row],[UVID]]="","",VLOOKUP(TInspectieW[[#This Row],[UVID]],TInventW[],2,FALSE))</f>
        <v/>
      </c>
      <c r="C58" s="365" t="str">
        <f>IF(TInspectieW[[#This Row],[UVID]]="","",VLOOKUP(TInspectieW[[#This Row],[UVID]],TInventW[],11,FALSE))</f>
        <v/>
      </c>
      <c r="D58" s="411" t="str">
        <f>IF(TInspectieW[[#This Row],[UVID]]="","",VLOOKUP(TInspectieW[[#This Row],[UVID]],TInventW[],3,FALSE))</f>
        <v/>
      </c>
      <c r="E58" s="338"/>
      <c r="F58" s="412"/>
      <c r="G58" s="413" t="str">
        <f>IF(ISBLANK(TInspectieW[[#This Row],[Soort gebrek]]),"",VLOOKUP(TInspectieW[[#This Row],[Soort gebrek]],TSoortGebrek[#Data],3,FALSE))</f>
        <v/>
      </c>
      <c r="H58" s="413" t="str">
        <f>IF(ISBLANK(TInspectieW[[#This Row],[Soort gebrek]]),"",VLOOKUP(TInspectieW[[#This Row],[Soort gebrek]],TSoortGebrek[#Data],2,FALSE))</f>
        <v/>
      </c>
      <c r="I58" s="413" t="str">
        <f>IF(TInspectieW[[#This Row],[Soort gebrek]]=0,"",VLOOKUP(TInspectieW[[#This Row],[Soort gebrek]],TSoortGebrek[],4,FALSE))</f>
        <v/>
      </c>
      <c r="J58" s="425"/>
      <c r="K58" s="415" t="str">
        <f>IF(TInspectieW[[#This Row],[Soort gebrek]]=0,"",VLOOKUP(TInspectieW[[#This Row],[Combi]],TPrio[#Data],2,FALSE))</f>
        <v/>
      </c>
      <c r="L58" s="339"/>
      <c r="M58" s="416" t="str">
        <f>IF(ISBLANK(TInspectieW[[#This Row],[Gebrek nr.]]),"",TInspectieW[[#This Row],[UVID]]&amp;"-"&amp;TInspectieW[[#This Row],[Gebrek nr.]])</f>
        <v/>
      </c>
      <c r="N58" s="417"/>
      <c r="O58" s="418"/>
      <c r="P58" s="206"/>
      <c r="Q58" s="193"/>
      <c r="R58" s="206"/>
      <c r="S58" s="206"/>
      <c r="T58" s="206"/>
      <c r="U58" s="206"/>
      <c r="V58" s="206"/>
      <c r="W58" s="419"/>
      <c r="X58" s="340">
        <f>[1]Inventarisatie!U59</f>
        <v>0</v>
      </c>
      <c r="Y58" s="420"/>
      <c r="Z58" s="421" t="str">
        <f>IF(ISBLANK(TInspectieW[[#This Row],[Aantal]]),"",ROUND(TInspectieW[[#This Row],[Kengetal]]*TInspectieW[[#This Row],[Aantal]],-1))</f>
        <v/>
      </c>
      <c r="AA58" s="422" t="str">
        <f>IF(TInspectieW[[#This Row],[Vak-groep]]="","1",VLOOKUP(C58,$J$2:$K$7,2,FALSE))</f>
        <v>1</v>
      </c>
      <c r="AB58" s="423" t="str">
        <f>CONCATENATE(TInspectieW[[#This Row],[Soort gebrek]],TInspectieW[[#This Row],[Trede]])</f>
        <v>1</v>
      </c>
      <c r="AC58" s="413" t="e">
        <v>#N/A</v>
      </c>
      <c r="AD58" s="413" t="e">
        <v>#N/A</v>
      </c>
      <c r="AE58" s="424">
        <v>0</v>
      </c>
    </row>
    <row r="59" spans="1:31" ht="10.5" x14ac:dyDescent="0.25">
      <c r="A59" s="337"/>
      <c r="B59" s="410" t="str">
        <f>IF(TInspectieW[[#This Row],[UVID]]="","",VLOOKUP(TInspectieW[[#This Row],[UVID]],TInventW[],2,FALSE))</f>
        <v/>
      </c>
      <c r="C59" s="365" t="str">
        <f>IF(TInspectieW[[#This Row],[UVID]]="","",VLOOKUP(TInspectieW[[#This Row],[UVID]],TInventW[],11,FALSE))</f>
        <v/>
      </c>
      <c r="D59" s="411" t="str">
        <f>IF(TInspectieW[[#This Row],[UVID]]="","",VLOOKUP(TInspectieW[[#This Row],[UVID]],TInventW[],3,FALSE))</f>
        <v/>
      </c>
      <c r="E59" s="338"/>
      <c r="F59" s="412"/>
      <c r="G59" s="413" t="str">
        <f>IF(ISBLANK(TInspectieW[[#This Row],[Soort gebrek]]),"",VLOOKUP(TInspectieW[[#This Row],[Soort gebrek]],TSoortGebrek[#Data],3,FALSE))</f>
        <v/>
      </c>
      <c r="H59" s="413" t="str">
        <f>IF(ISBLANK(TInspectieW[[#This Row],[Soort gebrek]]),"",VLOOKUP(TInspectieW[[#This Row],[Soort gebrek]],TSoortGebrek[#Data],2,FALSE))</f>
        <v/>
      </c>
      <c r="I59" s="413" t="str">
        <f>IF(TInspectieW[[#This Row],[Soort gebrek]]=0,"",VLOOKUP(TInspectieW[[#This Row],[Soort gebrek]],TSoortGebrek[],4,FALSE))</f>
        <v/>
      </c>
      <c r="J59" s="425"/>
      <c r="K59" s="415" t="str">
        <f>IF(TInspectieW[[#This Row],[Soort gebrek]]=0,"",VLOOKUP(TInspectieW[[#This Row],[Combi]],TPrio[#Data],2,FALSE))</f>
        <v/>
      </c>
      <c r="L59" s="339"/>
      <c r="M59" s="416" t="str">
        <f>IF(ISBLANK(TInspectieW[[#This Row],[Gebrek nr.]]),"",TInspectieW[[#This Row],[UVID]]&amp;"-"&amp;TInspectieW[[#This Row],[Gebrek nr.]])</f>
        <v/>
      </c>
      <c r="N59" s="417"/>
      <c r="O59" s="418"/>
      <c r="P59" s="206"/>
      <c r="Q59" s="193"/>
      <c r="R59" s="206"/>
      <c r="S59" s="206"/>
      <c r="T59" s="206"/>
      <c r="U59" s="206"/>
      <c r="V59" s="206"/>
      <c r="W59" s="419"/>
      <c r="X59" s="340">
        <f>[1]Inventarisatie!U60</f>
        <v>0</v>
      </c>
      <c r="Y59" s="420"/>
      <c r="Z59" s="421" t="str">
        <f>IF(ISBLANK(TInspectieW[[#This Row],[Aantal]]),"",ROUND(TInspectieW[[#This Row],[Kengetal]]*TInspectieW[[#This Row],[Aantal]],-1))</f>
        <v/>
      </c>
      <c r="AA59" s="422" t="str">
        <f>IF(TInspectieW[[#This Row],[Vak-groep]]="","1",VLOOKUP(C59,$J$2:$K$7,2,FALSE))</f>
        <v>1</v>
      </c>
      <c r="AB59" s="423" t="str">
        <f>CONCATENATE(TInspectieW[[#This Row],[Soort gebrek]],TInspectieW[[#This Row],[Trede]])</f>
        <v>1</v>
      </c>
      <c r="AC59" s="413" t="e">
        <v>#N/A</v>
      </c>
      <c r="AD59" s="413" t="e">
        <v>#N/A</v>
      </c>
      <c r="AE59" s="424">
        <v>0</v>
      </c>
    </row>
    <row r="60" spans="1:31" ht="10.5" x14ac:dyDescent="0.25">
      <c r="A60" s="337"/>
      <c r="B60" s="410" t="str">
        <f>IF(TInspectieW[[#This Row],[UVID]]="","",VLOOKUP(TInspectieW[[#This Row],[UVID]],TInventW[],2,FALSE))</f>
        <v/>
      </c>
      <c r="C60" s="365" t="str">
        <f>IF(TInspectieW[[#This Row],[UVID]]="","",VLOOKUP(TInspectieW[[#This Row],[UVID]],TInventW[],11,FALSE))</f>
        <v/>
      </c>
      <c r="D60" s="411" t="str">
        <f>IF(TInspectieW[[#This Row],[UVID]]="","",VLOOKUP(TInspectieW[[#This Row],[UVID]],TInventW[],3,FALSE))</f>
        <v/>
      </c>
      <c r="E60" s="338"/>
      <c r="F60" s="412"/>
      <c r="G60" s="413" t="str">
        <f>IF(ISBLANK(TInspectieW[[#This Row],[Soort gebrek]]),"",VLOOKUP(TInspectieW[[#This Row],[Soort gebrek]],TSoortGebrek[#Data],3,FALSE))</f>
        <v/>
      </c>
      <c r="H60" s="413" t="str">
        <f>IF(ISBLANK(TInspectieW[[#This Row],[Soort gebrek]]),"",VLOOKUP(TInspectieW[[#This Row],[Soort gebrek]],TSoortGebrek[#Data],2,FALSE))</f>
        <v/>
      </c>
      <c r="I60" s="413" t="str">
        <f>IF(TInspectieW[[#This Row],[Soort gebrek]]=0,"",VLOOKUP(TInspectieW[[#This Row],[Soort gebrek]],TSoortGebrek[],4,FALSE))</f>
        <v/>
      </c>
      <c r="J60" s="425"/>
      <c r="K60" s="415" t="str">
        <f>IF(TInspectieW[[#This Row],[Soort gebrek]]=0,"",VLOOKUP(TInspectieW[[#This Row],[Combi]],TPrio[#Data],2,FALSE))</f>
        <v/>
      </c>
      <c r="L60" s="339"/>
      <c r="M60" s="416" t="str">
        <f>IF(ISBLANK(TInspectieW[[#This Row],[Gebrek nr.]]),"",TInspectieW[[#This Row],[UVID]]&amp;"-"&amp;TInspectieW[[#This Row],[Gebrek nr.]])</f>
        <v/>
      </c>
      <c r="N60" s="417"/>
      <c r="O60" s="418"/>
      <c r="P60" s="206"/>
      <c r="Q60" s="193"/>
      <c r="R60" s="206"/>
      <c r="S60" s="206"/>
      <c r="T60" s="206"/>
      <c r="U60" s="206"/>
      <c r="V60" s="206"/>
      <c r="W60" s="419"/>
      <c r="X60" s="340">
        <f>[1]Inventarisatie!U61</f>
        <v>0</v>
      </c>
      <c r="Y60" s="420"/>
      <c r="Z60" s="421" t="str">
        <f>IF(ISBLANK(TInspectieW[[#This Row],[Aantal]]),"",ROUND(TInspectieW[[#This Row],[Kengetal]]*TInspectieW[[#This Row],[Aantal]],-1))</f>
        <v/>
      </c>
      <c r="AA60" s="422" t="str">
        <f>IF(TInspectieW[[#This Row],[Vak-groep]]="","1",VLOOKUP(C60,$J$2:$K$7,2,FALSE))</f>
        <v>1</v>
      </c>
      <c r="AB60" s="423" t="str">
        <f>CONCATENATE(TInspectieW[[#This Row],[Soort gebrek]],TInspectieW[[#This Row],[Trede]])</f>
        <v>1</v>
      </c>
      <c r="AC60" s="413" t="e">
        <v>#N/A</v>
      </c>
      <c r="AD60" s="413" t="e">
        <v>#N/A</v>
      </c>
      <c r="AE60" s="424">
        <v>0</v>
      </c>
    </row>
    <row r="61" spans="1:31" ht="10.5" x14ac:dyDescent="0.25">
      <c r="A61" s="337"/>
      <c r="B61" s="410" t="str">
        <f>IF(TInspectieW[[#This Row],[UVID]]="","",VLOOKUP(TInspectieW[[#This Row],[UVID]],TInventW[],2,FALSE))</f>
        <v/>
      </c>
      <c r="C61" s="365" t="str">
        <f>IF(TInspectieW[[#This Row],[UVID]]="","",VLOOKUP(TInspectieW[[#This Row],[UVID]],TInventW[],11,FALSE))</f>
        <v/>
      </c>
      <c r="D61" s="411" t="str">
        <f>IF(TInspectieW[[#This Row],[UVID]]="","",VLOOKUP(TInspectieW[[#This Row],[UVID]],TInventW[],3,FALSE))</f>
        <v/>
      </c>
      <c r="E61" s="338"/>
      <c r="F61" s="412"/>
      <c r="G61" s="413" t="str">
        <f>IF(ISBLANK(TInspectieW[[#This Row],[Soort gebrek]]),"",VLOOKUP(TInspectieW[[#This Row],[Soort gebrek]],TSoortGebrek[#Data],3,FALSE))</f>
        <v/>
      </c>
      <c r="H61" s="413" t="str">
        <f>IF(ISBLANK(TInspectieW[[#This Row],[Soort gebrek]]),"",VLOOKUP(TInspectieW[[#This Row],[Soort gebrek]],TSoortGebrek[#Data],2,FALSE))</f>
        <v/>
      </c>
      <c r="I61" s="413" t="str">
        <f>IF(TInspectieW[[#This Row],[Soort gebrek]]=0,"",VLOOKUP(TInspectieW[[#This Row],[Soort gebrek]],TSoortGebrek[],4,FALSE))</f>
        <v/>
      </c>
      <c r="J61" s="425"/>
      <c r="K61" s="415" t="str">
        <f>IF(TInspectieW[[#This Row],[Soort gebrek]]=0,"",VLOOKUP(TInspectieW[[#This Row],[Combi]],TPrio[#Data],2,FALSE))</f>
        <v/>
      </c>
      <c r="L61" s="339"/>
      <c r="M61" s="416" t="str">
        <f>IF(ISBLANK(TInspectieW[[#This Row],[Gebrek nr.]]),"",TInspectieW[[#This Row],[UVID]]&amp;"-"&amp;TInspectieW[[#This Row],[Gebrek nr.]])</f>
        <v/>
      </c>
      <c r="N61" s="417"/>
      <c r="O61" s="418"/>
      <c r="P61" s="630"/>
      <c r="Q61" s="193"/>
      <c r="R61" s="206"/>
      <c r="S61" s="206"/>
      <c r="T61" s="206"/>
      <c r="U61" s="206"/>
      <c r="V61" s="206"/>
      <c r="W61" s="419"/>
      <c r="X61" s="340">
        <f>[1]Inventarisatie!U62</f>
        <v>0</v>
      </c>
      <c r="Y61" s="420"/>
      <c r="Z61" s="421" t="str">
        <f>IF(ISBLANK(TInspectieW[[#This Row],[Aantal]]),"",ROUND(TInspectieW[[#This Row],[Kengetal]]*TInspectieW[[#This Row],[Aantal]],-1))</f>
        <v/>
      </c>
      <c r="AA61" s="422" t="str">
        <f>IF(TInspectieW[[#This Row],[Vak-groep]]="","1",VLOOKUP(C61,$J$2:$K$7,2,FALSE))</f>
        <v>1</v>
      </c>
      <c r="AB61" s="423" t="str">
        <f>CONCATENATE(TInspectieW[[#This Row],[Soort gebrek]],TInspectieW[[#This Row],[Trede]])</f>
        <v>1</v>
      </c>
      <c r="AC61" s="413" t="e">
        <v>#N/A</v>
      </c>
      <c r="AD61" s="413" t="e">
        <v>#N/A</v>
      </c>
      <c r="AE61" s="424">
        <v>0</v>
      </c>
    </row>
    <row r="62" spans="1:31" ht="10.5" x14ac:dyDescent="0.25">
      <c r="A62" s="337"/>
      <c r="B62" s="410" t="str">
        <f>IF(TInspectieW[[#This Row],[UVID]]="","",VLOOKUP(TInspectieW[[#This Row],[UVID]],TInventW[],2,FALSE))</f>
        <v/>
      </c>
      <c r="C62" s="365" t="str">
        <f>IF(TInspectieW[[#This Row],[UVID]]="","",VLOOKUP(TInspectieW[[#This Row],[UVID]],TInventW[],11,FALSE))</f>
        <v/>
      </c>
      <c r="D62" s="411" t="str">
        <f>IF(TInspectieW[[#This Row],[UVID]]="","",VLOOKUP(TInspectieW[[#This Row],[UVID]],TInventW[],3,FALSE))</f>
        <v/>
      </c>
      <c r="E62" s="338"/>
      <c r="F62" s="412"/>
      <c r="G62" s="413" t="str">
        <f>IF(ISBLANK(TInspectieW[[#This Row],[Soort gebrek]]),"",VLOOKUP(TInspectieW[[#This Row],[Soort gebrek]],TSoortGebrek[#Data],3,FALSE))</f>
        <v/>
      </c>
      <c r="H62" s="413" t="str">
        <f>IF(ISBLANK(TInspectieW[[#This Row],[Soort gebrek]]),"",VLOOKUP(TInspectieW[[#This Row],[Soort gebrek]],TSoortGebrek[#Data],2,FALSE))</f>
        <v/>
      </c>
      <c r="I62" s="413" t="str">
        <f>IF(TInspectieW[[#This Row],[Soort gebrek]]=0,"",VLOOKUP(TInspectieW[[#This Row],[Soort gebrek]],TSoortGebrek[],4,FALSE))</f>
        <v/>
      </c>
      <c r="J62" s="425"/>
      <c r="K62" s="415" t="str">
        <f>IF(TInspectieW[[#This Row],[Soort gebrek]]=0,"",VLOOKUP(TInspectieW[[#This Row],[Combi]],TPrio[#Data],2,FALSE))</f>
        <v/>
      </c>
      <c r="L62" s="339"/>
      <c r="M62" s="416" t="str">
        <f>IF(ISBLANK(TInspectieW[[#This Row],[Gebrek nr.]]),"",TInspectieW[[#This Row],[UVID]]&amp;"-"&amp;TInspectieW[[#This Row],[Gebrek nr.]])</f>
        <v/>
      </c>
      <c r="N62" s="417"/>
      <c r="O62" s="418"/>
      <c r="P62" s="206"/>
      <c r="Q62" s="193"/>
      <c r="R62" s="206"/>
      <c r="S62" s="206"/>
      <c r="T62" s="206"/>
      <c r="U62" s="206"/>
      <c r="V62" s="206"/>
      <c r="W62" s="419"/>
      <c r="X62" s="340">
        <f>[1]Inventarisatie!U63</f>
        <v>0</v>
      </c>
      <c r="Y62" s="420"/>
      <c r="Z62" s="421" t="str">
        <f>IF(ISBLANK(TInspectieW[[#This Row],[Aantal]]),"",ROUND(TInspectieW[[#This Row],[Kengetal]]*TInspectieW[[#This Row],[Aantal]],-1))</f>
        <v/>
      </c>
      <c r="AA62" s="422" t="str">
        <f>IF(TInspectieW[[#This Row],[Vak-groep]]="","1",VLOOKUP(C62,$J$2:$K$7,2,FALSE))</f>
        <v>1</v>
      </c>
      <c r="AB62" s="423" t="str">
        <f>CONCATENATE(TInspectieW[[#This Row],[Soort gebrek]],TInspectieW[[#This Row],[Trede]])</f>
        <v>1</v>
      </c>
      <c r="AC62" s="413" t="e">
        <v>#N/A</v>
      </c>
      <c r="AD62" s="413" t="e">
        <v>#N/A</v>
      </c>
      <c r="AE62" s="424">
        <v>0</v>
      </c>
    </row>
    <row r="63" spans="1:31" ht="10.5" x14ac:dyDescent="0.25">
      <c r="A63" s="337"/>
      <c r="B63" s="410" t="str">
        <f>IF(TInspectieW[[#This Row],[UVID]]="","",VLOOKUP(TInspectieW[[#This Row],[UVID]],TInventW[],2,FALSE))</f>
        <v/>
      </c>
      <c r="C63" s="365" t="str">
        <f>IF(TInspectieW[[#This Row],[UVID]]="","",VLOOKUP(TInspectieW[[#This Row],[UVID]],TInventW[],11,FALSE))</f>
        <v/>
      </c>
      <c r="D63" s="411" t="str">
        <f>IF(TInspectieW[[#This Row],[UVID]]="","",VLOOKUP(TInspectieW[[#This Row],[UVID]],TInventW[],3,FALSE))</f>
        <v/>
      </c>
      <c r="E63" s="338"/>
      <c r="F63" s="412"/>
      <c r="G63" s="413" t="str">
        <f>IF(ISBLANK(TInspectieW[[#This Row],[Soort gebrek]]),"",VLOOKUP(TInspectieW[[#This Row],[Soort gebrek]],TSoortGebrek[#Data],3,FALSE))</f>
        <v/>
      </c>
      <c r="H63" s="413" t="str">
        <f>IF(ISBLANK(TInspectieW[[#This Row],[Soort gebrek]]),"",VLOOKUP(TInspectieW[[#This Row],[Soort gebrek]],TSoortGebrek[#Data],2,FALSE))</f>
        <v/>
      </c>
      <c r="I63" s="413" t="str">
        <f>IF(TInspectieW[[#This Row],[Soort gebrek]]=0,"",VLOOKUP(TInspectieW[[#This Row],[Soort gebrek]],TSoortGebrek[],4,FALSE))</f>
        <v/>
      </c>
      <c r="J63" s="425"/>
      <c r="K63" s="415" t="str">
        <f>IF(TInspectieW[[#This Row],[Soort gebrek]]=0,"",VLOOKUP(TInspectieW[[#This Row],[Combi]],TPrio[#Data],2,FALSE))</f>
        <v/>
      </c>
      <c r="L63" s="339"/>
      <c r="M63" s="416" t="str">
        <f>IF(ISBLANK(TInspectieW[[#This Row],[Gebrek nr.]]),"",TInspectieW[[#This Row],[UVID]]&amp;"-"&amp;TInspectieW[[#This Row],[Gebrek nr.]])</f>
        <v/>
      </c>
      <c r="N63" s="417"/>
      <c r="O63" s="418"/>
      <c r="P63" s="206"/>
      <c r="Q63" s="193"/>
      <c r="R63" s="206"/>
      <c r="S63" s="206"/>
      <c r="T63" s="206"/>
      <c r="U63" s="206"/>
      <c r="V63" s="206"/>
      <c r="W63" s="419"/>
      <c r="X63" s="340">
        <f>[1]Inventarisatie!U64</f>
        <v>0</v>
      </c>
      <c r="Y63" s="420"/>
      <c r="Z63" s="421" t="str">
        <f>IF(ISBLANK(TInspectieW[[#This Row],[Aantal]]),"",ROUND(TInspectieW[[#This Row],[Kengetal]]*TInspectieW[[#This Row],[Aantal]],-1))</f>
        <v/>
      </c>
      <c r="AA63" s="422" t="str">
        <f>IF(TInspectieW[[#This Row],[Vak-groep]]="","1",VLOOKUP(C63,$J$2:$K$7,2,FALSE))</f>
        <v>1</v>
      </c>
      <c r="AB63" s="423" t="str">
        <f>CONCATENATE(TInspectieW[[#This Row],[Soort gebrek]],TInspectieW[[#This Row],[Trede]])</f>
        <v>1</v>
      </c>
      <c r="AC63" s="413" t="e">
        <v>#N/A</v>
      </c>
      <c r="AD63" s="413" t="e">
        <v>#N/A</v>
      </c>
      <c r="AE63" s="424">
        <v>0</v>
      </c>
    </row>
    <row r="64" spans="1:31" ht="10.5" x14ac:dyDescent="0.25">
      <c r="A64" s="337"/>
      <c r="B64" s="410" t="str">
        <f>IF(TInspectieW[[#This Row],[UVID]]="","",VLOOKUP(TInspectieW[[#This Row],[UVID]],TInventW[],2,FALSE))</f>
        <v/>
      </c>
      <c r="C64" s="365" t="str">
        <f>IF(TInspectieW[[#This Row],[UVID]]="","",VLOOKUP(TInspectieW[[#This Row],[UVID]],TInventW[],11,FALSE))</f>
        <v/>
      </c>
      <c r="D64" s="411" t="str">
        <f>IF(TInspectieW[[#This Row],[UVID]]="","",VLOOKUP(TInspectieW[[#This Row],[UVID]],TInventW[],3,FALSE))</f>
        <v/>
      </c>
      <c r="E64" s="338"/>
      <c r="F64" s="412"/>
      <c r="G64" s="413" t="str">
        <f>IF(ISBLANK(TInspectieW[[#This Row],[Soort gebrek]]),"",VLOOKUP(TInspectieW[[#This Row],[Soort gebrek]],TSoortGebrek[#Data],3,FALSE))</f>
        <v/>
      </c>
      <c r="H64" s="413" t="str">
        <f>IF(ISBLANK(TInspectieW[[#This Row],[Soort gebrek]]),"",VLOOKUP(TInspectieW[[#This Row],[Soort gebrek]],TSoortGebrek[#Data],2,FALSE))</f>
        <v/>
      </c>
      <c r="I64" s="413" t="str">
        <f>IF(TInspectieW[[#This Row],[Soort gebrek]]=0,"",VLOOKUP(TInspectieW[[#This Row],[Soort gebrek]],TSoortGebrek[],4,FALSE))</f>
        <v/>
      </c>
      <c r="J64" s="425"/>
      <c r="K64" s="415" t="str">
        <f>IF(TInspectieW[[#This Row],[Soort gebrek]]=0,"",VLOOKUP(TInspectieW[[#This Row],[Combi]],TPrio[#Data],2,FALSE))</f>
        <v/>
      </c>
      <c r="L64" s="339"/>
      <c r="M64" s="416" t="str">
        <f>IF(ISBLANK(TInspectieW[[#This Row],[Gebrek nr.]]),"",TInspectieW[[#This Row],[UVID]]&amp;"-"&amp;TInspectieW[[#This Row],[Gebrek nr.]])</f>
        <v/>
      </c>
      <c r="N64" s="417"/>
      <c r="O64" s="418"/>
      <c r="P64" s="206"/>
      <c r="Q64" s="193"/>
      <c r="R64" s="206"/>
      <c r="S64" s="206"/>
      <c r="T64" s="206"/>
      <c r="U64" s="206"/>
      <c r="V64" s="206"/>
      <c r="W64" s="419"/>
      <c r="X64" s="340">
        <f>[1]Inventarisatie!U65</f>
        <v>0</v>
      </c>
      <c r="Y64" s="420"/>
      <c r="Z64" s="421" t="str">
        <f>IF(ISBLANK(TInspectieW[[#This Row],[Aantal]]),"",ROUND(TInspectieW[[#This Row],[Kengetal]]*TInspectieW[[#This Row],[Aantal]],-1))</f>
        <v/>
      </c>
      <c r="AA64" s="422" t="str">
        <f>IF(TInspectieW[[#This Row],[Vak-groep]]="","1",VLOOKUP(C64,$J$2:$K$7,2,FALSE))</f>
        <v>1</v>
      </c>
      <c r="AB64" s="423" t="str">
        <f>CONCATENATE(TInspectieW[[#This Row],[Soort gebrek]],TInspectieW[[#This Row],[Trede]])</f>
        <v>1</v>
      </c>
      <c r="AC64" s="413" t="e">
        <v>#N/A</v>
      </c>
      <c r="AD64" s="413" t="e">
        <v>#N/A</v>
      </c>
      <c r="AE64" s="424">
        <v>0</v>
      </c>
    </row>
    <row r="65" spans="1:31" ht="10.5" x14ac:dyDescent="0.25">
      <c r="A65" s="337"/>
      <c r="B65" s="410" t="str">
        <f>IF(TInspectieW[[#This Row],[UVID]]="","",VLOOKUP(TInspectieW[[#This Row],[UVID]],TInventW[],2,FALSE))</f>
        <v/>
      </c>
      <c r="C65" s="365" t="str">
        <f>IF(TInspectieW[[#This Row],[UVID]]="","",VLOOKUP(TInspectieW[[#This Row],[UVID]],TInventW[],11,FALSE))</f>
        <v/>
      </c>
      <c r="D65" s="411" t="str">
        <f>IF(TInspectieW[[#This Row],[UVID]]="","",VLOOKUP(TInspectieW[[#This Row],[UVID]],TInventW[],3,FALSE))</f>
        <v/>
      </c>
      <c r="E65" s="338"/>
      <c r="F65" s="412"/>
      <c r="G65" s="413" t="str">
        <f>IF(ISBLANK(TInspectieW[[#This Row],[Soort gebrek]]),"",VLOOKUP(TInspectieW[[#This Row],[Soort gebrek]],TSoortGebrek[#Data],3,FALSE))</f>
        <v/>
      </c>
      <c r="H65" s="413" t="str">
        <f>IF(ISBLANK(TInspectieW[[#This Row],[Soort gebrek]]),"",VLOOKUP(TInspectieW[[#This Row],[Soort gebrek]],TSoortGebrek[#Data],2,FALSE))</f>
        <v/>
      </c>
      <c r="I65" s="413" t="str">
        <f>IF(TInspectieW[[#This Row],[Soort gebrek]]=0,"",VLOOKUP(TInspectieW[[#This Row],[Soort gebrek]],TSoortGebrek[],4,FALSE))</f>
        <v/>
      </c>
      <c r="J65" s="425"/>
      <c r="K65" s="415" t="str">
        <f>IF(TInspectieW[[#This Row],[Soort gebrek]]=0,"",VLOOKUP(TInspectieW[[#This Row],[Combi]],TPrio[#Data],2,FALSE))</f>
        <v/>
      </c>
      <c r="L65" s="339"/>
      <c r="M65" s="416" t="str">
        <f>IF(ISBLANK(TInspectieW[[#This Row],[Gebrek nr.]]),"",TInspectieW[[#This Row],[UVID]]&amp;"-"&amp;TInspectieW[[#This Row],[Gebrek nr.]])</f>
        <v/>
      </c>
      <c r="N65" s="417"/>
      <c r="O65" s="418"/>
      <c r="P65" s="206"/>
      <c r="Q65" s="193"/>
      <c r="R65" s="206"/>
      <c r="S65" s="206"/>
      <c r="T65" s="206"/>
      <c r="U65" s="206"/>
      <c r="V65" s="206"/>
      <c r="W65" s="419"/>
      <c r="X65" s="340">
        <f>[1]Inventarisatie!U66</f>
        <v>0</v>
      </c>
      <c r="Y65" s="420"/>
      <c r="Z65" s="421" t="str">
        <f>IF(ISBLANK(TInspectieW[[#This Row],[Aantal]]),"",ROUND(TInspectieW[[#This Row],[Kengetal]]*TInspectieW[[#This Row],[Aantal]],-1))</f>
        <v/>
      </c>
      <c r="AA65" s="422" t="str">
        <f>IF(TInspectieW[[#This Row],[Vak-groep]]="","1",VLOOKUP(C65,$J$2:$K$7,2,FALSE))</f>
        <v>1</v>
      </c>
      <c r="AB65" s="423" t="str">
        <f>CONCATENATE(TInspectieW[[#This Row],[Soort gebrek]],TInspectieW[[#This Row],[Trede]])</f>
        <v>1</v>
      </c>
      <c r="AC65" s="413" t="e">
        <v>#N/A</v>
      </c>
      <c r="AD65" s="413" t="e">
        <v>#N/A</v>
      </c>
      <c r="AE65" s="424">
        <v>0</v>
      </c>
    </row>
    <row r="66" spans="1:31" ht="10.5" x14ac:dyDescent="0.25">
      <c r="A66" s="337"/>
      <c r="B66" s="410" t="str">
        <f>IF(TInspectieW[[#This Row],[UVID]]="","",VLOOKUP(TInspectieW[[#This Row],[UVID]],TInventW[],2,FALSE))</f>
        <v/>
      </c>
      <c r="C66" s="365" t="str">
        <f>IF(TInspectieW[[#This Row],[UVID]]="","",VLOOKUP(TInspectieW[[#This Row],[UVID]],TInventW[],11,FALSE))</f>
        <v/>
      </c>
      <c r="D66" s="411" t="str">
        <f>IF(TInspectieW[[#This Row],[UVID]]="","",VLOOKUP(TInspectieW[[#This Row],[UVID]],TInventW[],3,FALSE))</f>
        <v/>
      </c>
      <c r="E66" s="338"/>
      <c r="F66" s="412"/>
      <c r="G66" s="413" t="str">
        <f>IF(ISBLANK(TInspectieW[[#This Row],[Soort gebrek]]),"",VLOOKUP(TInspectieW[[#This Row],[Soort gebrek]],TSoortGebrek[#Data],3,FALSE))</f>
        <v/>
      </c>
      <c r="H66" s="413" t="str">
        <f>IF(ISBLANK(TInspectieW[[#This Row],[Soort gebrek]]),"",VLOOKUP(TInspectieW[[#This Row],[Soort gebrek]],TSoortGebrek[#Data],2,FALSE))</f>
        <v/>
      </c>
      <c r="I66" s="413" t="str">
        <f>IF(TInspectieW[[#This Row],[Soort gebrek]]=0,"",VLOOKUP(TInspectieW[[#This Row],[Soort gebrek]],TSoortGebrek[],4,FALSE))</f>
        <v/>
      </c>
      <c r="J66" s="425"/>
      <c r="K66" s="415" t="str">
        <f>IF(TInspectieW[[#This Row],[Soort gebrek]]=0,"",VLOOKUP(TInspectieW[[#This Row],[Combi]],TPrio[#Data],2,FALSE))</f>
        <v/>
      </c>
      <c r="L66" s="339"/>
      <c r="M66" s="416" t="str">
        <f>IF(ISBLANK(TInspectieW[[#This Row],[Gebrek nr.]]),"",TInspectieW[[#This Row],[UVID]]&amp;"-"&amp;TInspectieW[[#This Row],[Gebrek nr.]])</f>
        <v/>
      </c>
      <c r="N66" s="417"/>
      <c r="O66" s="418"/>
      <c r="P66" s="206"/>
      <c r="Q66" s="193"/>
      <c r="R66" s="206"/>
      <c r="S66" s="206"/>
      <c r="T66" s="206"/>
      <c r="U66" s="206"/>
      <c r="V66" s="206"/>
      <c r="W66" s="419"/>
      <c r="X66" s="340">
        <f>[1]Inventarisatie!U67</f>
        <v>0</v>
      </c>
      <c r="Y66" s="420"/>
      <c r="Z66" s="421" t="str">
        <f>IF(ISBLANK(TInspectieW[[#This Row],[Aantal]]),"",ROUND(TInspectieW[[#This Row],[Kengetal]]*TInspectieW[[#This Row],[Aantal]],-1))</f>
        <v/>
      </c>
      <c r="AA66" s="422" t="str">
        <f>IF(TInspectieW[[#This Row],[Vak-groep]]="","1",VLOOKUP(C66,$J$2:$K$7,2,FALSE))</f>
        <v>1</v>
      </c>
      <c r="AB66" s="423" t="str">
        <f>CONCATENATE(TInspectieW[[#This Row],[Soort gebrek]],TInspectieW[[#This Row],[Trede]])</f>
        <v>1</v>
      </c>
      <c r="AC66" s="413" t="e">
        <v>#N/A</v>
      </c>
      <c r="AD66" s="413" t="e">
        <v>#N/A</v>
      </c>
      <c r="AE66" s="424">
        <v>0</v>
      </c>
    </row>
    <row r="67" spans="1:31" ht="10.5" x14ac:dyDescent="0.25">
      <c r="A67" s="337"/>
      <c r="B67" s="410" t="str">
        <f>IF(TInspectieW[[#This Row],[UVID]]="","",VLOOKUP(TInspectieW[[#This Row],[UVID]],TInventW[],2,FALSE))</f>
        <v/>
      </c>
      <c r="C67" s="365" t="str">
        <f>IF(TInspectieW[[#This Row],[UVID]]="","",VLOOKUP(TInspectieW[[#This Row],[UVID]],TInventW[],11,FALSE))</f>
        <v/>
      </c>
      <c r="D67" s="411" t="str">
        <f>IF(TInspectieW[[#This Row],[UVID]]="","",VLOOKUP(TInspectieW[[#This Row],[UVID]],TInventW[],3,FALSE))</f>
        <v/>
      </c>
      <c r="E67" s="338"/>
      <c r="F67" s="412"/>
      <c r="G67" s="413" t="str">
        <f>IF(ISBLANK(TInspectieW[[#This Row],[Soort gebrek]]),"",VLOOKUP(TInspectieW[[#This Row],[Soort gebrek]],TSoortGebrek[#Data],3,FALSE))</f>
        <v/>
      </c>
      <c r="H67" s="413" t="str">
        <f>IF(ISBLANK(TInspectieW[[#This Row],[Soort gebrek]]),"",VLOOKUP(TInspectieW[[#This Row],[Soort gebrek]],TSoortGebrek[#Data],2,FALSE))</f>
        <v/>
      </c>
      <c r="I67" s="413" t="str">
        <f>IF(TInspectieW[[#This Row],[Soort gebrek]]=0,"",VLOOKUP(TInspectieW[[#This Row],[Soort gebrek]],TSoortGebrek[],4,FALSE))</f>
        <v/>
      </c>
      <c r="J67" s="425"/>
      <c r="K67" s="415" t="str">
        <f>IF(TInspectieW[[#This Row],[Soort gebrek]]=0,"",VLOOKUP(TInspectieW[[#This Row],[Combi]],TPrio[#Data],2,FALSE))</f>
        <v/>
      </c>
      <c r="L67" s="339"/>
      <c r="M67" s="416" t="str">
        <f>IF(ISBLANK(TInspectieW[[#This Row],[Gebrek nr.]]),"",TInspectieW[[#This Row],[UVID]]&amp;"-"&amp;TInspectieW[[#This Row],[Gebrek nr.]])</f>
        <v/>
      </c>
      <c r="N67" s="417"/>
      <c r="O67" s="418"/>
      <c r="P67" s="206"/>
      <c r="Q67" s="193"/>
      <c r="R67" s="206"/>
      <c r="S67" s="206"/>
      <c r="T67" s="206"/>
      <c r="U67" s="206"/>
      <c r="V67" s="206"/>
      <c r="W67" s="419"/>
      <c r="X67" s="340">
        <f>[1]Inventarisatie!U68</f>
        <v>0</v>
      </c>
      <c r="Y67" s="420"/>
      <c r="Z67" s="421" t="str">
        <f>IF(ISBLANK(TInspectieW[[#This Row],[Aantal]]),"",ROUND(TInspectieW[[#This Row],[Kengetal]]*TInspectieW[[#This Row],[Aantal]],-1))</f>
        <v/>
      </c>
      <c r="AA67" s="422" t="str">
        <f>IF(TInspectieW[[#This Row],[Vak-groep]]="","1",VLOOKUP(C67,$J$2:$K$7,2,FALSE))</f>
        <v>1</v>
      </c>
      <c r="AB67" s="423" t="str">
        <f>CONCATENATE(TInspectieW[[#This Row],[Soort gebrek]],TInspectieW[[#This Row],[Trede]])</f>
        <v>1</v>
      </c>
      <c r="AC67" s="413" t="e">
        <v>#N/A</v>
      </c>
      <c r="AD67" s="413" t="e">
        <v>#N/A</v>
      </c>
      <c r="AE67" s="424">
        <v>0</v>
      </c>
    </row>
    <row r="68" spans="1:31" ht="10.5" x14ac:dyDescent="0.25">
      <c r="A68" s="337"/>
      <c r="B68" s="410" t="str">
        <f>IF(TInspectieW[[#This Row],[UVID]]="","",VLOOKUP(TInspectieW[[#This Row],[UVID]],TInventW[],2,FALSE))</f>
        <v/>
      </c>
      <c r="C68" s="365" t="str">
        <f>IF(TInspectieW[[#This Row],[UVID]]="","",VLOOKUP(TInspectieW[[#This Row],[UVID]],TInventW[],11,FALSE))</f>
        <v/>
      </c>
      <c r="D68" s="411" t="str">
        <f>IF(TInspectieW[[#This Row],[UVID]]="","",VLOOKUP(TInspectieW[[#This Row],[UVID]],TInventW[],3,FALSE))</f>
        <v/>
      </c>
      <c r="E68" s="338"/>
      <c r="F68" s="412"/>
      <c r="G68" s="413" t="str">
        <f>IF(ISBLANK(TInspectieW[[#This Row],[Soort gebrek]]),"",VLOOKUP(TInspectieW[[#This Row],[Soort gebrek]],TSoortGebrek[#Data],3,FALSE))</f>
        <v/>
      </c>
      <c r="H68" s="413" t="str">
        <f>IF(ISBLANK(TInspectieW[[#This Row],[Soort gebrek]]),"",VLOOKUP(TInspectieW[[#This Row],[Soort gebrek]],TSoortGebrek[#Data],2,FALSE))</f>
        <v/>
      </c>
      <c r="I68" s="413" t="str">
        <f>IF(TInspectieW[[#This Row],[Soort gebrek]]=0,"",VLOOKUP(TInspectieW[[#This Row],[Soort gebrek]],TSoortGebrek[],4,FALSE))</f>
        <v/>
      </c>
      <c r="J68" s="425"/>
      <c r="K68" s="415" t="str">
        <f>IF(TInspectieW[[#This Row],[Soort gebrek]]=0,"",VLOOKUP(TInspectieW[[#This Row],[Combi]],TPrio[#Data],2,FALSE))</f>
        <v/>
      </c>
      <c r="L68" s="339"/>
      <c r="M68" s="416" t="str">
        <f>IF(ISBLANK(TInspectieW[[#This Row],[Gebrek nr.]]),"",TInspectieW[[#This Row],[UVID]]&amp;"-"&amp;TInspectieW[[#This Row],[Gebrek nr.]])</f>
        <v/>
      </c>
      <c r="N68" s="417"/>
      <c r="O68" s="418"/>
      <c r="P68" s="206"/>
      <c r="Q68" s="193"/>
      <c r="R68" s="206"/>
      <c r="S68" s="206"/>
      <c r="T68" s="206"/>
      <c r="U68" s="206"/>
      <c r="V68" s="206"/>
      <c r="W68" s="419"/>
      <c r="X68" s="340">
        <f>[1]Inventarisatie!U69</f>
        <v>0</v>
      </c>
      <c r="Y68" s="420"/>
      <c r="Z68" s="421" t="str">
        <f>IF(ISBLANK(TInspectieW[[#This Row],[Aantal]]),"",ROUND(TInspectieW[[#This Row],[Kengetal]]*TInspectieW[[#This Row],[Aantal]],-1))</f>
        <v/>
      </c>
      <c r="AA68" s="422" t="str">
        <f>IF(TInspectieW[[#This Row],[Vak-groep]]="","1",VLOOKUP(C68,$J$2:$K$7,2,FALSE))</f>
        <v>1</v>
      </c>
      <c r="AB68" s="423" t="str">
        <f>CONCATENATE(TInspectieW[[#This Row],[Soort gebrek]],TInspectieW[[#This Row],[Trede]])</f>
        <v>1</v>
      </c>
      <c r="AC68" s="413" t="e">
        <v>#N/A</v>
      </c>
      <c r="AD68" s="413" t="e">
        <v>#N/A</v>
      </c>
      <c r="AE68" s="424">
        <v>0</v>
      </c>
    </row>
    <row r="69" spans="1:31" ht="10.5" x14ac:dyDescent="0.25">
      <c r="A69" s="337"/>
      <c r="B69" s="410" t="str">
        <f>IF(TInspectieW[[#This Row],[UVID]]="","",VLOOKUP(TInspectieW[[#This Row],[UVID]],TInventW[],2,FALSE))</f>
        <v/>
      </c>
      <c r="C69" s="365" t="str">
        <f>IF(TInspectieW[[#This Row],[UVID]]="","",VLOOKUP(TInspectieW[[#This Row],[UVID]],TInventW[],11,FALSE))</f>
        <v/>
      </c>
      <c r="D69" s="411" t="str">
        <f>IF(TInspectieW[[#This Row],[UVID]]="","",VLOOKUP(TInspectieW[[#This Row],[UVID]],TInventW[],3,FALSE))</f>
        <v/>
      </c>
      <c r="E69" s="338"/>
      <c r="F69" s="412"/>
      <c r="G69" s="413" t="str">
        <f>IF(ISBLANK(TInspectieW[[#This Row],[Soort gebrek]]),"",VLOOKUP(TInspectieW[[#This Row],[Soort gebrek]],TSoortGebrek[#Data],3,FALSE))</f>
        <v/>
      </c>
      <c r="H69" s="413" t="str">
        <f>IF(ISBLANK(TInspectieW[[#This Row],[Soort gebrek]]),"",VLOOKUP(TInspectieW[[#This Row],[Soort gebrek]],TSoortGebrek[#Data],2,FALSE))</f>
        <v/>
      </c>
      <c r="I69" s="413" t="str">
        <f>IF(TInspectieW[[#This Row],[Soort gebrek]]=0,"",VLOOKUP(TInspectieW[[#This Row],[Soort gebrek]],TSoortGebrek[],4,FALSE))</f>
        <v/>
      </c>
      <c r="J69" s="425"/>
      <c r="K69" s="415" t="str">
        <f>IF(TInspectieW[[#This Row],[Soort gebrek]]=0,"",VLOOKUP(TInspectieW[[#This Row],[Combi]],TPrio[#Data],2,FALSE))</f>
        <v/>
      </c>
      <c r="L69" s="339"/>
      <c r="M69" s="416" t="str">
        <f>IF(ISBLANK(TInspectieW[[#This Row],[Gebrek nr.]]),"",TInspectieW[[#This Row],[UVID]]&amp;"-"&amp;TInspectieW[[#This Row],[Gebrek nr.]])</f>
        <v/>
      </c>
      <c r="N69" s="417"/>
      <c r="O69" s="418"/>
      <c r="P69" s="206"/>
      <c r="Q69" s="193"/>
      <c r="R69" s="206"/>
      <c r="S69" s="206"/>
      <c r="T69" s="206"/>
      <c r="U69" s="206"/>
      <c r="V69" s="206"/>
      <c r="W69" s="419"/>
      <c r="X69" s="340">
        <f>[1]Inventarisatie!U70</f>
        <v>0</v>
      </c>
      <c r="Y69" s="420"/>
      <c r="Z69" s="421" t="str">
        <f>IF(ISBLANK(TInspectieW[[#This Row],[Aantal]]),"",ROUND(TInspectieW[[#This Row],[Kengetal]]*TInspectieW[[#This Row],[Aantal]],-1))</f>
        <v/>
      </c>
      <c r="AA69" s="422" t="str">
        <f>IF(TInspectieW[[#This Row],[Vak-groep]]="","1",VLOOKUP(C69,$J$2:$K$7,2,FALSE))</f>
        <v>1</v>
      </c>
      <c r="AB69" s="423" t="str">
        <f>CONCATENATE(TInspectieW[[#This Row],[Soort gebrek]],TInspectieW[[#This Row],[Trede]])</f>
        <v>1</v>
      </c>
      <c r="AC69" s="413" t="e">
        <v>#N/A</v>
      </c>
      <c r="AD69" s="413" t="e">
        <v>#N/A</v>
      </c>
      <c r="AE69" s="424">
        <v>0</v>
      </c>
    </row>
    <row r="70" spans="1:31" ht="10.5" x14ac:dyDescent="0.25">
      <c r="A70" s="337"/>
      <c r="B70" s="410" t="str">
        <f>IF(TInspectieW[[#This Row],[UVID]]="","",VLOOKUP(TInspectieW[[#This Row],[UVID]],TInventW[],2,FALSE))</f>
        <v/>
      </c>
      <c r="C70" s="365" t="str">
        <f>IF(TInspectieW[[#This Row],[UVID]]="","",VLOOKUP(TInspectieW[[#This Row],[UVID]],TInventW[],11,FALSE))</f>
        <v/>
      </c>
      <c r="D70" s="411" t="str">
        <f>IF(TInspectieW[[#This Row],[UVID]]="","",VLOOKUP(TInspectieW[[#This Row],[UVID]],TInventW[],3,FALSE))</f>
        <v/>
      </c>
      <c r="E70" s="338"/>
      <c r="F70" s="412"/>
      <c r="G70" s="413" t="str">
        <f>IF(ISBLANK(TInspectieW[[#This Row],[Soort gebrek]]),"",VLOOKUP(TInspectieW[[#This Row],[Soort gebrek]],TSoortGebrek[#Data],3,FALSE))</f>
        <v/>
      </c>
      <c r="H70" s="413" t="str">
        <f>IF(ISBLANK(TInspectieW[[#This Row],[Soort gebrek]]),"",VLOOKUP(TInspectieW[[#This Row],[Soort gebrek]],TSoortGebrek[#Data],2,FALSE))</f>
        <v/>
      </c>
      <c r="I70" s="413" t="str">
        <f>IF(TInspectieW[[#This Row],[Soort gebrek]]=0,"",VLOOKUP(TInspectieW[[#This Row],[Soort gebrek]],TSoortGebrek[],4,FALSE))</f>
        <v/>
      </c>
      <c r="J70" s="425"/>
      <c r="K70" s="415" t="str">
        <f>IF(TInspectieW[[#This Row],[Soort gebrek]]=0,"",VLOOKUP(TInspectieW[[#This Row],[Combi]],TPrio[#Data],2,FALSE))</f>
        <v/>
      </c>
      <c r="L70" s="339"/>
      <c r="M70" s="416" t="str">
        <f>IF(ISBLANK(TInspectieW[[#This Row],[Gebrek nr.]]),"",TInspectieW[[#This Row],[UVID]]&amp;"-"&amp;TInspectieW[[#This Row],[Gebrek nr.]])</f>
        <v/>
      </c>
      <c r="N70" s="417"/>
      <c r="O70" s="418"/>
      <c r="P70" s="206"/>
      <c r="Q70" s="193"/>
      <c r="R70" s="206"/>
      <c r="S70" s="206"/>
      <c r="T70" s="206"/>
      <c r="U70" s="206"/>
      <c r="V70" s="206"/>
      <c r="W70" s="419"/>
      <c r="X70" s="340">
        <f>[1]Inventarisatie!U71</f>
        <v>0</v>
      </c>
      <c r="Y70" s="420"/>
      <c r="Z70" s="421" t="str">
        <f>IF(ISBLANK(TInspectieW[[#This Row],[Aantal]]),"",ROUND(TInspectieW[[#This Row],[Kengetal]]*TInspectieW[[#This Row],[Aantal]],-1))</f>
        <v/>
      </c>
      <c r="AA70" s="422" t="str">
        <f>IF(TInspectieW[[#This Row],[Vak-groep]]="","1",VLOOKUP(C70,$J$2:$K$7,2,FALSE))</f>
        <v>1</v>
      </c>
      <c r="AB70" s="423" t="str">
        <f>CONCATENATE(TInspectieW[[#This Row],[Soort gebrek]],TInspectieW[[#This Row],[Trede]])</f>
        <v>1</v>
      </c>
      <c r="AC70" s="413" t="e">
        <v>#N/A</v>
      </c>
      <c r="AD70" s="413" t="e">
        <v>#N/A</v>
      </c>
      <c r="AE70" s="424">
        <v>0</v>
      </c>
    </row>
    <row r="71" spans="1:31" ht="10.5" x14ac:dyDescent="0.25">
      <c r="A71" s="337"/>
      <c r="B71" s="410" t="str">
        <f>IF(TInspectieW[[#This Row],[UVID]]="","",VLOOKUP(TInspectieW[[#This Row],[UVID]],TInventW[],2,FALSE))</f>
        <v/>
      </c>
      <c r="C71" s="365" t="str">
        <f>IF(TInspectieW[[#This Row],[UVID]]="","",VLOOKUP(TInspectieW[[#This Row],[UVID]],TInventW[],11,FALSE))</f>
        <v/>
      </c>
      <c r="D71" s="411" t="str">
        <f>IF(TInspectieW[[#This Row],[UVID]]="","",VLOOKUP(TInspectieW[[#This Row],[UVID]],TInventW[],3,FALSE))</f>
        <v/>
      </c>
      <c r="E71" s="338"/>
      <c r="F71" s="412"/>
      <c r="G71" s="413" t="str">
        <f>IF(ISBLANK(TInspectieW[[#This Row],[Soort gebrek]]),"",VLOOKUP(TInspectieW[[#This Row],[Soort gebrek]],TSoortGebrek[#Data],3,FALSE))</f>
        <v/>
      </c>
      <c r="H71" s="413" t="str">
        <f>IF(ISBLANK(TInspectieW[[#This Row],[Soort gebrek]]),"",VLOOKUP(TInspectieW[[#This Row],[Soort gebrek]],TSoortGebrek[#Data],2,FALSE))</f>
        <v/>
      </c>
      <c r="I71" s="413" t="str">
        <f>IF(TInspectieW[[#This Row],[Soort gebrek]]=0,"",VLOOKUP(TInspectieW[[#This Row],[Soort gebrek]],TSoortGebrek[],4,FALSE))</f>
        <v/>
      </c>
      <c r="J71" s="425"/>
      <c r="K71" s="415" t="str">
        <f>IF(TInspectieW[[#This Row],[Soort gebrek]]=0,"",VLOOKUP(TInspectieW[[#This Row],[Combi]],TPrio[#Data],2,FALSE))</f>
        <v/>
      </c>
      <c r="L71" s="339"/>
      <c r="M71" s="416" t="str">
        <f>IF(ISBLANK(TInspectieW[[#This Row],[Gebrek nr.]]),"",TInspectieW[[#This Row],[UVID]]&amp;"-"&amp;TInspectieW[[#This Row],[Gebrek nr.]])</f>
        <v/>
      </c>
      <c r="N71" s="417"/>
      <c r="O71" s="418"/>
      <c r="P71" s="206"/>
      <c r="Q71" s="193"/>
      <c r="R71" s="206"/>
      <c r="S71" s="206"/>
      <c r="T71" s="206"/>
      <c r="U71" s="206"/>
      <c r="V71" s="206"/>
      <c r="W71" s="419"/>
      <c r="X71" s="340">
        <f>[1]Inventarisatie!U72</f>
        <v>0</v>
      </c>
      <c r="Y71" s="420"/>
      <c r="Z71" s="421" t="str">
        <f>IF(ISBLANK(TInspectieW[[#This Row],[Aantal]]),"",ROUND(TInspectieW[[#This Row],[Kengetal]]*TInspectieW[[#This Row],[Aantal]],-1))</f>
        <v/>
      </c>
      <c r="AA71" s="422" t="str">
        <f>IF(TInspectieW[[#This Row],[Vak-groep]]="","1",VLOOKUP(C71,$J$2:$K$7,2,FALSE))</f>
        <v>1</v>
      </c>
      <c r="AB71" s="423" t="str">
        <f>CONCATENATE(TInspectieW[[#This Row],[Soort gebrek]],TInspectieW[[#This Row],[Trede]])</f>
        <v>1</v>
      </c>
      <c r="AC71" s="413" t="e">
        <v>#N/A</v>
      </c>
      <c r="AD71" s="413" t="e">
        <v>#N/A</v>
      </c>
      <c r="AE71" s="424">
        <v>0</v>
      </c>
    </row>
    <row r="72" spans="1:31" ht="10.5" x14ac:dyDescent="0.25">
      <c r="A72" s="337"/>
      <c r="B72" s="410" t="str">
        <f>IF(TInspectieW[[#This Row],[UVID]]="","",VLOOKUP(TInspectieW[[#This Row],[UVID]],TInventW[],2,FALSE))</f>
        <v/>
      </c>
      <c r="C72" s="365" t="str">
        <f>IF(TInspectieW[[#This Row],[UVID]]="","",VLOOKUP(TInspectieW[[#This Row],[UVID]],TInventW[],11,FALSE))</f>
        <v/>
      </c>
      <c r="D72" s="411" t="str">
        <f>IF(TInspectieW[[#This Row],[UVID]]="","",VLOOKUP(TInspectieW[[#This Row],[UVID]],TInventW[],3,FALSE))</f>
        <v/>
      </c>
      <c r="E72" s="338"/>
      <c r="F72" s="412"/>
      <c r="G72" s="413" t="str">
        <f>IF(ISBLANK(TInspectieW[[#This Row],[Soort gebrek]]),"",VLOOKUP(TInspectieW[[#This Row],[Soort gebrek]],TSoortGebrek[#Data],3,FALSE))</f>
        <v/>
      </c>
      <c r="H72" s="413" t="str">
        <f>IF(ISBLANK(TInspectieW[[#This Row],[Soort gebrek]]),"",VLOOKUP(TInspectieW[[#This Row],[Soort gebrek]],TSoortGebrek[#Data],2,FALSE))</f>
        <v/>
      </c>
      <c r="I72" s="413" t="str">
        <f>IF(TInspectieW[[#This Row],[Soort gebrek]]=0,"",VLOOKUP(TInspectieW[[#This Row],[Soort gebrek]],TSoortGebrek[],4,FALSE))</f>
        <v/>
      </c>
      <c r="J72" s="425"/>
      <c r="K72" s="415" t="str">
        <f>IF(TInspectieW[[#This Row],[Soort gebrek]]=0,"",VLOOKUP(TInspectieW[[#This Row],[Combi]],TPrio[#Data],2,FALSE))</f>
        <v/>
      </c>
      <c r="L72" s="339"/>
      <c r="M72" s="416" t="str">
        <f>IF(ISBLANK(TInspectieW[[#This Row],[Gebrek nr.]]),"",TInspectieW[[#This Row],[UVID]]&amp;"-"&amp;TInspectieW[[#This Row],[Gebrek nr.]])</f>
        <v/>
      </c>
      <c r="N72" s="417"/>
      <c r="O72" s="418"/>
      <c r="P72" s="206"/>
      <c r="Q72" s="193"/>
      <c r="R72" s="206"/>
      <c r="S72" s="206"/>
      <c r="T72" s="206"/>
      <c r="U72" s="206"/>
      <c r="V72" s="206"/>
      <c r="W72" s="419"/>
      <c r="X72" s="340">
        <f>[1]Inventarisatie!U73</f>
        <v>0</v>
      </c>
      <c r="Y72" s="420"/>
      <c r="Z72" s="421" t="str">
        <f>IF(ISBLANK(TInspectieW[[#This Row],[Aantal]]),"",ROUND(TInspectieW[[#This Row],[Kengetal]]*TInspectieW[[#This Row],[Aantal]],-1))</f>
        <v/>
      </c>
      <c r="AA72" s="422" t="str">
        <f>IF(TInspectieW[[#This Row],[Vak-groep]]="","1",VLOOKUP(C72,$J$2:$K$7,2,FALSE))</f>
        <v>1</v>
      </c>
      <c r="AB72" s="423" t="str">
        <f>CONCATENATE(TInspectieW[[#This Row],[Soort gebrek]],TInspectieW[[#This Row],[Trede]])</f>
        <v>1</v>
      </c>
      <c r="AC72" s="413" t="e">
        <v>#N/A</v>
      </c>
      <c r="AD72" s="413" t="e">
        <v>#N/A</v>
      </c>
      <c r="AE72" s="424">
        <v>0</v>
      </c>
    </row>
    <row r="73" spans="1:31" ht="10.5" x14ac:dyDescent="0.25">
      <c r="A73" s="337"/>
      <c r="B73" s="410" t="str">
        <f>IF(TInspectieW[[#This Row],[UVID]]="","",VLOOKUP(TInspectieW[[#This Row],[UVID]],TInventW[],2,FALSE))</f>
        <v/>
      </c>
      <c r="C73" s="365" t="str">
        <f>IF(TInspectieW[[#This Row],[UVID]]="","",VLOOKUP(TInspectieW[[#This Row],[UVID]],TInventW[],11,FALSE))</f>
        <v/>
      </c>
      <c r="D73" s="411" t="str">
        <f>IF(TInspectieW[[#This Row],[UVID]]="","",VLOOKUP(TInspectieW[[#This Row],[UVID]],TInventW[],3,FALSE))</f>
        <v/>
      </c>
      <c r="E73" s="338"/>
      <c r="F73" s="412"/>
      <c r="G73" s="413" t="str">
        <f>IF(ISBLANK(TInspectieW[[#This Row],[Soort gebrek]]),"",VLOOKUP(TInspectieW[[#This Row],[Soort gebrek]],TSoortGebrek[#Data],3,FALSE))</f>
        <v/>
      </c>
      <c r="H73" s="413" t="str">
        <f>IF(ISBLANK(TInspectieW[[#This Row],[Soort gebrek]]),"",VLOOKUP(TInspectieW[[#This Row],[Soort gebrek]],TSoortGebrek[#Data],2,FALSE))</f>
        <v/>
      </c>
      <c r="I73" s="413" t="str">
        <f>IF(TInspectieW[[#This Row],[Soort gebrek]]=0,"",VLOOKUP(TInspectieW[[#This Row],[Soort gebrek]],TSoortGebrek[],4,FALSE))</f>
        <v/>
      </c>
      <c r="J73" s="425"/>
      <c r="K73" s="415" t="str">
        <f>IF(TInspectieW[[#This Row],[Soort gebrek]]=0,"",VLOOKUP(TInspectieW[[#This Row],[Combi]],TPrio[#Data],2,FALSE))</f>
        <v/>
      </c>
      <c r="L73" s="339"/>
      <c r="M73" s="416" t="str">
        <f>IF(ISBLANK(TInspectieW[[#This Row],[Gebrek nr.]]),"",TInspectieW[[#This Row],[UVID]]&amp;"-"&amp;TInspectieW[[#This Row],[Gebrek nr.]])</f>
        <v/>
      </c>
      <c r="N73" s="417"/>
      <c r="O73" s="418"/>
      <c r="P73" s="206"/>
      <c r="Q73" s="193"/>
      <c r="R73" s="206"/>
      <c r="S73" s="206"/>
      <c r="T73" s="206"/>
      <c r="U73" s="206"/>
      <c r="V73" s="206"/>
      <c r="W73" s="419"/>
      <c r="X73" s="340">
        <f>[1]Inventarisatie!U74</f>
        <v>0</v>
      </c>
      <c r="Y73" s="420"/>
      <c r="Z73" s="421" t="str">
        <f>IF(ISBLANK(TInspectieW[[#This Row],[Aantal]]),"",ROUND(TInspectieW[[#This Row],[Kengetal]]*TInspectieW[[#This Row],[Aantal]],-1))</f>
        <v/>
      </c>
      <c r="AA73" s="422" t="str">
        <f>IF(TInspectieW[[#This Row],[Vak-groep]]="","1",VLOOKUP(C73,$J$2:$K$7,2,FALSE))</f>
        <v>1</v>
      </c>
      <c r="AB73" s="423" t="str">
        <f>CONCATENATE(TInspectieW[[#This Row],[Soort gebrek]],TInspectieW[[#This Row],[Trede]])</f>
        <v>1</v>
      </c>
      <c r="AC73" s="413" t="e">
        <v>#N/A</v>
      </c>
      <c r="AD73" s="413" t="e">
        <v>#N/A</v>
      </c>
      <c r="AE73" s="424">
        <v>0</v>
      </c>
    </row>
    <row r="74" spans="1:31" ht="10.5" x14ac:dyDescent="0.25">
      <c r="A74" s="337"/>
      <c r="B74" s="410" t="str">
        <f>IF(TInspectieW[[#This Row],[UVID]]="","",VLOOKUP(TInspectieW[[#This Row],[UVID]],TInventW[],2,FALSE))</f>
        <v/>
      </c>
      <c r="C74" s="365" t="str">
        <f>IF(TInspectieW[[#This Row],[UVID]]="","",VLOOKUP(TInspectieW[[#This Row],[UVID]],TInventW[],11,FALSE))</f>
        <v/>
      </c>
      <c r="D74" s="411" t="str">
        <f>IF(TInspectieW[[#This Row],[UVID]]="","",VLOOKUP(TInspectieW[[#This Row],[UVID]],TInventW[],3,FALSE))</f>
        <v/>
      </c>
      <c r="E74" s="338"/>
      <c r="F74" s="412"/>
      <c r="G74" s="413" t="str">
        <f>IF(ISBLANK(TInspectieW[[#This Row],[Soort gebrek]]),"",VLOOKUP(TInspectieW[[#This Row],[Soort gebrek]],TSoortGebrek[#Data],3,FALSE))</f>
        <v/>
      </c>
      <c r="H74" s="413" t="str">
        <f>IF(ISBLANK(TInspectieW[[#This Row],[Soort gebrek]]),"",VLOOKUP(TInspectieW[[#This Row],[Soort gebrek]],TSoortGebrek[#Data],2,FALSE))</f>
        <v/>
      </c>
      <c r="I74" s="413" t="str">
        <f>IF(TInspectieW[[#This Row],[Soort gebrek]]=0,"",VLOOKUP(TInspectieW[[#This Row],[Soort gebrek]],TSoortGebrek[],4,FALSE))</f>
        <v/>
      </c>
      <c r="J74" s="425"/>
      <c r="K74" s="415" t="str">
        <f>IF(TInspectieW[[#This Row],[Soort gebrek]]=0,"",VLOOKUP(TInspectieW[[#This Row],[Combi]],TPrio[#Data],2,FALSE))</f>
        <v/>
      </c>
      <c r="L74" s="339"/>
      <c r="M74" s="416" t="str">
        <f>IF(ISBLANK(TInspectieW[[#This Row],[Gebrek nr.]]),"",TInspectieW[[#This Row],[UVID]]&amp;"-"&amp;TInspectieW[[#This Row],[Gebrek nr.]])</f>
        <v/>
      </c>
      <c r="N74" s="417"/>
      <c r="O74" s="418"/>
      <c r="P74" s="206"/>
      <c r="Q74" s="193"/>
      <c r="R74" s="206"/>
      <c r="S74" s="206"/>
      <c r="T74" s="206"/>
      <c r="U74" s="206"/>
      <c r="V74" s="206"/>
      <c r="W74" s="419"/>
      <c r="X74" s="340">
        <f>[1]Inventarisatie!U75</f>
        <v>0</v>
      </c>
      <c r="Y74" s="420"/>
      <c r="Z74" s="421" t="str">
        <f>IF(ISBLANK(TInspectieW[[#This Row],[Aantal]]),"",ROUND(TInspectieW[[#This Row],[Kengetal]]*TInspectieW[[#This Row],[Aantal]],-1))</f>
        <v/>
      </c>
      <c r="AA74" s="422" t="str">
        <f>IF(TInspectieW[[#This Row],[Vak-groep]]="","1",VLOOKUP(C74,$J$2:$K$7,2,FALSE))</f>
        <v>1</v>
      </c>
      <c r="AB74" s="423" t="str">
        <f>CONCATENATE(TInspectieW[[#This Row],[Soort gebrek]],TInspectieW[[#This Row],[Trede]])</f>
        <v>1</v>
      </c>
      <c r="AC74" s="413" t="e">
        <v>#N/A</v>
      </c>
      <c r="AD74" s="413" t="e">
        <v>#N/A</v>
      </c>
      <c r="AE74" s="424">
        <v>0</v>
      </c>
    </row>
    <row r="75" spans="1:31" ht="10.5" x14ac:dyDescent="0.25">
      <c r="A75" s="337"/>
      <c r="B75" s="410" t="str">
        <f>IF(TInspectieW[[#This Row],[UVID]]="","",VLOOKUP(TInspectieW[[#This Row],[UVID]],TInventW[],2,FALSE))</f>
        <v/>
      </c>
      <c r="C75" s="365" t="str">
        <f>IF(TInspectieW[[#This Row],[UVID]]="","",VLOOKUP(TInspectieW[[#This Row],[UVID]],TInventW[],11,FALSE))</f>
        <v/>
      </c>
      <c r="D75" s="411" t="str">
        <f>IF(TInspectieW[[#This Row],[UVID]]="","",VLOOKUP(TInspectieW[[#This Row],[UVID]],TInventW[],3,FALSE))</f>
        <v/>
      </c>
      <c r="E75" s="338"/>
      <c r="F75" s="412"/>
      <c r="G75" s="413" t="str">
        <f>IF(ISBLANK(TInspectieW[[#This Row],[Soort gebrek]]),"",VLOOKUP(TInspectieW[[#This Row],[Soort gebrek]],TSoortGebrek[#Data],3,FALSE))</f>
        <v/>
      </c>
      <c r="H75" s="413" t="str">
        <f>IF(ISBLANK(TInspectieW[[#This Row],[Soort gebrek]]),"",VLOOKUP(TInspectieW[[#This Row],[Soort gebrek]],TSoortGebrek[#Data],2,FALSE))</f>
        <v/>
      </c>
      <c r="I75" s="413" t="str">
        <f>IF(TInspectieW[[#This Row],[Soort gebrek]]=0,"",VLOOKUP(TInspectieW[[#This Row],[Soort gebrek]],TSoortGebrek[],4,FALSE))</f>
        <v/>
      </c>
      <c r="J75" s="425"/>
      <c r="K75" s="415" t="str">
        <f>IF(TInspectieW[[#This Row],[Soort gebrek]]=0,"",VLOOKUP(TInspectieW[[#This Row],[Combi]],TPrio[#Data],2,FALSE))</f>
        <v/>
      </c>
      <c r="L75" s="339"/>
      <c r="M75" s="416" t="str">
        <f>IF(ISBLANK(TInspectieW[[#This Row],[Gebrek nr.]]),"",TInspectieW[[#This Row],[UVID]]&amp;"-"&amp;TInspectieW[[#This Row],[Gebrek nr.]])</f>
        <v/>
      </c>
      <c r="N75" s="417"/>
      <c r="O75" s="418"/>
      <c r="P75" s="206"/>
      <c r="Q75" s="193"/>
      <c r="R75" s="206"/>
      <c r="S75" s="206"/>
      <c r="T75" s="206"/>
      <c r="U75" s="206"/>
      <c r="V75" s="206"/>
      <c r="W75" s="419"/>
      <c r="X75" s="340">
        <f>[1]Inventarisatie!U76</f>
        <v>0</v>
      </c>
      <c r="Y75" s="420"/>
      <c r="Z75" s="421" t="str">
        <f>IF(ISBLANK(TInspectieW[[#This Row],[Aantal]]),"",ROUND(TInspectieW[[#This Row],[Kengetal]]*TInspectieW[[#This Row],[Aantal]],-1))</f>
        <v/>
      </c>
      <c r="AA75" s="422" t="str">
        <f>IF(TInspectieW[[#This Row],[Vak-groep]]="","1",VLOOKUP(C75,$J$2:$K$7,2,FALSE))</f>
        <v>1</v>
      </c>
      <c r="AB75" s="423" t="str">
        <f>CONCATENATE(TInspectieW[[#This Row],[Soort gebrek]],TInspectieW[[#This Row],[Trede]])</f>
        <v>1</v>
      </c>
      <c r="AC75" s="413" t="e">
        <v>#N/A</v>
      </c>
      <c r="AD75" s="413" t="e">
        <v>#N/A</v>
      </c>
      <c r="AE75" s="424">
        <v>0</v>
      </c>
    </row>
    <row r="76" spans="1:31" ht="10.5" x14ac:dyDescent="0.25">
      <c r="A76" s="337"/>
      <c r="B76" s="410" t="str">
        <f>IF(TInspectieW[[#This Row],[UVID]]="","",VLOOKUP(TInspectieW[[#This Row],[UVID]],TInventW[],2,FALSE))</f>
        <v/>
      </c>
      <c r="C76" s="365" t="str">
        <f>IF(TInspectieW[[#This Row],[UVID]]="","",VLOOKUP(TInspectieW[[#This Row],[UVID]],TInventW[],11,FALSE))</f>
        <v/>
      </c>
      <c r="D76" s="411" t="str">
        <f>IF(TInspectieW[[#This Row],[UVID]]="","",VLOOKUP(TInspectieW[[#This Row],[UVID]],TInventW[],3,FALSE))</f>
        <v/>
      </c>
      <c r="E76" s="338"/>
      <c r="F76" s="412"/>
      <c r="G76" s="413" t="str">
        <f>IF(ISBLANK(TInspectieW[[#This Row],[Soort gebrek]]),"",VLOOKUP(TInspectieW[[#This Row],[Soort gebrek]],TSoortGebrek[#Data],3,FALSE))</f>
        <v/>
      </c>
      <c r="H76" s="413" t="str">
        <f>IF(ISBLANK(TInspectieW[[#This Row],[Soort gebrek]]),"",VLOOKUP(TInspectieW[[#This Row],[Soort gebrek]],TSoortGebrek[#Data],2,FALSE))</f>
        <v/>
      </c>
      <c r="I76" s="413" t="str">
        <f>IF(TInspectieW[[#This Row],[Soort gebrek]]=0,"",VLOOKUP(TInspectieW[[#This Row],[Soort gebrek]],TSoortGebrek[],4,FALSE))</f>
        <v/>
      </c>
      <c r="J76" s="425"/>
      <c r="K76" s="415" t="str">
        <f>IF(TInspectieW[[#This Row],[Soort gebrek]]=0,"",VLOOKUP(TInspectieW[[#This Row],[Combi]],TPrio[#Data],2,FALSE))</f>
        <v/>
      </c>
      <c r="L76" s="339"/>
      <c r="M76" s="416" t="str">
        <f>IF(ISBLANK(TInspectieW[[#This Row],[Gebrek nr.]]),"",TInspectieW[[#This Row],[UVID]]&amp;"-"&amp;TInspectieW[[#This Row],[Gebrek nr.]])</f>
        <v/>
      </c>
      <c r="N76" s="417"/>
      <c r="O76" s="418"/>
      <c r="P76" s="206"/>
      <c r="Q76" s="193"/>
      <c r="R76" s="206"/>
      <c r="S76" s="206"/>
      <c r="T76" s="206"/>
      <c r="U76" s="206"/>
      <c r="V76" s="206"/>
      <c r="W76" s="419"/>
      <c r="X76" s="340">
        <f>[1]Inventarisatie!U77</f>
        <v>0</v>
      </c>
      <c r="Y76" s="420"/>
      <c r="Z76" s="421" t="str">
        <f>IF(ISBLANK(TInspectieW[[#This Row],[Aantal]]),"",ROUND(TInspectieW[[#This Row],[Kengetal]]*TInspectieW[[#This Row],[Aantal]],-1))</f>
        <v/>
      </c>
      <c r="AA76" s="422" t="str">
        <f>IF(TInspectieW[[#This Row],[Vak-groep]]="","1",VLOOKUP(C76,$J$2:$K$7,2,FALSE))</f>
        <v>1</v>
      </c>
      <c r="AB76" s="423" t="str">
        <f>CONCATENATE(TInspectieW[[#This Row],[Soort gebrek]],TInspectieW[[#This Row],[Trede]])</f>
        <v>1</v>
      </c>
      <c r="AC76" s="413" t="e">
        <v>#N/A</v>
      </c>
      <c r="AD76" s="413" t="e">
        <v>#N/A</v>
      </c>
      <c r="AE76" s="424">
        <v>0</v>
      </c>
    </row>
    <row r="77" spans="1:31" ht="10.5" x14ac:dyDescent="0.25">
      <c r="A77" s="337"/>
      <c r="B77" s="410" t="str">
        <f>IF(TInspectieW[[#This Row],[UVID]]="","",VLOOKUP(TInspectieW[[#This Row],[UVID]],TInventW[],2,FALSE))</f>
        <v/>
      </c>
      <c r="C77" s="365" t="str">
        <f>IF(TInspectieW[[#This Row],[UVID]]="","",VLOOKUP(TInspectieW[[#This Row],[UVID]],TInventW[],11,FALSE))</f>
        <v/>
      </c>
      <c r="D77" s="411" t="str">
        <f>IF(TInspectieW[[#This Row],[UVID]]="","",VLOOKUP(TInspectieW[[#This Row],[UVID]],TInventW[],3,FALSE))</f>
        <v/>
      </c>
      <c r="E77" s="338"/>
      <c r="F77" s="412"/>
      <c r="G77" s="413" t="str">
        <f>IF(ISBLANK(TInspectieW[[#This Row],[Soort gebrek]]),"",VLOOKUP(TInspectieW[[#This Row],[Soort gebrek]],TSoortGebrek[#Data],3,FALSE))</f>
        <v/>
      </c>
      <c r="H77" s="413" t="str">
        <f>IF(ISBLANK(TInspectieW[[#This Row],[Soort gebrek]]),"",VLOOKUP(TInspectieW[[#This Row],[Soort gebrek]],TSoortGebrek[#Data],2,FALSE))</f>
        <v/>
      </c>
      <c r="I77" s="413" t="str">
        <f>IF(TInspectieW[[#This Row],[Soort gebrek]]=0,"",VLOOKUP(TInspectieW[[#This Row],[Soort gebrek]],TSoortGebrek[],4,FALSE))</f>
        <v/>
      </c>
      <c r="J77" s="425"/>
      <c r="K77" s="415" t="str">
        <f>IF(TInspectieW[[#This Row],[Soort gebrek]]=0,"",VLOOKUP(TInspectieW[[#This Row],[Combi]],TPrio[#Data],2,FALSE))</f>
        <v/>
      </c>
      <c r="L77" s="339"/>
      <c r="M77" s="416" t="str">
        <f>IF(ISBLANK(TInspectieW[[#This Row],[Gebrek nr.]]),"",TInspectieW[[#This Row],[UVID]]&amp;"-"&amp;TInspectieW[[#This Row],[Gebrek nr.]])</f>
        <v/>
      </c>
      <c r="N77" s="417"/>
      <c r="O77" s="418"/>
      <c r="P77" s="206"/>
      <c r="Q77" s="193"/>
      <c r="R77" s="206"/>
      <c r="S77" s="206"/>
      <c r="T77" s="206"/>
      <c r="U77" s="206"/>
      <c r="V77" s="206"/>
      <c r="W77" s="419"/>
      <c r="X77" s="340">
        <f>[1]Inventarisatie!U78</f>
        <v>0</v>
      </c>
      <c r="Y77" s="420"/>
      <c r="Z77" s="421" t="str">
        <f>IF(ISBLANK(TInspectieW[[#This Row],[Aantal]]),"",ROUND(TInspectieW[[#This Row],[Kengetal]]*TInspectieW[[#This Row],[Aantal]],-1))</f>
        <v/>
      </c>
      <c r="AA77" s="422" t="str">
        <f>IF(TInspectieW[[#This Row],[Vak-groep]]="","1",VLOOKUP(C77,$J$2:$K$7,2,FALSE))</f>
        <v>1</v>
      </c>
      <c r="AB77" s="423" t="str">
        <f>CONCATENATE(TInspectieW[[#This Row],[Soort gebrek]],TInspectieW[[#This Row],[Trede]])</f>
        <v>1</v>
      </c>
      <c r="AC77" s="413" t="e">
        <v>#N/A</v>
      </c>
      <c r="AD77" s="413" t="e">
        <v>#N/A</v>
      </c>
      <c r="AE77" s="424">
        <v>0</v>
      </c>
    </row>
    <row r="78" spans="1:31" ht="10.5" x14ac:dyDescent="0.25">
      <c r="A78" s="337"/>
      <c r="B78" s="410" t="str">
        <f>IF(TInspectieW[[#This Row],[UVID]]="","",VLOOKUP(TInspectieW[[#This Row],[UVID]],TInventW[],2,FALSE))</f>
        <v/>
      </c>
      <c r="C78" s="365" t="str">
        <f>IF(TInspectieW[[#This Row],[UVID]]="","",VLOOKUP(TInspectieW[[#This Row],[UVID]],TInventW[],11,FALSE))</f>
        <v/>
      </c>
      <c r="D78" s="411" t="str">
        <f>IF(TInspectieW[[#This Row],[UVID]]="","",VLOOKUP(TInspectieW[[#This Row],[UVID]],TInventW[],3,FALSE))</f>
        <v/>
      </c>
      <c r="E78" s="338"/>
      <c r="F78" s="412"/>
      <c r="G78" s="413" t="str">
        <f>IF(ISBLANK(TInspectieW[[#This Row],[Soort gebrek]]),"",VLOOKUP(TInspectieW[[#This Row],[Soort gebrek]],TSoortGebrek[#Data],3,FALSE))</f>
        <v/>
      </c>
      <c r="H78" s="413" t="str">
        <f>IF(ISBLANK(TInspectieW[[#This Row],[Soort gebrek]]),"",VLOOKUP(TInspectieW[[#This Row],[Soort gebrek]],TSoortGebrek[#Data],2,FALSE))</f>
        <v/>
      </c>
      <c r="I78" s="413" t="str">
        <f>IF(TInspectieW[[#This Row],[Soort gebrek]]=0,"",VLOOKUP(TInspectieW[[#This Row],[Soort gebrek]],TSoortGebrek[],4,FALSE))</f>
        <v/>
      </c>
      <c r="J78" s="425"/>
      <c r="K78" s="415" t="str">
        <f>IF(TInspectieW[[#This Row],[Soort gebrek]]=0,"",VLOOKUP(TInspectieW[[#This Row],[Combi]],TPrio[#Data],2,FALSE))</f>
        <v/>
      </c>
      <c r="L78" s="339"/>
      <c r="M78" s="416" t="str">
        <f>IF(ISBLANK(TInspectieW[[#This Row],[Gebrek nr.]]),"",TInspectieW[[#This Row],[UVID]]&amp;"-"&amp;TInspectieW[[#This Row],[Gebrek nr.]])</f>
        <v/>
      </c>
      <c r="N78" s="417"/>
      <c r="O78" s="418"/>
      <c r="P78" s="206"/>
      <c r="Q78" s="193"/>
      <c r="R78" s="206"/>
      <c r="S78" s="206"/>
      <c r="T78" s="206"/>
      <c r="U78" s="206"/>
      <c r="V78" s="206"/>
      <c r="W78" s="419"/>
      <c r="X78" s="340">
        <f>[1]Inventarisatie!U79</f>
        <v>0</v>
      </c>
      <c r="Y78" s="420"/>
      <c r="Z78" s="421" t="str">
        <f>IF(ISBLANK(TInspectieW[[#This Row],[Aantal]]),"",ROUND(TInspectieW[[#This Row],[Kengetal]]*TInspectieW[[#This Row],[Aantal]],-1))</f>
        <v/>
      </c>
      <c r="AA78" s="422" t="str">
        <f>IF(TInspectieW[[#This Row],[Vak-groep]]="","1",VLOOKUP(C78,$J$2:$K$7,2,FALSE))</f>
        <v>1</v>
      </c>
      <c r="AB78" s="423" t="str">
        <f>CONCATENATE(TInspectieW[[#This Row],[Soort gebrek]],TInspectieW[[#This Row],[Trede]])</f>
        <v>1</v>
      </c>
      <c r="AC78" s="413" t="e">
        <v>#N/A</v>
      </c>
      <c r="AD78" s="413" t="e">
        <v>#N/A</v>
      </c>
      <c r="AE78" s="424">
        <v>0</v>
      </c>
    </row>
    <row r="79" spans="1:31" ht="10.5" x14ac:dyDescent="0.25">
      <c r="A79" s="337"/>
      <c r="B79" s="410" t="str">
        <f>IF(TInspectieW[[#This Row],[UVID]]="","",VLOOKUP(TInspectieW[[#This Row],[UVID]],TInventW[],2,FALSE))</f>
        <v/>
      </c>
      <c r="C79" s="365" t="str">
        <f>IF(TInspectieW[[#This Row],[UVID]]="","",VLOOKUP(TInspectieW[[#This Row],[UVID]],TInventW[],11,FALSE))</f>
        <v/>
      </c>
      <c r="D79" s="411" t="str">
        <f>IF(TInspectieW[[#This Row],[UVID]]="","",VLOOKUP(TInspectieW[[#This Row],[UVID]],TInventW[],3,FALSE))</f>
        <v/>
      </c>
      <c r="E79" s="338"/>
      <c r="F79" s="412"/>
      <c r="G79" s="413" t="str">
        <f>IF(ISBLANK(TInspectieW[[#This Row],[Soort gebrek]]),"",VLOOKUP(TInspectieW[[#This Row],[Soort gebrek]],TSoortGebrek[#Data],3,FALSE))</f>
        <v/>
      </c>
      <c r="H79" s="413" t="str">
        <f>IF(ISBLANK(TInspectieW[[#This Row],[Soort gebrek]]),"",VLOOKUP(TInspectieW[[#This Row],[Soort gebrek]],TSoortGebrek[#Data],2,FALSE))</f>
        <v/>
      </c>
      <c r="I79" s="413" t="str">
        <f>IF(TInspectieW[[#This Row],[Soort gebrek]]=0,"",VLOOKUP(TInspectieW[[#This Row],[Soort gebrek]],TSoortGebrek[],4,FALSE))</f>
        <v/>
      </c>
      <c r="J79" s="425"/>
      <c r="K79" s="415" t="str">
        <f>IF(TInspectieW[[#This Row],[Soort gebrek]]=0,"",VLOOKUP(TInspectieW[[#This Row],[Combi]],TPrio[#Data],2,FALSE))</f>
        <v/>
      </c>
      <c r="L79" s="339"/>
      <c r="M79" s="416" t="str">
        <f>IF(ISBLANK(TInspectieW[[#This Row],[Gebrek nr.]]),"",TInspectieW[[#This Row],[UVID]]&amp;"-"&amp;TInspectieW[[#This Row],[Gebrek nr.]])</f>
        <v/>
      </c>
      <c r="N79" s="417"/>
      <c r="O79" s="418"/>
      <c r="P79" s="206"/>
      <c r="Q79" s="193"/>
      <c r="R79" s="206"/>
      <c r="S79" s="206"/>
      <c r="T79" s="206"/>
      <c r="U79" s="206"/>
      <c r="V79" s="206"/>
      <c r="W79" s="419"/>
      <c r="X79" s="340">
        <f>[1]Inventarisatie!U80</f>
        <v>0</v>
      </c>
      <c r="Y79" s="420"/>
      <c r="Z79" s="421" t="str">
        <f>IF(ISBLANK(TInspectieW[[#This Row],[Aantal]]),"",ROUND(TInspectieW[[#This Row],[Kengetal]]*TInspectieW[[#This Row],[Aantal]],-1))</f>
        <v/>
      </c>
      <c r="AA79" s="422" t="str">
        <f>IF(TInspectieW[[#This Row],[Vak-groep]]="","1",VLOOKUP(C79,$J$2:$K$7,2,FALSE))</f>
        <v>1</v>
      </c>
      <c r="AB79" s="423" t="str">
        <f>CONCATENATE(TInspectieW[[#This Row],[Soort gebrek]],TInspectieW[[#This Row],[Trede]])</f>
        <v>1</v>
      </c>
      <c r="AC79" s="413" t="e">
        <v>#N/A</v>
      </c>
      <c r="AD79" s="413" t="e">
        <v>#N/A</v>
      </c>
      <c r="AE79" s="424">
        <v>0</v>
      </c>
    </row>
    <row r="80" spans="1:31" ht="10.5" x14ac:dyDescent="0.25">
      <c r="A80" s="337"/>
      <c r="B80" s="410" t="str">
        <f>IF(TInspectieW[[#This Row],[UVID]]="","",VLOOKUP(TInspectieW[[#This Row],[UVID]],TInventW[],2,FALSE))</f>
        <v/>
      </c>
      <c r="C80" s="365" t="str">
        <f>IF(TInspectieW[[#This Row],[UVID]]="","",VLOOKUP(TInspectieW[[#This Row],[UVID]],TInventW[],11,FALSE))</f>
        <v/>
      </c>
      <c r="D80" s="411" t="str">
        <f>IF(TInspectieW[[#This Row],[UVID]]="","",VLOOKUP(TInspectieW[[#This Row],[UVID]],TInventW[],3,FALSE))</f>
        <v/>
      </c>
      <c r="E80" s="338"/>
      <c r="F80" s="412"/>
      <c r="G80" s="413" t="str">
        <f>IF(ISBLANK(TInspectieW[[#This Row],[Soort gebrek]]),"",VLOOKUP(TInspectieW[[#This Row],[Soort gebrek]],TSoortGebrek[#Data],3,FALSE))</f>
        <v/>
      </c>
      <c r="H80" s="413" t="str">
        <f>IF(ISBLANK(TInspectieW[[#This Row],[Soort gebrek]]),"",VLOOKUP(TInspectieW[[#This Row],[Soort gebrek]],TSoortGebrek[#Data],2,FALSE))</f>
        <v/>
      </c>
      <c r="I80" s="413" t="str">
        <f>IF(TInspectieW[[#This Row],[Soort gebrek]]=0,"",VLOOKUP(TInspectieW[[#This Row],[Soort gebrek]],TSoortGebrek[],4,FALSE))</f>
        <v/>
      </c>
      <c r="J80" s="425"/>
      <c r="K80" s="415" t="str">
        <f>IF(TInspectieW[[#This Row],[Soort gebrek]]=0,"",VLOOKUP(TInspectieW[[#This Row],[Combi]],TPrio[#Data],2,FALSE))</f>
        <v/>
      </c>
      <c r="L80" s="339"/>
      <c r="M80" s="416" t="str">
        <f>IF(ISBLANK(TInspectieW[[#This Row],[Gebrek nr.]]),"",TInspectieW[[#This Row],[UVID]]&amp;"-"&amp;TInspectieW[[#This Row],[Gebrek nr.]])</f>
        <v/>
      </c>
      <c r="N80" s="417"/>
      <c r="O80" s="418"/>
      <c r="P80" s="206"/>
      <c r="Q80" s="193"/>
      <c r="R80" s="206"/>
      <c r="S80" s="206"/>
      <c r="T80" s="206"/>
      <c r="U80" s="206"/>
      <c r="V80" s="206"/>
      <c r="W80" s="419"/>
      <c r="X80" s="340">
        <f>[1]Inventarisatie!U81</f>
        <v>0</v>
      </c>
      <c r="Y80" s="420"/>
      <c r="Z80" s="421" t="str">
        <f>IF(ISBLANK(TInspectieW[[#This Row],[Aantal]]),"",ROUND(TInspectieW[[#This Row],[Kengetal]]*TInspectieW[[#This Row],[Aantal]],-1))</f>
        <v/>
      </c>
      <c r="AA80" s="422" t="str">
        <f>IF(TInspectieW[[#This Row],[Vak-groep]]="","1",VLOOKUP(C80,$J$2:$K$7,2,FALSE))</f>
        <v>1</v>
      </c>
      <c r="AB80" s="423" t="str">
        <f>CONCATENATE(TInspectieW[[#This Row],[Soort gebrek]],TInspectieW[[#This Row],[Trede]])</f>
        <v>1</v>
      </c>
      <c r="AC80" s="413" t="e">
        <v>#N/A</v>
      </c>
      <c r="AD80" s="413" t="e">
        <v>#N/A</v>
      </c>
      <c r="AE80" s="424">
        <v>0</v>
      </c>
    </row>
    <row r="81" spans="1:31" ht="10.5" x14ac:dyDescent="0.25">
      <c r="A81" s="337"/>
      <c r="B81" s="410" t="str">
        <f>IF(TInspectieW[[#This Row],[UVID]]="","",VLOOKUP(TInspectieW[[#This Row],[UVID]],TInventW[],2,FALSE))</f>
        <v/>
      </c>
      <c r="C81" s="365" t="str">
        <f>IF(TInspectieW[[#This Row],[UVID]]="","",VLOOKUP(TInspectieW[[#This Row],[UVID]],TInventW[],11,FALSE))</f>
        <v/>
      </c>
      <c r="D81" s="411" t="str">
        <f>IF(TInspectieW[[#This Row],[UVID]]="","",VLOOKUP(TInspectieW[[#This Row],[UVID]],TInventW[],3,FALSE))</f>
        <v/>
      </c>
      <c r="E81" s="338"/>
      <c r="F81" s="412"/>
      <c r="G81" s="413" t="str">
        <f>IF(ISBLANK(TInspectieW[[#This Row],[Soort gebrek]]),"",VLOOKUP(TInspectieW[[#This Row],[Soort gebrek]],TSoortGebrek[#Data],3,FALSE))</f>
        <v/>
      </c>
      <c r="H81" s="413" t="str">
        <f>IF(ISBLANK(TInspectieW[[#This Row],[Soort gebrek]]),"",VLOOKUP(TInspectieW[[#This Row],[Soort gebrek]],TSoortGebrek[#Data],2,FALSE))</f>
        <v/>
      </c>
      <c r="I81" s="413" t="str">
        <f>IF(TInspectieW[[#This Row],[Soort gebrek]]=0,"",VLOOKUP(TInspectieW[[#This Row],[Soort gebrek]],TSoortGebrek[],4,FALSE))</f>
        <v/>
      </c>
      <c r="J81" s="425"/>
      <c r="K81" s="415" t="str">
        <f>IF(TInspectieW[[#This Row],[Soort gebrek]]=0,"",VLOOKUP(TInspectieW[[#This Row],[Combi]],TPrio[#Data],2,FALSE))</f>
        <v/>
      </c>
      <c r="L81" s="339"/>
      <c r="M81" s="416" t="str">
        <f>IF(ISBLANK(TInspectieW[[#This Row],[Gebrek nr.]]),"",TInspectieW[[#This Row],[UVID]]&amp;"-"&amp;TInspectieW[[#This Row],[Gebrek nr.]])</f>
        <v/>
      </c>
      <c r="N81" s="417"/>
      <c r="O81" s="418"/>
      <c r="P81" s="206"/>
      <c r="Q81" s="193"/>
      <c r="R81" s="206"/>
      <c r="S81" s="206"/>
      <c r="T81" s="206"/>
      <c r="U81" s="206"/>
      <c r="V81" s="206"/>
      <c r="W81" s="419"/>
      <c r="X81" s="340">
        <f>[1]Inventarisatie!U82</f>
        <v>0</v>
      </c>
      <c r="Y81" s="420"/>
      <c r="Z81" s="421" t="str">
        <f>IF(ISBLANK(TInspectieW[[#This Row],[Aantal]]),"",ROUND(TInspectieW[[#This Row],[Kengetal]]*TInspectieW[[#This Row],[Aantal]],-1))</f>
        <v/>
      </c>
      <c r="AA81" s="422" t="str">
        <f>IF(TInspectieW[[#This Row],[Vak-groep]]="","1",VLOOKUP(C81,$J$2:$K$7,2,FALSE))</f>
        <v>1</v>
      </c>
      <c r="AB81" s="423" t="str">
        <f>CONCATENATE(TInspectieW[[#This Row],[Soort gebrek]],TInspectieW[[#This Row],[Trede]])</f>
        <v>1</v>
      </c>
      <c r="AC81" s="413" t="e">
        <v>#N/A</v>
      </c>
      <c r="AD81" s="413" t="e">
        <v>#N/A</v>
      </c>
      <c r="AE81" s="424">
        <v>0</v>
      </c>
    </row>
    <row r="82" spans="1:31" ht="10.5" x14ac:dyDescent="0.25">
      <c r="A82" s="337"/>
      <c r="B82" s="410" t="str">
        <f>IF(TInspectieW[[#This Row],[UVID]]="","",VLOOKUP(TInspectieW[[#This Row],[UVID]],TInventW[],2,FALSE))</f>
        <v/>
      </c>
      <c r="C82" s="365" t="str">
        <f>IF(TInspectieW[[#This Row],[UVID]]="","",VLOOKUP(TInspectieW[[#This Row],[UVID]],TInventW[],11,FALSE))</f>
        <v/>
      </c>
      <c r="D82" s="411" t="str">
        <f>IF(TInspectieW[[#This Row],[UVID]]="","",VLOOKUP(TInspectieW[[#This Row],[UVID]],TInventW[],3,FALSE))</f>
        <v/>
      </c>
      <c r="E82" s="338"/>
      <c r="F82" s="412"/>
      <c r="G82" s="413" t="str">
        <f>IF(ISBLANK(TInspectieW[[#This Row],[Soort gebrek]]),"",VLOOKUP(TInspectieW[[#This Row],[Soort gebrek]],TSoortGebrek[#Data],3,FALSE))</f>
        <v/>
      </c>
      <c r="H82" s="413" t="str">
        <f>IF(ISBLANK(TInspectieW[[#This Row],[Soort gebrek]]),"",VLOOKUP(TInspectieW[[#This Row],[Soort gebrek]],TSoortGebrek[#Data],2,FALSE))</f>
        <v/>
      </c>
      <c r="I82" s="413" t="str">
        <f>IF(TInspectieW[[#This Row],[Soort gebrek]]=0,"",VLOOKUP(TInspectieW[[#This Row],[Soort gebrek]],TSoortGebrek[],4,FALSE))</f>
        <v/>
      </c>
      <c r="J82" s="425"/>
      <c r="K82" s="415" t="str">
        <f>IF(TInspectieW[[#This Row],[Soort gebrek]]=0,"",VLOOKUP(TInspectieW[[#This Row],[Combi]],TPrio[#Data],2,FALSE))</f>
        <v/>
      </c>
      <c r="L82" s="339"/>
      <c r="M82" s="416" t="str">
        <f>IF(ISBLANK(TInspectieW[[#This Row],[Gebrek nr.]]),"",TInspectieW[[#This Row],[UVID]]&amp;"-"&amp;TInspectieW[[#This Row],[Gebrek nr.]])</f>
        <v/>
      </c>
      <c r="N82" s="417"/>
      <c r="O82" s="418"/>
      <c r="P82" s="206"/>
      <c r="Q82" s="193"/>
      <c r="R82" s="206"/>
      <c r="S82" s="206"/>
      <c r="T82" s="206"/>
      <c r="U82" s="206"/>
      <c r="V82" s="206"/>
      <c r="W82" s="419"/>
      <c r="X82" s="340">
        <f>[1]Inventarisatie!U83</f>
        <v>0</v>
      </c>
      <c r="Y82" s="420"/>
      <c r="Z82" s="421" t="str">
        <f>IF(ISBLANK(TInspectieW[[#This Row],[Aantal]]),"",ROUND(TInspectieW[[#This Row],[Kengetal]]*TInspectieW[[#This Row],[Aantal]],-1))</f>
        <v/>
      </c>
      <c r="AA82" s="422" t="str">
        <f>IF(TInspectieW[[#This Row],[Vak-groep]]="","1",VLOOKUP(C82,$J$2:$K$7,2,FALSE))</f>
        <v>1</v>
      </c>
      <c r="AB82" s="423" t="str">
        <f>CONCATENATE(TInspectieW[[#This Row],[Soort gebrek]],TInspectieW[[#This Row],[Trede]])</f>
        <v>1</v>
      </c>
      <c r="AC82" s="413" t="e">
        <v>#N/A</v>
      </c>
      <c r="AD82" s="413" t="e">
        <v>#N/A</v>
      </c>
      <c r="AE82" s="424">
        <v>0</v>
      </c>
    </row>
    <row r="83" spans="1:31" ht="10.5" x14ac:dyDescent="0.25">
      <c r="A83" s="337"/>
      <c r="B83" s="410" t="str">
        <f>IF(TInspectieW[[#This Row],[UVID]]="","",VLOOKUP(TInspectieW[[#This Row],[UVID]],TInventW[],2,FALSE))</f>
        <v/>
      </c>
      <c r="C83" s="365" t="str">
        <f>IF(TInspectieW[[#This Row],[UVID]]="","",VLOOKUP(TInspectieW[[#This Row],[UVID]],TInventW[],11,FALSE))</f>
        <v/>
      </c>
      <c r="D83" s="411" t="str">
        <f>IF(TInspectieW[[#This Row],[UVID]]="","",VLOOKUP(TInspectieW[[#This Row],[UVID]],TInventW[],3,FALSE))</f>
        <v/>
      </c>
      <c r="E83" s="338"/>
      <c r="F83" s="412"/>
      <c r="G83" s="413" t="str">
        <f>IF(ISBLANK(TInspectieW[[#This Row],[Soort gebrek]]),"",VLOOKUP(TInspectieW[[#This Row],[Soort gebrek]],TSoortGebrek[#Data],3,FALSE))</f>
        <v/>
      </c>
      <c r="H83" s="413" t="str">
        <f>IF(ISBLANK(TInspectieW[[#This Row],[Soort gebrek]]),"",VLOOKUP(TInspectieW[[#This Row],[Soort gebrek]],TSoortGebrek[#Data],2,FALSE))</f>
        <v/>
      </c>
      <c r="I83" s="413" t="str">
        <f>IF(TInspectieW[[#This Row],[Soort gebrek]]=0,"",VLOOKUP(TInspectieW[[#This Row],[Soort gebrek]],TSoortGebrek[],4,FALSE))</f>
        <v/>
      </c>
      <c r="J83" s="425"/>
      <c r="K83" s="415" t="str">
        <f>IF(TInspectieW[[#This Row],[Soort gebrek]]=0,"",VLOOKUP(TInspectieW[[#This Row],[Combi]],TPrio[#Data],2,FALSE))</f>
        <v/>
      </c>
      <c r="L83" s="339"/>
      <c r="M83" s="416" t="str">
        <f>IF(ISBLANK(TInspectieW[[#This Row],[Gebrek nr.]]),"",TInspectieW[[#This Row],[UVID]]&amp;"-"&amp;TInspectieW[[#This Row],[Gebrek nr.]])</f>
        <v/>
      </c>
      <c r="N83" s="417"/>
      <c r="O83" s="418"/>
      <c r="P83" s="206"/>
      <c r="Q83" s="193"/>
      <c r="R83" s="206"/>
      <c r="S83" s="206"/>
      <c r="T83" s="206"/>
      <c r="U83" s="206"/>
      <c r="V83" s="206"/>
      <c r="W83" s="419"/>
      <c r="X83" s="340">
        <f>[1]Inventarisatie!U84</f>
        <v>0</v>
      </c>
      <c r="Y83" s="420"/>
      <c r="Z83" s="421" t="str">
        <f>IF(ISBLANK(TInspectieW[[#This Row],[Aantal]]),"",ROUND(TInspectieW[[#This Row],[Kengetal]]*TInspectieW[[#This Row],[Aantal]],-1))</f>
        <v/>
      </c>
      <c r="AA83" s="422" t="str">
        <f>IF(TInspectieW[[#This Row],[Vak-groep]]="","1",VLOOKUP(C83,$J$2:$K$7,2,FALSE))</f>
        <v>1</v>
      </c>
      <c r="AB83" s="423" t="str">
        <f>CONCATENATE(TInspectieW[[#This Row],[Soort gebrek]],TInspectieW[[#This Row],[Trede]])</f>
        <v>1</v>
      </c>
      <c r="AC83" s="413" t="e">
        <v>#N/A</v>
      </c>
      <c r="AD83" s="413" t="e">
        <v>#N/A</v>
      </c>
      <c r="AE83" s="424">
        <v>0</v>
      </c>
    </row>
    <row r="84" spans="1:31" ht="10.5" x14ac:dyDescent="0.25">
      <c r="A84" s="337"/>
      <c r="B84" s="410" t="str">
        <f>IF(TInspectieW[[#This Row],[UVID]]="","",VLOOKUP(TInspectieW[[#This Row],[UVID]],TInventW[],2,FALSE))</f>
        <v/>
      </c>
      <c r="C84" s="365" t="str">
        <f>IF(TInspectieW[[#This Row],[UVID]]="","",VLOOKUP(TInspectieW[[#This Row],[UVID]],TInventW[],11,FALSE))</f>
        <v/>
      </c>
      <c r="D84" s="411" t="str">
        <f>IF(TInspectieW[[#This Row],[UVID]]="","",VLOOKUP(TInspectieW[[#This Row],[UVID]],TInventW[],3,FALSE))</f>
        <v/>
      </c>
      <c r="E84" s="338"/>
      <c r="F84" s="412"/>
      <c r="G84" s="413" t="str">
        <f>IF(ISBLANK(TInspectieW[[#This Row],[Soort gebrek]]),"",VLOOKUP(TInspectieW[[#This Row],[Soort gebrek]],TSoortGebrek[#Data],3,FALSE))</f>
        <v/>
      </c>
      <c r="H84" s="413" t="str">
        <f>IF(ISBLANK(TInspectieW[[#This Row],[Soort gebrek]]),"",VLOOKUP(TInspectieW[[#This Row],[Soort gebrek]],TSoortGebrek[#Data],2,FALSE))</f>
        <v/>
      </c>
      <c r="I84" s="413" t="str">
        <f>IF(TInspectieW[[#This Row],[Soort gebrek]]=0,"",VLOOKUP(TInspectieW[[#This Row],[Soort gebrek]],TSoortGebrek[],4,FALSE))</f>
        <v/>
      </c>
      <c r="J84" s="425"/>
      <c r="K84" s="415" t="str">
        <f>IF(TInspectieW[[#This Row],[Soort gebrek]]=0,"",VLOOKUP(TInspectieW[[#This Row],[Combi]],TPrio[#Data],2,FALSE))</f>
        <v/>
      </c>
      <c r="L84" s="339"/>
      <c r="M84" s="416" t="str">
        <f>IF(ISBLANK(TInspectieW[[#This Row],[Gebrek nr.]]),"",TInspectieW[[#This Row],[UVID]]&amp;"-"&amp;TInspectieW[[#This Row],[Gebrek nr.]])</f>
        <v/>
      </c>
      <c r="N84" s="417"/>
      <c r="O84" s="418"/>
      <c r="P84" s="206"/>
      <c r="Q84" s="193"/>
      <c r="R84" s="206"/>
      <c r="S84" s="206"/>
      <c r="T84" s="206"/>
      <c r="U84" s="206"/>
      <c r="V84" s="206"/>
      <c r="W84" s="419"/>
      <c r="X84" s="340">
        <f>[1]Inventarisatie!U85</f>
        <v>0</v>
      </c>
      <c r="Y84" s="420"/>
      <c r="Z84" s="421" t="str">
        <f>IF(ISBLANK(TInspectieW[[#This Row],[Aantal]]),"",ROUND(TInspectieW[[#This Row],[Kengetal]]*TInspectieW[[#This Row],[Aantal]],-1))</f>
        <v/>
      </c>
      <c r="AA84" s="422" t="str">
        <f>IF(TInspectieW[[#This Row],[Vak-groep]]="","1",VLOOKUP(C84,$J$2:$K$7,2,FALSE))</f>
        <v>1</v>
      </c>
      <c r="AB84" s="423" t="str">
        <f>CONCATENATE(TInspectieW[[#This Row],[Soort gebrek]],TInspectieW[[#This Row],[Trede]])</f>
        <v>1</v>
      </c>
      <c r="AC84" s="413" t="e">
        <v>#N/A</v>
      </c>
      <c r="AD84" s="413" t="e">
        <v>#N/A</v>
      </c>
      <c r="AE84" s="424">
        <v>0</v>
      </c>
    </row>
    <row r="85" spans="1:31" ht="10.5" x14ac:dyDescent="0.25">
      <c r="A85" s="337"/>
      <c r="B85" s="410" t="str">
        <f>IF(TInspectieW[[#This Row],[UVID]]="","",VLOOKUP(TInspectieW[[#This Row],[UVID]],TInventW[],2,FALSE))</f>
        <v/>
      </c>
      <c r="C85" s="365" t="str">
        <f>IF(TInspectieW[[#This Row],[UVID]]="","",VLOOKUP(TInspectieW[[#This Row],[UVID]],TInventW[],11,FALSE))</f>
        <v/>
      </c>
      <c r="D85" s="411" t="str">
        <f>IF(TInspectieW[[#This Row],[UVID]]="","",VLOOKUP(TInspectieW[[#This Row],[UVID]],TInventW[],3,FALSE))</f>
        <v/>
      </c>
      <c r="E85" s="338"/>
      <c r="F85" s="412"/>
      <c r="G85" s="413" t="str">
        <f>IF(ISBLANK(TInspectieW[[#This Row],[Soort gebrek]]),"",VLOOKUP(TInspectieW[[#This Row],[Soort gebrek]],TSoortGebrek[#Data],3,FALSE))</f>
        <v/>
      </c>
      <c r="H85" s="413" t="str">
        <f>IF(ISBLANK(TInspectieW[[#This Row],[Soort gebrek]]),"",VLOOKUP(TInspectieW[[#This Row],[Soort gebrek]],TSoortGebrek[#Data],2,FALSE))</f>
        <v/>
      </c>
      <c r="I85" s="413" t="str">
        <f>IF(TInspectieW[[#This Row],[Soort gebrek]]=0,"",VLOOKUP(TInspectieW[[#This Row],[Soort gebrek]],TSoortGebrek[],4,FALSE))</f>
        <v/>
      </c>
      <c r="J85" s="425"/>
      <c r="K85" s="415" t="str">
        <f>IF(TInspectieW[[#This Row],[Soort gebrek]]=0,"",VLOOKUP(TInspectieW[[#This Row],[Combi]],TPrio[#Data],2,FALSE))</f>
        <v/>
      </c>
      <c r="L85" s="339"/>
      <c r="M85" s="416" t="str">
        <f>IF(ISBLANK(TInspectieW[[#This Row],[Gebrek nr.]]),"",TInspectieW[[#This Row],[UVID]]&amp;"-"&amp;TInspectieW[[#This Row],[Gebrek nr.]])</f>
        <v/>
      </c>
      <c r="N85" s="417"/>
      <c r="O85" s="418"/>
      <c r="P85" s="206"/>
      <c r="Q85" s="193"/>
      <c r="R85" s="206"/>
      <c r="S85" s="206"/>
      <c r="T85" s="206"/>
      <c r="U85" s="206"/>
      <c r="V85" s="206"/>
      <c r="W85" s="419"/>
      <c r="X85" s="340">
        <f>[1]Inventarisatie!U86</f>
        <v>0</v>
      </c>
      <c r="Y85" s="420"/>
      <c r="Z85" s="421" t="str">
        <f>IF(ISBLANK(TInspectieW[[#This Row],[Aantal]]),"",ROUND(TInspectieW[[#This Row],[Kengetal]]*TInspectieW[[#This Row],[Aantal]],-1))</f>
        <v/>
      </c>
      <c r="AA85" s="422" t="str">
        <f>IF(TInspectieW[[#This Row],[Vak-groep]]="","1",VLOOKUP(C85,$J$2:$K$7,2,FALSE))</f>
        <v>1</v>
      </c>
      <c r="AB85" s="423" t="str">
        <f>CONCATENATE(TInspectieW[[#This Row],[Soort gebrek]],TInspectieW[[#This Row],[Trede]])</f>
        <v>1</v>
      </c>
      <c r="AC85" s="413" t="e">
        <v>#N/A</v>
      </c>
      <c r="AD85" s="413" t="e">
        <v>#N/A</v>
      </c>
      <c r="AE85" s="424">
        <v>0</v>
      </c>
    </row>
    <row r="86" spans="1:31" ht="10.5" x14ac:dyDescent="0.25">
      <c r="A86" s="337"/>
      <c r="B86" s="410" t="str">
        <f>IF(TInspectieW[[#This Row],[UVID]]="","",VLOOKUP(TInspectieW[[#This Row],[UVID]],TInventW[],2,FALSE))</f>
        <v/>
      </c>
      <c r="C86" s="365" t="str">
        <f>IF(TInspectieW[[#This Row],[UVID]]="","",VLOOKUP(TInspectieW[[#This Row],[UVID]],TInventW[],11,FALSE))</f>
        <v/>
      </c>
      <c r="D86" s="411" t="str">
        <f>IF(TInspectieW[[#This Row],[UVID]]="","",VLOOKUP(TInspectieW[[#This Row],[UVID]],TInventW[],3,FALSE))</f>
        <v/>
      </c>
      <c r="E86" s="338"/>
      <c r="F86" s="412"/>
      <c r="G86" s="413" t="str">
        <f>IF(ISBLANK(TInspectieW[[#This Row],[Soort gebrek]]),"",VLOOKUP(TInspectieW[[#This Row],[Soort gebrek]],TSoortGebrek[#Data],3,FALSE))</f>
        <v/>
      </c>
      <c r="H86" s="413" t="str">
        <f>IF(ISBLANK(TInspectieW[[#This Row],[Soort gebrek]]),"",VLOOKUP(TInspectieW[[#This Row],[Soort gebrek]],TSoortGebrek[#Data],2,FALSE))</f>
        <v/>
      </c>
      <c r="I86" s="413" t="str">
        <f>IF(TInspectieW[[#This Row],[Soort gebrek]]=0,"",VLOOKUP(TInspectieW[[#This Row],[Soort gebrek]],TSoortGebrek[],4,FALSE))</f>
        <v/>
      </c>
      <c r="J86" s="425"/>
      <c r="K86" s="415" t="str">
        <f>IF(TInspectieW[[#This Row],[Soort gebrek]]=0,"",VLOOKUP(TInspectieW[[#This Row],[Combi]],TPrio[#Data],2,FALSE))</f>
        <v/>
      </c>
      <c r="L86" s="339"/>
      <c r="M86" s="416" t="str">
        <f>IF(ISBLANK(TInspectieW[[#This Row],[Gebrek nr.]]),"",TInspectieW[[#This Row],[UVID]]&amp;"-"&amp;TInspectieW[[#This Row],[Gebrek nr.]])</f>
        <v/>
      </c>
      <c r="N86" s="417"/>
      <c r="O86" s="418"/>
      <c r="P86" s="206"/>
      <c r="Q86" s="193"/>
      <c r="R86" s="206"/>
      <c r="S86" s="206"/>
      <c r="T86" s="206"/>
      <c r="U86" s="206"/>
      <c r="V86" s="206"/>
      <c r="W86" s="419"/>
      <c r="X86" s="340">
        <f>[1]Inventarisatie!U87</f>
        <v>0</v>
      </c>
      <c r="Y86" s="420"/>
      <c r="Z86" s="421" t="str">
        <f>IF(ISBLANK(TInspectieW[[#This Row],[Aantal]]),"",ROUND(TInspectieW[[#This Row],[Kengetal]]*TInspectieW[[#This Row],[Aantal]],-1))</f>
        <v/>
      </c>
      <c r="AA86" s="422" t="str">
        <f>IF(TInspectieW[[#This Row],[Vak-groep]]="","1",VLOOKUP(C86,$J$2:$K$7,2,FALSE))</f>
        <v>1</v>
      </c>
      <c r="AB86" s="423" t="str">
        <f>CONCATENATE(TInspectieW[[#This Row],[Soort gebrek]],TInspectieW[[#This Row],[Trede]])</f>
        <v>1</v>
      </c>
      <c r="AC86" s="413" t="e">
        <v>#N/A</v>
      </c>
      <c r="AD86" s="413" t="e">
        <v>#N/A</v>
      </c>
      <c r="AE86" s="424">
        <v>0</v>
      </c>
    </row>
    <row r="87" spans="1:31" ht="10.5" x14ac:dyDescent="0.25">
      <c r="A87" s="337"/>
      <c r="B87" s="410" t="str">
        <f>IF(TInspectieW[[#This Row],[UVID]]="","",VLOOKUP(TInspectieW[[#This Row],[UVID]],TInventW[],2,FALSE))</f>
        <v/>
      </c>
      <c r="C87" s="365" t="str">
        <f>IF(TInspectieW[[#This Row],[UVID]]="","",VLOOKUP(TInspectieW[[#This Row],[UVID]],TInventW[],11,FALSE))</f>
        <v/>
      </c>
      <c r="D87" s="411" t="str">
        <f>IF(TInspectieW[[#This Row],[UVID]]="","",VLOOKUP(TInspectieW[[#This Row],[UVID]],TInventW[],3,FALSE))</f>
        <v/>
      </c>
      <c r="E87" s="338"/>
      <c r="F87" s="412"/>
      <c r="G87" s="413" t="str">
        <f>IF(ISBLANK(TInspectieW[[#This Row],[Soort gebrek]]),"",VLOOKUP(TInspectieW[[#This Row],[Soort gebrek]],TSoortGebrek[#Data],3,FALSE))</f>
        <v/>
      </c>
      <c r="H87" s="413" t="str">
        <f>IF(ISBLANK(TInspectieW[[#This Row],[Soort gebrek]]),"",VLOOKUP(TInspectieW[[#This Row],[Soort gebrek]],TSoortGebrek[#Data],2,FALSE))</f>
        <v/>
      </c>
      <c r="I87" s="413" t="str">
        <f>IF(TInspectieW[[#This Row],[Soort gebrek]]=0,"",VLOOKUP(TInspectieW[[#This Row],[Soort gebrek]],TSoortGebrek[],4,FALSE))</f>
        <v/>
      </c>
      <c r="J87" s="425"/>
      <c r="K87" s="415" t="str">
        <f>IF(TInspectieW[[#This Row],[Soort gebrek]]=0,"",VLOOKUP(TInspectieW[[#This Row],[Combi]],TPrio[#Data],2,FALSE))</f>
        <v/>
      </c>
      <c r="L87" s="339"/>
      <c r="M87" s="416" t="str">
        <f>IF(ISBLANK(TInspectieW[[#This Row],[Gebrek nr.]]),"",TInspectieW[[#This Row],[UVID]]&amp;"-"&amp;TInspectieW[[#This Row],[Gebrek nr.]])</f>
        <v/>
      </c>
      <c r="N87" s="417"/>
      <c r="O87" s="418"/>
      <c r="P87" s="206"/>
      <c r="Q87" s="193"/>
      <c r="R87" s="206"/>
      <c r="S87" s="206"/>
      <c r="T87" s="206"/>
      <c r="U87" s="206"/>
      <c r="V87" s="206"/>
      <c r="W87" s="419"/>
      <c r="X87" s="340">
        <f>[1]Inventarisatie!U88</f>
        <v>0</v>
      </c>
      <c r="Y87" s="420"/>
      <c r="Z87" s="421" t="str">
        <f>IF(ISBLANK(TInspectieW[[#This Row],[Aantal]]),"",ROUND(TInspectieW[[#This Row],[Kengetal]]*TInspectieW[[#This Row],[Aantal]],-1))</f>
        <v/>
      </c>
      <c r="AA87" s="422" t="str">
        <f>IF(TInspectieW[[#This Row],[Vak-groep]]="","1",VLOOKUP(C87,$J$2:$K$7,2,FALSE))</f>
        <v>1</v>
      </c>
      <c r="AB87" s="423" t="str">
        <f>CONCATENATE(TInspectieW[[#This Row],[Soort gebrek]],TInspectieW[[#This Row],[Trede]])</f>
        <v>1</v>
      </c>
      <c r="AC87" s="413" t="e">
        <v>#N/A</v>
      </c>
      <c r="AD87" s="413" t="e">
        <v>#N/A</v>
      </c>
      <c r="AE87" s="424">
        <v>0</v>
      </c>
    </row>
    <row r="88" spans="1:31" ht="10.5" x14ac:dyDescent="0.25">
      <c r="A88" s="337"/>
      <c r="B88" s="410" t="str">
        <f>IF(TInspectieW[[#This Row],[UVID]]="","",VLOOKUP(TInspectieW[[#This Row],[UVID]],TInventW[],2,FALSE))</f>
        <v/>
      </c>
      <c r="C88" s="365" t="str">
        <f>IF(TInspectieW[[#This Row],[UVID]]="","",VLOOKUP(TInspectieW[[#This Row],[UVID]],TInventW[],11,FALSE))</f>
        <v/>
      </c>
      <c r="D88" s="411" t="str">
        <f>IF(TInspectieW[[#This Row],[UVID]]="","",VLOOKUP(TInspectieW[[#This Row],[UVID]],TInventW[],3,FALSE))</f>
        <v/>
      </c>
      <c r="E88" s="338"/>
      <c r="F88" s="412"/>
      <c r="G88" s="413" t="str">
        <f>IF(ISBLANK(TInspectieW[[#This Row],[Soort gebrek]]),"",VLOOKUP(TInspectieW[[#This Row],[Soort gebrek]],TSoortGebrek[#Data],3,FALSE))</f>
        <v/>
      </c>
      <c r="H88" s="413" t="str">
        <f>IF(ISBLANK(TInspectieW[[#This Row],[Soort gebrek]]),"",VLOOKUP(TInspectieW[[#This Row],[Soort gebrek]],TSoortGebrek[#Data],2,FALSE))</f>
        <v/>
      </c>
      <c r="I88" s="413" t="str">
        <f>IF(TInspectieW[[#This Row],[Soort gebrek]]=0,"",VLOOKUP(TInspectieW[[#This Row],[Soort gebrek]],TSoortGebrek[],4,FALSE))</f>
        <v/>
      </c>
      <c r="J88" s="425"/>
      <c r="K88" s="415" t="str">
        <f>IF(TInspectieW[[#This Row],[Soort gebrek]]=0,"",VLOOKUP(TInspectieW[[#This Row],[Combi]],TPrio[#Data],2,FALSE))</f>
        <v/>
      </c>
      <c r="L88" s="339"/>
      <c r="M88" s="416" t="str">
        <f>IF(ISBLANK(TInspectieW[[#This Row],[Gebrek nr.]]),"",TInspectieW[[#This Row],[UVID]]&amp;"-"&amp;TInspectieW[[#This Row],[Gebrek nr.]])</f>
        <v/>
      </c>
      <c r="N88" s="417"/>
      <c r="O88" s="418"/>
      <c r="P88" s="206"/>
      <c r="Q88" s="193"/>
      <c r="R88" s="206"/>
      <c r="S88" s="206"/>
      <c r="T88" s="206"/>
      <c r="U88" s="206"/>
      <c r="V88" s="206"/>
      <c r="W88" s="419"/>
      <c r="X88" s="340">
        <f>[1]Inventarisatie!U89</f>
        <v>0</v>
      </c>
      <c r="Y88" s="420"/>
      <c r="Z88" s="421" t="str">
        <f>IF(ISBLANK(TInspectieW[[#This Row],[Aantal]]),"",ROUND(TInspectieW[[#This Row],[Kengetal]]*TInspectieW[[#This Row],[Aantal]],-1))</f>
        <v/>
      </c>
      <c r="AA88" s="422" t="str">
        <f>IF(TInspectieW[[#This Row],[Vak-groep]]="","1",VLOOKUP(C88,$J$2:$K$7,2,FALSE))</f>
        <v>1</v>
      </c>
      <c r="AB88" s="423" t="str">
        <f>CONCATENATE(TInspectieW[[#This Row],[Soort gebrek]],TInspectieW[[#This Row],[Trede]])</f>
        <v>1</v>
      </c>
      <c r="AC88" s="413" t="e">
        <v>#N/A</v>
      </c>
      <c r="AD88" s="413" t="e">
        <v>#N/A</v>
      </c>
      <c r="AE88" s="424">
        <v>0</v>
      </c>
    </row>
    <row r="89" spans="1:31" ht="10.5" x14ac:dyDescent="0.25">
      <c r="A89" s="337"/>
      <c r="B89" s="410" t="str">
        <f>IF(TInspectieW[[#This Row],[UVID]]="","",VLOOKUP(TInspectieW[[#This Row],[UVID]],TInventW[],2,FALSE))</f>
        <v/>
      </c>
      <c r="C89" s="365" t="str">
        <f>IF(TInspectieW[[#This Row],[UVID]]="","",VLOOKUP(TInspectieW[[#This Row],[UVID]],TInventW[],11,FALSE))</f>
        <v/>
      </c>
      <c r="D89" s="411" t="str">
        <f>IF(TInspectieW[[#This Row],[UVID]]="","",VLOOKUP(TInspectieW[[#This Row],[UVID]],TInventW[],3,FALSE))</f>
        <v/>
      </c>
      <c r="E89" s="338"/>
      <c r="F89" s="412"/>
      <c r="G89" s="413" t="str">
        <f>IF(ISBLANK(TInspectieW[[#This Row],[Soort gebrek]]),"",VLOOKUP(TInspectieW[[#This Row],[Soort gebrek]],TSoortGebrek[#Data],3,FALSE))</f>
        <v/>
      </c>
      <c r="H89" s="413" t="str">
        <f>IF(ISBLANK(TInspectieW[[#This Row],[Soort gebrek]]),"",VLOOKUP(TInspectieW[[#This Row],[Soort gebrek]],TSoortGebrek[#Data],2,FALSE))</f>
        <v/>
      </c>
      <c r="I89" s="413" t="str">
        <f>IF(TInspectieW[[#This Row],[Soort gebrek]]=0,"",VLOOKUP(TInspectieW[[#This Row],[Soort gebrek]],TSoortGebrek[],4,FALSE))</f>
        <v/>
      </c>
      <c r="J89" s="425"/>
      <c r="K89" s="415" t="str">
        <f>IF(TInspectieW[[#This Row],[Soort gebrek]]=0,"",VLOOKUP(TInspectieW[[#This Row],[Combi]],TPrio[#Data],2,FALSE))</f>
        <v/>
      </c>
      <c r="L89" s="339"/>
      <c r="M89" s="416" t="str">
        <f>IF(ISBLANK(TInspectieW[[#This Row],[Gebrek nr.]]),"",TInspectieW[[#This Row],[UVID]]&amp;"-"&amp;TInspectieW[[#This Row],[Gebrek nr.]])</f>
        <v/>
      </c>
      <c r="N89" s="417"/>
      <c r="O89" s="418"/>
      <c r="P89" s="206"/>
      <c r="Q89" s="193"/>
      <c r="R89" s="206"/>
      <c r="S89" s="206"/>
      <c r="T89" s="206"/>
      <c r="U89" s="206"/>
      <c r="V89" s="206"/>
      <c r="W89" s="419"/>
      <c r="X89" s="340">
        <f>[1]Inventarisatie!U90</f>
        <v>0</v>
      </c>
      <c r="Y89" s="420"/>
      <c r="Z89" s="421" t="str">
        <f>IF(ISBLANK(TInspectieW[[#This Row],[Aantal]]),"",ROUND(TInspectieW[[#This Row],[Kengetal]]*TInspectieW[[#This Row],[Aantal]],-1))</f>
        <v/>
      </c>
      <c r="AA89" s="422" t="str">
        <f>IF(TInspectieW[[#This Row],[Vak-groep]]="","1",VLOOKUP(C89,$J$2:$K$7,2,FALSE))</f>
        <v>1</v>
      </c>
      <c r="AB89" s="423" t="str">
        <f>CONCATENATE(TInspectieW[[#This Row],[Soort gebrek]],TInspectieW[[#This Row],[Trede]])</f>
        <v>1</v>
      </c>
      <c r="AC89" s="413" t="e">
        <v>#N/A</v>
      </c>
      <c r="AD89" s="413" t="e">
        <v>#N/A</v>
      </c>
      <c r="AE89" s="424">
        <v>0</v>
      </c>
    </row>
    <row r="90" spans="1:31" ht="10.5" x14ac:dyDescent="0.25">
      <c r="A90" s="337"/>
      <c r="B90" s="410" t="str">
        <f>IF(TInspectieW[[#This Row],[UVID]]="","",VLOOKUP(TInspectieW[[#This Row],[UVID]],TInventW[],2,FALSE))</f>
        <v/>
      </c>
      <c r="C90" s="365" t="str">
        <f>IF(TInspectieW[[#This Row],[UVID]]="","",VLOOKUP(TInspectieW[[#This Row],[UVID]],TInventW[],11,FALSE))</f>
        <v/>
      </c>
      <c r="D90" s="411" t="str">
        <f>IF(TInspectieW[[#This Row],[UVID]]="","",VLOOKUP(TInspectieW[[#This Row],[UVID]],TInventW[],3,FALSE))</f>
        <v/>
      </c>
      <c r="E90" s="338"/>
      <c r="F90" s="412"/>
      <c r="G90" s="413" t="str">
        <f>IF(ISBLANK(TInspectieW[[#This Row],[Soort gebrek]]),"",VLOOKUP(TInspectieW[[#This Row],[Soort gebrek]],TSoortGebrek[#Data],3,FALSE))</f>
        <v/>
      </c>
      <c r="H90" s="413" t="str">
        <f>IF(ISBLANK(TInspectieW[[#This Row],[Soort gebrek]]),"",VLOOKUP(TInspectieW[[#This Row],[Soort gebrek]],TSoortGebrek[#Data],2,FALSE))</f>
        <v/>
      </c>
      <c r="I90" s="413" t="str">
        <f>IF(TInspectieW[[#This Row],[Soort gebrek]]=0,"",VLOOKUP(TInspectieW[[#This Row],[Soort gebrek]],TSoortGebrek[],4,FALSE))</f>
        <v/>
      </c>
      <c r="J90" s="425"/>
      <c r="K90" s="415" t="str">
        <f>IF(TInspectieW[[#This Row],[Soort gebrek]]=0,"",VLOOKUP(TInspectieW[[#This Row],[Combi]],TPrio[#Data],2,FALSE))</f>
        <v/>
      </c>
      <c r="L90" s="339"/>
      <c r="M90" s="416" t="str">
        <f>IF(ISBLANK(TInspectieW[[#This Row],[Gebrek nr.]]),"",TInspectieW[[#This Row],[UVID]]&amp;"-"&amp;TInspectieW[[#This Row],[Gebrek nr.]])</f>
        <v/>
      </c>
      <c r="N90" s="417"/>
      <c r="O90" s="418"/>
      <c r="P90" s="206"/>
      <c r="Q90" s="193"/>
      <c r="R90" s="206"/>
      <c r="S90" s="206"/>
      <c r="T90" s="206"/>
      <c r="U90" s="206"/>
      <c r="V90" s="206"/>
      <c r="W90" s="419"/>
      <c r="X90" s="340">
        <f>[1]Inventarisatie!U91</f>
        <v>0</v>
      </c>
      <c r="Y90" s="420"/>
      <c r="Z90" s="421" t="str">
        <f>IF(ISBLANK(TInspectieW[[#This Row],[Aantal]]),"",ROUND(TInspectieW[[#This Row],[Kengetal]]*TInspectieW[[#This Row],[Aantal]],-1))</f>
        <v/>
      </c>
      <c r="AA90" s="422" t="str">
        <f>IF(TInspectieW[[#This Row],[Vak-groep]]="","1",VLOOKUP(C90,$J$2:$K$7,2,FALSE))</f>
        <v>1</v>
      </c>
      <c r="AB90" s="423" t="str">
        <f>CONCATENATE(TInspectieW[[#This Row],[Soort gebrek]],TInspectieW[[#This Row],[Trede]])</f>
        <v>1</v>
      </c>
      <c r="AC90" s="413" t="e">
        <v>#N/A</v>
      </c>
      <c r="AD90" s="413" t="e">
        <v>#N/A</v>
      </c>
      <c r="AE90" s="424">
        <v>0</v>
      </c>
    </row>
    <row r="91" spans="1:31" ht="10.5" x14ac:dyDescent="0.25">
      <c r="A91" s="337"/>
      <c r="B91" s="410" t="str">
        <f>IF(TInspectieW[[#This Row],[UVID]]="","",VLOOKUP(TInspectieW[[#This Row],[UVID]],TInventW[],2,FALSE))</f>
        <v/>
      </c>
      <c r="C91" s="365" t="str">
        <f>IF(TInspectieW[[#This Row],[UVID]]="","",VLOOKUP(TInspectieW[[#This Row],[UVID]],TInventW[],11,FALSE))</f>
        <v/>
      </c>
      <c r="D91" s="411" t="str">
        <f>IF(TInspectieW[[#This Row],[UVID]]="","",VLOOKUP(TInspectieW[[#This Row],[UVID]],TInventW[],3,FALSE))</f>
        <v/>
      </c>
      <c r="E91" s="338"/>
      <c r="F91" s="412"/>
      <c r="G91" s="413" t="str">
        <f>IF(ISBLANK(TInspectieW[[#This Row],[Soort gebrek]]),"",VLOOKUP(TInspectieW[[#This Row],[Soort gebrek]],TSoortGebrek[#Data],3,FALSE))</f>
        <v/>
      </c>
      <c r="H91" s="413" t="str">
        <f>IF(ISBLANK(TInspectieW[[#This Row],[Soort gebrek]]),"",VLOOKUP(TInspectieW[[#This Row],[Soort gebrek]],TSoortGebrek[#Data],2,FALSE))</f>
        <v/>
      </c>
      <c r="I91" s="413" t="str">
        <f>IF(TInspectieW[[#This Row],[Soort gebrek]]=0,"",VLOOKUP(TInspectieW[[#This Row],[Soort gebrek]],TSoortGebrek[],4,FALSE))</f>
        <v/>
      </c>
      <c r="J91" s="425"/>
      <c r="K91" s="415" t="str">
        <f>IF(TInspectieW[[#This Row],[Soort gebrek]]=0,"",VLOOKUP(TInspectieW[[#This Row],[Combi]],TPrio[#Data],2,FALSE))</f>
        <v/>
      </c>
      <c r="L91" s="339"/>
      <c r="M91" s="416" t="str">
        <f>IF(ISBLANK(TInspectieW[[#This Row],[Gebrek nr.]]),"",TInspectieW[[#This Row],[UVID]]&amp;"-"&amp;TInspectieW[[#This Row],[Gebrek nr.]])</f>
        <v/>
      </c>
      <c r="N91" s="417"/>
      <c r="O91" s="418"/>
      <c r="P91" s="206"/>
      <c r="Q91" s="193"/>
      <c r="R91" s="206"/>
      <c r="S91" s="206"/>
      <c r="T91" s="206"/>
      <c r="U91" s="206"/>
      <c r="V91" s="206"/>
      <c r="W91" s="419"/>
      <c r="X91" s="340">
        <f>[1]Inventarisatie!U92</f>
        <v>0</v>
      </c>
      <c r="Y91" s="420"/>
      <c r="Z91" s="421" t="str">
        <f>IF(ISBLANK(TInspectieW[[#This Row],[Aantal]]),"",ROUND(TInspectieW[[#This Row],[Kengetal]]*TInspectieW[[#This Row],[Aantal]],-1))</f>
        <v/>
      </c>
      <c r="AA91" s="422" t="str">
        <f>IF(TInspectieW[[#This Row],[Vak-groep]]="","1",VLOOKUP(C91,$J$2:$K$7,2,FALSE))</f>
        <v>1</v>
      </c>
      <c r="AB91" s="423" t="str">
        <f>CONCATENATE(TInspectieW[[#This Row],[Soort gebrek]],TInspectieW[[#This Row],[Trede]])</f>
        <v>1</v>
      </c>
      <c r="AC91" s="413" t="e">
        <v>#N/A</v>
      </c>
      <c r="AD91" s="413" t="e">
        <v>#N/A</v>
      </c>
      <c r="AE91" s="424">
        <v>0</v>
      </c>
    </row>
    <row r="92" spans="1:31" ht="10.5" x14ac:dyDescent="0.25">
      <c r="A92" s="337"/>
      <c r="B92" s="410" t="str">
        <f>IF(TInspectieW[[#This Row],[UVID]]="","",VLOOKUP(TInspectieW[[#This Row],[UVID]],TInventW[],2,FALSE))</f>
        <v/>
      </c>
      <c r="C92" s="365" t="str">
        <f>IF(TInspectieW[[#This Row],[UVID]]="","",VLOOKUP(TInspectieW[[#This Row],[UVID]],TInventW[],11,FALSE))</f>
        <v/>
      </c>
      <c r="D92" s="411" t="str">
        <f>IF(TInspectieW[[#This Row],[UVID]]="","",VLOOKUP(TInspectieW[[#This Row],[UVID]],TInventW[],3,FALSE))</f>
        <v/>
      </c>
      <c r="E92" s="338"/>
      <c r="F92" s="412"/>
      <c r="G92" s="413" t="str">
        <f>IF(ISBLANK(TInspectieW[[#This Row],[Soort gebrek]]),"",VLOOKUP(TInspectieW[[#This Row],[Soort gebrek]],TSoortGebrek[#Data],3,FALSE))</f>
        <v/>
      </c>
      <c r="H92" s="413" t="str">
        <f>IF(ISBLANK(TInspectieW[[#This Row],[Soort gebrek]]),"",VLOOKUP(TInspectieW[[#This Row],[Soort gebrek]],TSoortGebrek[#Data],2,FALSE))</f>
        <v/>
      </c>
      <c r="I92" s="413" t="str">
        <f>IF(TInspectieW[[#This Row],[Soort gebrek]]=0,"",VLOOKUP(TInspectieW[[#This Row],[Soort gebrek]],TSoortGebrek[],4,FALSE))</f>
        <v/>
      </c>
      <c r="J92" s="425"/>
      <c r="K92" s="415" t="str">
        <f>IF(TInspectieW[[#This Row],[Soort gebrek]]=0,"",VLOOKUP(TInspectieW[[#This Row],[Combi]],TPrio[#Data],2,FALSE))</f>
        <v/>
      </c>
      <c r="L92" s="339"/>
      <c r="M92" s="416" t="str">
        <f>IF(ISBLANK(TInspectieW[[#This Row],[Gebrek nr.]]),"",TInspectieW[[#This Row],[UVID]]&amp;"-"&amp;TInspectieW[[#This Row],[Gebrek nr.]])</f>
        <v/>
      </c>
      <c r="N92" s="417"/>
      <c r="O92" s="418"/>
      <c r="P92" s="206"/>
      <c r="Q92" s="193"/>
      <c r="R92" s="206"/>
      <c r="S92" s="206"/>
      <c r="T92" s="206"/>
      <c r="U92" s="206"/>
      <c r="V92" s="206"/>
      <c r="W92" s="419"/>
      <c r="X92" s="340">
        <f>[1]Inventarisatie!U93</f>
        <v>0</v>
      </c>
      <c r="Y92" s="420"/>
      <c r="Z92" s="421" t="str">
        <f>IF(ISBLANK(TInspectieW[[#This Row],[Aantal]]),"",ROUND(TInspectieW[[#This Row],[Kengetal]]*TInspectieW[[#This Row],[Aantal]],-1))</f>
        <v/>
      </c>
      <c r="AA92" s="422" t="str">
        <f>IF(TInspectieW[[#This Row],[Vak-groep]]="","1",VLOOKUP(C92,$J$2:$K$7,2,FALSE))</f>
        <v>1</v>
      </c>
      <c r="AB92" s="423" t="str">
        <f>CONCATENATE(TInspectieW[[#This Row],[Soort gebrek]],TInspectieW[[#This Row],[Trede]])</f>
        <v>1</v>
      </c>
      <c r="AC92" s="413" t="e">
        <v>#N/A</v>
      </c>
      <c r="AD92" s="413" t="e">
        <v>#N/A</v>
      </c>
      <c r="AE92" s="424">
        <v>0</v>
      </c>
    </row>
    <row r="93" spans="1:31" ht="10.5" x14ac:dyDescent="0.25">
      <c r="A93" s="337"/>
      <c r="B93" s="410" t="str">
        <f>IF(TInspectieW[[#This Row],[UVID]]="","",VLOOKUP(TInspectieW[[#This Row],[UVID]],TInventW[],2,FALSE))</f>
        <v/>
      </c>
      <c r="C93" s="365" t="str">
        <f>IF(TInspectieW[[#This Row],[UVID]]="","",VLOOKUP(TInspectieW[[#This Row],[UVID]],TInventW[],11,FALSE))</f>
        <v/>
      </c>
      <c r="D93" s="411" t="str">
        <f>IF(TInspectieW[[#This Row],[UVID]]="","",VLOOKUP(TInspectieW[[#This Row],[UVID]],TInventW[],3,FALSE))</f>
        <v/>
      </c>
      <c r="E93" s="338"/>
      <c r="F93" s="412"/>
      <c r="G93" s="413" t="str">
        <f>IF(ISBLANK(TInspectieW[[#This Row],[Soort gebrek]]),"",VLOOKUP(TInspectieW[[#This Row],[Soort gebrek]],TSoortGebrek[#Data],3,FALSE))</f>
        <v/>
      </c>
      <c r="H93" s="413" t="str">
        <f>IF(ISBLANK(TInspectieW[[#This Row],[Soort gebrek]]),"",VLOOKUP(TInspectieW[[#This Row],[Soort gebrek]],TSoortGebrek[#Data],2,FALSE))</f>
        <v/>
      </c>
      <c r="I93" s="413" t="str">
        <f>IF(TInspectieW[[#This Row],[Soort gebrek]]=0,"",VLOOKUP(TInspectieW[[#This Row],[Soort gebrek]],TSoortGebrek[],4,FALSE))</f>
        <v/>
      </c>
      <c r="J93" s="425"/>
      <c r="K93" s="415" t="str">
        <f>IF(TInspectieW[[#This Row],[Soort gebrek]]=0,"",VLOOKUP(TInspectieW[[#This Row],[Combi]],TPrio[#Data],2,FALSE))</f>
        <v/>
      </c>
      <c r="L93" s="339"/>
      <c r="M93" s="416" t="str">
        <f>IF(ISBLANK(TInspectieW[[#This Row],[Gebrek nr.]]),"",TInspectieW[[#This Row],[UVID]]&amp;"-"&amp;TInspectieW[[#This Row],[Gebrek nr.]])</f>
        <v/>
      </c>
      <c r="N93" s="417"/>
      <c r="O93" s="418"/>
      <c r="P93" s="206"/>
      <c r="Q93" s="193"/>
      <c r="R93" s="206"/>
      <c r="S93" s="206"/>
      <c r="T93" s="206"/>
      <c r="U93" s="206"/>
      <c r="V93" s="206"/>
      <c r="W93" s="419"/>
      <c r="X93" s="340">
        <f>[1]Inventarisatie!U94</f>
        <v>0</v>
      </c>
      <c r="Y93" s="420"/>
      <c r="Z93" s="421" t="str">
        <f>IF(ISBLANK(TInspectieW[[#This Row],[Aantal]]),"",ROUND(TInspectieW[[#This Row],[Kengetal]]*TInspectieW[[#This Row],[Aantal]],-1))</f>
        <v/>
      </c>
      <c r="AA93" s="422" t="str">
        <f>IF(TInspectieW[[#This Row],[Vak-groep]]="","1",VLOOKUP(C93,$J$2:$K$7,2,FALSE))</f>
        <v>1</v>
      </c>
      <c r="AB93" s="423" t="str">
        <f>CONCATENATE(TInspectieW[[#This Row],[Soort gebrek]],TInspectieW[[#This Row],[Trede]])</f>
        <v>1</v>
      </c>
      <c r="AC93" s="413" t="e">
        <v>#N/A</v>
      </c>
      <c r="AD93" s="413" t="e">
        <v>#N/A</v>
      </c>
      <c r="AE93" s="424">
        <v>0</v>
      </c>
    </row>
    <row r="94" spans="1:31" ht="10.5" x14ac:dyDescent="0.25">
      <c r="A94" s="337"/>
      <c r="B94" s="410" t="str">
        <f>IF(TInspectieW[[#This Row],[UVID]]="","",VLOOKUP(TInspectieW[[#This Row],[UVID]],TInventW[],2,FALSE))</f>
        <v/>
      </c>
      <c r="C94" s="365" t="str">
        <f>IF(TInspectieW[[#This Row],[UVID]]="","",VLOOKUP(TInspectieW[[#This Row],[UVID]],TInventW[],11,FALSE))</f>
        <v/>
      </c>
      <c r="D94" s="411" t="str">
        <f>IF(TInspectieW[[#This Row],[UVID]]="","",VLOOKUP(TInspectieW[[#This Row],[UVID]],TInventW[],3,FALSE))</f>
        <v/>
      </c>
      <c r="E94" s="338"/>
      <c r="F94" s="412"/>
      <c r="G94" s="413" t="str">
        <f>IF(ISBLANK(TInspectieW[[#This Row],[Soort gebrek]]),"",VLOOKUP(TInspectieW[[#This Row],[Soort gebrek]],TSoortGebrek[#Data],3,FALSE))</f>
        <v/>
      </c>
      <c r="H94" s="413" t="str">
        <f>IF(ISBLANK(TInspectieW[[#This Row],[Soort gebrek]]),"",VLOOKUP(TInspectieW[[#This Row],[Soort gebrek]],TSoortGebrek[#Data],2,FALSE))</f>
        <v/>
      </c>
      <c r="I94" s="413" t="str">
        <f>IF(TInspectieW[[#This Row],[Soort gebrek]]=0,"",VLOOKUP(TInspectieW[[#This Row],[Soort gebrek]],TSoortGebrek[],4,FALSE))</f>
        <v/>
      </c>
      <c r="J94" s="425"/>
      <c r="K94" s="415" t="str">
        <f>IF(TInspectieW[[#This Row],[Soort gebrek]]=0,"",VLOOKUP(TInspectieW[[#This Row],[Combi]],TPrio[#Data],2,FALSE))</f>
        <v/>
      </c>
      <c r="L94" s="339"/>
      <c r="M94" s="416" t="str">
        <f>IF(ISBLANK(TInspectieW[[#This Row],[Gebrek nr.]]),"",TInspectieW[[#This Row],[UVID]]&amp;"-"&amp;TInspectieW[[#This Row],[Gebrek nr.]])</f>
        <v/>
      </c>
      <c r="N94" s="417"/>
      <c r="O94" s="418"/>
      <c r="P94" s="206"/>
      <c r="Q94" s="193"/>
      <c r="R94" s="206"/>
      <c r="S94" s="206"/>
      <c r="T94" s="206"/>
      <c r="U94" s="206"/>
      <c r="V94" s="206"/>
      <c r="W94" s="419"/>
      <c r="X94" s="340">
        <f>[1]Inventarisatie!U95</f>
        <v>0</v>
      </c>
      <c r="Y94" s="420"/>
      <c r="Z94" s="421" t="str">
        <f>IF(ISBLANK(TInspectieW[[#This Row],[Aantal]]),"",ROUND(TInspectieW[[#This Row],[Kengetal]]*TInspectieW[[#This Row],[Aantal]],-1))</f>
        <v/>
      </c>
      <c r="AA94" s="422" t="str">
        <f>IF(TInspectieW[[#This Row],[Vak-groep]]="","1",VLOOKUP(C94,$J$2:$K$7,2,FALSE))</f>
        <v>1</v>
      </c>
      <c r="AB94" s="423" t="str">
        <f>CONCATENATE(TInspectieW[[#This Row],[Soort gebrek]],TInspectieW[[#This Row],[Trede]])</f>
        <v>1</v>
      </c>
      <c r="AC94" s="413" t="e">
        <v>#N/A</v>
      </c>
      <c r="AD94" s="413" t="e">
        <v>#N/A</v>
      </c>
      <c r="AE94" s="424">
        <v>0</v>
      </c>
    </row>
    <row r="95" spans="1:31" ht="10.5" x14ac:dyDescent="0.25">
      <c r="A95" s="337"/>
      <c r="B95" s="410" t="str">
        <f>IF(TInspectieW[[#This Row],[UVID]]="","",VLOOKUP(TInspectieW[[#This Row],[UVID]],TInventW[],2,FALSE))</f>
        <v/>
      </c>
      <c r="C95" s="365" t="str">
        <f>IF(TInspectieW[[#This Row],[UVID]]="","",VLOOKUP(TInspectieW[[#This Row],[UVID]],TInventW[],11,FALSE))</f>
        <v/>
      </c>
      <c r="D95" s="411" t="str">
        <f>IF(TInspectieW[[#This Row],[UVID]]="","",VLOOKUP(TInspectieW[[#This Row],[UVID]],TInventW[],3,FALSE))</f>
        <v/>
      </c>
      <c r="E95" s="338"/>
      <c r="F95" s="412"/>
      <c r="G95" s="413" t="str">
        <f>IF(ISBLANK(TInspectieW[[#This Row],[Soort gebrek]]),"",VLOOKUP(TInspectieW[[#This Row],[Soort gebrek]],TSoortGebrek[#Data],3,FALSE))</f>
        <v/>
      </c>
      <c r="H95" s="413" t="str">
        <f>IF(ISBLANK(TInspectieW[[#This Row],[Soort gebrek]]),"",VLOOKUP(TInspectieW[[#This Row],[Soort gebrek]],TSoortGebrek[#Data],2,FALSE))</f>
        <v/>
      </c>
      <c r="I95" s="413" t="str">
        <f>IF(TInspectieW[[#This Row],[Soort gebrek]]=0,"",VLOOKUP(TInspectieW[[#This Row],[Soort gebrek]],TSoortGebrek[],4,FALSE))</f>
        <v/>
      </c>
      <c r="J95" s="425"/>
      <c r="K95" s="415" t="str">
        <f>IF(TInspectieW[[#This Row],[Soort gebrek]]=0,"",VLOOKUP(TInspectieW[[#This Row],[Combi]],TPrio[#Data],2,FALSE))</f>
        <v/>
      </c>
      <c r="L95" s="339"/>
      <c r="M95" s="416" t="str">
        <f>IF(ISBLANK(TInspectieW[[#This Row],[Gebrek nr.]]),"",TInspectieW[[#This Row],[UVID]]&amp;"-"&amp;TInspectieW[[#This Row],[Gebrek nr.]])</f>
        <v/>
      </c>
      <c r="N95" s="417"/>
      <c r="O95" s="418"/>
      <c r="P95" s="206"/>
      <c r="Q95" s="193"/>
      <c r="R95" s="206"/>
      <c r="S95" s="206"/>
      <c r="T95" s="206"/>
      <c r="U95" s="206"/>
      <c r="V95" s="206"/>
      <c r="W95" s="419"/>
      <c r="X95" s="340">
        <f>[1]Inventarisatie!U96</f>
        <v>0</v>
      </c>
      <c r="Y95" s="420"/>
      <c r="Z95" s="421" t="str">
        <f>IF(ISBLANK(TInspectieW[[#This Row],[Aantal]]),"",ROUND(TInspectieW[[#This Row],[Kengetal]]*TInspectieW[[#This Row],[Aantal]],-1))</f>
        <v/>
      </c>
      <c r="AA95" s="422" t="str">
        <f>IF(TInspectieW[[#This Row],[Vak-groep]]="","1",VLOOKUP(C95,$J$2:$K$7,2,FALSE))</f>
        <v>1</v>
      </c>
      <c r="AB95" s="423" t="str">
        <f>CONCATENATE(TInspectieW[[#This Row],[Soort gebrek]],TInspectieW[[#This Row],[Trede]])</f>
        <v>1</v>
      </c>
      <c r="AC95" s="413" t="e">
        <v>#N/A</v>
      </c>
      <c r="AD95" s="413" t="e">
        <v>#N/A</v>
      </c>
      <c r="AE95" s="424">
        <v>0</v>
      </c>
    </row>
    <row r="96" spans="1:31" ht="10.5" x14ac:dyDescent="0.25">
      <c r="A96" s="337"/>
      <c r="B96" s="410" t="str">
        <f>IF(TInspectieW[[#This Row],[UVID]]="","",VLOOKUP(TInspectieW[[#This Row],[UVID]],TInventW[],2,FALSE))</f>
        <v/>
      </c>
      <c r="C96" s="365" t="str">
        <f>IF(TInspectieW[[#This Row],[UVID]]="","",VLOOKUP(TInspectieW[[#This Row],[UVID]],TInventW[],11,FALSE))</f>
        <v/>
      </c>
      <c r="D96" s="411" t="str">
        <f>IF(TInspectieW[[#This Row],[UVID]]="","",VLOOKUP(TInspectieW[[#This Row],[UVID]],TInventW[],3,FALSE))</f>
        <v/>
      </c>
      <c r="E96" s="338"/>
      <c r="F96" s="412"/>
      <c r="G96" s="413" t="str">
        <f>IF(ISBLANK(TInspectieW[[#This Row],[Soort gebrek]]),"",VLOOKUP(TInspectieW[[#This Row],[Soort gebrek]],TSoortGebrek[#Data],3,FALSE))</f>
        <v/>
      </c>
      <c r="H96" s="413" t="str">
        <f>IF(ISBLANK(TInspectieW[[#This Row],[Soort gebrek]]),"",VLOOKUP(TInspectieW[[#This Row],[Soort gebrek]],TSoortGebrek[#Data],2,FALSE))</f>
        <v/>
      </c>
      <c r="I96" s="413" t="str">
        <f>IF(TInspectieW[[#This Row],[Soort gebrek]]=0,"",VLOOKUP(TInspectieW[[#This Row],[Soort gebrek]],TSoortGebrek[],4,FALSE))</f>
        <v/>
      </c>
      <c r="J96" s="425"/>
      <c r="K96" s="415" t="str">
        <f>IF(TInspectieW[[#This Row],[Soort gebrek]]=0,"",VLOOKUP(TInspectieW[[#This Row],[Combi]],TPrio[#Data],2,FALSE))</f>
        <v/>
      </c>
      <c r="L96" s="339"/>
      <c r="M96" s="416" t="str">
        <f>IF(ISBLANK(TInspectieW[[#This Row],[Gebrek nr.]]),"",TInspectieW[[#This Row],[UVID]]&amp;"-"&amp;TInspectieW[[#This Row],[Gebrek nr.]])</f>
        <v/>
      </c>
      <c r="N96" s="417"/>
      <c r="O96" s="418"/>
      <c r="P96" s="206"/>
      <c r="Q96" s="193"/>
      <c r="R96" s="206"/>
      <c r="S96" s="206"/>
      <c r="T96" s="206"/>
      <c r="U96" s="206"/>
      <c r="V96" s="206"/>
      <c r="W96" s="419"/>
      <c r="X96" s="340">
        <f>[1]Inventarisatie!U97</f>
        <v>0</v>
      </c>
      <c r="Y96" s="420"/>
      <c r="Z96" s="421" t="str">
        <f>IF(ISBLANK(TInspectieW[[#This Row],[Aantal]]),"",ROUND(TInspectieW[[#This Row],[Kengetal]]*TInspectieW[[#This Row],[Aantal]],-1))</f>
        <v/>
      </c>
      <c r="AA96" s="422" t="str">
        <f>IF(TInspectieW[[#This Row],[Vak-groep]]="","1",VLOOKUP(C96,$J$2:$K$7,2,FALSE))</f>
        <v>1</v>
      </c>
      <c r="AB96" s="423" t="str">
        <f>CONCATENATE(TInspectieW[[#This Row],[Soort gebrek]],TInspectieW[[#This Row],[Trede]])</f>
        <v>1</v>
      </c>
      <c r="AC96" s="413" t="e">
        <v>#N/A</v>
      </c>
      <c r="AD96" s="413" t="e">
        <v>#N/A</v>
      </c>
      <c r="AE96" s="424">
        <v>0</v>
      </c>
    </row>
    <row r="97" spans="1:31" ht="10.5" x14ac:dyDescent="0.25">
      <c r="A97" s="337"/>
      <c r="B97" s="410" t="str">
        <f>IF(TInspectieW[[#This Row],[UVID]]="","",VLOOKUP(TInspectieW[[#This Row],[UVID]],TInventW[],2,FALSE))</f>
        <v/>
      </c>
      <c r="C97" s="365" t="str">
        <f>IF(TInspectieW[[#This Row],[UVID]]="","",VLOOKUP(TInspectieW[[#This Row],[UVID]],TInventW[],11,FALSE))</f>
        <v/>
      </c>
      <c r="D97" s="411" t="str">
        <f>IF(TInspectieW[[#This Row],[UVID]]="","",VLOOKUP(TInspectieW[[#This Row],[UVID]],TInventW[],3,FALSE))</f>
        <v/>
      </c>
      <c r="E97" s="338"/>
      <c r="F97" s="412"/>
      <c r="G97" s="413" t="str">
        <f>IF(ISBLANK(TInspectieW[[#This Row],[Soort gebrek]]),"",VLOOKUP(TInspectieW[[#This Row],[Soort gebrek]],TSoortGebrek[#Data],3,FALSE))</f>
        <v/>
      </c>
      <c r="H97" s="413" t="str">
        <f>IF(ISBLANK(TInspectieW[[#This Row],[Soort gebrek]]),"",VLOOKUP(TInspectieW[[#This Row],[Soort gebrek]],TSoortGebrek[#Data],2,FALSE))</f>
        <v/>
      </c>
      <c r="I97" s="413" t="str">
        <f>IF(TInspectieW[[#This Row],[Soort gebrek]]=0,"",VLOOKUP(TInspectieW[[#This Row],[Soort gebrek]],TSoortGebrek[],4,FALSE))</f>
        <v/>
      </c>
      <c r="J97" s="425"/>
      <c r="K97" s="415" t="str">
        <f>IF(TInspectieW[[#This Row],[Soort gebrek]]=0,"",VLOOKUP(TInspectieW[[#This Row],[Combi]],TPrio[#Data],2,FALSE))</f>
        <v/>
      </c>
      <c r="L97" s="339"/>
      <c r="M97" s="416" t="str">
        <f>IF(ISBLANK(TInspectieW[[#This Row],[Gebrek nr.]]),"",TInspectieW[[#This Row],[UVID]]&amp;"-"&amp;TInspectieW[[#This Row],[Gebrek nr.]])</f>
        <v/>
      </c>
      <c r="N97" s="417"/>
      <c r="O97" s="418"/>
      <c r="P97" s="206"/>
      <c r="Q97" s="193"/>
      <c r="R97" s="206"/>
      <c r="S97" s="206"/>
      <c r="T97" s="206"/>
      <c r="U97" s="206"/>
      <c r="V97" s="206"/>
      <c r="W97" s="419"/>
      <c r="X97" s="340">
        <f>[1]Inventarisatie!U98</f>
        <v>0</v>
      </c>
      <c r="Y97" s="420"/>
      <c r="Z97" s="421" t="str">
        <f>IF(ISBLANK(TInspectieW[[#This Row],[Aantal]]),"",ROUND(TInspectieW[[#This Row],[Kengetal]]*TInspectieW[[#This Row],[Aantal]],-1))</f>
        <v/>
      </c>
      <c r="AA97" s="422" t="str">
        <f>IF(TInspectieW[[#This Row],[Vak-groep]]="","1",VLOOKUP(C97,$J$2:$K$7,2,FALSE))</f>
        <v>1</v>
      </c>
      <c r="AB97" s="423" t="str">
        <f>CONCATENATE(TInspectieW[[#This Row],[Soort gebrek]],TInspectieW[[#This Row],[Trede]])</f>
        <v>1</v>
      </c>
      <c r="AC97" s="413" t="e">
        <v>#N/A</v>
      </c>
      <c r="AD97" s="413" t="e">
        <v>#N/A</v>
      </c>
      <c r="AE97" s="424">
        <v>0</v>
      </c>
    </row>
    <row r="98" spans="1:31" ht="10.5" x14ac:dyDescent="0.25">
      <c r="A98" s="337"/>
      <c r="B98" s="410" t="str">
        <f>IF(TInspectieW[[#This Row],[UVID]]="","",VLOOKUP(TInspectieW[[#This Row],[UVID]],TInventW[],2,FALSE))</f>
        <v/>
      </c>
      <c r="C98" s="365" t="str">
        <f>IF(TInspectieW[[#This Row],[UVID]]="","",VLOOKUP(TInspectieW[[#This Row],[UVID]],TInventW[],11,FALSE))</f>
        <v/>
      </c>
      <c r="D98" s="411" t="str">
        <f>IF(TInspectieW[[#This Row],[UVID]]="","",VLOOKUP(TInspectieW[[#This Row],[UVID]],TInventW[],3,FALSE))</f>
        <v/>
      </c>
      <c r="E98" s="338"/>
      <c r="F98" s="412"/>
      <c r="G98" s="413" t="str">
        <f>IF(ISBLANK(TInspectieW[[#This Row],[Soort gebrek]]),"",VLOOKUP(TInspectieW[[#This Row],[Soort gebrek]],TSoortGebrek[#Data],3,FALSE))</f>
        <v/>
      </c>
      <c r="H98" s="413" t="str">
        <f>IF(ISBLANK(TInspectieW[[#This Row],[Soort gebrek]]),"",VLOOKUP(TInspectieW[[#This Row],[Soort gebrek]],TSoortGebrek[#Data],2,FALSE))</f>
        <v/>
      </c>
      <c r="I98" s="413" t="str">
        <f>IF(TInspectieW[[#This Row],[Soort gebrek]]=0,"",VLOOKUP(TInspectieW[[#This Row],[Soort gebrek]],TSoortGebrek[],4,FALSE))</f>
        <v/>
      </c>
      <c r="J98" s="425"/>
      <c r="K98" s="415" t="str">
        <f>IF(TInspectieW[[#This Row],[Soort gebrek]]=0,"",VLOOKUP(TInspectieW[[#This Row],[Combi]],TPrio[#Data],2,FALSE))</f>
        <v/>
      </c>
      <c r="L98" s="339"/>
      <c r="M98" s="416" t="str">
        <f>IF(ISBLANK(TInspectieW[[#This Row],[Gebrek nr.]]),"",TInspectieW[[#This Row],[UVID]]&amp;"-"&amp;TInspectieW[[#This Row],[Gebrek nr.]])</f>
        <v/>
      </c>
      <c r="N98" s="417"/>
      <c r="O98" s="418"/>
      <c r="P98" s="206"/>
      <c r="Q98" s="193"/>
      <c r="R98" s="206"/>
      <c r="S98" s="206"/>
      <c r="T98" s="206"/>
      <c r="U98" s="206"/>
      <c r="V98" s="206"/>
      <c r="W98" s="419"/>
      <c r="X98" s="340">
        <f>[1]Inventarisatie!U99</f>
        <v>0</v>
      </c>
      <c r="Y98" s="420"/>
      <c r="Z98" s="421" t="str">
        <f>IF(ISBLANK(TInspectieW[[#This Row],[Aantal]]),"",ROUND(TInspectieW[[#This Row],[Kengetal]]*TInspectieW[[#This Row],[Aantal]],-1))</f>
        <v/>
      </c>
      <c r="AA98" s="422" t="str">
        <f>IF(TInspectieW[[#This Row],[Vak-groep]]="","1",VLOOKUP(C98,$J$2:$K$7,2,FALSE))</f>
        <v>1</v>
      </c>
      <c r="AB98" s="423" t="str">
        <f>CONCATENATE(TInspectieW[[#This Row],[Soort gebrek]],TInspectieW[[#This Row],[Trede]])</f>
        <v>1</v>
      </c>
      <c r="AC98" s="413" t="e">
        <v>#N/A</v>
      </c>
      <c r="AD98" s="413" t="e">
        <v>#N/A</v>
      </c>
      <c r="AE98" s="424">
        <v>0</v>
      </c>
    </row>
    <row r="99" spans="1:31" ht="10.5" x14ac:dyDescent="0.25">
      <c r="A99" s="337"/>
      <c r="B99" s="410" t="str">
        <f>IF(TInspectieW[[#This Row],[UVID]]="","",VLOOKUP(TInspectieW[[#This Row],[UVID]],TInventW[],2,FALSE))</f>
        <v/>
      </c>
      <c r="C99" s="365" t="str">
        <f>IF(TInspectieW[[#This Row],[UVID]]="","",VLOOKUP(TInspectieW[[#This Row],[UVID]],TInventW[],11,FALSE))</f>
        <v/>
      </c>
      <c r="D99" s="411" t="str">
        <f>IF(TInspectieW[[#This Row],[UVID]]="","",VLOOKUP(TInspectieW[[#This Row],[UVID]],TInventW[],3,FALSE))</f>
        <v/>
      </c>
      <c r="E99" s="338"/>
      <c r="F99" s="412"/>
      <c r="G99" s="413" t="str">
        <f>IF(ISBLANK(TInspectieW[[#This Row],[Soort gebrek]]),"",VLOOKUP(TInspectieW[[#This Row],[Soort gebrek]],TSoortGebrek[#Data],3,FALSE))</f>
        <v/>
      </c>
      <c r="H99" s="413" t="str">
        <f>IF(ISBLANK(TInspectieW[[#This Row],[Soort gebrek]]),"",VLOOKUP(TInspectieW[[#This Row],[Soort gebrek]],TSoortGebrek[#Data],2,FALSE))</f>
        <v/>
      </c>
      <c r="I99" s="413" t="str">
        <f>IF(TInspectieW[[#This Row],[Soort gebrek]]=0,"",VLOOKUP(TInspectieW[[#This Row],[Soort gebrek]],TSoortGebrek[],4,FALSE))</f>
        <v/>
      </c>
      <c r="J99" s="425"/>
      <c r="K99" s="415" t="str">
        <f>IF(TInspectieW[[#This Row],[Soort gebrek]]=0,"",VLOOKUP(TInspectieW[[#This Row],[Combi]],TPrio[#Data],2,FALSE))</f>
        <v/>
      </c>
      <c r="L99" s="339"/>
      <c r="M99" s="416" t="str">
        <f>IF(ISBLANK(TInspectieW[[#This Row],[Gebrek nr.]]),"",TInspectieW[[#This Row],[UVID]]&amp;"-"&amp;TInspectieW[[#This Row],[Gebrek nr.]])</f>
        <v/>
      </c>
      <c r="N99" s="417"/>
      <c r="O99" s="418"/>
      <c r="P99" s="206"/>
      <c r="Q99" s="193"/>
      <c r="R99" s="206"/>
      <c r="S99" s="206"/>
      <c r="T99" s="206"/>
      <c r="U99" s="206"/>
      <c r="V99" s="206"/>
      <c r="W99" s="419"/>
      <c r="X99" s="340">
        <f>[1]Inventarisatie!U100</f>
        <v>0</v>
      </c>
      <c r="Y99" s="420"/>
      <c r="Z99" s="421" t="str">
        <f>IF(ISBLANK(TInspectieW[[#This Row],[Aantal]]),"",ROUND(TInspectieW[[#This Row],[Kengetal]]*TInspectieW[[#This Row],[Aantal]],-1))</f>
        <v/>
      </c>
      <c r="AA99" s="422" t="str">
        <f>IF(TInspectieW[[#This Row],[Vak-groep]]="","1",VLOOKUP(C99,$J$2:$K$7,2,FALSE))</f>
        <v>1</v>
      </c>
      <c r="AB99" s="423" t="str">
        <f>CONCATENATE(TInspectieW[[#This Row],[Soort gebrek]],TInspectieW[[#This Row],[Trede]])</f>
        <v>1</v>
      </c>
      <c r="AC99" s="413" t="e">
        <v>#N/A</v>
      </c>
      <c r="AD99" s="413" t="e">
        <v>#N/A</v>
      </c>
      <c r="AE99" s="424">
        <v>0</v>
      </c>
    </row>
    <row r="100" spans="1:31" ht="10.5" x14ac:dyDescent="0.25">
      <c r="A100" s="337"/>
      <c r="B100" s="410" t="str">
        <f>IF(TInspectieW[[#This Row],[UVID]]="","",VLOOKUP(TInspectieW[[#This Row],[UVID]],TInventW[],2,FALSE))</f>
        <v/>
      </c>
      <c r="C100" s="365" t="str">
        <f>IF(TInspectieW[[#This Row],[UVID]]="","",VLOOKUP(TInspectieW[[#This Row],[UVID]],TInventW[],11,FALSE))</f>
        <v/>
      </c>
      <c r="D100" s="411" t="str">
        <f>IF(TInspectieW[[#This Row],[UVID]]="","",VLOOKUP(TInspectieW[[#This Row],[UVID]],TInventW[],3,FALSE))</f>
        <v/>
      </c>
      <c r="E100" s="338"/>
      <c r="F100" s="412"/>
      <c r="G100" s="413" t="str">
        <f>IF(ISBLANK(TInspectieW[[#This Row],[Soort gebrek]]),"",VLOOKUP(TInspectieW[[#This Row],[Soort gebrek]],TSoortGebrek[#Data],3,FALSE))</f>
        <v/>
      </c>
      <c r="H100" s="413" t="str">
        <f>IF(ISBLANK(TInspectieW[[#This Row],[Soort gebrek]]),"",VLOOKUP(TInspectieW[[#This Row],[Soort gebrek]],TSoortGebrek[#Data],2,FALSE))</f>
        <v/>
      </c>
      <c r="I100" s="413" t="str">
        <f>IF(TInspectieW[[#This Row],[Soort gebrek]]=0,"",VLOOKUP(TInspectieW[[#This Row],[Soort gebrek]],TSoortGebrek[],4,FALSE))</f>
        <v/>
      </c>
      <c r="J100" s="425"/>
      <c r="K100" s="415" t="str">
        <f>IF(TInspectieW[[#This Row],[Soort gebrek]]=0,"",VLOOKUP(TInspectieW[[#This Row],[Combi]],TPrio[#Data],2,FALSE))</f>
        <v/>
      </c>
      <c r="L100" s="339"/>
      <c r="M100" s="416" t="str">
        <f>IF(ISBLANK(TInspectieW[[#This Row],[Gebrek nr.]]),"",TInspectieW[[#This Row],[UVID]]&amp;"-"&amp;TInspectieW[[#This Row],[Gebrek nr.]])</f>
        <v/>
      </c>
      <c r="N100" s="417"/>
      <c r="O100" s="418"/>
      <c r="P100" s="206"/>
      <c r="Q100" s="193"/>
      <c r="R100" s="206"/>
      <c r="S100" s="206"/>
      <c r="T100" s="206"/>
      <c r="U100" s="206"/>
      <c r="V100" s="206"/>
      <c r="W100" s="419"/>
      <c r="X100" s="340">
        <f>[1]Inventarisatie!U101</f>
        <v>0</v>
      </c>
      <c r="Y100" s="420"/>
      <c r="Z100" s="421" t="str">
        <f>IF(ISBLANK(TInspectieW[[#This Row],[Aantal]]),"",ROUND(TInspectieW[[#This Row],[Kengetal]]*TInspectieW[[#This Row],[Aantal]],-1))</f>
        <v/>
      </c>
      <c r="AA100" s="422" t="str">
        <f>IF(TInspectieW[[#This Row],[Vak-groep]]="","1",VLOOKUP(C100,$J$2:$K$7,2,FALSE))</f>
        <v>1</v>
      </c>
      <c r="AB100" s="423" t="str">
        <f>CONCATENATE(TInspectieW[[#This Row],[Soort gebrek]],TInspectieW[[#This Row],[Trede]])</f>
        <v>1</v>
      </c>
      <c r="AC100" s="413" t="e">
        <v>#N/A</v>
      </c>
      <c r="AD100" s="413" t="e">
        <v>#N/A</v>
      </c>
      <c r="AE100" s="424">
        <v>0</v>
      </c>
    </row>
    <row r="101" spans="1:31" ht="10.5" x14ac:dyDescent="0.25">
      <c r="A101" s="337"/>
      <c r="B101" s="410" t="str">
        <f>IF(TInspectieW[[#This Row],[UVID]]="","",VLOOKUP(TInspectieW[[#This Row],[UVID]],TInventW[],2,FALSE))</f>
        <v/>
      </c>
      <c r="C101" s="365" t="str">
        <f>IF(TInspectieW[[#This Row],[UVID]]="","",VLOOKUP(TInspectieW[[#This Row],[UVID]],TInventW[],11,FALSE))</f>
        <v/>
      </c>
      <c r="D101" s="411" t="str">
        <f>IF(TInspectieW[[#This Row],[UVID]]="","",VLOOKUP(TInspectieW[[#This Row],[UVID]],TInventW[],3,FALSE))</f>
        <v/>
      </c>
      <c r="E101" s="338"/>
      <c r="F101" s="412"/>
      <c r="G101" s="413" t="str">
        <f>IF(ISBLANK(TInspectieW[[#This Row],[Soort gebrek]]),"",VLOOKUP(TInspectieW[[#This Row],[Soort gebrek]],TSoortGebrek[#Data],3,FALSE))</f>
        <v/>
      </c>
      <c r="H101" s="413" t="str">
        <f>IF(ISBLANK(TInspectieW[[#This Row],[Soort gebrek]]),"",VLOOKUP(TInspectieW[[#This Row],[Soort gebrek]],TSoortGebrek[#Data],2,FALSE))</f>
        <v/>
      </c>
      <c r="I101" s="413" t="str">
        <f>IF(TInspectieW[[#This Row],[Soort gebrek]]=0,"",VLOOKUP(TInspectieW[[#This Row],[Soort gebrek]],TSoortGebrek[],4,FALSE))</f>
        <v/>
      </c>
      <c r="J101" s="425"/>
      <c r="K101" s="415" t="str">
        <f>IF(TInspectieW[[#This Row],[Soort gebrek]]=0,"",VLOOKUP(TInspectieW[[#This Row],[Combi]],TPrio[#Data],2,FALSE))</f>
        <v/>
      </c>
      <c r="L101" s="339"/>
      <c r="M101" s="416" t="str">
        <f>IF(ISBLANK(TInspectieW[[#This Row],[Gebrek nr.]]),"",TInspectieW[[#This Row],[UVID]]&amp;"-"&amp;TInspectieW[[#This Row],[Gebrek nr.]])</f>
        <v/>
      </c>
      <c r="N101" s="417"/>
      <c r="O101" s="418"/>
      <c r="P101" s="206"/>
      <c r="Q101" s="193"/>
      <c r="R101" s="206"/>
      <c r="S101" s="206"/>
      <c r="T101" s="206"/>
      <c r="U101" s="206"/>
      <c r="V101" s="206"/>
      <c r="W101" s="419"/>
      <c r="X101" s="340">
        <f>[1]Inventarisatie!U102</f>
        <v>0</v>
      </c>
      <c r="Y101" s="420"/>
      <c r="Z101" s="421" t="str">
        <f>IF(ISBLANK(TInspectieW[[#This Row],[Aantal]]),"",ROUND(TInspectieW[[#This Row],[Kengetal]]*TInspectieW[[#This Row],[Aantal]],-1))</f>
        <v/>
      </c>
      <c r="AA101" s="422" t="str">
        <f>IF(TInspectieW[[#This Row],[Vak-groep]]="","1",VLOOKUP(C101,$J$2:$K$7,2,FALSE))</f>
        <v>1</v>
      </c>
      <c r="AB101" s="423" t="str">
        <f>CONCATENATE(TInspectieW[[#This Row],[Soort gebrek]],TInspectieW[[#This Row],[Trede]])</f>
        <v>1</v>
      </c>
      <c r="AC101" s="413" t="e">
        <v>#N/A</v>
      </c>
      <c r="AD101" s="413" t="e">
        <v>#N/A</v>
      </c>
      <c r="AE101" s="424">
        <v>0</v>
      </c>
    </row>
    <row r="102" spans="1:31" ht="10.5" x14ac:dyDescent="0.25">
      <c r="A102" s="337"/>
      <c r="B102" s="410" t="str">
        <f>IF(TInspectieW[[#This Row],[UVID]]="","",VLOOKUP(TInspectieW[[#This Row],[UVID]],TInventW[],2,FALSE))</f>
        <v/>
      </c>
      <c r="C102" s="365" t="str">
        <f>IF(TInspectieW[[#This Row],[UVID]]="","",VLOOKUP(TInspectieW[[#This Row],[UVID]],TInventW[],11,FALSE))</f>
        <v/>
      </c>
      <c r="D102" s="411" t="str">
        <f>IF(TInspectieW[[#This Row],[UVID]]="","",VLOOKUP(TInspectieW[[#This Row],[UVID]],TInventW[],3,FALSE))</f>
        <v/>
      </c>
      <c r="E102" s="338"/>
      <c r="F102" s="412"/>
      <c r="G102" s="413" t="str">
        <f>IF(ISBLANK(TInspectieW[[#This Row],[Soort gebrek]]),"",VLOOKUP(TInspectieW[[#This Row],[Soort gebrek]],TSoortGebrek[#Data],3,FALSE))</f>
        <v/>
      </c>
      <c r="H102" s="413" t="str">
        <f>IF(ISBLANK(TInspectieW[[#This Row],[Soort gebrek]]),"",VLOOKUP(TInspectieW[[#This Row],[Soort gebrek]],TSoortGebrek[#Data],2,FALSE))</f>
        <v/>
      </c>
      <c r="I102" s="413" t="str">
        <f>IF(TInspectieW[[#This Row],[Soort gebrek]]=0,"",VLOOKUP(TInspectieW[[#This Row],[Soort gebrek]],TSoortGebrek[],4,FALSE))</f>
        <v/>
      </c>
      <c r="J102" s="425"/>
      <c r="K102" s="415" t="str">
        <f>IF(TInspectieW[[#This Row],[Soort gebrek]]=0,"",VLOOKUP(TInspectieW[[#This Row],[Combi]],TPrio[#Data],2,FALSE))</f>
        <v/>
      </c>
      <c r="L102" s="339"/>
      <c r="M102" s="416" t="str">
        <f>IF(ISBLANK(TInspectieW[[#This Row],[Gebrek nr.]]),"",TInspectieW[[#This Row],[UVID]]&amp;"-"&amp;TInspectieW[[#This Row],[Gebrek nr.]])</f>
        <v/>
      </c>
      <c r="N102" s="417"/>
      <c r="O102" s="418"/>
      <c r="P102" s="206"/>
      <c r="Q102" s="193"/>
      <c r="R102" s="206"/>
      <c r="S102" s="206"/>
      <c r="T102" s="206"/>
      <c r="U102" s="206"/>
      <c r="V102" s="206"/>
      <c r="W102" s="419"/>
      <c r="X102" s="340">
        <f>[1]Inventarisatie!U103</f>
        <v>0</v>
      </c>
      <c r="Y102" s="420"/>
      <c r="Z102" s="421" t="str">
        <f>IF(ISBLANK(TInspectieW[[#This Row],[Aantal]]),"",ROUND(TInspectieW[[#This Row],[Kengetal]]*TInspectieW[[#This Row],[Aantal]],-1))</f>
        <v/>
      </c>
      <c r="AA102" s="422" t="str">
        <f>IF(TInspectieW[[#This Row],[Vak-groep]]="","1",VLOOKUP(C102,$J$2:$K$7,2,FALSE))</f>
        <v>1</v>
      </c>
      <c r="AB102" s="423" t="str">
        <f>CONCATENATE(TInspectieW[[#This Row],[Soort gebrek]],TInspectieW[[#This Row],[Trede]])</f>
        <v>1</v>
      </c>
      <c r="AC102" s="413" t="e">
        <v>#N/A</v>
      </c>
      <c r="AD102" s="413" t="e">
        <v>#N/A</v>
      </c>
      <c r="AE102" s="424">
        <v>0</v>
      </c>
    </row>
    <row r="103" spans="1:31" ht="10.5" x14ac:dyDescent="0.25">
      <c r="A103" s="337"/>
      <c r="B103" s="410" t="str">
        <f>IF(TInspectieW[[#This Row],[UVID]]="","",VLOOKUP(TInspectieW[[#This Row],[UVID]],TInventW[],2,FALSE))</f>
        <v/>
      </c>
      <c r="C103" s="365" t="str">
        <f>IF(TInspectieW[[#This Row],[UVID]]="","",VLOOKUP(TInspectieW[[#This Row],[UVID]],TInventW[],11,FALSE))</f>
        <v/>
      </c>
      <c r="D103" s="411" t="str">
        <f>IF(TInspectieW[[#This Row],[UVID]]="","",VLOOKUP(TInspectieW[[#This Row],[UVID]],TInventW[],3,FALSE))</f>
        <v/>
      </c>
      <c r="E103" s="338"/>
      <c r="F103" s="412"/>
      <c r="G103" s="413" t="str">
        <f>IF(ISBLANK(TInspectieW[[#This Row],[Soort gebrek]]),"",VLOOKUP(TInspectieW[[#This Row],[Soort gebrek]],TSoortGebrek[#Data],3,FALSE))</f>
        <v/>
      </c>
      <c r="H103" s="413" t="str">
        <f>IF(ISBLANK(TInspectieW[[#This Row],[Soort gebrek]]),"",VLOOKUP(TInspectieW[[#This Row],[Soort gebrek]],TSoortGebrek[#Data],2,FALSE))</f>
        <v/>
      </c>
      <c r="I103" s="413" t="str">
        <f>IF(TInspectieW[[#This Row],[Soort gebrek]]=0,"",VLOOKUP(TInspectieW[[#This Row],[Soort gebrek]],TSoortGebrek[],4,FALSE))</f>
        <v/>
      </c>
      <c r="J103" s="425"/>
      <c r="K103" s="415" t="str">
        <f>IF(TInspectieW[[#This Row],[Soort gebrek]]=0,"",VLOOKUP(TInspectieW[[#This Row],[Combi]],TPrio[#Data],2,FALSE))</f>
        <v/>
      </c>
      <c r="L103" s="339"/>
      <c r="M103" s="416" t="str">
        <f>IF(ISBLANK(TInspectieW[[#This Row],[Gebrek nr.]]),"",TInspectieW[[#This Row],[UVID]]&amp;"-"&amp;TInspectieW[[#This Row],[Gebrek nr.]])</f>
        <v/>
      </c>
      <c r="N103" s="417"/>
      <c r="O103" s="418"/>
      <c r="P103" s="206"/>
      <c r="Q103" s="193"/>
      <c r="R103" s="206"/>
      <c r="S103" s="206"/>
      <c r="T103" s="206"/>
      <c r="U103" s="206"/>
      <c r="V103" s="206"/>
      <c r="W103" s="419"/>
      <c r="X103" s="340">
        <f>[1]Inventarisatie!U104</f>
        <v>0</v>
      </c>
      <c r="Y103" s="420"/>
      <c r="Z103" s="421" t="str">
        <f>IF(ISBLANK(TInspectieW[[#This Row],[Aantal]]),"",ROUND(TInspectieW[[#This Row],[Kengetal]]*TInspectieW[[#This Row],[Aantal]],-1))</f>
        <v/>
      </c>
      <c r="AA103" s="422" t="str">
        <f>IF(TInspectieW[[#This Row],[Vak-groep]]="","1",VLOOKUP(C103,$J$2:$K$7,2,FALSE))</f>
        <v>1</v>
      </c>
      <c r="AB103" s="423" t="str">
        <f>CONCATENATE(TInspectieW[[#This Row],[Soort gebrek]],TInspectieW[[#This Row],[Trede]])</f>
        <v>1</v>
      </c>
      <c r="AC103" s="413" t="e">
        <v>#N/A</v>
      </c>
      <c r="AD103" s="413" t="e">
        <v>#N/A</v>
      </c>
      <c r="AE103" s="424">
        <v>0</v>
      </c>
    </row>
    <row r="104" spans="1:31" ht="10.5" x14ac:dyDescent="0.25">
      <c r="A104" s="337"/>
      <c r="B104" s="410" t="str">
        <f>IF(TInspectieW[[#This Row],[UVID]]="","",VLOOKUP(TInspectieW[[#This Row],[UVID]],TInventW[],2,FALSE))</f>
        <v/>
      </c>
      <c r="C104" s="365" t="str">
        <f>IF(TInspectieW[[#This Row],[UVID]]="","",VLOOKUP(TInspectieW[[#This Row],[UVID]],TInventW[],11,FALSE))</f>
        <v/>
      </c>
      <c r="D104" s="411" t="str">
        <f>IF(TInspectieW[[#This Row],[UVID]]="","",VLOOKUP(TInspectieW[[#This Row],[UVID]],TInventW[],3,FALSE))</f>
        <v/>
      </c>
      <c r="E104" s="338"/>
      <c r="F104" s="412"/>
      <c r="G104" s="413" t="str">
        <f>IF(ISBLANK(TInspectieW[[#This Row],[Soort gebrek]]),"",VLOOKUP(TInspectieW[[#This Row],[Soort gebrek]],TSoortGebrek[#Data],3,FALSE))</f>
        <v/>
      </c>
      <c r="H104" s="413" t="str">
        <f>IF(ISBLANK(TInspectieW[[#This Row],[Soort gebrek]]),"",VLOOKUP(TInspectieW[[#This Row],[Soort gebrek]],TSoortGebrek[#Data],2,FALSE))</f>
        <v/>
      </c>
      <c r="I104" s="413" t="str">
        <f>IF(TInspectieW[[#This Row],[Soort gebrek]]=0,"",VLOOKUP(TInspectieW[[#This Row],[Soort gebrek]],TSoortGebrek[],4,FALSE))</f>
        <v/>
      </c>
      <c r="J104" s="425"/>
      <c r="K104" s="415" t="str">
        <f>IF(TInspectieW[[#This Row],[Soort gebrek]]=0,"",VLOOKUP(TInspectieW[[#This Row],[Combi]],TPrio[#Data],2,FALSE))</f>
        <v/>
      </c>
      <c r="L104" s="339"/>
      <c r="M104" s="416" t="str">
        <f>IF(ISBLANK(TInspectieW[[#This Row],[Gebrek nr.]]),"",TInspectieW[[#This Row],[UVID]]&amp;"-"&amp;TInspectieW[[#This Row],[Gebrek nr.]])</f>
        <v/>
      </c>
      <c r="N104" s="417"/>
      <c r="O104" s="418"/>
      <c r="P104" s="206"/>
      <c r="Q104" s="193"/>
      <c r="R104" s="206"/>
      <c r="S104" s="206"/>
      <c r="T104" s="206"/>
      <c r="U104" s="206"/>
      <c r="V104" s="206"/>
      <c r="W104" s="419"/>
      <c r="X104" s="340">
        <f>[1]Inventarisatie!U105</f>
        <v>0</v>
      </c>
      <c r="Y104" s="420"/>
      <c r="Z104" s="421" t="str">
        <f>IF(ISBLANK(TInspectieW[[#This Row],[Aantal]]),"",ROUND(TInspectieW[[#This Row],[Kengetal]]*TInspectieW[[#This Row],[Aantal]],-1))</f>
        <v/>
      </c>
      <c r="AA104" s="422" t="str">
        <f>IF(TInspectieW[[#This Row],[Vak-groep]]="","1",VLOOKUP(C104,$J$2:$K$7,2,FALSE))</f>
        <v>1</v>
      </c>
      <c r="AB104" s="423" t="str">
        <f>CONCATENATE(TInspectieW[[#This Row],[Soort gebrek]],TInspectieW[[#This Row],[Trede]])</f>
        <v>1</v>
      </c>
      <c r="AC104" s="413" t="e">
        <v>#N/A</v>
      </c>
      <c r="AD104" s="413" t="e">
        <v>#N/A</v>
      </c>
      <c r="AE104" s="424">
        <v>0</v>
      </c>
    </row>
    <row r="105" spans="1:31" ht="10.5" x14ac:dyDescent="0.25">
      <c r="A105" s="337"/>
      <c r="B105" s="410" t="str">
        <f>IF(TInspectieW[[#This Row],[UVID]]="","",VLOOKUP(TInspectieW[[#This Row],[UVID]],TInventW[],2,FALSE))</f>
        <v/>
      </c>
      <c r="C105" s="365" t="str">
        <f>IF(TInspectieW[[#This Row],[UVID]]="","",VLOOKUP(TInspectieW[[#This Row],[UVID]],TInventW[],11,FALSE))</f>
        <v/>
      </c>
      <c r="D105" s="411" t="str">
        <f>IF(TInspectieW[[#This Row],[UVID]]="","",VLOOKUP(TInspectieW[[#This Row],[UVID]],TInventW[],3,FALSE))</f>
        <v/>
      </c>
      <c r="E105" s="338"/>
      <c r="F105" s="412"/>
      <c r="G105" s="413" t="str">
        <f>IF(ISBLANK(TInspectieW[[#This Row],[Soort gebrek]]),"",VLOOKUP(TInspectieW[[#This Row],[Soort gebrek]],TSoortGebrek[#Data],3,FALSE))</f>
        <v/>
      </c>
      <c r="H105" s="413" t="str">
        <f>IF(ISBLANK(TInspectieW[[#This Row],[Soort gebrek]]),"",VLOOKUP(TInspectieW[[#This Row],[Soort gebrek]],TSoortGebrek[#Data],2,FALSE))</f>
        <v/>
      </c>
      <c r="I105" s="413" t="str">
        <f>IF(TInspectieW[[#This Row],[Soort gebrek]]=0,"",VLOOKUP(TInspectieW[[#This Row],[Soort gebrek]],TSoortGebrek[],4,FALSE))</f>
        <v/>
      </c>
      <c r="J105" s="425"/>
      <c r="K105" s="415" t="str">
        <f>IF(TInspectieW[[#This Row],[Soort gebrek]]=0,"",VLOOKUP(TInspectieW[[#This Row],[Combi]],TPrio[#Data],2,FALSE))</f>
        <v/>
      </c>
      <c r="L105" s="339"/>
      <c r="M105" s="416" t="str">
        <f>IF(ISBLANK(TInspectieW[[#This Row],[Gebrek nr.]]),"",TInspectieW[[#This Row],[UVID]]&amp;"-"&amp;TInspectieW[[#This Row],[Gebrek nr.]])</f>
        <v/>
      </c>
      <c r="N105" s="417"/>
      <c r="O105" s="418"/>
      <c r="P105" s="206"/>
      <c r="Q105" s="193"/>
      <c r="R105" s="206"/>
      <c r="S105" s="206"/>
      <c r="T105" s="206"/>
      <c r="U105" s="206"/>
      <c r="V105" s="206"/>
      <c r="W105" s="419"/>
      <c r="X105" s="340">
        <f>[1]Inventarisatie!U106</f>
        <v>0</v>
      </c>
      <c r="Y105" s="420"/>
      <c r="Z105" s="421" t="str">
        <f>IF(ISBLANK(TInspectieW[[#This Row],[Aantal]]),"",ROUND(TInspectieW[[#This Row],[Kengetal]]*TInspectieW[[#This Row],[Aantal]],-1))</f>
        <v/>
      </c>
      <c r="AA105" s="422" t="str">
        <f>IF(TInspectieW[[#This Row],[Vak-groep]]="","1",VLOOKUP(C105,$J$2:$K$7,2,FALSE))</f>
        <v>1</v>
      </c>
      <c r="AB105" s="423" t="str">
        <f>CONCATENATE(TInspectieW[[#This Row],[Soort gebrek]],TInspectieW[[#This Row],[Trede]])</f>
        <v>1</v>
      </c>
      <c r="AC105" s="413" t="e">
        <v>#N/A</v>
      </c>
      <c r="AD105" s="413" t="e">
        <v>#N/A</v>
      </c>
      <c r="AE105" s="424">
        <v>0</v>
      </c>
    </row>
    <row r="106" spans="1:31" ht="10.5" x14ac:dyDescent="0.25">
      <c r="A106" s="337"/>
      <c r="B106" s="410" t="str">
        <f>IF(TInspectieW[[#This Row],[UVID]]="","",VLOOKUP(TInspectieW[[#This Row],[UVID]],TInventW[],2,FALSE))</f>
        <v/>
      </c>
      <c r="C106" s="365" t="str">
        <f>IF(TInspectieW[[#This Row],[UVID]]="","",VLOOKUP(TInspectieW[[#This Row],[UVID]],TInventW[],11,FALSE))</f>
        <v/>
      </c>
      <c r="D106" s="411" t="str">
        <f>IF(TInspectieW[[#This Row],[UVID]]="","",VLOOKUP(TInspectieW[[#This Row],[UVID]],TInventW[],3,FALSE))</f>
        <v/>
      </c>
      <c r="E106" s="338"/>
      <c r="F106" s="412"/>
      <c r="G106" s="413" t="str">
        <f>IF(ISBLANK(TInspectieW[[#This Row],[Soort gebrek]]),"",VLOOKUP(TInspectieW[[#This Row],[Soort gebrek]],TSoortGebrek[#Data],3,FALSE))</f>
        <v/>
      </c>
      <c r="H106" s="413" t="str">
        <f>IF(ISBLANK(TInspectieW[[#This Row],[Soort gebrek]]),"",VLOOKUP(TInspectieW[[#This Row],[Soort gebrek]],TSoortGebrek[#Data],2,FALSE))</f>
        <v/>
      </c>
      <c r="I106" s="413" t="str">
        <f>IF(TInspectieW[[#This Row],[Soort gebrek]]=0,"",VLOOKUP(TInspectieW[[#This Row],[Soort gebrek]],TSoortGebrek[],4,FALSE))</f>
        <v/>
      </c>
      <c r="J106" s="425"/>
      <c r="K106" s="415" t="str">
        <f>IF(TInspectieW[[#This Row],[Soort gebrek]]=0,"",VLOOKUP(TInspectieW[[#This Row],[Combi]],TPrio[#Data],2,FALSE))</f>
        <v/>
      </c>
      <c r="L106" s="339"/>
      <c r="M106" s="416" t="str">
        <f>IF(ISBLANK(TInspectieW[[#This Row],[Gebrek nr.]]),"",TInspectieW[[#This Row],[UVID]]&amp;"-"&amp;TInspectieW[[#This Row],[Gebrek nr.]])</f>
        <v/>
      </c>
      <c r="N106" s="417"/>
      <c r="O106" s="418"/>
      <c r="P106" s="206"/>
      <c r="Q106" s="193"/>
      <c r="R106" s="206"/>
      <c r="S106" s="206"/>
      <c r="T106" s="206"/>
      <c r="U106" s="206"/>
      <c r="V106" s="206"/>
      <c r="W106" s="419"/>
      <c r="X106" s="340">
        <f>[1]Inventarisatie!U107</f>
        <v>0</v>
      </c>
      <c r="Y106" s="420"/>
      <c r="Z106" s="421" t="str">
        <f>IF(ISBLANK(TInspectieW[[#This Row],[Aantal]]),"",ROUND(TInspectieW[[#This Row],[Kengetal]]*TInspectieW[[#This Row],[Aantal]],-1))</f>
        <v/>
      </c>
      <c r="AA106" s="422" t="str">
        <f>IF(TInspectieW[[#This Row],[Vak-groep]]="","1",VLOOKUP(C106,$J$2:$K$7,2,FALSE))</f>
        <v>1</v>
      </c>
      <c r="AB106" s="423" t="str">
        <f>CONCATENATE(TInspectieW[[#This Row],[Soort gebrek]],TInspectieW[[#This Row],[Trede]])</f>
        <v>1</v>
      </c>
      <c r="AC106" s="413" t="e">
        <v>#N/A</v>
      </c>
      <c r="AD106" s="413" t="e">
        <v>#N/A</v>
      </c>
      <c r="AE106" s="424">
        <v>0</v>
      </c>
    </row>
    <row r="107" spans="1:31" ht="10.5" x14ac:dyDescent="0.25">
      <c r="A107" s="337"/>
      <c r="B107" s="410" t="str">
        <f>IF(TInspectieW[[#This Row],[UVID]]="","",VLOOKUP(TInspectieW[[#This Row],[UVID]],TInventW[],2,FALSE))</f>
        <v/>
      </c>
      <c r="C107" s="365" t="str">
        <f>IF(TInspectieW[[#This Row],[UVID]]="","",VLOOKUP(TInspectieW[[#This Row],[UVID]],TInventW[],11,FALSE))</f>
        <v/>
      </c>
      <c r="D107" s="411" t="str">
        <f>IF(TInspectieW[[#This Row],[UVID]]="","",VLOOKUP(TInspectieW[[#This Row],[UVID]],TInventW[],3,FALSE))</f>
        <v/>
      </c>
      <c r="E107" s="338"/>
      <c r="F107" s="412"/>
      <c r="G107" s="413" t="str">
        <f>IF(ISBLANK(TInspectieW[[#This Row],[Soort gebrek]]),"",VLOOKUP(TInspectieW[[#This Row],[Soort gebrek]],TSoortGebrek[#Data],3,FALSE))</f>
        <v/>
      </c>
      <c r="H107" s="413" t="str">
        <f>IF(ISBLANK(TInspectieW[[#This Row],[Soort gebrek]]),"",VLOOKUP(TInspectieW[[#This Row],[Soort gebrek]],TSoortGebrek[#Data],2,FALSE))</f>
        <v/>
      </c>
      <c r="I107" s="413" t="str">
        <f>IF(TInspectieW[[#This Row],[Soort gebrek]]=0,"",VLOOKUP(TInspectieW[[#This Row],[Soort gebrek]],TSoortGebrek[],4,FALSE))</f>
        <v/>
      </c>
      <c r="J107" s="425"/>
      <c r="K107" s="415" t="str">
        <f>IF(TInspectieW[[#This Row],[Soort gebrek]]=0,"",VLOOKUP(TInspectieW[[#This Row],[Combi]],TPrio[#Data],2,FALSE))</f>
        <v/>
      </c>
      <c r="L107" s="339"/>
      <c r="M107" s="416" t="str">
        <f>IF(ISBLANK(TInspectieW[[#This Row],[Gebrek nr.]]),"",TInspectieW[[#This Row],[UVID]]&amp;"-"&amp;TInspectieW[[#This Row],[Gebrek nr.]])</f>
        <v/>
      </c>
      <c r="N107" s="417"/>
      <c r="O107" s="418"/>
      <c r="P107" s="206"/>
      <c r="Q107" s="193"/>
      <c r="R107" s="206"/>
      <c r="S107" s="206"/>
      <c r="T107" s="206"/>
      <c r="U107" s="206"/>
      <c r="V107" s="206"/>
      <c r="W107" s="419"/>
      <c r="X107" s="340">
        <f>[1]Inventarisatie!U108</f>
        <v>0</v>
      </c>
      <c r="Y107" s="420"/>
      <c r="Z107" s="421" t="str">
        <f>IF(ISBLANK(TInspectieW[[#This Row],[Aantal]]),"",ROUND(TInspectieW[[#This Row],[Kengetal]]*TInspectieW[[#This Row],[Aantal]],-1))</f>
        <v/>
      </c>
      <c r="AA107" s="422" t="str">
        <f>IF(TInspectieW[[#This Row],[Vak-groep]]="","1",VLOOKUP(C107,$J$2:$K$7,2,FALSE))</f>
        <v>1</v>
      </c>
      <c r="AB107" s="423" t="str">
        <f>CONCATENATE(TInspectieW[[#This Row],[Soort gebrek]],TInspectieW[[#This Row],[Trede]])</f>
        <v>1</v>
      </c>
      <c r="AC107" s="413" t="e">
        <v>#N/A</v>
      </c>
      <c r="AD107" s="413" t="e">
        <v>#N/A</v>
      </c>
      <c r="AE107" s="424">
        <v>0</v>
      </c>
    </row>
    <row r="108" spans="1:31" ht="10.5" x14ac:dyDescent="0.25">
      <c r="A108" s="337"/>
      <c r="B108" s="410" t="str">
        <f>IF(TInspectieW[[#This Row],[UVID]]="","",VLOOKUP(TInspectieW[[#This Row],[UVID]],TInventW[],2,FALSE))</f>
        <v/>
      </c>
      <c r="C108" s="365" t="str">
        <f>IF(TInspectieW[[#This Row],[UVID]]="","",VLOOKUP(TInspectieW[[#This Row],[UVID]],TInventW[],11,FALSE))</f>
        <v/>
      </c>
      <c r="D108" s="411" t="str">
        <f>IF(TInspectieW[[#This Row],[UVID]]="","",VLOOKUP(TInspectieW[[#This Row],[UVID]],TInventW[],3,FALSE))</f>
        <v/>
      </c>
      <c r="E108" s="338"/>
      <c r="F108" s="412"/>
      <c r="G108" s="413" t="str">
        <f>IF(ISBLANK(TInspectieW[[#This Row],[Soort gebrek]]),"",VLOOKUP(TInspectieW[[#This Row],[Soort gebrek]],TSoortGebrek[#Data],3,FALSE))</f>
        <v/>
      </c>
      <c r="H108" s="413" t="str">
        <f>IF(ISBLANK(TInspectieW[[#This Row],[Soort gebrek]]),"",VLOOKUP(TInspectieW[[#This Row],[Soort gebrek]],TSoortGebrek[#Data],2,FALSE))</f>
        <v/>
      </c>
      <c r="I108" s="413" t="str">
        <f>IF(TInspectieW[[#This Row],[Soort gebrek]]=0,"",VLOOKUP(TInspectieW[[#This Row],[Soort gebrek]],TSoortGebrek[],4,FALSE))</f>
        <v/>
      </c>
      <c r="J108" s="425"/>
      <c r="K108" s="415" t="str">
        <f>IF(TInspectieW[[#This Row],[Soort gebrek]]=0,"",VLOOKUP(TInspectieW[[#This Row],[Combi]],TPrio[#Data],2,FALSE))</f>
        <v/>
      </c>
      <c r="L108" s="339"/>
      <c r="M108" s="416" t="str">
        <f>IF(ISBLANK(TInspectieW[[#This Row],[Gebrek nr.]]),"",TInspectieW[[#This Row],[UVID]]&amp;"-"&amp;TInspectieW[[#This Row],[Gebrek nr.]])</f>
        <v/>
      </c>
      <c r="N108" s="417"/>
      <c r="O108" s="418"/>
      <c r="P108" s="206"/>
      <c r="Q108" s="193"/>
      <c r="R108" s="206"/>
      <c r="S108" s="206"/>
      <c r="T108" s="206"/>
      <c r="U108" s="206"/>
      <c r="V108" s="206"/>
      <c r="W108" s="419"/>
      <c r="X108" s="340">
        <f>[1]Inventarisatie!U109</f>
        <v>0</v>
      </c>
      <c r="Y108" s="420"/>
      <c r="Z108" s="421" t="str">
        <f>IF(ISBLANK(TInspectieW[[#This Row],[Aantal]]),"",ROUND(TInspectieW[[#This Row],[Kengetal]]*TInspectieW[[#This Row],[Aantal]],-1))</f>
        <v/>
      </c>
      <c r="AA108" s="422" t="str">
        <f>IF(TInspectieW[[#This Row],[Vak-groep]]="","1",VLOOKUP(C108,$J$2:$K$7,2,FALSE))</f>
        <v>1</v>
      </c>
      <c r="AB108" s="423" t="str">
        <f>CONCATENATE(TInspectieW[[#This Row],[Soort gebrek]],TInspectieW[[#This Row],[Trede]])</f>
        <v>1</v>
      </c>
      <c r="AC108" s="413" t="e">
        <v>#N/A</v>
      </c>
      <c r="AD108" s="413" t="e">
        <v>#N/A</v>
      </c>
      <c r="AE108" s="424">
        <v>0</v>
      </c>
    </row>
    <row r="109" spans="1:31" ht="10.5" x14ac:dyDescent="0.25">
      <c r="A109" s="337"/>
      <c r="B109" s="410" t="str">
        <f>IF(TInspectieW[[#This Row],[UVID]]="","",VLOOKUP(TInspectieW[[#This Row],[UVID]],TInventW[],2,FALSE))</f>
        <v/>
      </c>
      <c r="C109" s="365" t="str">
        <f>IF(TInspectieW[[#This Row],[UVID]]="","",VLOOKUP(TInspectieW[[#This Row],[UVID]],TInventW[],11,FALSE))</f>
        <v/>
      </c>
      <c r="D109" s="411" t="str">
        <f>IF(TInspectieW[[#This Row],[UVID]]="","",VLOOKUP(TInspectieW[[#This Row],[UVID]],TInventW[],3,FALSE))</f>
        <v/>
      </c>
      <c r="E109" s="338"/>
      <c r="F109" s="412"/>
      <c r="G109" s="413" t="str">
        <f>IF(ISBLANK(TInspectieW[[#This Row],[Soort gebrek]]),"",VLOOKUP(TInspectieW[[#This Row],[Soort gebrek]],TSoortGebrek[#Data],3,FALSE))</f>
        <v/>
      </c>
      <c r="H109" s="413" t="str">
        <f>IF(ISBLANK(TInspectieW[[#This Row],[Soort gebrek]]),"",VLOOKUP(TInspectieW[[#This Row],[Soort gebrek]],TSoortGebrek[#Data],2,FALSE))</f>
        <v/>
      </c>
      <c r="I109" s="413" t="str">
        <f>IF(TInspectieW[[#This Row],[Soort gebrek]]=0,"",VLOOKUP(TInspectieW[[#This Row],[Soort gebrek]],TSoortGebrek[],4,FALSE))</f>
        <v/>
      </c>
      <c r="J109" s="425"/>
      <c r="K109" s="415" t="str">
        <f>IF(TInspectieW[[#This Row],[Soort gebrek]]=0,"",VLOOKUP(TInspectieW[[#This Row],[Combi]],TPrio[#Data],2,FALSE))</f>
        <v/>
      </c>
      <c r="L109" s="339"/>
      <c r="M109" s="416" t="str">
        <f>IF(ISBLANK(TInspectieW[[#This Row],[Gebrek nr.]]),"",TInspectieW[[#This Row],[UVID]]&amp;"-"&amp;TInspectieW[[#This Row],[Gebrek nr.]])</f>
        <v/>
      </c>
      <c r="N109" s="417"/>
      <c r="O109" s="418"/>
      <c r="P109" s="206"/>
      <c r="Q109" s="193"/>
      <c r="R109" s="206"/>
      <c r="S109" s="206"/>
      <c r="T109" s="206"/>
      <c r="U109" s="206"/>
      <c r="V109" s="206"/>
      <c r="W109" s="419"/>
      <c r="X109" s="340">
        <f>[1]Inventarisatie!U110</f>
        <v>0</v>
      </c>
      <c r="Y109" s="420"/>
      <c r="Z109" s="421" t="str">
        <f>IF(ISBLANK(TInspectieW[[#This Row],[Aantal]]),"",ROUND(TInspectieW[[#This Row],[Kengetal]]*TInspectieW[[#This Row],[Aantal]],-1))</f>
        <v/>
      </c>
      <c r="AA109" s="422" t="str">
        <f>IF(TInspectieW[[#This Row],[Vak-groep]]="","1",VLOOKUP(C109,$J$2:$K$7,2,FALSE))</f>
        <v>1</v>
      </c>
      <c r="AB109" s="423" t="str">
        <f>CONCATENATE(TInspectieW[[#This Row],[Soort gebrek]],TInspectieW[[#This Row],[Trede]])</f>
        <v>1</v>
      </c>
      <c r="AC109" s="413" t="e">
        <v>#N/A</v>
      </c>
      <c r="AD109" s="413" t="e">
        <v>#N/A</v>
      </c>
      <c r="AE109" s="424">
        <v>0</v>
      </c>
    </row>
    <row r="110" spans="1:31" ht="10.5" x14ac:dyDescent="0.25">
      <c r="A110" s="337"/>
      <c r="B110" s="410" t="str">
        <f>IF(TInspectieW[[#This Row],[UVID]]="","",VLOOKUP(TInspectieW[[#This Row],[UVID]],TInventW[],2,FALSE))</f>
        <v/>
      </c>
      <c r="C110" s="365" t="str">
        <f>IF(TInspectieW[[#This Row],[UVID]]="","",VLOOKUP(TInspectieW[[#This Row],[UVID]],TInventW[],11,FALSE))</f>
        <v/>
      </c>
      <c r="D110" s="411" t="str">
        <f>IF(TInspectieW[[#This Row],[UVID]]="","",VLOOKUP(TInspectieW[[#This Row],[UVID]],TInventW[],3,FALSE))</f>
        <v/>
      </c>
      <c r="E110" s="338"/>
      <c r="F110" s="412"/>
      <c r="G110" s="413" t="str">
        <f>IF(ISBLANK(TInspectieW[[#This Row],[Soort gebrek]]),"",VLOOKUP(TInspectieW[[#This Row],[Soort gebrek]],TSoortGebrek[#Data],3,FALSE))</f>
        <v/>
      </c>
      <c r="H110" s="413" t="str">
        <f>IF(ISBLANK(TInspectieW[[#This Row],[Soort gebrek]]),"",VLOOKUP(TInspectieW[[#This Row],[Soort gebrek]],TSoortGebrek[#Data],2,FALSE))</f>
        <v/>
      </c>
      <c r="I110" s="413" t="str">
        <f>IF(TInspectieW[[#This Row],[Soort gebrek]]=0,"",VLOOKUP(TInspectieW[[#This Row],[Soort gebrek]],TSoortGebrek[],4,FALSE))</f>
        <v/>
      </c>
      <c r="J110" s="425"/>
      <c r="K110" s="415" t="str">
        <f>IF(TInspectieW[[#This Row],[Soort gebrek]]=0,"",VLOOKUP(TInspectieW[[#This Row],[Combi]],TPrio[#Data],2,FALSE))</f>
        <v/>
      </c>
      <c r="L110" s="339"/>
      <c r="M110" s="416" t="str">
        <f>IF(ISBLANK(TInspectieW[[#This Row],[Gebrek nr.]]),"",TInspectieW[[#This Row],[UVID]]&amp;"-"&amp;TInspectieW[[#This Row],[Gebrek nr.]])</f>
        <v/>
      </c>
      <c r="N110" s="417"/>
      <c r="O110" s="418"/>
      <c r="P110" s="206"/>
      <c r="Q110" s="193"/>
      <c r="R110" s="206"/>
      <c r="S110" s="206"/>
      <c r="T110" s="206"/>
      <c r="U110" s="206"/>
      <c r="V110" s="206"/>
      <c r="W110" s="419"/>
      <c r="X110" s="340">
        <f>[1]Inventarisatie!U111</f>
        <v>0</v>
      </c>
      <c r="Y110" s="420"/>
      <c r="Z110" s="421" t="str">
        <f>IF(ISBLANK(TInspectieW[[#This Row],[Aantal]]),"",ROUND(TInspectieW[[#This Row],[Kengetal]]*TInspectieW[[#This Row],[Aantal]],-1))</f>
        <v/>
      </c>
      <c r="AA110" s="422" t="str">
        <f>IF(TInspectieW[[#This Row],[Vak-groep]]="","1",VLOOKUP(C110,$J$2:$K$7,2,FALSE))</f>
        <v>1</v>
      </c>
      <c r="AB110" s="423" t="str">
        <f>CONCATENATE(TInspectieW[[#This Row],[Soort gebrek]],TInspectieW[[#This Row],[Trede]])</f>
        <v>1</v>
      </c>
      <c r="AC110" s="413" t="e">
        <v>#N/A</v>
      </c>
      <c r="AD110" s="413" t="e">
        <v>#N/A</v>
      </c>
      <c r="AE110" s="424">
        <v>0</v>
      </c>
    </row>
    <row r="111" spans="1:31" ht="10.5" x14ac:dyDescent="0.25">
      <c r="A111" s="337"/>
      <c r="B111" s="410" t="str">
        <f>IF(TInspectieW[[#This Row],[UVID]]="","",VLOOKUP(TInspectieW[[#This Row],[UVID]],TInventW[],2,FALSE))</f>
        <v/>
      </c>
      <c r="C111" s="365" t="str">
        <f>IF(TInspectieW[[#This Row],[UVID]]="","",VLOOKUP(TInspectieW[[#This Row],[UVID]],TInventW[],11,FALSE))</f>
        <v/>
      </c>
      <c r="D111" s="411" t="str">
        <f>IF(TInspectieW[[#This Row],[UVID]]="","",VLOOKUP(TInspectieW[[#This Row],[UVID]],TInventW[],3,FALSE))</f>
        <v/>
      </c>
      <c r="E111" s="338"/>
      <c r="F111" s="412"/>
      <c r="G111" s="413" t="str">
        <f>IF(ISBLANK(TInspectieW[[#This Row],[Soort gebrek]]),"",VLOOKUP(TInspectieW[[#This Row],[Soort gebrek]],TSoortGebrek[#Data],3,FALSE))</f>
        <v/>
      </c>
      <c r="H111" s="413" t="str">
        <f>IF(ISBLANK(TInspectieW[[#This Row],[Soort gebrek]]),"",VLOOKUP(TInspectieW[[#This Row],[Soort gebrek]],TSoortGebrek[#Data],2,FALSE))</f>
        <v/>
      </c>
      <c r="I111" s="413" t="str">
        <f>IF(TInspectieW[[#This Row],[Soort gebrek]]=0,"",VLOOKUP(TInspectieW[[#This Row],[Soort gebrek]],TSoortGebrek[],4,FALSE))</f>
        <v/>
      </c>
      <c r="J111" s="425"/>
      <c r="K111" s="415" t="str">
        <f>IF(TInspectieW[[#This Row],[Soort gebrek]]=0,"",VLOOKUP(TInspectieW[[#This Row],[Combi]],TPrio[#Data],2,FALSE))</f>
        <v/>
      </c>
      <c r="L111" s="339"/>
      <c r="M111" s="416" t="str">
        <f>IF(ISBLANK(TInspectieW[[#This Row],[Gebrek nr.]]),"",TInspectieW[[#This Row],[UVID]]&amp;"-"&amp;TInspectieW[[#This Row],[Gebrek nr.]])</f>
        <v/>
      </c>
      <c r="N111" s="417"/>
      <c r="O111" s="418"/>
      <c r="P111" s="206"/>
      <c r="Q111" s="193"/>
      <c r="R111" s="206"/>
      <c r="S111" s="206"/>
      <c r="T111" s="206"/>
      <c r="U111" s="206"/>
      <c r="V111" s="206"/>
      <c r="W111" s="419"/>
      <c r="X111" s="340">
        <f>[1]Inventarisatie!U112</f>
        <v>0</v>
      </c>
      <c r="Y111" s="420"/>
      <c r="Z111" s="421" t="str">
        <f>IF(ISBLANK(TInspectieW[[#This Row],[Aantal]]),"",ROUND(TInspectieW[[#This Row],[Kengetal]]*TInspectieW[[#This Row],[Aantal]],-1))</f>
        <v/>
      </c>
      <c r="AA111" s="422" t="str">
        <f>IF(TInspectieW[[#This Row],[Vak-groep]]="","1",VLOOKUP(C111,$J$2:$K$7,2,FALSE))</f>
        <v>1</v>
      </c>
      <c r="AB111" s="423" t="str">
        <f>CONCATENATE(TInspectieW[[#This Row],[Soort gebrek]],TInspectieW[[#This Row],[Trede]])</f>
        <v>1</v>
      </c>
      <c r="AC111" s="413" t="e">
        <v>#N/A</v>
      </c>
      <c r="AD111" s="413" t="e">
        <v>#N/A</v>
      </c>
      <c r="AE111" s="424">
        <v>0</v>
      </c>
    </row>
    <row r="112" spans="1:31" ht="10.5" x14ac:dyDescent="0.25">
      <c r="A112" s="337"/>
      <c r="B112" s="410" t="str">
        <f>IF(TInspectieW[[#This Row],[UVID]]="","",VLOOKUP(TInspectieW[[#This Row],[UVID]],TInventW[],2,FALSE))</f>
        <v/>
      </c>
      <c r="C112" s="365" t="str">
        <f>IF(TInspectieW[[#This Row],[UVID]]="","",VLOOKUP(TInspectieW[[#This Row],[UVID]],TInventW[],11,FALSE))</f>
        <v/>
      </c>
      <c r="D112" s="411" t="str">
        <f>IF(TInspectieW[[#This Row],[UVID]]="","",VLOOKUP(TInspectieW[[#This Row],[UVID]],TInventW[],3,FALSE))</f>
        <v/>
      </c>
      <c r="E112" s="338"/>
      <c r="F112" s="412"/>
      <c r="G112" s="413" t="str">
        <f>IF(ISBLANK(TInspectieW[[#This Row],[Soort gebrek]]),"",VLOOKUP(TInspectieW[[#This Row],[Soort gebrek]],TSoortGebrek[#Data],3,FALSE))</f>
        <v/>
      </c>
      <c r="H112" s="413" t="str">
        <f>IF(ISBLANK(TInspectieW[[#This Row],[Soort gebrek]]),"",VLOOKUP(TInspectieW[[#This Row],[Soort gebrek]],TSoortGebrek[#Data],2,FALSE))</f>
        <v/>
      </c>
      <c r="I112" s="413" t="str">
        <f>IF(TInspectieW[[#This Row],[Soort gebrek]]=0,"",VLOOKUP(TInspectieW[[#This Row],[Soort gebrek]],TSoortGebrek[],4,FALSE))</f>
        <v/>
      </c>
      <c r="J112" s="425"/>
      <c r="K112" s="415" t="str">
        <f>IF(TInspectieW[[#This Row],[Soort gebrek]]=0,"",VLOOKUP(TInspectieW[[#This Row],[Combi]],TPrio[#Data],2,FALSE))</f>
        <v/>
      </c>
      <c r="L112" s="339"/>
      <c r="M112" s="416" t="str">
        <f>IF(ISBLANK(TInspectieW[[#This Row],[Gebrek nr.]]),"",TInspectieW[[#This Row],[UVID]]&amp;"-"&amp;TInspectieW[[#This Row],[Gebrek nr.]])</f>
        <v/>
      </c>
      <c r="N112" s="417"/>
      <c r="O112" s="418"/>
      <c r="P112" s="206"/>
      <c r="Q112" s="193"/>
      <c r="R112" s="206"/>
      <c r="S112" s="206"/>
      <c r="T112" s="206"/>
      <c r="U112" s="206"/>
      <c r="V112" s="206"/>
      <c r="W112" s="419"/>
      <c r="X112" s="340">
        <f>[1]Inventarisatie!U113</f>
        <v>0</v>
      </c>
      <c r="Y112" s="420"/>
      <c r="Z112" s="421" t="str">
        <f>IF(ISBLANK(TInspectieW[[#This Row],[Aantal]]),"",ROUND(TInspectieW[[#This Row],[Kengetal]]*TInspectieW[[#This Row],[Aantal]],-1))</f>
        <v/>
      </c>
      <c r="AA112" s="422" t="str">
        <f>IF(TInspectieW[[#This Row],[Vak-groep]]="","1",VLOOKUP(C112,$J$2:$K$7,2,FALSE))</f>
        <v>1</v>
      </c>
      <c r="AB112" s="423" t="str">
        <f>CONCATENATE(TInspectieW[[#This Row],[Soort gebrek]],TInspectieW[[#This Row],[Trede]])</f>
        <v>1</v>
      </c>
      <c r="AC112" s="413" t="e">
        <v>#N/A</v>
      </c>
      <c r="AD112" s="413" t="e">
        <v>#N/A</v>
      </c>
      <c r="AE112" s="424">
        <v>0</v>
      </c>
    </row>
    <row r="113" spans="1:31" ht="10.5" x14ac:dyDescent="0.25">
      <c r="A113" s="337"/>
      <c r="B113" s="410" t="str">
        <f>IF(TInspectieW[[#This Row],[UVID]]="","",VLOOKUP(TInspectieW[[#This Row],[UVID]],TInventW[],2,FALSE))</f>
        <v/>
      </c>
      <c r="C113" s="365" t="str">
        <f>IF(TInspectieW[[#This Row],[UVID]]="","",VLOOKUP(TInspectieW[[#This Row],[UVID]],TInventW[],11,FALSE))</f>
        <v/>
      </c>
      <c r="D113" s="411" t="str">
        <f>IF(TInspectieW[[#This Row],[UVID]]="","",VLOOKUP(TInspectieW[[#This Row],[UVID]],TInventW[],3,FALSE))</f>
        <v/>
      </c>
      <c r="E113" s="338"/>
      <c r="F113" s="412"/>
      <c r="G113" s="413" t="str">
        <f>IF(ISBLANK(TInspectieW[[#This Row],[Soort gebrek]]),"",VLOOKUP(TInspectieW[[#This Row],[Soort gebrek]],TSoortGebrek[#Data],3,FALSE))</f>
        <v/>
      </c>
      <c r="H113" s="413" t="str">
        <f>IF(ISBLANK(TInspectieW[[#This Row],[Soort gebrek]]),"",VLOOKUP(TInspectieW[[#This Row],[Soort gebrek]],TSoortGebrek[#Data],2,FALSE))</f>
        <v/>
      </c>
      <c r="I113" s="413" t="str">
        <f>IF(TInspectieW[[#This Row],[Soort gebrek]]=0,"",VLOOKUP(TInspectieW[[#This Row],[Soort gebrek]],TSoortGebrek[],4,FALSE))</f>
        <v/>
      </c>
      <c r="J113" s="425"/>
      <c r="K113" s="415" t="str">
        <f>IF(TInspectieW[[#This Row],[Soort gebrek]]=0,"",VLOOKUP(TInspectieW[[#This Row],[Combi]],TPrio[#Data],2,FALSE))</f>
        <v/>
      </c>
      <c r="L113" s="339"/>
      <c r="M113" s="416" t="str">
        <f>IF(ISBLANK(TInspectieW[[#This Row],[Gebrek nr.]]),"",TInspectieW[[#This Row],[UVID]]&amp;"-"&amp;TInspectieW[[#This Row],[Gebrek nr.]])</f>
        <v/>
      </c>
      <c r="N113" s="417"/>
      <c r="O113" s="418"/>
      <c r="P113" s="206"/>
      <c r="Q113" s="193"/>
      <c r="R113" s="206"/>
      <c r="S113" s="206"/>
      <c r="T113" s="206"/>
      <c r="U113" s="206"/>
      <c r="V113" s="206"/>
      <c r="W113" s="419"/>
      <c r="X113" s="340">
        <f>[1]Inventarisatie!U114</f>
        <v>0</v>
      </c>
      <c r="Y113" s="420"/>
      <c r="Z113" s="421" t="str">
        <f>IF(ISBLANK(TInspectieW[[#This Row],[Aantal]]),"",ROUND(TInspectieW[[#This Row],[Kengetal]]*TInspectieW[[#This Row],[Aantal]],-1))</f>
        <v/>
      </c>
      <c r="AA113" s="422" t="str">
        <f>IF(TInspectieW[[#This Row],[Vak-groep]]="","1",VLOOKUP(C113,$J$2:$K$7,2,FALSE))</f>
        <v>1</v>
      </c>
      <c r="AB113" s="423" t="str">
        <f>CONCATENATE(TInspectieW[[#This Row],[Soort gebrek]],TInspectieW[[#This Row],[Trede]])</f>
        <v>1</v>
      </c>
      <c r="AC113" s="413" t="e">
        <v>#N/A</v>
      </c>
      <c r="AD113" s="413" t="e">
        <v>#N/A</v>
      </c>
      <c r="AE113" s="424">
        <v>0</v>
      </c>
    </row>
    <row r="114" spans="1:31" ht="10.5" x14ac:dyDescent="0.25">
      <c r="A114" s="337"/>
      <c r="B114" s="410" t="str">
        <f>IF(TInspectieW[[#This Row],[UVID]]="","",VLOOKUP(TInspectieW[[#This Row],[UVID]],TInventW[],2,FALSE))</f>
        <v/>
      </c>
      <c r="C114" s="365" t="str">
        <f>IF(TInspectieW[[#This Row],[UVID]]="","",VLOOKUP(TInspectieW[[#This Row],[UVID]],TInventW[],11,FALSE))</f>
        <v/>
      </c>
      <c r="D114" s="411" t="str">
        <f>IF(TInspectieW[[#This Row],[UVID]]="","",VLOOKUP(TInspectieW[[#This Row],[UVID]],TInventW[],3,FALSE))</f>
        <v/>
      </c>
      <c r="E114" s="338"/>
      <c r="F114" s="412"/>
      <c r="G114" s="413" t="str">
        <f>IF(ISBLANK(TInspectieW[[#This Row],[Soort gebrek]]),"",VLOOKUP(TInspectieW[[#This Row],[Soort gebrek]],TSoortGebrek[#Data],3,FALSE))</f>
        <v/>
      </c>
      <c r="H114" s="413" t="str">
        <f>IF(ISBLANK(TInspectieW[[#This Row],[Soort gebrek]]),"",VLOOKUP(TInspectieW[[#This Row],[Soort gebrek]],TSoortGebrek[#Data],2,FALSE))</f>
        <v/>
      </c>
      <c r="I114" s="413" t="str">
        <f>IF(TInspectieW[[#This Row],[Soort gebrek]]=0,"",VLOOKUP(TInspectieW[[#This Row],[Soort gebrek]],TSoortGebrek[],4,FALSE))</f>
        <v/>
      </c>
      <c r="J114" s="425"/>
      <c r="K114" s="415" t="str">
        <f>IF(TInspectieW[[#This Row],[Soort gebrek]]=0,"",VLOOKUP(TInspectieW[[#This Row],[Combi]],TPrio[#Data],2,FALSE))</f>
        <v/>
      </c>
      <c r="L114" s="339"/>
      <c r="M114" s="416" t="str">
        <f>IF(ISBLANK(TInspectieW[[#This Row],[Gebrek nr.]]),"",TInspectieW[[#This Row],[UVID]]&amp;"-"&amp;TInspectieW[[#This Row],[Gebrek nr.]])</f>
        <v/>
      </c>
      <c r="N114" s="417"/>
      <c r="O114" s="418"/>
      <c r="P114" s="206"/>
      <c r="Q114" s="193"/>
      <c r="R114" s="206"/>
      <c r="S114" s="206"/>
      <c r="T114" s="206"/>
      <c r="U114" s="206"/>
      <c r="V114" s="206"/>
      <c r="W114" s="419"/>
      <c r="X114" s="340">
        <f>[1]Inventarisatie!U115</f>
        <v>0</v>
      </c>
      <c r="Y114" s="420"/>
      <c r="Z114" s="421" t="str">
        <f>IF(ISBLANK(TInspectieW[[#This Row],[Aantal]]),"",ROUND(TInspectieW[[#This Row],[Kengetal]]*TInspectieW[[#This Row],[Aantal]],-1))</f>
        <v/>
      </c>
      <c r="AA114" s="422" t="str">
        <f>IF(TInspectieW[[#This Row],[Vak-groep]]="","1",VLOOKUP(C114,$J$2:$K$7,2,FALSE))</f>
        <v>1</v>
      </c>
      <c r="AB114" s="423" t="str">
        <f>CONCATENATE(TInspectieW[[#This Row],[Soort gebrek]],TInspectieW[[#This Row],[Trede]])</f>
        <v>1</v>
      </c>
      <c r="AC114" s="413" t="e">
        <v>#N/A</v>
      </c>
      <c r="AD114" s="413" t="e">
        <v>#N/A</v>
      </c>
      <c r="AE114" s="424">
        <v>0</v>
      </c>
    </row>
    <row r="115" spans="1:31" ht="10.5" x14ac:dyDescent="0.25">
      <c r="A115" s="337"/>
      <c r="B115" s="410" t="str">
        <f>IF(TInspectieW[[#This Row],[UVID]]="","",VLOOKUP(TInspectieW[[#This Row],[UVID]],TInventW[],2,FALSE))</f>
        <v/>
      </c>
      <c r="C115" s="365" t="str">
        <f>IF(TInspectieW[[#This Row],[UVID]]="","",VLOOKUP(TInspectieW[[#This Row],[UVID]],TInventW[],11,FALSE))</f>
        <v/>
      </c>
      <c r="D115" s="411" t="str">
        <f>IF(TInspectieW[[#This Row],[UVID]]="","",VLOOKUP(TInspectieW[[#This Row],[UVID]],TInventW[],3,FALSE))</f>
        <v/>
      </c>
      <c r="E115" s="338"/>
      <c r="F115" s="412"/>
      <c r="G115" s="413" t="str">
        <f>IF(ISBLANK(TInspectieW[[#This Row],[Soort gebrek]]),"",VLOOKUP(TInspectieW[[#This Row],[Soort gebrek]],TSoortGebrek[#Data],3,FALSE))</f>
        <v/>
      </c>
      <c r="H115" s="413" t="str">
        <f>IF(ISBLANK(TInspectieW[[#This Row],[Soort gebrek]]),"",VLOOKUP(TInspectieW[[#This Row],[Soort gebrek]],TSoortGebrek[#Data],2,FALSE))</f>
        <v/>
      </c>
      <c r="I115" s="413" t="str">
        <f>IF(TInspectieW[[#This Row],[Soort gebrek]]=0,"",VLOOKUP(TInspectieW[[#This Row],[Soort gebrek]],TSoortGebrek[],4,FALSE))</f>
        <v/>
      </c>
      <c r="J115" s="425"/>
      <c r="K115" s="415" t="str">
        <f>IF(TInspectieW[[#This Row],[Soort gebrek]]=0,"",VLOOKUP(TInspectieW[[#This Row],[Combi]],TPrio[#Data],2,FALSE))</f>
        <v/>
      </c>
      <c r="L115" s="339"/>
      <c r="M115" s="416" t="str">
        <f>IF(ISBLANK(TInspectieW[[#This Row],[Gebrek nr.]]),"",TInspectieW[[#This Row],[UVID]]&amp;"-"&amp;TInspectieW[[#This Row],[Gebrek nr.]])</f>
        <v/>
      </c>
      <c r="N115" s="417"/>
      <c r="O115" s="418"/>
      <c r="P115" s="206"/>
      <c r="Q115" s="193"/>
      <c r="R115" s="206"/>
      <c r="S115" s="206"/>
      <c r="T115" s="206"/>
      <c r="U115" s="206"/>
      <c r="V115" s="206"/>
      <c r="W115" s="419"/>
      <c r="X115" s="340">
        <f>[1]Inventarisatie!U116</f>
        <v>0</v>
      </c>
      <c r="Y115" s="420"/>
      <c r="Z115" s="421" t="str">
        <f>IF(ISBLANK(TInspectieW[[#This Row],[Aantal]]),"",ROUND(TInspectieW[[#This Row],[Kengetal]]*TInspectieW[[#This Row],[Aantal]],-1))</f>
        <v/>
      </c>
      <c r="AA115" s="422" t="str">
        <f>IF(TInspectieW[[#This Row],[Vak-groep]]="","1",VLOOKUP(C115,$J$2:$K$7,2,FALSE))</f>
        <v>1</v>
      </c>
      <c r="AB115" s="423" t="str">
        <f>CONCATENATE(TInspectieW[[#This Row],[Soort gebrek]],TInspectieW[[#This Row],[Trede]])</f>
        <v>1</v>
      </c>
      <c r="AC115" s="413" t="e">
        <v>#N/A</v>
      </c>
      <c r="AD115" s="413" t="e">
        <v>#N/A</v>
      </c>
      <c r="AE115" s="424">
        <v>0</v>
      </c>
    </row>
    <row r="116" spans="1:31" ht="10.5" x14ac:dyDescent="0.25">
      <c r="A116" s="337"/>
      <c r="B116" s="410" t="str">
        <f>IF(TInspectieW[[#This Row],[UVID]]="","",VLOOKUP(TInspectieW[[#This Row],[UVID]],TInventW[],2,FALSE))</f>
        <v/>
      </c>
      <c r="C116" s="365" t="str">
        <f>IF(TInspectieW[[#This Row],[UVID]]="","",VLOOKUP(TInspectieW[[#This Row],[UVID]],TInventW[],11,FALSE))</f>
        <v/>
      </c>
      <c r="D116" s="411" t="str">
        <f>IF(TInspectieW[[#This Row],[UVID]]="","",VLOOKUP(TInspectieW[[#This Row],[UVID]],TInventW[],3,FALSE))</f>
        <v/>
      </c>
      <c r="E116" s="338"/>
      <c r="F116" s="412"/>
      <c r="G116" s="413" t="str">
        <f>IF(ISBLANK(TInspectieW[[#This Row],[Soort gebrek]]),"",VLOOKUP(TInspectieW[[#This Row],[Soort gebrek]],TSoortGebrek[#Data],3,FALSE))</f>
        <v/>
      </c>
      <c r="H116" s="413" t="str">
        <f>IF(ISBLANK(TInspectieW[[#This Row],[Soort gebrek]]),"",VLOOKUP(TInspectieW[[#This Row],[Soort gebrek]],TSoortGebrek[#Data],2,FALSE))</f>
        <v/>
      </c>
      <c r="I116" s="413" t="str">
        <f>IF(TInspectieW[[#This Row],[Soort gebrek]]=0,"",VLOOKUP(TInspectieW[[#This Row],[Soort gebrek]],TSoortGebrek[],4,FALSE))</f>
        <v/>
      </c>
      <c r="J116" s="425"/>
      <c r="K116" s="415" t="str">
        <f>IF(TInspectieW[[#This Row],[Soort gebrek]]=0,"",VLOOKUP(TInspectieW[[#This Row],[Combi]],TPrio[#Data],2,FALSE))</f>
        <v/>
      </c>
      <c r="L116" s="339"/>
      <c r="M116" s="416" t="str">
        <f>IF(ISBLANK(TInspectieW[[#This Row],[Gebrek nr.]]),"",TInspectieW[[#This Row],[UVID]]&amp;"-"&amp;TInspectieW[[#This Row],[Gebrek nr.]])</f>
        <v/>
      </c>
      <c r="N116" s="417"/>
      <c r="O116" s="418"/>
      <c r="P116" s="206"/>
      <c r="Q116" s="193"/>
      <c r="R116" s="206"/>
      <c r="S116" s="206"/>
      <c r="T116" s="206"/>
      <c r="U116" s="206"/>
      <c r="V116" s="206"/>
      <c r="W116" s="419"/>
      <c r="X116" s="340">
        <f>[1]Inventarisatie!U117</f>
        <v>0</v>
      </c>
      <c r="Y116" s="420"/>
      <c r="Z116" s="421" t="str">
        <f>IF(ISBLANK(TInspectieW[[#This Row],[Aantal]]),"",ROUND(TInspectieW[[#This Row],[Kengetal]]*TInspectieW[[#This Row],[Aantal]],-1))</f>
        <v/>
      </c>
      <c r="AA116" s="422" t="str">
        <f>IF(TInspectieW[[#This Row],[Vak-groep]]="","1",VLOOKUP(C116,$J$2:$K$7,2,FALSE))</f>
        <v>1</v>
      </c>
      <c r="AB116" s="423" t="str">
        <f>CONCATENATE(TInspectieW[[#This Row],[Soort gebrek]],TInspectieW[[#This Row],[Trede]])</f>
        <v>1</v>
      </c>
      <c r="AC116" s="413" t="e">
        <v>#N/A</v>
      </c>
      <c r="AD116" s="413" t="e">
        <v>#N/A</v>
      </c>
      <c r="AE116" s="424">
        <v>0</v>
      </c>
    </row>
    <row r="117" spans="1:31" ht="10.5" x14ac:dyDescent="0.25">
      <c r="A117" s="337"/>
      <c r="B117" s="410" t="str">
        <f>IF(TInspectieW[[#This Row],[UVID]]="","",VLOOKUP(TInspectieW[[#This Row],[UVID]],TInventW[],2,FALSE))</f>
        <v/>
      </c>
      <c r="C117" s="365" t="str">
        <f>IF(TInspectieW[[#This Row],[UVID]]="","",VLOOKUP(TInspectieW[[#This Row],[UVID]],TInventW[],11,FALSE))</f>
        <v/>
      </c>
      <c r="D117" s="411" t="str">
        <f>IF(TInspectieW[[#This Row],[UVID]]="","",VLOOKUP(TInspectieW[[#This Row],[UVID]],TInventW[],3,FALSE))</f>
        <v/>
      </c>
      <c r="E117" s="338"/>
      <c r="F117" s="412"/>
      <c r="G117" s="413" t="str">
        <f>IF(ISBLANK(TInspectieW[[#This Row],[Soort gebrek]]),"",VLOOKUP(TInspectieW[[#This Row],[Soort gebrek]],TSoortGebrek[#Data],3,FALSE))</f>
        <v/>
      </c>
      <c r="H117" s="413" t="str">
        <f>IF(ISBLANK(TInspectieW[[#This Row],[Soort gebrek]]),"",VLOOKUP(TInspectieW[[#This Row],[Soort gebrek]],TSoortGebrek[#Data],2,FALSE))</f>
        <v/>
      </c>
      <c r="I117" s="413" t="str">
        <f>IF(TInspectieW[[#This Row],[Soort gebrek]]=0,"",VLOOKUP(TInspectieW[[#This Row],[Soort gebrek]],TSoortGebrek[],4,FALSE))</f>
        <v/>
      </c>
      <c r="J117" s="425"/>
      <c r="K117" s="415" t="str">
        <f>IF(TInspectieW[[#This Row],[Soort gebrek]]=0,"",VLOOKUP(TInspectieW[[#This Row],[Combi]],TPrio[#Data],2,FALSE))</f>
        <v/>
      </c>
      <c r="L117" s="339"/>
      <c r="M117" s="416" t="str">
        <f>IF(ISBLANK(TInspectieW[[#This Row],[Gebrek nr.]]),"",TInspectieW[[#This Row],[UVID]]&amp;"-"&amp;TInspectieW[[#This Row],[Gebrek nr.]])</f>
        <v/>
      </c>
      <c r="N117" s="417"/>
      <c r="O117" s="418"/>
      <c r="P117" s="206"/>
      <c r="Q117" s="193"/>
      <c r="R117" s="206"/>
      <c r="S117" s="206"/>
      <c r="T117" s="206"/>
      <c r="U117" s="206"/>
      <c r="V117" s="206"/>
      <c r="W117" s="419"/>
      <c r="X117" s="340">
        <f>[1]Inventarisatie!U118</f>
        <v>0</v>
      </c>
      <c r="Y117" s="420"/>
      <c r="Z117" s="421" t="str">
        <f>IF(ISBLANK(TInspectieW[[#This Row],[Aantal]]),"",ROUND(TInspectieW[[#This Row],[Kengetal]]*TInspectieW[[#This Row],[Aantal]],-1))</f>
        <v/>
      </c>
      <c r="AA117" s="422" t="str">
        <f>IF(TInspectieW[[#This Row],[Vak-groep]]="","1",VLOOKUP(C117,$J$2:$K$7,2,FALSE))</f>
        <v>1</v>
      </c>
      <c r="AB117" s="423" t="str">
        <f>CONCATENATE(TInspectieW[[#This Row],[Soort gebrek]],TInspectieW[[#This Row],[Trede]])</f>
        <v>1</v>
      </c>
      <c r="AC117" s="413" t="e">
        <v>#N/A</v>
      </c>
      <c r="AD117" s="413" t="e">
        <v>#N/A</v>
      </c>
      <c r="AE117" s="424">
        <v>0</v>
      </c>
    </row>
    <row r="118" spans="1:31" ht="10.5" x14ac:dyDescent="0.25">
      <c r="A118" s="337"/>
      <c r="B118" s="410" t="str">
        <f>IF(TInspectieW[[#This Row],[UVID]]="","",VLOOKUP(TInspectieW[[#This Row],[UVID]],TInventW[],2,FALSE))</f>
        <v/>
      </c>
      <c r="C118" s="365" t="str">
        <f>IF(TInspectieW[[#This Row],[UVID]]="","",VLOOKUP(TInspectieW[[#This Row],[UVID]],TInventW[],11,FALSE))</f>
        <v/>
      </c>
      <c r="D118" s="411" t="str">
        <f>IF(TInspectieW[[#This Row],[UVID]]="","",VLOOKUP(TInspectieW[[#This Row],[UVID]],TInventW[],3,FALSE))</f>
        <v/>
      </c>
      <c r="E118" s="338"/>
      <c r="F118" s="412"/>
      <c r="G118" s="413" t="str">
        <f>IF(ISBLANK(TInspectieW[[#This Row],[Soort gebrek]]),"",VLOOKUP(TInspectieW[[#This Row],[Soort gebrek]],TSoortGebrek[#Data],3,FALSE))</f>
        <v/>
      </c>
      <c r="H118" s="413" t="str">
        <f>IF(ISBLANK(TInspectieW[[#This Row],[Soort gebrek]]),"",VLOOKUP(TInspectieW[[#This Row],[Soort gebrek]],TSoortGebrek[#Data],2,FALSE))</f>
        <v/>
      </c>
      <c r="I118" s="413" t="str">
        <f>IF(TInspectieW[[#This Row],[Soort gebrek]]=0,"",VLOOKUP(TInspectieW[[#This Row],[Soort gebrek]],TSoortGebrek[],4,FALSE))</f>
        <v/>
      </c>
      <c r="J118" s="425"/>
      <c r="K118" s="415" t="str">
        <f>IF(TInspectieW[[#This Row],[Soort gebrek]]=0,"",VLOOKUP(TInspectieW[[#This Row],[Combi]],TPrio[#Data],2,FALSE))</f>
        <v/>
      </c>
      <c r="L118" s="339"/>
      <c r="M118" s="416" t="str">
        <f>IF(ISBLANK(TInspectieW[[#This Row],[Gebrek nr.]]),"",TInspectieW[[#This Row],[UVID]]&amp;"-"&amp;TInspectieW[[#This Row],[Gebrek nr.]])</f>
        <v/>
      </c>
      <c r="N118" s="417"/>
      <c r="O118" s="418"/>
      <c r="P118" s="206"/>
      <c r="Q118" s="193"/>
      <c r="R118" s="206"/>
      <c r="S118" s="206"/>
      <c r="T118" s="206"/>
      <c r="U118" s="206"/>
      <c r="V118" s="206"/>
      <c r="W118" s="419"/>
      <c r="X118" s="340">
        <f>[1]Inventarisatie!U119</f>
        <v>0</v>
      </c>
      <c r="Y118" s="420"/>
      <c r="Z118" s="421" t="str">
        <f>IF(ISBLANK(TInspectieW[[#This Row],[Aantal]]),"",ROUND(TInspectieW[[#This Row],[Kengetal]]*TInspectieW[[#This Row],[Aantal]],-1))</f>
        <v/>
      </c>
      <c r="AA118" s="422" t="str">
        <f>IF(TInspectieW[[#This Row],[Vak-groep]]="","1",VLOOKUP(C118,$J$2:$K$7,2,FALSE))</f>
        <v>1</v>
      </c>
      <c r="AB118" s="423" t="str">
        <f>CONCATENATE(TInspectieW[[#This Row],[Soort gebrek]],TInspectieW[[#This Row],[Trede]])</f>
        <v>1</v>
      </c>
      <c r="AC118" s="413" t="e">
        <v>#N/A</v>
      </c>
      <c r="AD118" s="413" t="e">
        <v>#N/A</v>
      </c>
      <c r="AE118" s="424">
        <v>0</v>
      </c>
    </row>
    <row r="119" spans="1:31" ht="10.5" x14ac:dyDescent="0.25">
      <c r="A119" s="337"/>
      <c r="B119" s="410" t="str">
        <f>IF(TInspectieW[[#This Row],[UVID]]="","",VLOOKUP(TInspectieW[[#This Row],[UVID]],TInventW[],2,FALSE))</f>
        <v/>
      </c>
      <c r="C119" s="365" t="str">
        <f>IF(TInspectieW[[#This Row],[UVID]]="","",VLOOKUP(TInspectieW[[#This Row],[UVID]],TInventW[],11,FALSE))</f>
        <v/>
      </c>
      <c r="D119" s="411" t="str">
        <f>IF(TInspectieW[[#This Row],[UVID]]="","",VLOOKUP(TInspectieW[[#This Row],[UVID]],TInventW[],3,FALSE))</f>
        <v/>
      </c>
      <c r="E119" s="338"/>
      <c r="F119" s="412"/>
      <c r="G119" s="413" t="str">
        <f>IF(ISBLANK(TInspectieW[[#This Row],[Soort gebrek]]),"",VLOOKUP(TInspectieW[[#This Row],[Soort gebrek]],TSoortGebrek[#Data],3,FALSE))</f>
        <v/>
      </c>
      <c r="H119" s="413" t="str">
        <f>IF(ISBLANK(TInspectieW[[#This Row],[Soort gebrek]]),"",VLOOKUP(TInspectieW[[#This Row],[Soort gebrek]],TSoortGebrek[#Data],2,FALSE))</f>
        <v/>
      </c>
      <c r="I119" s="413" t="str">
        <f>IF(TInspectieW[[#This Row],[Soort gebrek]]=0,"",VLOOKUP(TInspectieW[[#This Row],[Soort gebrek]],TSoortGebrek[],4,FALSE))</f>
        <v/>
      </c>
      <c r="J119" s="425"/>
      <c r="K119" s="415" t="str">
        <f>IF(TInspectieW[[#This Row],[Soort gebrek]]=0,"",VLOOKUP(TInspectieW[[#This Row],[Combi]],TPrio[#Data],2,FALSE))</f>
        <v/>
      </c>
      <c r="L119" s="339"/>
      <c r="M119" s="416" t="str">
        <f>IF(ISBLANK(TInspectieW[[#This Row],[Gebrek nr.]]),"",TInspectieW[[#This Row],[UVID]]&amp;"-"&amp;TInspectieW[[#This Row],[Gebrek nr.]])</f>
        <v/>
      </c>
      <c r="N119" s="417"/>
      <c r="O119" s="418"/>
      <c r="P119" s="206"/>
      <c r="Q119" s="193"/>
      <c r="R119" s="206"/>
      <c r="S119" s="206"/>
      <c r="T119" s="206"/>
      <c r="U119" s="206"/>
      <c r="V119" s="206"/>
      <c r="W119" s="419"/>
      <c r="X119" s="340">
        <f>[1]Inventarisatie!U120</f>
        <v>0</v>
      </c>
      <c r="Y119" s="420"/>
      <c r="Z119" s="421" t="str">
        <f>IF(ISBLANK(TInspectieW[[#This Row],[Aantal]]),"",ROUND(TInspectieW[[#This Row],[Kengetal]]*TInspectieW[[#This Row],[Aantal]],-1))</f>
        <v/>
      </c>
      <c r="AA119" s="422" t="str">
        <f>IF(TInspectieW[[#This Row],[Vak-groep]]="","1",VLOOKUP(C119,$J$2:$K$7,2,FALSE))</f>
        <v>1</v>
      </c>
      <c r="AB119" s="423" t="str">
        <f>CONCATENATE(TInspectieW[[#This Row],[Soort gebrek]],TInspectieW[[#This Row],[Trede]])</f>
        <v>1</v>
      </c>
      <c r="AC119" s="413" t="e">
        <v>#N/A</v>
      </c>
      <c r="AD119" s="413" t="e">
        <v>#N/A</v>
      </c>
      <c r="AE119" s="424">
        <v>0</v>
      </c>
    </row>
    <row r="120" spans="1:31" ht="10.5" x14ac:dyDescent="0.25">
      <c r="A120" s="337"/>
      <c r="B120" s="410" t="str">
        <f>IF(TInspectieW[[#This Row],[UVID]]="","",VLOOKUP(TInspectieW[[#This Row],[UVID]],TInventW[],2,FALSE))</f>
        <v/>
      </c>
      <c r="C120" s="365" t="str">
        <f>IF(TInspectieW[[#This Row],[UVID]]="","",VLOOKUP(TInspectieW[[#This Row],[UVID]],TInventW[],11,FALSE))</f>
        <v/>
      </c>
      <c r="D120" s="411" t="str">
        <f>IF(TInspectieW[[#This Row],[UVID]]="","",VLOOKUP(TInspectieW[[#This Row],[UVID]],TInventW[],3,FALSE))</f>
        <v/>
      </c>
      <c r="E120" s="338"/>
      <c r="F120" s="412"/>
      <c r="G120" s="413" t="str">
        <f>IF(ISBLANK(TInspectieW[[#This Row],[Soort gebrek]]),"",VLOOKUP(TInspectieW[[#This Row],[Soort gebrek]],TSoortGebrek[#Data],3,FALSE))</f>
        <v/>
      </c>
      <c r="H120" s="413" t="str">
        <f>IF(ISBLANK(TInspectieW[[#This Row],[Soort gebrek]]),"",VLOOKUP(TInspectieW[[#This Row],[Soort gebrek]],TSoortGebrek[#Data],2,FALSE))</f>
        <v/>
      </c>
      <c r="I120" s="413" t="str">
        <f>IF(TInspectieW[[#This Row],[Soort gebrek]]=0,"",VLOOKUP(TInspectieW[[#This Row],[Soort gebrek]],TSoortGebrek[],4,FALSE))</f>
        <v/>
      </c>
      <c r="J120" s="425"/>
      <c r="K120" s="415" t="str">
        <f>IF(TInspectieW[[#This Row],[Soort gebrek]]=0,"",VLOOKUP(TInspectieW[[#This Row],[Combi]],TPrio[#Data],2,FALSE))</f>
        <v/>
      </c>
      <c r="L120" s="339"/>
      <c r="M120" s="416" t="str">
        <f>IF(ISBLANK(TInspectieW[[#This Row],[Gebrek nr.]]),"",TInspectieW[[#This Row],[UVID]]&amp;"-"&amp;TInspectieW[[#This Row],[Gebrek nr.]])</f>
        <v/>
      </c>
      <c r="N120" s="417"/>
      <c r="O120" s="418"/>
      <c r="P120" s="206"/>
      <c r="Q120" s="193"/>
      <c r="R120" s="206"/>
      <c r="S120" s="206"/>
      <c r="T120" s="206"/>
      <c r="U120" s="206"/>
      <c r="V120" s="206"/>
      <c r="W120" s="419"/>
      <c r="X120" s="340">
        <f>[1]Inventarisatie!U121</f>
        <v>0</v>
      </c>
      <c r="Y120" s="420"/>
      <c r="Z120" s="421" t="str">
        <f>IF(ISBLANK(TInspectieW[[#This Row],[Aantal]]),"",ROUND(TInspectieW[[#This Row],[Kengetal]]*TInspectieW[[#This Row],[Aantal]],-1))</f>
        <v/>
      </c>
      <c r="AA120" s="422" t="str">
        <f>IF(TInspectieW[[#This Row],[Vak-groep]]="","1",VLOOKUP(C120,$J$2:$K$7,2,FALSE))</f>
        <v>1</v>
      </c>
      <c r="AB120" s="423" t="str">
        <f>CONCATENATE(TInspectieW[[#This Row],[Soort gebrek]],TInspectieW[[#This Row],[Trede]])</f>
        <v>1</v>
      </c>
      <c r="AC120" s="413" t="e">
        <v>#N/A</v>
      </c>
      <c r="AD120" s="413" t="e">
        <v>#N/A</v>
      </c>
      <c r="AE120" s="424">
        <v>0</v>
      </c>
    </row>
    <row r="121" spans="1:31" ht="10.5" x14ac:dyDescent="0.25">
      <c r="A121" s="337"/>
      <c r="B121" s="410" t="str">
        <f>IF(TInspectieW[[#This Row],[UVID]]="","",VLOOKUP(TInspectieW[[#This Row],[UVID]],TInventW[],2,FALSE))</f>
        <v/>
      </c>
      <c r="C121" s="365" t="str">
        <f>IF(TInspectieW[[#This Row],[UVID]]="","",VLOOKUP(TInspectieW[[#This Row],[UVID]],TInventW[],11,FALSE))</f>
        <v/>
      </c>
      <c r="D121" s="411" t="str">
        <f>IF(TInspectieW[[#This Row],[UVID]]="","",VLOOKUP(TInspectieW[[#This Row],[UVID]],TInventW[],3,FALSE))</f>
        <v/>
      </c>
      <c r="E121" s="338"/>
      <c r="F121" s="412"/>
      <c r="G121" s="413" t="str">
        <f>IF(ISBLANK(TInspectieW[[#This Row],[Soort gebrek]]),"",VLOOKUP(TInspectieW[[#This Row],[Soort gebrek]],TSoortGebrek[#Data],3,FALSE))</f>
        <v/>
      </c>
      <c r="H121" s="413" t="str">
        <f>IF(ISBLANK(TInspectieW[[#This Row],[Soort gebrek]]),"",VLOOKUP(TInspectieW[[#This Row],[Soort gebrek]],TSoortGebrek[#Data],2,FALSE))</f>
        <v/>
      </c>
      <c r="I121" s="413" t="str">
        <f>IF(TInspectieW[[#This Row],[Soort gebrek]]=0,"",VLOOKUP(TInspectieW[[#This Row],[Soort gebrek]],TSoortGebrek[],4,FALSE))</f>
        <v/>
      </c>
      <c r="J121" s="425"/>
      <c r="K121" s="415" t="str">
        <f>IF(TInspectieW[[#This Row],[Soort gebrek]]=0,"",VLOOKUP(TInspectieW[[#This Row],[Combi]],TPrio[#Data],2,FALSE))</f>
        <v/>
      </c>
      <c r="L121" s="339"/>
      <c r="M121" s="416" t="str">
        <f>IF(ISBLANK(TInspectieW[[#This Row],[Gebrek nr.]]),"",TInspectieW[[#This Row],[UVID]]&amp;"-"&amp;TInspectieW[[#This Row],[Gebrek nr.]])</f>
        <v/>
      </c>
      <c r="N121" s="417"/>
      <c r="O121" s="418"/>
      <c r="P121" s="206"/>
      <c r="Q121" s="193"/>
      <c r="R121" s="206"/>
      <c r="S121" s="206"/>
      <c r="T121" s="206"/>
      <c r="U121" s="206"/>
      <c r="V121" s="206"/>
      <c r="W121" s="419"/>
      <c r="X121" s="340">
        <f>[1]Inventarisatie!U122</f>
        <v>0</v>
      </c>
      <c r="Y121" s="420"/>
      <c r="Z121" s="421" t="str">
        <f>IF(ISBLANK(TInspectieW[[#This Row],[Aantal]]),"",ROUND(TInspectieW[[#This Row],[Kengetal]]*TInspectieW[[#This Row],[Aantal]],-1))</f>
        <v/>
      </c>
      <c r="AA121" s="422" t="str">
        <f>IF(TInspectieW[[#This Row],[Vak-groep]]="","1",VLOOKUP(C121,$J$2:$K$7,2,FALSE))</f>
        <v>1</v>
      </c>
      <c r="AB121" s="423" t="str">
        <f>CONCATENATE(TInspectieW[[#This Row],[Soort gebrek]],TInspectieW[[#This Row],[Trede]])</f>
        <v>1</v>
      </c>
      <c r="AC121" s="413" t="e">
        <v>#N/A</v>
      </c>
      <c r="AD121" s="413" t="e">
        <v>#N/A</v>
      </c>
      <c r="AE121" s="424">
        <v>0</v>
      </c>
    </row>
    <row r="122" spans="1:31" ht="10.5" x14ac:dyDescent="0.25">
      <c r="A122" s="337"/>
      <c r="B122" s="410" t="str">
        <f>IF(TInspectieW[[#This Row],[UVID]]="","",VLOOKUP(TInspectieW[[#This Row],[UVID]],TInventW[],2,FALSE))</f>
        <v/>
      </c>
      <c r="C122" s="365" t="str">
        <f>IF(TInspectieW[[#This Row],[UVID]]="","",VLOOKUP(TInspectieW[[#This Row],[UVID]],TInventW[],11,FALSE))</f>
        <v/>
      </c>
      <c r="D122" s="411" t="str">
        <f>IF(TInspectieW[[#This Row],[UVID]]="","",VLOOKUP(TInspectieW[[#This Row],[UVID]],TInventW[],3,FALSE))</f>
        <v/>
      </c>
      <c r="E122" s="338"/>
      <c r="F122" s="412"/>
      <c r="G122" s="413" t="str">
        <f>IF(ISBLANK(TInspectieW[[#This Row],[Soort gebrek]]),"",VLOOKUP(TInspectieW[[#This Row],[Soort gebrek]],TSoortGebrek[#Data],3,FALSE))</f>
        <v/>
      </c>
      <c r="H122" s="413" t="str">
        <f>IF(ISBLANK(TInspectieW[[#This Row],[Soort gebrek]]),"",VLOOKUP(TInspectieW[[#This Row],[Soort gebrek]],TSoortGebrek[#Data],2,FALSE))</f>
        <v/>
      </c>
      <c r="I122" s="413" t="str">
        <f>IF(TInspectieW[[#This Row],[Soort gebrek]]=0,"",VLOOKUP(TInspectieW[[#This Row],[Soort gebrek]],TSoortGebrek[],4,FALSE))</f>
        <v/>
      </c>
      <c r="J122" s="425"/>
      <c r="K122" s="415" t="str">
        <f>IF(TInspectieW[[#This Row],[Soort gebrek]]=0,"",VLOOKUP(TInspectieW[[#This Row],[Combi]],TPrio[#Data],2,FALSE))</f>
        <v/>
      </c>
      <c r="L122" s="339"/>
      <c r="M122" s="416" t="str">
        <f>IF(ISBLANK(TInspectieW[[#This Row],[Gebrek nr.]]),"",TInspectieW[[#This Row],[UVID]]&amp;"-"&amp;TInspectieW[[#This Row],[Gebrek nr.]])</f>
        <v/>
      </c>
      <c r="N122" s="417"/>
      <c r="O122" s="418"/>
      <c r="P122" s="206"/>
      <c r="Q122" s="193"/>
      <c r="R122" s="206"/>
      <c r="S122" s="206"/>
      <c r="T122" s="206"/>
      <c r="U122" s="206"/>
      <c r="V122" s="206"/>
      <c r="W122" s="419"/>
      <c r="X122" s="340">
        <f>[1]Inventarisatie!U123</f>
        <v>0</v>
      </c>
      <c r="Y122" s="420"/>
      <c r="Z122" s="421" t="str">
        <f>IF(ISBLANK(TInspectieW[[#This Row],[Aantal]]),"",ROUND(TInspectieW[[#This Row],[Kengetal]]*TInspectieW[[#This Row],[Aantal]],-1))</f>
        <v/>
      </c>
      <c r="AA122" s="422" t="str">
        <f>IF(TInspectieW[[#This Row],[Vak-groep]]="","1",VLOOKUP(C122,$J$2:$K$7,2,FALSE))</f>
        <v>1</v>
      </c>
      <c r="AB122" s="423" t="str">
        <f>CONCATENATE(TInspectieW[[#This Row],[Soort gebrek]],TInspectieW[[#This Row],[Trede]])</f>
        <v>1</v>
      </c>
      <c r="AC122" s="413" t="e">
        <v>#N/A</v>
      </c>
      <c r="AD122" s="413" t="e">
        <v>#N/A</v>
      </c>
      <c r="AE122" s="424">
        <v>0</v>
      </c>
    </row>
    <row r="123" spans="1:31" ht="10.5" x14ac:dyDescent="0.25">
      <c r="A123" s="337"/>
      <c r="B123" s="410" t="str">
        <f>IF(TInspectieW[[#This Row],[UVID]]="","",VLOOKUP(TInspectieW[[#This Row],[UVID]],TInventW[],2,FALSE))</f>
        <v/>
      </c>
      <c r="C123" s="365" t="str">
        <f>IF(TInspectieW[[#This Row],[UVID]]="","",VLOOKUP(TInspectieW[[#This Row],[UVID]],TInventW[],11,FALSE))</f>
        <v/>
      </c>
      <c r="D123" s="411" t="str">
        <f>IF(TInspectieW[[#This Row],[UVID]]="","",VLOOKUP(TInspectieW[[#This Row],[UVID]],TInventW[],3,FALSE))</f>
        <v/>
      </c>
      <c r="E123" s="338"/>
      <c r="F123" s="412"/>
      <c r="G123" s="413" t="str">
        <f>IF(ISBLANK(TInspectieW[[#This Row],[Soort gebrek]]),"",VLOOKUP(TInspectieW[[#This Row],[Soort gebrek]],TSoortGebrek[#Data],3,FALSE))</f>
        <v/>
      </c>
      <c r="H123" s="413" t="str">
        <f>IF(ISBLANK(TInspectieW[[#This Row],[Soort gebrek]]),"",VLOOKUP(TInspectieW[[#This Row],[Soort gebrek]],TSoortGebrek[#Data],2,FALSE))</f>
        <v/>
      </c>
      <c r="I123" s="413" t="str">
        <f>IF(TInspectieW[[#This Row],[Soort gebrek]]=0,"",VLOOKUP(TInspectieW[[#This Row],[Soort gebrek]],TSoortGebrek[],4,FALSE))</f>
        <v/>
      </c>
      <c r="J123" s="425"/>
      <c r="K123" s="415" t="str">
        <f>IF(TInspectieW[[#This Row],[Soort gebrek]]=0,"",VLOOKUP(TInspectieW[[#This Row],[Combi]],TPrio[#Data],2,FALSE))</f>
        <v/>
      </c>
      <c r="L123" s="339"/>
      <c r="M123" s="416" t="str">
        <f>IF(ISBLANK(TInspectieW[[#This Row],[Gebrek nr.]]),"",TInspectieW[[#This Row],[UVID]]&amp;"-"&amp;TInspectieW[[#This Row],[Gebrek nr.]])</f>
        <v/>
      </c>
      <c r="N123" s="417"/>
      <c r="O123" s="418"/>
      <c r="P123" s="206"/>
      <c r="Q123" s="193"/>
      <c r="R123" s="206"/>
      <c r="S123" s="206"/>
      <c r="T123" s="206"/>
      <c r="U123" s="206"/>
      <c r="V123" s="206"/>
      <c r="W123" s="419"/>
      <c r="X123" s="340">
        <f>[1]Inventarisatie!U124</f>
        <v>0</v>
      </c>
      <c r="Y123" s="420"/>
      <c r="Z123" s="421" t="str">
        <f>IF(ISBLANK(TInspectieW[[#This Row],[Aantal]]),"",ROUND(TInspectieW[[#This Row],[Kengetal]]*TInspectieW[[#This Row],[Aantal]],-1))</f>
        <v/>
      </c>
      <c r="AA123" s="422" t="str">
        <f>IF(TInspectieW[[#This Row],[Vak-groep]]="","1",VLOOKUP(C123,$J$2:$K$7,2,FALSE))</f>
        <v>1</v>
      </c>
      <c r="AB123" s="423" t="str">
        <f>CONCATENATE(TInspectieW[[#This Row],[Soort gebrek]],TInspectieW[[#This Row],[Trede]])</f>
        <v>1</v>
      </c>
      <c r="AC123" s="413" t="e">
        <v>#N/A</v>
      </c>
      <c r="AD123" s="413" t="e">
        <v>#N/A</v>
      </c>
      <c r="AE123" s="424">
        <v>0</v>
      </c>
    </row>
    <row r="124" spans="1:31" ht="10.5" x14ac:dyDescent="0.25">
      <c r="A124" s="337"/>
      <c r="B124" s="410" t="str">
        <f>IF(TInspectieW[[#This Row],[UVID]]="","",VLOOKUP(TInspectieW[[#This Row],[UVID]],TInventW[],2,FALSE))</f>
        <v/>
      </c>
      <c r="C124" s="365" t="str">
        <f>IF(TInspectieW[[#This Row],[UVID]]="","",VLOOKUP(TInspectieW[[#This Row],[UVID]],TInventW[],11,FALSE))</f>
        <v/>
      </c>
      <c r="D124" s="411" t="str">
        <f>IF(TInspectieW[[#This Row],[UVID]]="","",VLOOKUP(TInspectieW[[#This Row],[UVID]],TInventW[],3,FALSE))</f>
        <v/>
      </c>
      <c r="E124" s="338"/>
      <c r="F124" s="412"/>
      <c r="G124" s="413" t="str">
        <f>IF(ISBLANK(TInspectieW[[#This Row],[Soort gebrek]]),"",VLOOKUP(TInspectieW[[#This Row],[Soort gebrek]],TSoortGebrek[#Data],3,FALSE))</f>
        <v/>
      </c>
      <c r="H124" s="413" t="str">
        <f>IF(ISBLANK(TInspectieW[[#This Row],[Soort gebrek]]),"",VLOOKUP(TInspectieW[[#This Row],[Soort gebrek]],TSoortGebrek[#Data],2,FALSE))</f>
        <v/>
      </c>
      <c r="I124" s="413" t="str">
        <f>IF(TInspectieW[[#This Row],[Soort gebrek]]=0,"",VLOOKUP(TInspectieW[[#This Row],[Soort gebrek]],TSoortGebrek[],4,FALSE))</f>
        <v/>
      </c>
      <c r="J124" s="425"/>
      <c r="K124" s="415" t="str">
        <f>IF(TInspectieW[[#This Row],[Soort gebrek]]=0,"",VLOOKUP(TInspectieW[[#This Row],[Combi]],TPrio[#Data],2,FALSE))</f>
        <v/>
      </c>
      <c r="L124" s="339"/>
      <c r="M124" s="416" t="str">
        <f>IF(ISBLANK(TInspectieW[[#This Row],[Gebrek nr.]]),"",TInspectieW[[#This Row],[UVID]]&amp;"-"&amp;TInspectieW[[#This Row],[Gebrek nr.]])</f>
        <v/>
      </c>
      <c r="N124" s="417"/>
      <c r="O124" s="418"/>
      <c r="P124" s="206"/>
      <c r="Q124" s="193"/>
      <c r="R124" s="206"/>
      <c r="S124" s="206"/>
      <c r="T124" s="206"/>
      <c r="U124" s="206"/>
      <c r="V124" s="206"/>
      <c r="W124" s="419"/>
      <c r="X124" s="340">
        <f>[1]Inventarisatie!U125</f>
        <v>0</v>
      </c>
      <c r="Y124" s="420"/>
      <c r="Z124" s="421" t="str">
        <f>IF(ISBLANK(TInspectieW[[#This Row],[Aantal]]),"",ROUND(TInspectieW[[#This Row],[Kengetal]]*TInspectieW[[#This Row],[Aantal]],-1))</f>
        <v/>
      </c>
      <c r="AA124" s="422" t="str">
        <f>IF(TInspectieW[[#This Row],[Vak-groep]]="","1",VLOOKUP(C124,$J$2:$K$7,2,FALSE))</f>
        <v>1</v>
      </c>
      <c r="AB124" s="423" t="str">
        <f>CONCATENATE(TInspectieW[[#This Row],[Soort gebrek]],TInspectieW[[#This Row],[Trede]])</f>
        <v>1</v>
      </c>
      <c r="AC124" s="413" t="e">
        <v>#N/A</v>
      </c>
      <c r="AD124" s="413" t="e">
        <v>#N/A</v>
      </c>
      <c r="AE124" s="424">
        <v>0</v>
      </c>
    </row>
    <row r="125" spans="1:31" ht="10.5" x14ac:dyDescent="0.25">
      <c r="A125" s="337"/>
      <c r="B125" s="410" t="str">
        <f>IF(TInspectieW[[#This Row],[UVID]]="","",VLOOKUP(TInspectieW[[#This Row],[UVID]],TInventW[],2,FALSE))</f>
        <v/>
      </c>
      <c r="C125" s="365" t="str">
        <f>IF(TInspectieW[[#This Row],[UVID]]="","",VLOOKUP(TInspectieW[[#This Row],[UVID]],TInventW[],11,FALSE))</f>
        <v/>
      </c>
      <c r="D125" s="411" t="str">
        <f>IF(TInspectieW[[#This Row],[UVID]]="","",VLOOKUP(TInspectieW[[#This Row],[UVID]],TInventW[],3,FALSE))</f>
        <v/>
      </c>
      <c r="E125" s="338"/>
      <c r="F125" s="412"/>
      <c r="G125" s="413" t="str">
        <f>IF(ISBLANK(TInspectieW[[#This Row],[Soort gebrek]]),"",VLOOKUP(TInspectieW[[#This Row],[Soort gebrek]],TSoortGebrek[#Data],3,FALSE))</f>
        <v/>
      </c>
      <c r="H125" s="413" t="str">
        <f>IF(ISBLANK(TInspectieW[[#This Row],[Soort gebrek]]),"",VLOOKUP(TInspectieW[[#This Row],[Soort gebrek]],TSoortGebrek[#Data],2,FALSE))</f>
        <v/>
      </c>
      <c r="I125" s="413" t="str">
        <f>IF(TInspectieW[[#This Row],[Soort gebrek]]=0,"",VLOOKUP(TInspectieW[[#This Row],[Soort gebrek]],TSoortGebrek[],4,FALSE))</f>
        <v/>
      </c>
      <c r="J125" s="425"/>
      <c r="K125" s="415" t="str">
        <f>IF(TInspectieW[[#This Row],[Soort gebrek]]=0,"",VLOOKUP(TInspectieW[[#This Row],[Combi]],TPrio[#Data],2,FALSE))</f>
        <v/>
      </c>
      <c r="L125" s="339"/>
      <c r="M125" s="416" t="str">
        <f>IF(ISBLANK(TInspectieW[[#This Row],[Gebrek nr.]]),"",TInspectieW[[#This Row],[UVID]]&amp;"-"&amp;TInspectieW[[#This Row],[Gebrek nr.]])</f>
        <v/>
      </c>
      <c r="N125" s="417"/>
      <c r="O125" s="418"/>
      <c r="P125" s="206"/>
      <c r="Q125" s="193"/>
      <c r="R125" s="206"/>
      <c r="S125" s="206"/>
      <c r="T125" s="206"/>
      <c r="U125" s="206"/>
      <c r="V125" s="206"/>
      <c r="W125" s="419"/>
      <c r="X125" s="340">
        <f>[1]Inventarisatie!U126</f>
        <v>0</v>
      </c>
      <c r="Y125" s="420"/>
      <c r="Z125" s="421" t="str">
        <f>IF(ISBLANK(TInspectieW[[#This Row],[Aantal]]),"",ROUND(TInspectieW[[#This Row],[Kengetal]]*TInspectieW[[#This Row],[Aantal]],-1))</f>
        <v/>
      </c>
      <c r="AA125" s="422" t="str">
        <f>IF(TInspectieW[[#This Row],[Vak-groep]]="","1",VLOOKUP(C125,$J$2:$K$7,2,FALSE))</f>
        <v>1</v>
      </c>
      <c r="AB125" s="423" t="str">
        <f>CONCATENATE(TInspectieW[[#This Row],[Soort gebrek]],TInspectieW[[#This Row],[Trede]])</f>
        <v>1</v>
      </c>
      <c r="AC125" s="413" t="e">
        <v>#N/A</v>
      </c>
      <c r="AD125" s="413" t="e">
        <v>#N/A</v>
      </c>
      <c r="AE125" s="424">
        <v>0</v>
      </c>
    </row>
    <row r="126" spans="1:31" ht="10.5" x14ac:dyDescent="0.25">
      <c r="A126" s="337"/>
      <c r="B126" s="410" t="str">
        <f>IF(TInspectieW[[#This Row],[UVID]]="","",VLOOKUP(TInspectieW[[#This Row],[UVID]],TInventW[],2,FALSE))</f>
        <v/>
      </c>
      <c r="C126" s="365" t="str">
        <f>IF(TInspectieW[[#This Row],[UVID]]="","",VLOOKUP(TInspectieW[[#This Row],[UVID]],TInventW[],11,FALSE))</f>
        <v/>
      </c>
      <c r="D126" s="411" t="str">
        <f>IF(TInspectieW[[#This Row],[UVID]]="","",VLOOKUP(TInspectieW[[#This Row],[UVID]],TInventW[],3,FALSE))</f>
        <v/>
      </c>
      <c r="E126" s="338"/>
      <c r="F126" s="412"/>
      <c r="G126" s="413" t="str">
        <f>IF(ISBLANK(TInspectieW[[#This Row],[Soort gebrek]]),"",VLOOKUP(TInspectieW[[#This Row],[Soort gebrek]],TSoortGebrek[#Data],3,FALSE))</f>
        <v/>
      </c>
      <c r="H126" s="413" t="str">
        <f>IF(ISBLANK(TInspectieW[[#This Row],[Soort gebrek]]),"",VLOOKUP(TInspectieW[[#This Row],[Soort gebrek]],TSoortGebrek[#Data],2,FALSE))</f>
        <v/>
      </c>
      <c r="I126" s="413" t="str">
        <f>IF(TInspectieW[[#This Row],[Soort gebrek]]=0,"",VLOOKUP(TInspectieW[[#This Row],[Soort gebrek]],TSoortGebrek[],4,FALSE))</f>
        <v/>
      </c>
      <c r="J126" s="425"/>
      <c r="K126" s="415" t="str">
        <f>IF(TInspectieW[[#This Row],[Soort gebrek]]=0,"",VLOOKUP(TInspectieW[[#This Row],[Combi]],TPrio[#Data],2,FALSE))</f>
        <v/>
      </c>
      <c r="L126" s="339"/>
      <c r="M126" s="416" t="str">
        <f>IF(ISBLANK(TInspectieW[[#This Row],[Gebrek nr.]]),"",TInspectieW[[#This Row],[UVID]]&amp;"-"&amp;TInspectieW[[#This Row],[Gebrek nr.]])</f>
        <v/>
      </c>
      <c r="N126" s="417"/>
      <c r="O126" s="418"/>
      <c r="P126" s="206"/>
      <c r="Q126" s="193"/>
      <c r="R126" s="206"/>
      <c r="S126" s="206"/>
      <c r="T126" s="206"/>
      <c r="U126" s="206"/>
      <c r="V126" s="206"/>
      <c r="W126" s="419"/>
      <c r="X126" s="340">
        <f>[1]Inventarisatie!U127</f>
        <v>0</v>
      </c>
      <c r="Y126" s="420"/>
      <c r="Z126" s="421" t="str">
        <f>IF(ISBLANK(TInspectieW[[#This Row],[Aantal]]),"",ROUND(TInspectieW[[#This Row],[Kengetal]]*TInspectieW[[#This Row],[Aantal]],-1))</f>
        <v/>
      </c>
      <c r="AA126" s="422" t="str">
        <f>IF(TInspectieW[[#This Row],[Vak-groep]]="","1",VLOOKUP(C126,$J$2:$K$7,2,FALSE))</f>
        <v>1</v>
      </c>
      <c r="AB126" s="423" t="str">
        <f>CONCATENATE(TInspectieW[[#This Row],[Soort gebrek]],TInspectieW[[#This Row],[Trede]])</f>
        <v>1</v>
      </c>
      <c r="AC126" s="413" t="e">
        <v>#N/A</v>
      </c>
      <c r="AD126" s="413" t="e">
        <v>#N/A</v>
      </c>
      <c r="AE126" s="424">
        <v>0</v>
      </c>
    </row>
    <row r="127" spans="1:31" ht="10.5" x14ac:dyDescent="0.25">
      <c r="A127" s="337"/>
      <c r="B127" s="410" t="str">
        <f>IF(TInspectieW[[#This Row],[UVID]]="","",VLOOKUP(TInspectieW[[#This Row],[UVID]],TInventW[],2,FALSE))</f>
        <v/>
      </c>
      <c r="C127" s="365" t="str">
        <f>IF(TInspectieW[[#This Row],[UVID]]="","",VLOOKUP(TInspectieW[[#This Row],[UVID]],TInventW[],11,FALSE))</f>
        <v/>
      </c>
      <c r="D127" s="411" t="str">
        <f>IF(TInspectieW[[#This Row],[UVID]]="","",VLOOKUP(TInspectieW[[#This Row],[UVID]],TInventW[],3,FALSE))</f>
        <v/>
      </c>
      <c r="E127" s="338"/>
      <c r="F127" s="412"/>
      <c r="G127" s="413" t="str">
        <f>IF(ISBLANK(TInspectieW[[#This Row],[Soort gebrek]]),"",VLOOKUP(TInspectieW[[#This Row],[Soort gebrek]],TSoortGebrek[#Data],3,FALSE))</f>
        <v/>
      </c>
      <c r="H127" s="413" t="str">
        <f>IF(ISBLANK(TInspectieW[[#This Row],[Soort gebrek]]),"",VLOOKUP(TInspectieW[[#This Row],[Soort gebrek]],TSoortGebrek[#Data],2,FALSE))</f>
        <v/>
      </c>
      <c r="I127" s="413" t="str">
        <f>IF(TInspectieW[[#This Row],[Soort gebrek]]=0,"",VLOOKUP(TInspectieW[[#This Row],[Soort gebrek]],TSoortGebrek[],4,FALSE))</f>
        <v/>
      </c>
      <c r="J127" s="425"/>
      <c r="K127" s="415" t="str">
        <f>IF(TInspectieW[[#This Row],[Soort gebrek]]=0,"",VLOOKUP(TInspectieW[[#This Row],[Combi]],TPrio[#Data],2,FALSE))</f>
        <v/>
      </c>
      <c r="L127" s="339"/>
      <c r="M127" s="416" t="str">
        <f>IF(ISBLANK(TInspectieW[[#This Row],[Gebrek nr.]]),"",TInspectieW[[#This Row],[UVID]]&amp;"-"&amp;TInspectieW[[#This Row],[Gebrek nr.]])</f>
        <v/>
      </c>
      <c r="N127" s="417"/>
      <c r="O127" s="418"/>
      <c r="P127" s="206"/>
      <c r="Q127" s="193"/>
      <c r="R127" s="206"/>
      <c r="S127" s="206"/>
      <c r="T127" s="206"/>
      <c r="U127" s="206"/>
      <c r="V127" s="206"/>
      <c r="W127" s="419"/>
      <c r="X127" s="340">
        <f>[1]Inventarisatie!U128</f>
        <v>0</v>
      </c>
      <c r="Y127" s="420"/>
      <c r="Z127" s="421" t="str">
        <f>IF(ISBLANK(TInspectieW[[#This Row],[Aantal]]),"",ROUND(TInspectieW[[#This Row],[Kengetal]]*TInspectieW[[#This Row],[Aantal]],-1))</f>
        <v/>
      </c>
      <c r="AA127" s="422" t="str">
        <f>IF(TInspectieW[[#This Row],[Vak-groep]]="","1",VLOOKUP(C127,$J$2:$K$7,2,FALSE))</f>
        <v>1</v>
      </c>
      <c r="AB127" s="423" t="str">
        <f>CONCATENATE(TInspectieW[[#This Row],[Soort gebrek]],TInspectieW[[#This Row],[Trede]])</f>
        <v>1</v>
      </c>
      <c r="AC127" s="413" t="e">
        <v>#N/A</v>
      </c>
      <c r="AD127" s="413" t="e">
        <v>#N/A</v>
      </c>
      <c r="AE127" s="424">
        <v>0</v>
      </c>
    </row>
    <row r="128" spans="1:31" ht="10.5" x14ac:dyDescent="0.25">
      <c r="A128" s="337"/>
      <c r="B128" s="410" t="str">
        <f>IF(TInspectieW[[#This Row],[UVID]]="","",VLOOKUP(TInspectieW[[#This Row],[UVID]],TInventW[],2,FALSE))</f>
        <v/>
      </c>
      <c r="C128" s="365" t="str">
        <f>IF(TInspectieW[[#This Row],[UVID]]="","",VLOOKUP(TInspectieW[[#This Row],[UVID]],TInventW[],11,FALSE))</f>
        <v/>
      </c>
      <c r="D128" s="411" t="str">
        <f>IF(TInspectieW[[#This Row],[UVID]]="","",VLOOKUP(TInspectieW[[#This Row],[UVID]],TInventW[],3,FALSE))</f>
        <v/>
      </c>
      <c r="E128" s="338"/>
      <c r="F128" s="412"/>
      <c r="G128" s="413" t="str">
        <f>IF(ISBLANK(TInspectieW[[#This Row],[Soort gebrek]]),"",VLOOKUP(TInspectieW[[#This Row],[Soort gebrek]],TSoortGebrek[#Data],3,FALSE))</f>
        <v/>
      </c>
      <c r="H128" s="413" t="str">
        <f>IF(ISBLANK(TInspectieW[[#This Row],[Soort gebrek]]),"",VLOOKUP(TInspectieW[[#This Row],[Soort gebrek]],TSoortGebrek[#Data],2,FALSE))</f>
        <v/>
      </c>
      <c r="I128" s="413" t="str">
        <f>IF(TInspectieW[[#This Row],[Soort gebrek]]=0,"",VLOOKUP(TInspectieW[[#This Row],[Soort gebrek]],TSoortGebrek[],4,FALSE))</f>
        <v/>
      </c>
      <c r="J128" s="425"/>
      <c r="K128" s="415" t="str">
        <f>IF(TInspectieW[[#This Row],[Soort gebrek]]=0,"",VLOOKUP(TInspectieW[[#This Row],[Combi]],TPrio[#Data],2,FALSE))</f>
        <v/>
      </c>
      <c r="L128" s="339"/>
      <c r="M128" s="416" t="str">
        <f>IF(ISBLANK(TInspectieW[[#This Row],[Gebrek nr.]]),"",TInspectieW[[#This Row],[UVID]]&amp;"-"&amp;TInspectieW[[#This Row],[Gebrek nr.]])</f>
        <v/>
      </c>
      <c r="N128" s="417"/>
      <c r="O128" s="418"/>
      <c r="P128" s="206"/>
      <c r="Q128" s="193"/>
      <c r="R128" s="206"/>
      <c r="S128" s="206"/>
      <c r="T128" s="206"/>
      <c r="U128" s="206"/>
      <c r="V128" s="206"/>
      <c r="W128" s="419"/>
      <c r="X128" s="340">
        <f>[1]Inventarisatie!U129</f>
        <v>0</v>
      </c>
      <c r="Y128" s="420"/>
      <c r="Z128" s="421" t="str">
        <f>IF(ISBLANK(TInspectieW[[#This Row],[Aantal]]),"",ROUND(TInspectieW[[#This Row],[Kengetal]]*TInspectieW[[#This Row],[Aantal]],-1))</f>
        <v/>
      </c>
      <c r="AA128" s="422" t="str">
        <f>IF(TInspectieW[[#This Row],[Vak-groep]]="","1",VLOOKUP(C128,$J$2:$K$7,2,FALSE))</f>
        <v>1</v>
      </c>
      <c r="AB128" s="423" t="str">
        <f>CONCATENATE(TInspectieW[[#This Row],[Soort gebrek]],TInspectieW[[#This Row],[Trede]])</f>
        <v>1</v>
      </c>
      <c r="AC128" s="413" t="e">
        <v>#N/A</v>
      </c>
      <c r="AD128" s="413" t="e">
        <v>#N/A</v>
      </c>
      <c r="AE128" s="424">
        <v>0</v>
      </c>
    </row>
    <row r="129" spans="1:31" ht="10.5" x14ac:dyDescent="0.25">
      <c r="A129" s="337"/>
      <c r="B129" s="410" t="str">
        <f>IF(TInspectieW[[#This Row],[UVID]]="","",VLOOKUP(TInspectieW[[#This Row],[UVID]],TInventW[],2,FALSE))</f>
        <v/>
      </c>
      <c r="C129" s="365" t="str">
        <f>IF(TInspectieW[[#This Row],[UVID]]="","",VLOOKUP(TInspectieW[[#This Row],[UVID]],TInventW[],11,FALSE))</f>
        <v/>
      </c>
      <c r="D129" s="411" t="str">
        <f>IF(TInspectieW[[#This Row],[UVID]]="","",VLOOKUP(TInspectieW[[#This Row],[UVID]],TInventW[],3,FALSE))</f>
        <v/>
      </c>
      <c r="E129" s="338"/>
      <c r="F129" s="412"/>
      <c r="G129" s="413" t="str">
        <f>IF(ISBLANK(TInspectieW[[#This Row],[Soort gebrek]]),"",VLOOKUP(TInspectieW[[#This Row],[Soort gebrek]],TSoortGebrek[#Data],3,FALSE))</f>
        <v/>
      </c>
      <c r="H129" s="413" t="str">
        <f>IF(ISBLANK(TInspectieW[[#This Row],[Soort gebrek]]),"",VLOOKUP(TInspectieW[[#This Row],[Soort gebrek]],TSoortGebrek[#Data],2,FALSE))</f>
        <v/>
      </c>
      <c r="I129" s="413" t="str">
        <f>IF(TInspectieW[[#This Row],[Soort gebrek]]=0,"",VLOOKUP(TInspectieW[[#This Row],[Soort gebrek]],TSoortGebrek[],4,FALSE))</f>
        <v/>
      </c>
      <c r="J129" s="425"/>
      <c r="K129" s="415" t="str">
        <f>IF(TInspectieW[[#This Row],[Soort gebrek]]=0,"",VLOOKUP(TInspectieW[[#This Row],[Combi]],TPrio[#Data],2,FALSE))</f>
        <v/>
      </c>
      <c r="L129" s="339"/>
      <c r="M129" s="416" t="str">
        <f>IF(ISBLANK(TInspectieW[[#This Row],[Gebrek nr.]]),"",TInspectieW[[#This Row],[UVID]]&amp;"-"&amp;TInspectieW[[#This Row],[Gebrek nr.]])</f>
        <v/>
      </c>
      <c r="N129" s="417"/>
      <c r="O129" s="418"/>
      <c r="P129" s="206"/>
      <c r="Q129" s="193"/>
      <c r="R129" s="206"/>
      <c r="S129" s="206"/>
      <c r="T129" s="206"/>
      <c r="U129" s="206"/>
      <c r="V129" s="206"/>
      <c r="W129" s="419"/>
      <c r="X129" s="340">
        <f>[1]Inventarisatie!U130</f>
        <v>0</v>
      </c>
      <c r="Y129" s="420"/>
      <c r="Z129" s="421" t="str">
        <f>IF(ISBLANK(TInspectieW[[#This Row],[Aantal]]),"",ROUND(TInspectieW[[#This Row],[Kengetal]]*TInspectieW[[#This Row],[Aantal]],-1))</f>
        <v/>
      </c>
      <c r="AA129" s="422" t="str">
        <f>IF(TInspectieW[[#This Row],[Vak-groep]]="","1",VLOOKUP(C129,$J$2:$K$7,2,FALSE))</f>
        <v>1</v>
      </c>
      <c r="AB129" s="423" t="str">
        <f>CONCATENATE(TInspectieW[[#This Row],[Soort gebrek]],TInspectieW[[#This Row],[Trede]])</f>
        <v>1</v>
      </c>
      <c r="AC129" s="413" t="e">
        <v>#N/A</v>
      </c>
      <c r="AD129" s="413" t="e">
        <v>#N/A</v>
      </c>
      <c r="AE129" s="424">
        <v>0</v>
      </c>
    </row>
    <row r="130" spans="1:31" ht="10.5" x14ac:dyDescent="0.25">
      <c r="A130" s="337"/>
      <c r="B130" s="410" t="str">
        <f>IF(TInspectieW[[#This Row],[UVID]]="","",VLOOKUP(TInspectieW[[#This Row],[UVID]],TInventW[],2,FALSE))</f>
        <v/>
      </c>
      <c r="C130" s="365" t="str">
        <f>IF(TInspectieW[[#This Row],[UVID]]="","",VLOOKUP(TInspectieW[[#This Row],[UVID]],TInventW[],11,FALSE))</f>
        <v/>
      </c>
      <c r="D130" s="411" t="str">
        <f>IF(TInspectieW[[#This Row],[UVID]]="","",VLOOKUP(TInspectieW[[#This Row],[UVID]],TInventW[],3,FALSE))</f>
        <v/>
      </c>
      <c r="E130" s="338"/>
      <c r="F130" s="412"/>
      <c r="G130" s="413" t="str">
        <f>IF(ISBLANK(TInspectieW[[#This Row],[Soort gebrek]]),"",VLOOKUP(TInspectieW[[#This Row],[Soort gebrek]],TSoortGebrek[#Data],3,FALSE))</f>
        <v/>
      </c>
      <c r="H130" s="413" t="str">
        <f>IF(ISBLANK(TInspectieW[[#This Row],[Soort gebrek]]),"",VLOOKUP(TInspectieW[[#This Row],[Soort gebrek]],TSoortGebrek[#Data],2,FALSE))</f>
        <v/>
      </c>
      <c r="I130" s="413" t="str">
        <f>IF(TInspectieW[[#This Row],[Soort gebrek]]=0,"",VLOOKUP(TInspectieW[[#This Row],[Soort gebrek]],TSoortGebrek[],4,FALSE))</f>
        <v/>
      </c>
      <c r="J130" s="425"/>
      <c r="K130" s="415" t="str">
        <f>IF(TInspectieW[[#This Row],[Soort gebrek]]=0,"",VLOOKUP(TInspectieW[[#This Row],[Combi]],TPrio[#Data],2,FALSE))</f>
        <v/>
      </c>
      <c r="L130" s="339"/>
      <c r="M130" s="416" t="str">
        <f>IF(ISBLANK(TInspectieW[[#This Row],[Gebrek nr.]]),"",TInspectieW[[#This Row],[UVID]]&amp;"-"&amp;TInspectieW[[#This Row],[Gebrek nr.]])</f>
        <v/>
      </c>
      <c r="N130" s="417"/>
      <c r="O130" s="418"/>
      <c r="P130" s="206"/>
      <c r="Q130" s="193"/>
      <c r="R130" s="206"/>
      <c r="S130" s="206"/>
      <c r="T130" s="206"/>
      <c r="U130" s="206"/>
      <c r="V130" s="206"/>
      <c r="W130" s="419"/>
      <c r="X130" s="340">
        <f>[1]Inventarisatie!U131</f>
        <v>0</v>
      </c>
      <c r="Y130" s="420"/>
      <c r="Z130" s="421" t="str">
        <f>IF(ISBLANK(TInspectieW[[#This Row],[Aantal]]),"",ROUND(TInspectieW[[#This Row],[Kengetal]]*TInspectieW[[#This Row],[Aantal]],-1))</f>
        <v/>
      </c>
      <c r="AA130" s="422" t="str">
        <f>IF(TInspectieW[[#This Row],[Vak-groep]]="","1",VLOOKUP(C130,$J$2:$K$7,2,FALSE))</f>
        <v>1</v>
      </c>
      <c r="AB130" s="423" t="str">
        <f>CONCATENATE(TInspectieW[[#This Row],[Soort gebrek]],TInspectieW[[#This Row],[Trede]])</f>
        <v>1</v>
      </c>
      <c r="AC130" s="413" t="e">
        <v>#N/A</v>
      </c>
      <c r="AD130" s="413" t="e">
        <v>#N/A</v>
      </c>
      <c r="AE130" s="424">
        <v>0</v>
      </c>
    </row>
    <row r="131" spans="1:31" ht="10.5" x14ac:dyDescent="0.25">
      <c r="A131" s="337"/>
      <c r="B131" s="410" t="str">
        <f>IF(TInspectieW[[#This Row],[UVID]]="","",VLOOKUP(TInspectieW[[#This Row],[UVID]],TInventW[],2,FALSE))</f>
        <v/>
      </c>
      <c r="C131" s="365" t="str">
        <f>IF(TInspectieW[[#This Row],[UVID]]="","",VLOOKUP(TInspectieW[[#This Row],[UVID]],TInventW[],11,FALSE))</f>
        <v/>
      </c>
      <c r="D131" s="411" t="str">
        <f>IF(TInspectieW[[#This Row],[UVID]]="","",VLOOKUP(TInspectieW[[#This Row],[UVID]],TInventW[],3,FALSE))</f>
        <v/>
      </c>
      <c r="E131" s="338"/>
      <c r="F131" s="412"/>
      <c r="G131" s="413" t="str">
        <f>IF(ISBLANK(TInspectieW[[#This Row],[Soort gebrek]]),"",VLOOKUP(TInspectieW[[#This Row],[Soort gebrek]],TSoortGebrek[#Data],3,FALSE))</f>
        <v/>
      </c>
      <c r="H131" s="413" t="str">
        <f>IF(ISBLANK(TInspectieW[[#This Row],[Soort gebrek]]),"",VLOOKUP(TInspectieW[[#This Row],[Soort gebrek]],TSoortGebrek[#Data],2,FALSE))</f>
        <v/>
      </c>
      <c r="I131" s="413" t="str">
        <f>IF(TInspectieW[[#This Row],[Soort gebrek]]=0,"",VLOOKUP(TInspectieW[[#This Row],[Soort gebrek]],TSoortGebrek[],4,FALSE))</f>
        <v/>
      </c>
      <c r="J131" s="425"/>
      <c r="K131" s="415" t="str">
        <f>IF(TInspectieW[[#This Row],[Soort gebrek]]=0,"",VLOOKUP(TInspectieW[[#This Row],[Combi]],TPrio[#Data],2,FALSE))</f>
        <v/>
      </c>
      <c r="L131" s="339"/>
      <c r="M131" s="416" t="str">
        <f>IF(ISBLANK(TInspectieW[[#This Row],[Gebrek nr.]]),"",TInspectieW[[#This Row],[UVID]]&amp;"-"&amp;TInspectieW[[#This Row],[Gebrek nr.]])</f>
        <v/>
      </c>
      <c r="N131" s="417"/>
      <c r="O131" s="418"/>
      <c r="P131" s="206"/>
      <c r="Q131" s="193"/>
      <c r="R131" s="206"/>
      <c r="S131" s="206"/>
      <c r="T131" s="206"/>
      <c r="U131" s="206"/>
      <c r="V131" s="206"/>
      <c r="W131" s="419"/>
      <c r="X131" s="340">
        <f>[1]Inventarisatie!U132</f>
        <v>0</v>
      </c>
      <c r="Y131" s="420"/>
      <c r="Z131" s="421" t="str">
        <f>IF(ISBLANK(TInspectieW[[#This Row],[Aantal]]),"",ROUND(TInspectieW[[#This Row],[Kengetal]]*TInspectieW[[#This Row],[Aantal]],-1))</f>
        <v/>
      </c>
      <c r="AA131" s="422" t="str">
        <f>IF(TInspectieW[[#This Row],[Vak-groep]]="","1",VLOOKUP(C131,$J$2:$K$7,2,FALSE))</f>
        <v>1</v>
      </c>
      <c r="AB131" s="423" t="str">
        <f>CONCATENATE(TInspectieW[[#This Row],[Soort gebrek]],TInspectieW[[#This Row],[Trede]])</f>
        <v>1</v>
      </c>
      <c r="AC131" s="413" t="e">
        <v>#N/A</v>
      </c>
      <c r="AD131" s="413" t="e">
        <v>#N/A</v>
      </c>
      <c r="AE131" s="424">
        <v>0</v>
      </c>
    </row>
    <row r="132" spans="1:31" ht="10.5" x14ac:dyDescent="0.25">
      <c r="A132" s="337"/>
      <c r="B132" s="410" t="str">
        <f>IF(TInspectieW[[#This Row],[UVID]]="","",VLOOKUP(TInspectieW[[#This Row],[UVID]],TInventW[],2,FALSE))</f>
        <v/>
      </c>
      <c r="C132" s="365" t="str">
        <f>IF(TInspectieW[[#This Row],[UVID]]="","",VLOOKUP(TInspectieW[[#This Row],[UVID]],TInventW[],11,FALSE))</f>
        <v/>
      </c>
      <c r="D132" s="411" t="str">
        <f>IF(TInspectieW[[#This Row],[UVID]]="","",VLOOKUP(TInspectieW[[#This Row],[UVID]],TInventW[],3,FALSE))</f>
        <v/>
      </c>
      <c r="E132" s="338"/>
      <c r="F132" s="412"/>
      <c r="G132" s="413" t="str">
        <f>IF(ISBLANK(TInspectieW[[#This Row],[Soort gebrek]]),"",VLOOKUP(TInspectieW[[#This Row],[Soort gebrek]],TSoortGebrek[#Data],3,FALSE))</f>
        <v/>
      </c>
      <c r="H132" s="413" t="str">
        <f>IF(ISBLANK(TInspectieW[[#This Row],[Soort gebrek]]),"",VLOOKUP(TInspectieW[[#This Row],[Soort gebrek]],TSoortGebrek[#Data],2,FALSE))</f>
        <v/>
      </c>
      <c r="I132" s="413" t="str">
        <f>IF(TInspectieW[[#This Row],[Soort gebrek]]=0,"",VLOOKUP(TInspectieW[[#This Row],[Soort gebrek]],TSoortGebrek[],4,FALSE))</f>
        <v/>
      </c>
      <c r="J132" s="425"/>
      <c r="K132" s="415" t="str">
        <f>IF(TInspectieW[[#This Row],[Soort gebrek]]=0,"",VLOOKUP(TInspectieW[[#This Row],[Combi]],TPrio[#Data],2,FALSE))</f>
        <v/>
      </c>
      <c r="L132" s="339"/>
      <c r="M132" s="416" t="str">
        <f>IF(ISBLANK(TInspectieW[[#This Row],[Gebrek nr.]]),"",TInspectieW[[#This Row],[UVID]]&amp;"-"&amp;TInspectieW[[#This Row],[Gebrek nr.]])</f>
        <v/>
      </c>
      <c r="N132" s="417"/>
      <c r="O132" s="418"/>
      <c r="P132" s="206"/>
      <c r="Q132" s="193"/>
      <c r="R132" s="206"/>
      <c r="S132" s="206"/>
      <c r="T132" s="206"/>
      <c r="U132" s="206"/>
      <c r="V132" s="206"/>
      <c r="W132" s="419"/>
      <c r="X132" s="340">
        <f>[1]Inventarisatie!U133</f>
        <v>0</v>
      </c>
      <c r="Y132" s="420"/>
      <c r="Z132" s="421" t="str">
        <f>IF(ISBLANK(TInspectieW[[#This Row],[Aantal]]),"",ROUND(TInspectieW[[#This Row],[Kengetal]]*TInspectieW[[#This Row],[Aantal]],-1))</f>
        <v/>
      </c>
      <c r="AA132" s="422" t="str">
        <f>IF(TInspectieW[[#This Row],[Vak-groep]]="","1",VLOOKUP(C132,$J$2:$K$7,2,FALSE))</f>
        <v>1</v>
      </c>
      <c r="AB132" s="423" t="str">
        <f>CONCATENATE(TInspectieW[[#This Row],[Soort gebrek]],TInspectieW[[#This Row],[Trede]])</f>
        <v>1</v>
      </c>
      <c r="AC132" s="413" t="e">
        <v>#N/A</v>
      </c>
      <c r="AD132" s="413" t="e">
        <v>#N/A</v>
      </c>
      <c r="AE132" s="424">
        <v>0</v>
      </c>
    </row>
    <row r="133" spans="1:31" ht="10.5" x14ac:dyDescent="0.25">
      <c r="A133" s="337"/>
      <c r="B133" s="410" t="str">
        <f>IF(TInspectieW[[#This Row],[UVID]]="","",VLOOKUP(TInspectieW[[#This Row],[UVID]],TInventW[],2,FALSE))</f>
        <v/>
      </c>
      <c r="C133" s="365" t="str">
        <f>IF(TInspectieW[[#This Row],[UVID]]="","",VLOOKUP(TInspectieW[[#This Row],[UVID]],TInventW[],11,FALSE))</f>
        <v/>
      </c>
      <c r="D133" s="411" t="str">
        <f>IF(TInspectieW[[#This Row],[UVID]]="","",VLOOKUP(TInspectieW[[#This Row],[UVID]],TInventW[],3,FALSE))</f>
        <v/>
      </c>
      <c r="E133" s="338"/>
      <c r="F133" s="412"/>
      <c r="G133" s="413" t="str">
        <f>IF(ISBLANK(TInspectieW[[#This Row],[Soort gebrek]]),"",VLOOKUP(TInspectieW[[#This Row],[Soort gebrek]],TSoortGebrek[#Data],3,FALSE))</f>
        <v/>
      </c>
      <c r="H133" s="413" t="str">
        <f>IF(ISBLANK(TInspectieW[[#This Row],[Soort gebrek]]),"",VLOOKUP(TInspectieW[[#This Row],[Soort gebrek]],TSoortGebrek[#Data],2,FALSE))</f>
        <v/>
      </c>
      <c r="I133" s="413" t="str">
        <f>IF(TInspectieW[[#This Row],[Soort gebrek]]=0,"",VLOOKUP(TInspectieW[[#This Row],[Soort gebrek]],TSoortGebrek[],4,FALSE))</f>
        <v/>
      </c>
      <c r="J133" s="425"/>
      <c r="K133" s="415" t="str">
        <f>IF(TInspectieW[[#This Row],[Soort gebrek]]=0,"",VLOOKUP(TInspectieW[[#This Row],[Combi]],TPrio[#Data],2,FALSE))</f>
        <v/>
      </c>
      <c r="L133" s="339"/>
      <c r="M133" s="416" t="str">
        <f>IF(ISBLANK(TInspectieW[[#This Row],[Gebrek nr.]]),"",TInspectieW[[#This Row],[UVID]]&amp;"-"&amp;TInspectieW[[#This Row],[Gebrek nr.]])</f>
        <v/>
      </c>
      <c r="N133" s="417"/>
      <c r="O133" s="418"/>
      <c r="P133" s="206"/>
      <c r="Q133" s="193"/>
      <c r="R133" s="206"/>
      <c r="S133" s="206"/>
      <c r="T133" s="206"/>
      <c r="U133" s="206"/>
      <c r="V133" s="206"/>
      <c r="W133" s="419"/>
      <c r="X133" s="340">
        <f>[1]Inventarisatie!U134</f>
        <v>0</v>
      </c>
      <c r="Y133" s="420"/>
      <c r="Z133" s="421" t="str">
        <f>IF(ISBLANK(TInspectieW[[#This Row],[Aantal]]),"",ROUND(TInspectieW[[#This Row],[Kengetal]]*TInspectieW[[#This Row],[Aantal]],-1))</f>
        <v/>
      </c>
      <c r="AA133" s="422" t="str">
        <f>IF(TInspectieW[[#This Row],[Vak-groep]]="","1",VLOOKUP(C133,$J$2:$K$7,2,FALSE))</f>
        <v>1</v>
      </c>
      <c r="AB133" s="423" t="str">
        <f>CONCATENATE(TInspectieW[[#This Row],[Soort gebrek]],TInspectieW[[#This Row],[Trede]])</f>
        <v>1</v>
      </c>
      <c r="AC133" s="413" t="e">
        <v>#N/A</v>
      </c>
      <c r="AD133" s="413" t="e">
        <v>#N/A</v>
      </c>
      <c r="AE133" s="424">
        <v>0</v>
      </c>
    </row>
    <row r="134" spans="1:31" ht="10.5" x14ac:dyDescent="0.25">
      <c r="A134" s="337"/>
      <c r="B134" s="410" t="str">
        <f>IF(TInspectieW[[#This Row],[UVID]]="","",VLOOKUP(TInspectieW[[#This Row],[UVID]],TInventW[],2,FALSE))</f>
        <v/>
      </c>
      <c r="C134" s="365" t="str">
        <f>IF(TInspectieW[[#This Row],[UVID]]="","",VLOOKUP(TInspectieW[[#This Row],[UVID]],TInventW[],11,FALSE))</f>
        <v/>
      </c>
      <c r="D134" s="411" t="str">
        <f>IF(TInspectieW[[#This Row],[UVID]]="","",VLOOKUP(TInspectieW[[#This Row],[UVID]],TInventW[],3,FALSE))</f>
        <v/>
      </c>
      <c r="E134" s="338"/>
      <c r="F134" s="412"/>
      <c r="G134" s="413" t="str">
        <f>IF(ISBLANK(TInspectieW[[#This Row],[Soort gebrek]]),"",VLOOKUP(TInspectieW[[#This Row],[Soort gebrek]],TSoortGebrek[#Data],3,FALSE))</f>
        <v/>
      </c>
      <c r="H134" s="413" t="str">
        <f>IF(ISBLANK(TInspectieW[[#This Row],[Soort gebrek]]),"",VLOOKUP(TInspectieW[[#This Row],[Soort gebrek]],TSoortGebrek[#Data],2,FALSE))</f>
        <v/>
      </c>
      <c r="I134" s="413" t="str">
        <f>IF(TInspectieW[[#This Row],[Soort gebrek]]=0,"",VLOOKUP(TInspectieW[[#This Row],[Soort gebrek]],TSoortGebrek[],4,FALSE))</f>
        <v/>
      </c>
      <c r="J134" s="425"/>
      <c r="K134" s="415" t="str">
        <f>IF(TInspectieW[[#This Row],[Soort gebrek]]=0,"",VLOOKUP(TInspectieW[[#This Row],[Combi]],TPrio[#Data],2,FALSE))</f>
        <v/>
      </c>
      <c r="L134" s="339"/>
      <c r="M134" s="416" t="str">
        <f>IF(ISBLANK(TInspectieW[[#This Row],[Gebrek nr.]]),"",TInspectieW[[#This Row],[UVID]]&amp;"-"&amp;TInspectieW[[#This Row],[Gebrek nr.]])</f>
        <v/>
      </c>
      <c r="N134" s="417"/>
      <c r="O134" s="418"/>
      <c r="P134" s="206"/>
      <c r="Q134" s="193"/>
      <c r="R134" s="206"/>
      <c r="S134" s="206"/>
      <c r="T134" s="206"/>
      <c r="U134" s="206"/>
      <c r="V134" s="206"/>
      <c r="W134" s="419"/>
      <c r="X134" s="340">
        <f>[1]Inventarisatie!U135</f>
        <v>0</v>
      </c>
      <c r="Y134" s="420"/>
      <c r="Z134" s="421" t="str">
        <f>IF(ISBLANK(TInspectieW[[#This Row],[Aantal]]),"",ROUND(TInspectieW[[#This Row],[Kengetal]]*TInspectieW[[#This Row],[Aantal]],-1))</f>
        <v/>
      </c>
      <c r="AA134" s="422" t="str">
        <f>IF(TInspectieW[[#This Row],[Vak-groep]]="","1",VLOOKUP(C134,$J$2:$K$7,2,FALSE))</f>
        <v>1</v>
      </c>
      <c r="AB134" s="423" t="str">
        <f>CONCATENATE(TInspectieW[[#This Row],[Soort gebrek]],TInspectieW[[#This Row],[Trede]])</f>
        <v>1</v>
      </c>
      <c r="AC134" s="413" t="e">
        <v>#N/A</v>
      </c>
      <c r="AD134" s="413" t="e">
        <v>#N/A</v>
      </c>
      <c r="AE134" s="424">
        <v>0</v>
      </c>
    </row>
    <row r="135" spans="1:31" ht="10.5" x14ac:dyDescent="0.25">
      <c r="A135" s="337"/>
      <c r="B135" s="410" t="str">
        <f>IF(TInspectieW[[#This Row],[UVID]]="","",VLOOKUP(TInspectieW[[#This Row],[UVID]],TInventW[],2,FALSE))</f>
        <v/>
      </c>
      <c r="C135" s="365" t="str">
        <f>IF(TInspectieW[[#This Row],[UVID]]="","",VLOOKUP(TInspectieW[[#This Row],[UVID]],TInventW[],11,FALSE))</f>
        <v/>
      </c>
      <c r="D135" s="411" t="str">
        <f>IF(TInspectieW[[#This Row],[UVID]]="","",VLOOKUP(TInspectieW[[#This Row],[UVID]],TInventW[],3,FALSE))</f>
        <v/>
      </c>
      <c r="E135" s="338"/>
      <c r="F135" s="412"/>
      <c r="G135" s="413" t="str">
        <f>IF(ISBLANK(TInspectieW[[#This Row],[Soort gebrek]]),"",VLOOKUP(TInspectieW[[#This Row],[Soort gebrek]],TSoortGebrek[#Data],3,FALSE))</f>
        <v/>
      </c>
      <c r="H135" s="413" t="str">
        <f>IF(ISBLANK(TInspectieW[[#This Row],[Soort gebrek]]),"",VLOOKUP(TInspectieW[[#This Row],[Soort gebrek]],TSoortGebrek[#Data],2,FALSE))</f>
        <v/>
      </c>
      <c r="I135" s="413" t="str">
        <f>IF(TInspectieW[[#This Row],[Soort gebrek]]=0,"",VLOOKUP(TInspectieW[[#This Row],[Soort gebrek]],TSoortGebrek[],4,FALSE))</f>
        <v/>
      </c>
      <c r="J135" s="425"/>
      <c r="K135" s="415" t="str">
        <f>IF(TInspectieW[[#This Row],[Soort gebrek]]=0,"",VLOOKUP(TInspectieW[[#This Row],[Combi]],TPrio[#Data],2,FALSE))</f>
        <v/>
      </c>
      <c r="L135" s="339"/>
      <c r="M135" s="416" t="str">
        <f>IF(ISBLANK(TInspectieW[[#This Row],[Gebrek nr.]]),"",TInspectieW[[#This Row],[UVID]]&amp;"-"&amp;TInspectieW[[#This Row],[Gebrek nr.]])</f>
        <v/>
      </c>
      <c r="N135" s="417"/>
      <c r="O135" s="418"/>
      <c r="P135" s="206"/>
      <c r="Q135" s="193"/>
      <c r="R135" s="206"/>
      <c r="S135" s="206"/>
      <c r="T135" s="206"/>
      <c r="U135" s="206"/>
      <c r="V135" s="206"/>
      <c r="W135" s="419"/>
      <c r="X135" s="340">
        <f>[1]Inventarisatie!U136</f>
        <v>0</v>
      </c>
      <c r="Y135" s="420"/>
      <c r="Z135" s="421" t="str">
        <f>IF(ISBLANK(TInspectieW[[#This Row],[Aantal]]),"",ROUND(TInspectieW[[#This Row],[Kengetal]]*TInspectieW[[#This Row],[Aantal]],-1))</f>
        <v/>
      </c>
      <c r="AA135" s="422" t="str">
        <f>IF(TInspectieW[[#This Row],[Vak-groep]]="","1",VLOOKUP(C135,$J$2:$K$7,2,FALSE))</f>
        <v>1</v>
      </c>
      <c r="AB135" s="423" t="str">
        <f>CONCATENATE(TInspectieW[[#This Row],[Soort gebrek]],TInspectieW[[#This Row],[Trede]])</f>
        <v>1</v>
      </c>
      <c r="AC135" s="413" t="e">
        <v>#N/A</v>
      </c>
      <c r="AD135" s="413" t="e">
        <v>#N/A</v>
      </c>
      <c r="AE135" s="424">
        <v>0</v>
      </c>
    </row>
    <row r="136" spans="1:31" ht="10.5" x14ac:dyDescent="0.25">
      <c r="A136" s="337"/>
      <c r="B136" s="410" t="str">
        <f>IF(TInspectieW[[#This Row],[UVID]]="","",VLOOKUP(TInspectieW[[#This Row],[UVID]],TInventW[],2,FALSE))</f>
        <v/>
      </c>
      <c r="C136" s="365" t="str">
        <f>IF(TInspectieW[[#This Row],[UVID]]="","",VLOOKUP(TInspectieW[[#This Row],[UVID]],TInventW[],11,FALSE))</f>
        <v/>
      </c>
      <c r="D136" s="411" t="str">
        <f>IF(TInspectieW[[#This Row],[UVID]]="","",VLOOKUP(TInspectieW[[#This Row],[UVID]],TInventW[],3,FALSE))</f>
        <v/>
      </c>
      <c r="E136" s="338"/>
      <c r="F136" s="412"/>
      <c r="G136" s="413" t="str">
        <f>IF(ISBLANK(TInspectieW[[#This Row],[Soort gebrek]]),"",VLOOKUP(TInspectieW[[#This Row],[Soort gebrek]],TSoortGebrek[#Data],3,FALSE))</f>
        <v/>
      </c>
      <c r="H136" s="413" t="str">
        <f>IF(ISBLANK(TInspectieW[[#This Row],[Soort gebrek]]),"",VLOOKUP(TInspectieW[[#This Row],[Soort gebrek]],TSoortGebrek[#Data],2,FALSE))</f>
        <v/>
      </c>
      <c r="I136" s="413" t="str">
        <f>IF(TInspectieW[[#This Row],[Soort gebrek]]=0,"",VLOOKUP(TInspectieW[[#This Row],[Soort gebrek]],TSoortGebrek[],4,FALSE))</f>
        <v/>
      </c>
      <c r="J136" s="425"/>
      <c r="K136" s="415" t="str">
        <f>IF(TInspectieW[[#This Row],[Soort gebrek]]=0,"",VLOOKUP(TInspectieW[[#This Row],[Combi]],TPrio[#Data],2,FALSE))</f>
        <v/>
      </c>
      <c r="L136" s="339"/>
      <c r="M136" s="416" t="str">
        <f>IF(ISBLANK(TInspectieW[[#This Row],[Gebrek nr.]]),"",TInspectieW[[#This Row],[UVID]]&amp;"-"&amp;TInspectieW[[#This Row],[Gebrek nr.]])</f>
        <v/>
      </c>
      <c r="N136" s="417"/>
      <c r="O136" s="418"/>
      <c r="P136" s="206"/>
      <c r="Q136" s="193"/>
      <c r="R136" s="206"/>
      <c r="S136" s="206"/>
      <c r="T136" s="206"/>
      <c r="U136" s="206"/>
      <c r="V136" s="206"/>
      <c r="W136" s="419"/>
      <c r="X136" s="340">
        <f>[1]Inventarisatie!U137</f>
        <v>0</v>
      </c>
      <c r="Y136" s="420"/>
      <c r="Z136" s="421" t="str">
        <f>IF(ISBLANK(TInspectieW[[#This Row],[Aantal]]),"",ROUND(TInspectieW[[#This Row],[Kengetal]]*TInspectieW[[#This Row],[Aantal]],-1))</f>
        <v/>
      </c>
      <c r="AA136" s="422" t="str">
        <f>IF(TInspectieW[[#This Row],[Vak-groep]]="","1",VLOOKUP(C136,$J$2:$K$7,2,FALSE))</f>
        <v>1</v>
      </c>
      <c r="AB136" s="423" t="str">
        <f>CONCATENATE(TInspectieW[[#This Row],[Soort gebrek]],TInspectieW[[#This Row],[Trede]])</f>
        <v>1</v>
      </c>
      <c r="AC136" s="413" t="e">
        <v>#N/A</v>
      </c>
      <c r="AD136" s="413" t="e">
        <v>#N/A</v>
      </c>
      <c r="AE136" s="424">
        <v>0</v>
      </c>
    </row>
    <row r="137" spans="1:31" ht="10.5" x14ac:dyDescent="0.25">
      <c r="A137" s="337"/>
      <c r="B137" s="410" t="str">
        <f>IF(TInspectieW[[#This Row],[UVID]]="","",VLOOKUP(TInspectieW[[#This Row],[UVID]],TInventW[],2,FALSE))</f>
        <v/>
      </c>
      <c r="C137" s="365" t="str">
        <f>IF(TInspectieW[[#This Row],[UVID]]="","",VLOOKUP(TInspectieW[[#This Row],[UVID]],TInventW[],11,FALSE))</f>
        <v/>
      </c>
      <c r="D137" s="411" t="str">
        <f>IF(TInspectieW[[#This Row],[UVID]]="","",VLOOKUP(TInspectieW[[#This Row],[UVID]],TInventW[],3,FALSE))</f>
        <v/>
      </c>
      <c r="E137" s="338"/>
      <c r="F137" s="412"/>
      <c r="G137" s="413" t="str">
        <f>IF(ISBLANK(TInspectieW[[#This Row],[Soort gebrek]]),"",VLOOKUP(TInspectieW[[#This Row],[Soort gebrek]],TSoortGebrek[#Data],3,FALSE))</f>
        <v/>
      </c>
      <c r="H137" s="413" t="str">
        <f>IF(ISBLANK(TInspectieW[[#This Row],[Soort gebrek]]),"",VLOOKUP(TInspectieW[[#This Row],[Soort gebrek]],TSoortGebrek[#Data],2,FALSE))</f>
        <v/>
      </c>
      <c r="I137" s="413" t="str">
        <f>IF(TInspectieW[[#This Row],[Soort gebrek]]=0,"",VLOOKUP(TInspectieW[[#This Row],[Soort gebrek]],TSoortGebrek[],4,FALSE))</f>
        <v/>
      </c>
      <c r="J137" s="425"/>
      <c r="K137" s="415" t="str">
        <f>IF(TInspectieW[[#This Row],[Soort gebrek]]=0,"",VLOOKUP(TInspectieW[[#This Row],[Combi]],TPrio[#Data],2,FALSE))</f>
        <v/>
      </c>
      <c r="L137" s="339"/>
      <c r="M137" s="416" t="str">
        <f>IF(ISBLANK(TInspectieW[[#This Row],[Gebrek nr.]]),"",TInspectieW[[#This Row],[UVID]]&amp;"-"&amp;TInspectieW[[#This Row],[Gebrek nr.]])</f>
        <v/>
      </c>
      <c r="N137" s="417"/>
      <c r="O137" s="418"/>
      <c r="P137" s="206"/>
      <c r="Q137" s="193"/>
      <c r="R137" s="206"/>
      <c r="S137" s="206"/>
      <c r="T137" s="206"/>
      <c r="U137" s="206"/>
      <c r="V137" s="206"/>
      <c r="W137" s="419"/>
      <c r="X137" s="340">
        <f>[1]Inventarisatie!U138</f>
        <v>0</v>
      </c>
      <c r="Y137" s="420"/>
      <c r="Z137" s="421" t="str">
        <f>IF(ISBLANK(TInspectieW[[#This Row],[Aantal]]),"",ROUND(TInspectieW[[#This Row],[Kengetal]]*TInspectieW[[#This Row],[Aantal]],-1))</f>
        <v/>
      </c>
      <c r="AA137" s="422" t="str">
        <f>IF(TInspectieW[[#This Row],[Vak-groep]]="","1",VLOOKUP(C137,$J$2:$K$7,2,FALSE))</f>
        <v>1</v>
      </c>
      <c r="AB137" s="423" t="str">
        <f>CONCATENATE(TInspectieW[[#This Row],[Soort gebrek]],TInspectieW[[#This Row],[Trede]])</f>
        <v>1</v>
      </c>
      <c r="AC137" s="413" t="e">
        <v>#N/A</v>
      </c>
      <c r="AD137" s="413" t="e">
        <v>#N/A</v>
      </c>
      <c r="AE137" s="424">
        <v>0</v>
      </c>
    </row>
    <row r="138" spans="1:31" ht="10.5" x14ac:dyDescent="0.25">
      <c r="A138" s="337"/>
      <c r="B138" s="410" t="str">
        <f>IF(TInspectieW[[#This Row],[UVID]]="","",VLOOKUP(TInspectieW[[#This Row],[UVID]],TInventW[],2,FALSE))</f>
        <v/>
      </c>
      <c r="C138" s="365" t="str">
        <f>IF(TInspectieW[[#This Row],[UVID]]="","",VLOOKUP(TInspectieW[[#This Row],[UVID]],TInventW[],11,FALSE))</f>
        <v/>
      </c>
      <c r="D138" s="411" t="str">
        <f>IF(TInspectieW[[#This Row],[UVID]]="","",VLOOKUP(TInspectieW[[#This Row],[UVID]],TInventW[],3,FALSE))</f>
        <v/>
      </c>
      <c r="E138" s="338"/>
      <c r="F138" s="412"/>
      <c r="G138" s="413" t="str">
        <f>IF(ISBLANK(TInspectieW[[#This Row],[Soort gebrek]]),"",VLOOKUP(TInspectieW[[#This Row],[Soort gebrek]],TSoortGebrek[#Data],3,FALSE))</f>
        <v/>
      </c>
      <c r="H138" s="413" t="str">
        <f>IF(ISBLANK(TInspectieW[[#This Row],[Soort gebrek]]),"",VLOOKUP(TInspectieW[[#This Row],[Soort gebrek]],TSoortGebrek[#Data],2,FALSE))</f>
        <v/>
      </c>
      <c r="I138" s="413" t="str">
        <f>IF(TInspectieW[[#This Row],[Soort gebrek]]=0,"",VLOOKUP(TInspectieW[[#This Row],[Soort gebrek]],TSoortGebrek[],4,FALSE))</f>
        <v/>
      </c>
      <c r="J138" s="425"/>
      <c r="K138" s="415" t="str">
        <f>IF(TInspectieW[[#This Row],[Soort gebrek]]=0,"",VLOOKUP(TInspectieW[[#This Row],[Combi]],TPrio[#Data],2,FALSE))</f>
        <v/>
      </c>
      <c r="L138" s="339"/>
      <c r="M138" s="416" t="str">
        <f>IF(ISBLANK(TInspectieW[[#This Row],[Gebrek nr.]]),"",TInspectieW[[#This Row],[UVID]]&amp;"-"&amp;TInspectieW[[#This Row],[Gebrek nr.]])</f>
        <v/>
      </c>
      <c r="N138" s="417"/>
      <c r="O138" s="418"/>
      <c r="P138" s="206"/>
      <c r="Q138" s="193"/>
      <c r="R138" s="206"/>
      <c r="S138" s="206"/>
      <c r="T138" s="206"/>
      <c r="U138" s="206"/>
      <c r="V138" s="206"/>
      <c r="W138" s="419"/>
      <c r="X138" s="340">
        <f>[1]Inventarisatie!U139</f>
        <v>0</v>
      </c>
      <c r="Y138" s="420"/>
      <c r="Z138" s="421" t="str">
        <f>IF(ISBLANK(TInspectieW[[#This Row],[Aantal]]),"",ROUND(TInspectieW[[#This Row],[Kengetal]]*TInspectieW[[#This Row],[Aantal]],-1))</f>
        <v/>
      </c>
      <c r="AA138" s="422" t="str">
        <f>IF(TInspectieW[[#This Row],[Vak-groep]]="","1",VLOOKUP(C138,$J$2:$K$7,2,FALSE))</f>
        <v>1</v>
      </c>
      <c r="AB138" s="423" t="str">
        <f>CONCATENATE(TInspectieW[[#This Row],[Soort gebrek]],TInspectieW[[#This Row],[Trede]])</f>
        <v>1</v>
      </c>
      <c r="AC138" s="413" t="e">
        <v>#N/A</v>
      </c>
      <c r="AD138" s="413" t="e">
        <v>#N/A</v>
      </c>
      <c r="AE138" s="424">
        <v>0</v>
      </c>
    </row>
    <row r="139" spans="1:31" ht="10.5" x14ac:dyDescent="0.25">
      <c r="A139" s="337"/>
      <c r="B139" s="410" t="str">
        <f>IF(TInspectieW[[#This Row],[UVID]]="","",VLOOKUP(TInspectieW[[#This Row],[UVID]],TInventW[],2,FALSE))</f>
        <v/>
      </c>
      <c r="C139" s="365" t="str">
        <f>IF(TInspectieW[[#This Row],[UVID]]="","",VLOOKUP(TInspectieW[[#This Row],[UVID]],TInventW[],11,FALSE))</f>
        <v/>
      </c>
      <c r="D139" s="411" t="str">
        <f>IF(TInspectieW[[#This Row],[UVID]]="","",VLOOKUP(TInspectieW[[#This Row],[UVID]],TInventW[],3,FALSE))</f>
        <v/>
      </c>
      <c r="E139" s="338"/>
      <c r="F139" s="412"/>
      <c r="G139" s="413" t="str">
        <f>IF(ISBLANK(TInspectieW[[#This Row],[Soort gebrek]]),"",VLOOKUP(TInspectieW[[#This Row],[Soort gebrek]],TSoortGebrek[#Data],3,FALSE))</f>
        <v/>
      </c>
      <c r="H139" s="413" t="str">
        <f>IF(ISBLANK(TInspectieW[[#This Row],[Soort gebrek]]),"",VLOOKUP(TInspectieW[[#This Row],[Soort gebrek]],TSoortGebrek[#Data],2,FALSE))</f>
        <v/>
      </c>
      <c r="I139" s="413" t="str">
        <f>IF(TInspectieW[[#This Row],[Soort gebrek]]=0,"",VLOOKUP(TInspectieW[[#This Row],[Soort gebrek]],TSoortGebrek[],4,FALSE))</f>
        <v/>
      </c>
      <c r="J139" s="425"/>
      <c r="K139" s="415" t="str">
        <f>IF(TInspectieW[[#This Row],[Soort gebrek]]=0,"",VLOOKUP(TInspectieW[[#This Row],[Combi]],TPrio[#Data],2,FALSE))</f>
        <v/>
      </c>
      <c r="L139" s="339"/>
      <c r="M139" s="416" t="str">
        <f>IF(ISBLANK(TInspectieW[[#This Row],[Gebrek nr.]]),"",TInspectieW[[#This Row],[UVID]]&amp;"-"&amp;TInspectieW[[#This Row],[Gebrek nr.]])</f>
        <v/>
      </c>
      <c r="N139" s="417"/>
      <c r="O139" s="418"/>
      <c r="P139" s="206"/>
      <c r="Q139" s="193"/>
      <c r="R139" s="206"/>
      <c r="S139" s="206"/>
      <c r="T139" s="206"/>
      <c r="U139" s="206"/>
      <c r="V139" s="206"/>
      <c r="W139" s="419"/>
      <c r="X139" s="340">
        <f>[1]Inventarisatie!U140</f>
        <v>0</v>
      </c>
      <c r="Y139" s="420"/>
      <c r="Z139" s="421" t="str">
        <f>IF(ISBLANK(TInspectieW[[#This Row],[Aantal]]),"",ROUND(TInspectieW[[#This Row],[Kengetal]]*TInspectieW[[#This Row],[Aantal]],-1))</f>
        <v/>
      </c>
      <c r="AA139" s="422" t="str">
        <f>IF(TInspectieW[[#This Row],[Vak-groep]]="","1",VLOOKUP(C139,$J$2:$K$7,2,FALSE))</f>
        <v>1</v>
      </c>
      <c r="AB139" s="423" t="str">
        <f>CONCATENATE(TInspectieW[[#This Row],[Soort gebrek]],TInspectieW[[#This Row],[Trede]])</f>
        <v>1</v>
      </c>
      <c r="AC139" s="413" t="e">
        <v>#N/A</v>
      </c>
      <c r="AD139" s="413" t="e">
        <v>#N/A</v>
      </c>
      <c r="AE139" s="424">
        <v>0</v>
      </c>
    </row>
    <row r="140" spans="1:31" ht="10.5" x14ac:dyDescent="0.25">
      <c r="A140" s="337"/>
      <c r="B140" s="410" t="str">
        <f>IF(TInspectieW[[#This Row],[UVID]]="","",VLOOKUP(TInspectieW[[#This Row],[UVID]],TInventW[],2,FALSE))</f>
        <v/>
      </c>
      <c r="C140" s="365" t="str">
        <f>IF(TInspectieW[[#This Row],[UVID]]="","",VLOOKUP(TInspectieW[[#This Row],[UVID]],TInventW[],11,FALSE))</f>
        <v/>
      </c>
      <c r="D140" s="411" t="str">
        <f>IF(TInspectieW[[#This Row],[UVID]]="","",VLOOKUP(TInspectieW[[#This Row],[UVID]],TInventW[],3,FALSE))</f>
        <v/>
      </c>
      <c r="E140" s="338"/>
      <c r="F140" s="412"/>
      <c r="G140" s="413" t="str">
        <f>IF(ISBLANK(TInspectieW[[#This Row],[Soort gebrek]]),"",VLOOKUP(TInspectieW[[#This Row],[Soort gebrek]],TSoortGebrek[#Data],3,FALSE))</f>
        <v/>
      </c>
      <c r="H140" s="413" t="str">
        <f>IF(ISBLANK(TInspectieW[[#This Row],[Soort gebrek]]),"",VLOOKUP(TInspectieW[[#This Row],[Soort gebrek]],TSoortGebrek[#Data],2,FALSE))</f>
        <v/>
      </c>
      <c r="I140" s="413" t="str">
        <f>IF(TInspectieW[[#This Row],[Soort gebrek]]=0,"",VLOOKUP(TInspectieW[[#This Row],[Soort gebrek]],TSoortGebrek[],4,FALSE))</f>
        <v/>
      </c>
      <c r="J140" s="425"/>
      <c r="K140" s="415" t="str">
        <f>IF(TInspectieW[[#This Row],[Soort gebrek]]=0,"",VLOOKUP(TInspectieW[[#This Row],[Combi]],TPrio[#Data],2,FALSE))</f>
        <v/>
      </c>
      <c r="L140" s="339"/>
      <c r="M140" s="416" t="str">
        <f>IF(ISBLANK(TInspectieW[[#This Row],[Gebrek nr.]]),"",TInspectieW[[#This Row],[UVID]]&amp;"-"&amp;TInspectieW[[#This Row],[Gebrek nr.]])</f>
        <v/>
      </c>
      <c r="N140" s="417"/>
      <c r="O140" s="418"/>
      <c r="P140" s="206"/>
      <c r="Q140" s="193"/>
      <c r="R140" s="206"/>
      <c r="S140" s="206"/>
      <c r="T140" s="206"/>
      <c r="U140" s="206"/>
      <c r="V140" s="206"/>
      <c r="W140" s="419"/>
      <c r="X140" s="340">
        <f>[1]Inventarisatie!U141</f>
        <v>0</v>
      </c>
      <c r="Y140" s="420"/>
      <c r="Z140" s="421" t="str">
        <f>IF(ISBLANK(TInspectieW[[#This Row],[Aantal]]),"",ROUND(TInspectieW[[#This Row],[Kengetal]]*TInspectieW[[#This Row],[Aantal]],-1))</f>
        <v/>
      </c>
      <c r="AA140" s="422" t="str">
        <f>IF(TInspectieW[[#This Row],[Vak-groep]]="","1",VLOOKUP(C140,$J$2:$K$7,2,FALSE))</f>
        <v>1</v>
      </c>
      <c r="AB140" s="423" t="str">
        <f>CONCATENATE(TInspectieW[[#This Row],[Soort gebrek]],TInspectieW[[#This Row],[Trede]])</f>
        <v>1</v>
      </c>
      <c r="AC140" s="413" t="e">
        <v>#N/A</v>
      </c>
      <c r="AD140" s="413" t="e">
        <v>#N/A</v>
      </c>
      <c r="AE140" s="424">
        <v>0</v>
      </c>
    </row>
    <row r="141" spans="1:31" ht="10.5" x14ac:dyDescent="0.25">
      <c r="A141" s="337"/>
      <c r="B141" s="410" t="str">
        <f>IF(TInspectieW[[#This Row],[UVID]]="","",VLOOKUP(TInspectieW[[#This Row],[UVID]],TInventW[],2,FALSE))</f>
        <v/>
      </c>
      <c r="C141" s="365" t="str">
        <f>IF(TInspectieW[[#This Row],[UVID]]="","",VLOOKUP(TInspectieW[[#This Row],[UVID]],TInventW[],11,FALSE))</f>
        <v/>
      </c>
      <c r="D141" s="411" t="str">
        <f>IF(TInspectieW[[#This Row],[UVID]]="","",VLOOKUP(TInspectieW[[#This Row],[UVID]],TInventW[],3,FALSE))</f>
        <v/>
      </c>
      <c r="E141" s="338"/>
      <c r="F141" s="412"/>
      <c r="G141" s="413" t="str">
        <f>IF(ISBLANK(TInspectieW[[#This Row],[Soort gebrek]]),"",VLOOKUP(TInspectieW[[#This Row],[Soort gebrek]],TSoortGebrek[#Data],3,FALSE))</f>
        <v/>
      </c>
      <c r="H141" s="413" t="str">
        <f>IF(ISBLANK(TInspectieW[[#This Row],[Soort gebrek]]),"",VLOOKUP(TInspectieW[[#This Row],[Soort gebrek]],TSoortGebrek[#Data],2,FALSE))</f>
        <v/>
      </c>
      <c r="I141" s="413" t="str">
        <f>IF(TInspectieW[[#This Row],[Soort gebrek]]=0,"",VLOOKUP(TInspectieW[[#This Row],[Soort gebrek]],TSoortGebrek[],4,FALSE))</f>
        <v/>
      </c>
      <c r="J141" s="425"/>
      <c r="K141" s="415" t="str">
        <f>IF(TInspectieW[[#This Row],[Soort gebrek]]=0,"",VLOOKUP(TInspectieW[[#This Row],[Combi]],TPrio[#Data],2,FALSE))</f>
        <v/>
      </c>
      <c r="L141" s="339"/>
      <c r="M141" s="416" t="str">
        <f>IF(ISBLANK(TInspectieW[[#This Row],[Gebrek nr.]]),"",TInspectieW[[#This Row],[UVID]]&amp;"-"&amp;TInspectieW[[#This Row],[Gebrek nr.]])</f>
        <v/>
      </c>
      <c r="N141" s="417"/>
      <c r="O141" s="418"/>
      <c r="P141" s="206"/>
      <c r="Q141" s="193"/>
      <c r="R141" s="206"/>
      <c r="S141" s="206"/>
      <c r="T141" s="206"/>
      <c r="U141" s="206"/>
      <c r="V141" s="206"/>
      <c r="W141" s="419"/>
      <c r="X141" s="340">
        <f>[1]Inventarisatie!U142</f>
        <v>0</v>
      </c>
      <c r="Y141" s="420"/>
      <c r="Z141" s="421" t="str">
        <f>IF(ISBLANK(TInspectieW[[#This Row],[Aantal]]),"",ROUND(TInspectieW[[#This Row],[Kengetal]]*TInspectieW[[#This Row],[Aantal]],-1))</f>
        <v/>
      </c>
      <c r="AA141" s="422" t="str">
        <f>IF(TInspectieW[[#This Row],[Vak-groep]]="","1",VLOOKUP(C141,$J$2:$K$7,2,FALSE))</f>
        <v>1</v>
      </c>
      <c r="AB141" s="423" t="str">
        <f>CONCATENATE(TInspectieW[[#This Row],[Soort gebrek]],TInspectieW[[#This Row],[Trede]])</f>
        <v>1</v>
      </c>
      <c r="AC141" s="413" t="e">
        <v>#N/A</v>
      </c>
      <c r="AD141" s="413" t="e">
        <v>#N/A</v>
      </c>
      <c r="AE141" s="424">
        <v>0</v>
      </c>
    </row>
    <row r="142" spans="1:31" ht="10.5" x14ac:dyDescent="0.25">
      <c r="A142" s="337"/>
      <c r="B142" s="410" t="str">
        <f>IF(TInspectieW[[#This Row],[UVID]]="","",VLOOKUP(TInspectieW[[#This Row],[UVID]],TInventW[],2,FALSE))</f>
        <v/>
      </c>
      <c r="C142" s="365" t="str">
        <f>IF(TInspectieW[[#This Row],[UVID]]="","",VLOOKUP(TInspectieW[[#This Row],[UVID]],TInventW[],11,FALSE))</f>
        <v/>
      </c>
      <c r="D142" s="411" t="str">
        <f>IF(TInspectieW[[#This Row],[UVID]]="","",VLOOKUP(TInspectieW[[#This Row],[UVID]],TInventW[],3,FALSE))</f>
        <v/>
      </c>
      <c r="E142" s="338"/>
      <c r="F142" s="412"/>
      <c r="G142" s="413" t="str">
        <f>IF(ISBLANK(TInspectieW[[#This Row],[Soort gebrek]]),"",VLOOKUP(TInspectieW[[#This Row],[Soort gebrek]],TSoortGebrek[#Data],3,FALSE))</f>
        <v/>
      </c>
      <c r="H142" s="413" t="str">
        <f>IF(ISBLANK(TInspectieW[[#This Row],[Soort gebrek]]),"",VLOOKUP(TInspectieW[[#This Row],[Soort gebrek]],TSoortGebrek[#Data],2,FALSE))</f>
        <v/>
      </c>
      <c r="I142" s="413" t="str">
        <f>IF(TInspectieW[[#This Row],[Soort gebrek]]=0,"",VLOOKUP(TInspectieW[[#This Row],[Soort gebrek]],TSoortGebrek[],4,FALSE))</f>
        <v/>
      </c>
      <c r="J142" s="425"/>
      <c r="K142" s="415" t="str">
        <f>IF(TInspectieW[[#This Row],[Soort gebrek]]=0,"",VLOOKUP(TInspectieW[[#This Row],[Combi]],TPrio[#Data],2,FALSE))</f>
        <v/>
      </c>
      <c r="L142" s="339"/>
      <c r="M142" s="416" t="str">
        <f>IF(ISBLANK(TInspectieW[[#This Row],[Gebrek nr.]]),"",TInspectieW[[#This Row],[UVID]]&amp;"-"&amp;TInspectieW[[#This Row],[Gebrek nr.]])</f>
        <v/>
      </c>
      <c r="N142" s="417"/>
      <c r="O142" s="418"/>
      <c r="P142" s="206"/>
      <c r="Q142" s="193"/>
      <c r="R142" s="206"/>
      <c r="S142" s="206"/>
      <c r="T142" s="206"/>
      <c r="U142" s="206"/>
      <c r="V142" s="206"/>
      <c r="W142" s="419"/>
      <c r="X142" s="340">
        <f>[1]Inventarisatie!U143</f>
        <v>0</v>
      </c>
      <c r="Y142" s="420"/>
      <c r="Z142" s="421" t="str">
        <f>IF(ISBLANK(TInspectieW[[#This Row],[Aantal]]),"",ROUND(TInspectieW[[#This Row],[Kengetal]]*TInspectieW[[#This Row],[Aantal]],-1))</f>
        <v/>
      </c>
      <c r="AA142" s="422" t="str">
        <f>IF(TInspectieW[[#This Row],[Vak-groep]]="","1",VLOOKUP(C142,$J$2:$K$7,2,FALSE))</f>
        <v>1</v>
      </c>
      <c r="AB142" s="423" t="str">
        <f>CONCATENATE(TInspectieW[[#This Row],[Soort gebrek]],TInspectieW[[#This Row],[Trede]])</f>
        <v>1</v>
      </c>
      <c r="AC142" s="413" t="e">
        <v>#N/A</v>
      </c>
      <c r="AD142" s="413" t="e">
        <v>#N/A</v>
      </c>
      <c r="AE142" s="424">
        <v>0</v>
      </c>
    </row>
    <row r="143" spans="1:31" ht="10.5" x14ac:dyDescent="0.25">
      <c r="A143" s="337"/>
      <c r="B143" s="410" t="str">
        <f>IF(TInspectieW[[#This Row],[UVID]]="","",VLOOKUP(TInspectieW[[#This Row],[UVID]],TInventW[],2,FALSE))</f>
        <v/>
      </c>
      <c r="C143" s="365" t="str">
        <f>IF(TInspectieW[[#This Row],[UVID]]="","",VLOOKUP(TInspectieW[[#This Row],[UVID]],TInventW[],11,FALSE))</f>
        <v/>
      </c>
      <c r="D143" s="411" t="str">
        <f>IF(TInspectieW[[#This Row],[UVID]]="","",VLOOKUP(TInspectieW[[#This Row],[UVID]],TInventW[],3,FALSE))</f>
        <v/>
      </c>
      <c r="E143" s="338"/>
      <c r="F143" s="412"/>
      <c r="G143" s="413" t="str">
        <f>IF(ISBLANK(TInspectieW[[#This Row],[Soort gebrek]]),"",VLOOKUP(TInspectieW[[#This Row],[Soort gebrek]],TSoortGebrek[#Data],3,FALSE))</f>
        <v/>
      </c>
      <c r="H143" s="413" t="str">
        <f>IF(ISBLANK(TInspectieW[[#This Row],[Soort gebrek]]),"",VLOOKUP(TInspectieW[[#This Row],[Soort gebrek]],TSoortGebrek[#Data],2,FALSE))</f>
        <v/>
      </c>
      <c r="I143" s="413" t="str">
        <f>IF(TInspectieW[[#This Row],[Soort gebrek]]=0,"",VLOOKUP(TInspectieW[[#This Row],[Soort gebrek]],TSoortGebrek[],4,FALSE))</f>
        <v/>
      </c>
      <c r="J143" s="425"/>
      <c r="K143" s="415" t="str">
        <f>IF(TInspectieW[[#This Row],[Soort gebrek]]=0,"",VLOOKUP(TInspectieW[[#This Row],[Combi]],TPrio[#Data],2,FALSE))</f>
        <v/>
      </c>
      <c r="L143" s="339"/>
      <c r="M143" s="416" t="str">
        <f>IF(ISBLANK(TInspectieW[[#This Row],[Gebrek nr.]]),"",TInspectieW[[#This Row],[UVID]]&amp;"-"&amp;TInspectieW[[#This Row],[Gebrek nr.]])</f>
        <v/>
      </c>
      <c r="N143" s="417"/>
      <c r="O143" s="418"/>
      <c r="P143" s="206"/>
      <c r="Q143" s="193"/>
      <c r="R143" s="206"/>
      <c r="S143" s="206"/>
      <c r="T143" s="206"/>
      <c r="U143" s="206"/>
      <c r="V143" s="206"/>
      <c r="W143" s="419"/>
      <c r="X143" s="340">
        <f>[1]Inventarisatie!U144</f>
        <v>0</v>
      </c>
      <c r="Y143" s="420"/>
      <c r="Z143" s="421" t="str">
        <f>IF(ISBLANK(TInspectieW[[#This Row],[Aantal]]),"",ROUND(TInspectieW[[#This Row],[Kengetal]]*TInspectieW[[#This Row],[Aantal]],-1))</f>
        <v/>
      </c>
      <c r="AA143" s="422" t="str">
        <f>IF(TInspectieW[[#This Row],[Vak-groep]]="","1",VLOOKUP(C143,$J$2:$K$7,2,FALSE))</f>
        <v>1</v>
      </c>
      <c r="AB143" s="423" t="str">
        <f>CONCATENATE(TInspectieW[[#This Row],[Soort gebrek]],TInspectieW[[#This Row],[Trede]])</f>
        <v>1</v>
      </c>
      <c r="AC143" s="413" t="e">
        <v>#N/A</v>
      </c>
      <c r="AD143" s="413" t="e">
        <v>#N/A</v>
      </c>
      <c r="AE143" s="424">
        <v>0</v>
      </c>
    </row>
    <row r="144" spans="1:31" ht="10.5" x14ac:dyDescent="0.25">
      <c r="A144" s="337"/>
      <c r="B144" s="410" t="str">
        <f>IF(TInspectieW[[#This Row],[UVID]]="","",VLOOKUP(TInspectieW[[#This Row],[UVID]],TInventW[],2,FALSE))</f>
        <v/>
      </c>
      <c r="C144" s="365" t="str">
        <f>IF(TInspectieW[[#This Row],[UVID]]="","",VLOOKUP(TInspectieW[[#This Row],[UVID]],TInventW[],11,FALSE))</f>
        <v/>
      </c>
      <c r="D144" s="411" t="str">
        <f>IF(TInspectieW[[#This Row],[UVID]]="","",VLOOKUP(TInspectieW[[#This Row],[UVID]],TInventW[],3,FALSE))</f>
        <v/>
      </c>
      <c r="E144" s="338"/>
      <c r="F144" s="412"/>
      <c r="G144" s="413" t="str">
        <f>IF(ISBLANK(TInspectieW[[#This Row],[Soort gebrek]]),"",VLOOKUP(TInspectieW[[#This Row],[Soort gebrek]],TSoortGebrek[#Data],3,FALSE))</f>
        <v/>
      </c>
      <c r="H144" s="413" t="str">
        <f>IF(ISBLANK(TInspectieW[[#This Row],[Soort gebrek]]),"",VLOOKUP(TInspectieW[[#This Row],[Soort gebrek]],TSoortGebrek[#Data],2,FALSE))</f>
        <v/>
      </c>
      <c r="I144" s="413" t="str">
        <f>IF(TInspectieW[[#This Row],[Soort gebrek]]=0,"",VLOOKUP(TInspectieW[[#This Row],[Soort gebrek]],TSoortGebrek[],4,FALSE))</f>
        <v/>
      </c>
      <c r="J144" s="425"/>
      <c r="K144" s="415" t="str">
        <f>IF(TInspectieW[[#This Row],[Soort gebrek]]=0,"",VLOOKUP(TInspectieW[[#This Row],[Combi]],TPrio[#Data],2,FALSE))</f>
        <v/>
      </c>
      <c r="L144" s="339"/>
      <c r="M144" s="416" t="str">
        <f>IF(ISBLANK(TInspectieW[[#This Row],[Gebrek nr.]]),"",TInspectieW[[#This Row],[UVID]]&amp;"-"&amp;TInspectieW[[#This Row],[Gebrek nr.]])</f>
        <v/>
      </c>
      <c r="N144" s="417"/>
      <c r="O144" s="418"/>
      <c r="P144" s="206"/>
      <c r="Q144" s="193"/>
      <c r="R144" s="206"/>
      <c r="S144" s="206"/>
      <c r="T144" s="206"/>
      <c r="U144" s="206"/>
      <c r="V144" s="206"/>
      <c r="W144" s="419"/>
      <c r="X144" s="340">
        <f>[1]Inventarisatie!U145</f>
        <v>0</v>
      </c>
      <c r="Y144" s="420"/>
      <c r="Z144" s="421" t="str">
        <f>IF(ISBLANK(TInspectieW[[#This Row],[Aantal]]),"",ROUND(TInspectieW[[#This Row],[Kengetal]]*TInspectieW[[#This Row],[Aantal]],-1))</f>
        <v/>
      </c>
      <c r="AA144" s="422" t="str">
        <f>IF(TInspectieW[[#This Row],[Vak-groep]]="","1",VLOOKUP(C144,$J$2:$K$7,2,FALSE))</f>
        <v>1</v>
      </c>
      <c r="AB144" s="423" t="str">
        <f>CONCATENATE(TInspectieW[[#This Row],[Soort gebrek]],TInspectieW[[#This Row],[Trede]])</f>
        <v>1</v>
      </c>
      <c r="AC144" s="413" t="e">
        <v>#N/A</v>
      </c>
      <c r="AD144" s="413" t="e">
        <v>#N/A</v>
      </c>
      <c r="AE144" s="424">
        <v>0</v>
      </c>
    </row>
    <row r="145" spans="1:31" ht="10.5" x14ac:dyDescent="0.25">
      <c r="A145" s="337"/>
      <c r="B145" s="410" t="str">
        <f>IF(TInspectieW[[#This Row],[UVID]]="","",VLOOKUP(TInspectieW[[#This Row],[UVID]],TInventW[],2,FALSE))</f>
        <v/>
      </c>
      <c r="C145" s="365" t="str">
        <f>IF(TInspectieW[[#This Row],[UVID]]="","",VLOOKUP(TInspectieW[[#This Row],[UVID]],TInventW[],11,FALSE))</f>
        <v/>
      </c>
      <c r="D145" s="411" t="str">
        <f>IF(TInspectieW[[#This Row],[UVID]]="","",VLOOKUP(TInspectieW[[#This Row],[UVID]],TInventW[],3,FALSE))</f>
        <v/>
      </c>
      <c r="E145" s="338"/>
      <c r="F145" s="412"/>
      <c r="G145" s="413" t="str">
        <f>IF(ISBLANK(TInspectieW[[#This Row],[Soort gebrek]]),"",VLOOKUP(TInspectieW[[#This Row],[Soort gebrek]],TSoortGebrek[#Data],3,FALSE))</f>
        <v/>
      </c>
      <c r="H145" s="413" t="str">
        <f>IF(ISBLANK(TInspectieW[[#This Row],[Soort gebrek]]),"",VLOOKUP(TInspectieW[[#This Row],[Soort gebrek]],TSoortGebrek[#Data],2,FALSE))</f>
        <v/>
      </c>
      <c r="I145" s="413" t="str">
        <f>IF(TInspectieW[[#This Row],[Soort gebrek]]=0,"",VLOOKUP(TInspectieW[[#This Row],[Soort gebrek]],TSoortGebrek[],4,FALSE))</f>
        <v/>
      </c>
      <c r="J145" s="425"/>
      <c r="K145" s="415" t="str">
        <f>IF(TInspectieW[[#This Row],[Soort gebrek]]=0,"",VLOOKUP(TInspectieW[[#This Row],[Combi]],TPrio[#Data],2,FALSE))</f>
        <v/>
      </c>
      <c r="L145" s="339"/>
      <c r="M145" s="416" t="str">
        <f>IF(ISBLANK(TInspectieW[[#This Row],[Gebrek nr.]]),"",TInspectieW[[#This Row],[UVID]]&amp;"-"&amp;TInspectieW[[#This Row],[Gebrek nr.]])</f>
        <v/>
      </c>
      <c r="N145" s="417"/>
      <c r="O145" s="418"/>
      <c r="P145" s="206"/>
      <c r="Q145" s="193"/>
      <c r="R145" s="206"/>
      <c r="S145" s="206"/>
      <c r="T145" s="206"/>
      <c r="U145" s="206"/>
      <c r="V145" s="206"/>
      <c r="W145" s="419"/>
      <c r="X145" s="340">
        <f>[1]Inventarisatie!U146</f>
        <v>0</v>
      </c>
      <c r="Y145" s="420"/>
      <c r="Z145" s="421" t="str">
        <f>IF(ISBLANK(TInspectieW[[#This Row],[Aantal]]),"",ROUND(TInspectieW[[#This Row],[Kengetal]]*TInspectieW[[#This Row],[Aantal]],-1))</f>
        <v/>
      </c>
      <c r="AA145" s="422" t="str">
        <f>IF(TInspectieW[[#This Row],[Vak-groep]]="","1",VLOOKUP(C145,$J$2:$K$7,2,FALSE))</f>
        <v>1</v>
      </c>
      <c r="AB145" s="423" t="str">
        <f>CONCATENATE(TInspectieW[[#This Row],[Soort gebrek]],TInspectieW[[#This Row],[Trede]])</f>
        <v>1</v>
      </c>
      <c r="AC145" s="413" t="e">
        <v>#N/A</v>
      </c>
      <c r="AD145" s="413" t="e">
        <v>#N/A</v>
      </c>
      <c r="AE145" s="424">
        <v>0</v>
      </c>
    </row>
    <row r="146" spans="1:31" ht="10.5" x14ac:dyDescent="0.25">
      <c r="A146" s="337"/>
      <c r="B146" s="410" t="str">
        <f>IF(TInspectieW[[#This Row],[UVID]]="","",VLOOKUP(TInspectieW[[#This Row],[UVID]],TInventW[],2,FALSE))</f>
        <v/>
      </c>
      <c r="C146" s="365" t="str">
        <f>IF(TInspectieW[[#This Row],[UVID]]="","",VLOOKUP(TInspectieW[[#This Row],[UVID]],TInventW[],11,FALSE))</f>
        <v/>
      </c>
      <c r="D146" s="411" t="str">
        <f>IF(TInspectieW[[#This Row],[UVID]]="","",VLOOKUP(TInspectieW[[#This Row],[UVID]],TInventW[],3,FALSE))</f>
        <v/>
      </c>
      <c r="E146" s="338"/>
      <c r="F146" s="412"/>
      <c r="G146" s="413" t="str">
        <f>IF(ISBLANK(TInspectieW[[#This Row],[Soort gebrek]]),"",VLOOKUP(TInspectieW[[#This Row],[Soort gebrek]],TSoortGebrek[#Data],3,FALSE))</f>
        <v/>
      </c>
      <c r="H146" s="413" t="str">
        <f>IF(ISBLANK(TInspectieW[[#This Row],[Soort gebrek]]),"",VLOOKUP(TInspectieW[[#This Row],[Soort gebrek]],TSoortGebrek[#Data],2,FALSE))</f>
        <v/>
      </c>
      <c r="I146" s="413" t="str">
        <f>IF(TInspectieW[[#This Row],[Soort gebrek]]=0,"",VLOOKUP(TInspectieW[[#This Row],[Soort gebrek]],TSoortGebrek[],4,FALSE))</f>
        <v/>
      </c>
      <c r="J146" s="425"/>
      <c r="K146" s="415" t="str">
        <f>IF(TInspectieW[[#This Row],[Soort gebrek]]=0,"",VLOOKUP(TInspectieW[[#This Row],[Combi]],TPrio[#Data],2,FALSE))</f>
        <v/>
      </c>
      <c r="L146" s="339"/>
      <c r="M146" s="416" t="str">
        <f>IF(ISBLANK(TInspectieW[[#This Row],[Gebrek nr.]]),"",TInspectieW[[#This Row],[UVID]]&amp;"-"&amp;TInspectieW[[#This Row],[Gebrek nr.]])</f>
        <v/>
      </c>
      <c r="N146" s="417"/>
      <c r="O146" s="418"/>
      <c r="P146" s="206"/>
      <c r="Q146" s="193"/>
      <c r="R146" s="206"/>
      <c r="S146" s="206"/>
      <c r="T146" s="206"/>
      <c r="U146" s="206"/>
      <c r="V146" s="206"/>
      <c r="W146" s="419"/>
      <c r="X146" s="340">
        <f>[1]Inventarisatie!U147</f>
        <v>0</v>
      </c>
      <c r="Y146" s="420"/>
      <c r="Z146" s="421" t="str">
        <f>IF(ISBLANK(TInspectieW[[#This Row],[Aantal]]),"",ROUND(TInspectieW[[#This Row],[Kengetal]]*TInspectieW[[#This Row],[Aantal]],-1))</f>
        <v/>
      </c>
      <c r="AA146" s="422" t="str">
        <f>IF(TInspectieW[[#This Row],[Vak-groep]]="","1",VLOOKUP(C146,$J$2:$K$7,2,FALSE))</f>
        <v>1</v>
      </c>
      <c r="AB146" s="423" t="str">
        <f>CONCATENATE(TInspectieW[[#This Row],[Soort gebrek]],TInspectieW[[#This Row],[Trede]])</f>
        <v>1</v>
      </c>
      <c r="AC146" s="413" t="e">
        <v>#N/A</v>
      </c>
      <c r="AD146" s="413" t="e">
        <v>#N/A</v>
      </c>
      <c r="AE146" s="424">
        <v>0</v>
      </c>
    </row>
    <row r="147" spans="1:31" ht="10.5" x14ac:dyDescent="0.25">
      <c r="A147" s="337"/>
      <c r="B147" s="410" t="str">
        <f>IF(TInspectieW[[#This Row],[UVID]]="","",VLOOKUP(TInspectieW[[#This Row],[UVID]],TInventW[],2,FALSE))</f>
        <v/>
      </c>
      <c r="C147" s="365" t="str">
        <f>IF(TInspectieW[[#This Row],[UVID]]="","",VLOOKUP(TInspectieW[[#This Row],[UVID]],TInventW[],11,FALSE))</f>
        <v/>
      </c>
      <c r="D147" s="411" t="str">
        <f>IF(TInspectieW[[#This Row],[UVID]]="","",VLOOKUP(TInspectieW[[#This Row],[UVID]],TInventW[],3,FALSE))</f>
        <v/>
      </c>
      <c r="E147" s="338"/>
      <c r="F147" s="412"/>
      <c r="G147" s="413" t="str">
        <f>IF(ISBLANK(TInspectieW[[#This Row],[Soort gebrek]]),"",VLOOKUP(TInspectieW[[#This Row],[Soort gebrek]],TSoortGebrek[#Data],3,FALSE))</f>
        <v/>
      </c>
      <c r="H147" s="413" t="str">
        <f>IF(ISBLANK(TInspectieW[[#This Row],[Soort gebrek]]),"",VLOOKUP(TInspectieW[[#This Row],[Soort gebrek]],TSoortGebrek[#Data],2,FALSE))</f>
        <v/>
      </c>
      <c r="I147" s="413" t="str">
        <f>IF(TInspectieW[[#This Row],[Soort gebrek]]=0,"",VLOOKUP(TInspectieW[[#This Row],[Soort gebrek]],TSoortGebrek[],4,FALSE))</f>
        <v/>
      </c>
      <c r="J147" s="425"/>
      <c r="K147" s="415" t="str">
        <f>IF(TInspectieW[[#This Row],[Soort gebrek]]=0,"",VLOOKUP(TInspectieW[[#This Row],[Combi]],TPrio[#Data],2,FALSE))</f>
        <v/>
      </c>
      <c r="L147" s="339"/>
      <c r="M147" s="416" t="str">
        <f>IF(ISBLANK(TInspectieW[[#This Row],[Gebrek nr.]]),"",TInspectieW[[#This Row],[UVID]]&amp;"-"&amp;TInspectieW[[#This Row],[Gebrek nr.]])</f>
        <v/>
      </c>
      <c r="N147" s="417"/>
      <c r="O147" s="418"/>
      <c r="P147" s="206"/>
      <c r="Q147" s="193"/>
      <c r="R147" s="206"/>
      <c r="S147" s="206"/>
      <c r="T147" s="206"/>
      <c r="U147" s="206"/>
      <c r="V147" s="206"/>
      <c r="W147" s="419"/>
      <c r="X147" s="340">
        <f>[1]Inventarisatie!U148</f>
        <v>0</v>
      </c>
      <c r="Y147" s="420"/>
      <c r="Z147" s="421" t="str">
        <f>IF(ISBLANK(TInspectieW[[#This Row],[Aantal]]),"",ROUND(TInspectieW[[#This Row],[Kengetal]]*TInspectieW[[#This Row],[Aantal]],-1))</f>
        <v/>
      </c>
      <c r="AA147" s="422" t="str">
        <f>IF(TInspectieW[[#This Row],[Vak-groep]]="","1",VLOOKUP(C147,$J$2:$K$7,2,FALSE))</f>
        <v>1</v>
      </c>
      <c r="AB147" s="423" t="str">
        <f>CONCATENATE(TInspectieW[[#This Row],[Soort gebrek]],TInspectieW[[#This Row],[Trede]])</f>
        <v>1</v>
      </c>
      <c r="AC147" s="413" t="e">
        <v>#N/A</v>
      </c>
      <c r="AD147" s="413" t="e">
        <v>#N/A</v>
      </c>
      <c r="AE147" s="424">
        <v>0</v>
      </c>
    </row>
    <row r="148" spans="1:31" ht="10.5" x14ac:dyDescent="0.25">
      <c r="A148" s="337"/>
      <c r="B148" s="410" t="str">
        <f>IF(TInspectieW[[#This Row],[UVID]]="","",VLOOKUP(TInspectieW[[#This Row],[UVID]],TInventW[],2,FALSE))</f>
        <v/>
      </c>
      <c r="C148" s="365" t="str">
        <f>IF(TInspectieW[[#This Row],[UVID]]="","",VLOOKUP(TInspectieW[[#This Row],[UVID]],TInventW[],11,FALSE))</f>
        <v/>
      </c>
      <c r="D148" s="411" t="str">
        <f>IF(TInspectieW[[#This Row],[UVID]]="","",VLOOKUP(TInspectieW[[#This Row],[UVID]],TInventW[],3,FALSE))</f>
        <v/>
      </c>
      <c r="E148" s="338"/>
      <c r="F148" s="412"/>
      <c r="G148" s="413" t="str">
        <f>IF(ISBLANK(TInspectieW[[#This Row],[Soort gebrek]]),"",VLOOKUP(TInspectieW[[#This Row],[Soort gebrek]],TSoortGebrek[#Data],3,FALSE))</f>
        <v/>
      </c>
      <c r="H148" s="413" t="str">
        <f>IF(ISBLANK(TInspectieW[[#This Row],[Soort gebrek]]),"",VLOOKUP(TInspectieW[[#This Row],[Soort gebrek]],TSoortGebrek[#Data],2,FALSE))</f>
        <v/>
      </c>
      <c r="I148" s="413" t="str">
        <f>IF(TInspectieW[[#This Row],[Soort gebrek]]=0,"",VLOOKUP(TInspectieW[[#This Row],[Soort gebrek]],TSoortGebrek[],4,FALSE))</f>
        <v/>
      </c>
      <c r="J148" s="425"/>
      <c r="K148" s="415" t="str">
        <f>IF(TInspectieW[[#This Row],[Soort gebrek]]=0,"",VLOOKUP(TInspectieW[[#This Row],[Combi]],TPrio[#Data],2,FALSE))</f>
        <v/>
      </c>
      <c r="L148" s="339"/>
      <c r="M148" s="416" t="str">
        <f>IF(ISBLANK(TInspectieW[[#This Row],[Gebrek nr.]]),"",TInspectieW[[#This Row],[UVID]]&amp;"-"&amp;TInspectieW[[#This Row],[Gebrek nr.]])</f>
        <v/>
      </c>
      <c r="N148" s="417"/>
      <c r="O148" s="418"/>
      <c r="P148" s="206"/>
      <c r="Q148" s="193"/>
      <c r="R148" s="206"/>
      <c r="S148" s="206"/>
      <c r="T148" s="206"/>
      <c r="U148" s="206"/>
      <c r="V148" s="206"/>
      <c r="W148" s="419"/>
      <c r="X148" s="340">
        <f>[1]Inventarisatie!U149</f>
        <v>0</v>
      </c>
      <c r="Y148" s="420"/>
      <c r="Z148" s="421" t="str">
        <f>IF(ISBLANK(TInspectieW[[#This Row],[Aantal]]),"",ROUND(TInspectieW[[#This Row],[Kengetal]]*TInspectieW[[#This Row],[Aantal]],-1))</f>
        <v/>
      </c>
      <c r="AA148" s="422" t="str">
        <f>IF(TInspectieW[[#This Row],[Vak-groep]]="","1",VLOOKUP(C148,$J$2:$K$7,2,FALSE))</f>
        <v>1</v>
      </c>
      <c r="AB148" s="423" t="str">
        <f>CONCATENATE(TInspectieW[[#This Row],[Soort gebrek]],TInspectieW[[#This Row],[Trede]])</f>
        <v>1</v>
      </c>
      <c r="AC148" s="413" t="e">
        <v>#N/A</v>
      </c>
      <c r="AD148" s="413" t="e">
        <v>#N/A</v>
      </c>
      <c r="AE148" s="424">
        <v>0</v>
      </c>
    </row>
    <row r="149" spans="1:31" ht="10.5" x14ac:dyDescent="0.25">
      <c r="A149" s="337"/>
      <c r="B149" s="410" t="str">
        <f>IF(TInspectieW[[#This Row],[UVID]]="","",VLOOKUP(TInspectieW[[#This Row],[UVID]],TInventW[],2,FALSE))</f>
        <v/>
      </c>
      <c r="C149" s="365" t="str">
        <f>IF(TInspectieW[[#This Row],[UVID]]="","",VLOOKUP(TInspectieW[[#This Row],[UVID]],TInventW[],11,FALSE))</f>
        <v/>
      </c>
      <c r="D149" s="411" t="str">
        <f>IF(TInspectieW[[#This Row],[UVID]]="","",VLOOKUP(TInspectieW[[#This Row],[UVID]],TInventW[],3,FALSE))</f>
        <v/>
      </c>
      <c r="E149" s="338"/>
      <c r="F149" s="412"/>
      <c r="G149" s="413" t="str">
        <f>IF(ISBLANK(TInspectieW[[#This Row],[Soort gebrek]]),"",VLOOKUP(TInspectieW[[#This Row],[Soort gebrek]],TSoortGebrek[#Data],3,FALSE))</f>
        <v/>
      </c>
      <c r="H149" s="413" t="str">
        <f>IF(ISBLANK(TInspectieW[[#This Row],[Soort gebrek]]),"",VLOOKUP(TInspectieW[[#This Row],[Soort gebrek]],TSoortGebrek[#Data],2,FALSE))</f>
        <v/>
      </c>
      <c r="I149" s="413" t="str">
        <f>IF(TInspectieW[[#This Row],[Soort gebrek]]=0,"",VLOOKUP(TInspectieW[[#This Row],[Soort gebrek]],TSoortGebrek[],4,FALSE))</f>
        <v/>
      </c>
      <c r="J149" s="425"/>
      <c r="K149" s="415" t="str">
        <f>IF(TInspectieW[[#This Row],[Soort gebrek]]=0,"",VLOOKUP(TInspectieW[[#This Row],[Combi]],TPrio[#Data],2,FALSE))</f>
        <v/>
      </c>
      <c r="L149" s="339"/>
      <c r="M149" s="416" t="str">
        <f>IF(ISBLANK(TInspectieW[[#This Row],[Gebrek nr.]]),"",TInspectieW[[#This Row],[UVID]]&amp;"-"&amp;TInspectieW[[#This Row],[Gebrek nr.]])</f>
        <v/>
      </c>
      <c r="N149" s="417"/>
      <c r="O149" s="418"/>
      <c r="P149" s="206"/>
      <c r="Q149" s="193"/>
      <c r="R149" s="206"/>
      <c r="S149" s="206"/>
      <c r="T149" s="206"/>
      <c r="U149" s="206"/>
      <c r="V149" s="206"/>
      <c r="W149" s="419"/>
      <c r="X149" s="340">
        <f>[1]Inventarisatie!U150</f>
        <v>0</v>
      </c>
      <c r="Y149" s="420"/>
      <c r="Z149" s="421" t="str">
        <f>IF(ISBLANK(TInspectieW[[#This Row],[Aantal]]),"",ROUND(TInspectieW[[#This Row],[Kengetal]]*TInspectieW[[#This Row],[Aantal]],-1))</f>
        <v/>
      </c>
      <c r="AA149" s="422" t="str">
        <f>IF(TInspectieW[[#This Row],[Vak-groep]]="","1",VLOOKUP(C149,$J$2:$K$7,2,FALSE))</f>
        <v>1</v>
      </c>
      <c r="AB149" s="423" t="str">
        <f>CONCATENATE(TInspectieW[[#This Row],[Soort gebrek]],TInspectieW[[#This Row],[Trede]])</f>
        <v>1</v>
      </c>
      <c r="AC149" s="413" t="e">
        <v>#N/A</v>
      </c>
      <c r="AD149" s="413" t="e">
        <v>#N/A</v>
      </c>
      <c r="AE149" s="424">
        <v>0</v>
      </c>
    </row>
    <row r="150" spans="1:31" ht="10.5" x14ac:dyDescent="0.25">
      <c r="A150" s="337"/>
      <c r="B150" s="410" t="str">
        <f>IF(TInspectieW[[#This Row],[UVID]]="","",VLOOKUP(TInspectieW[[#This Row],[UVID]],TInventW[],2,FALSE))</f>
        <v/>
      </c>
      <c r="C150" s="365" t="str">
        <f>IF(TInspectieW[[#This Row],[UVID]]="","",VLOOKUP(TInspectieW[[#This Row],[UVID]],TInventW[],11,FALSE))</f>
        <v/>
      </c>
      <c r="D150" s="411" t="str">
        <f>IF(TInspectieW[[#This Row],[UVID]]="","",VLOOKUP(TInspectieW[[#This Row],[UVID]],TInventW[],3,FALSE))</f>
        <v/>
      </c>
      <c r="E150" s="338"/>
      <c r="F150" s="412"/>
      <c r="G150" s="413" t="str">
        <f>IF(ISBLANK(TInspectieW[[#This Row],[Soort gebrek]]),"",VLOOKUP(TInspectieW[[#This Row],[Soort gebrek]],TSoortGebrek[#Data],3,FALSE))</f>
        <v/>
      </c>
      <c r="H150" s="413" t="str">
        <f>IF(ISBLANK(TInspectieW[[#This Row],[Soort gebrek]]),"",VLOOKUP(TInspectieW[[#This Row],[Soort gebrek]],TSoortGebrek[#Data],2,FALSE))</f>
        <v/>
      </c>
      <c r="I150" s="413" t="str">
        <f>IF(TInspectieW[[#This Row],[Soort gebrek]]=0,"",VLOOKUP(TInspectieW[[#This Row],[Soort gebrek]],TSoortGebrek[],4,FALSE))</f>
        <v/>
      </c>
      <c r="J150" s="425"/>
      <c r="K150" s="415" t="str">
        <f>IF(TInspectieW[[#This Row],[Soort gebrek]]=0,"",VLOOKUP(TInspectieW[[#This Row],[Combi]],TPrio[#Data],2,FALSE))</f>
        <v/>
      </c>
      <c r="L150" s="339"/>
      <c r="M150" s="416" t="str">
        <f>IF(ISBLANK(TInspectieW[[#This Row],[Gebrek nr.]]),"",TInspectieW[[#This Row],[UVID]]&amp;"-"&amp;TInspectieW[[#This Row],[Gebrek nr.]])</f>
        <v/>
      </c>
      <c r="N150" s="417"/>
      <c r="O150" s="418"/>
      <c r="P150" s="206"/>
      <c r="Q150" s="193"/>
      <c r="R150" s="206"/>
      <c r="S150" s="206"/>
      <c r="T150" s="206"/>
      <c r="U150" s="206"/>
      <c r="V150" s="206"/>
      <c r="W150" s="419"/>
      <c r="X150" s="340">
        <f>[1]Inventarisatie!U151</f>
        <v>0</v>
      </c>
      <c r="Y150" s="420"/>
      <c r="Z150" s="421" t="str">
        <f>IF(ISBLANK(TInspectieW[[#This Row],[Aantal]]),"",ROUND(TInspectieW[[#This Row],[Kengetal]]*TInspectieW[[#This Row],[Aantal]],-1))</f>
        <v/>
      </c>
      <c r="AA150" s="422" t="str">
        <f>IF(TInspectieW[[#This Row],[Vak-groep]]="","1",VLOOKUP(C150,$J$2:$K$7,2,FALSE))</f>
        <v>1</v>
      </c>
      <c r="AB150" s="423" t="str">
        <f>CONCATENATE(TInspectieW[[#This Row],[Soort gebrek]],TInspectieW[[#This Row],[Trede]])</f>
        <v>1</v>
      </c>
      <c r="AC150" s="413" t="e">
        <v>#N/A</v>
      </c>
      <c r="AD150" s="413" t="e">
        <v>#N/A</v>
      </c>
      <c r="AE150" s="424">
        <v>0</v>
      </c>
    </row>
    <row r="151" spans="1:31" ht="10.5" x14ac:dyDescent="0.25">
      <c r="A151" s="337"/>
      <c r="B151" s="410" t="str">
        <f>IF(TInspectieW[[#This Row],[UVID]]="","",VLOOKUP(TInspectieW[[#This Row],[UVID]],TInventW[],2,FALSE))</f>
        <v/>
      </c>
      <c r="C151" s="365" t="str">
        <f>IF(TInspectieW[[#This Row],[UVID]]="","",VLOOKUP(TInspectieW[[#This Row],[UVID]],TInventW[],11,FALSE))</f>
        <v/>
      </c>
      <c r="D151" s="411" t="str">
        <f>IF(TInspectieW[[#This Row],[UVID]]="","",VLOOKUP(TInspectieW[[#This Row],[UVID]],TInventW[],3,FALSE))</f>
        <v/>
      </c>
      <c r="E151" s="338"/>
      <c r="F151" s="412"/>
      <c r="G151" s="413" t="str">
        <f>IF(ISBLANK(TInspectieW[[#This Row],[Soort gebrek]]),"",VLOOKUP(TInspectieW[[#This Row],[Soort gebrek]],TSoortGebrek[#Data],3,FALSE))</f>
        <v/>
      </c>
      <c r="H151" s="413" t="str">
        <f>IF(ISBLANK(TInspectieW[[#This Row],[Soort gebrek]]),"",VLOOKUP(TInspectieW[[#This Row],[Soort gebrek]],TSoortGebrek[#Data],2,FALSE))</f>
        <v/>
      </c>
      <c r="I151" s="413" t="str">
        <f>IF(TInspectieW[[#This Row],[Soort gebrek]]=0,"",VLOOKUP(TInspectieW[[#This Row],[Soort gebrek]],TSoortGebrek[],4,FALSE))</f>
        <v/>
      </c>
      <c r="J151" s="425"/>
      <c r="K151" s="415" t="str">
        <f>IF(TInspectieW[[#This Row],[Soort gebrek]]=0,"",VLOOKUP(TInspectieW[[#This Row],[Combi]],TPrio[#Data],2,FALSE))</f>
        <v/>
      </c>
      <c r="L151" s="339"/>
      <c r="M151" s="416" t="str">
        <f>IF(ISBLANK(TInspectieW[[#This Row],[Gebrek nr.]]),"",TInspectieW[[#This Row],[UVID]]&amp;"-"&amp;TInspectieW[[#This Row],[Gebrek nr.]])</f>
        <v/>
      </c>
      <c r="N151" s="417"/>
      <c r="O151" s="418"/>
      <c r="P151" s="206"/>
      <c r="Q151" s="193"/>
      <c r="R151" s="206"/>
      <c r="S151" s="206"/>
      <c r="T151" s="206"/>
      <c r="U151" s="206"/>
      <c r="V151" s="206"/>
      <c r="W151" s="419"/>
      <c r="X151" s="340">
        <f>[1]Inventarisatie!U152</f>
        <v>0</v>
      </c>
      <c r="Y151" s="420"/>
      <c r="Z151" s="421" t="str">
        <f>IF(ISBLANK(TInspectieW[[#This Row],[Aantal]]),"",ROUND(TInspectieW[[#This Row],[Kengetal]]*TInspectieW[[#This Row],[Aantal]],-1))</f>
        <v/>
      </c>
      <c r="AA151" s="422" t="str">
        <f>IF(TInspectieW[[#This Row],[Vak-groep]]="","1",VLOOKUP(C151,$J$2:$K$7,2,FALSE))</f>
        <v>1</v>
      </c>
      <c r="AB151" s="423" t="str">
        <f>CONCATENATE(TInspectieW[[#This Row],[Soort gebrek]],TInspectieW[[#This Row],[Trede]])</f>
        <v>1</v>
      </c>
      <c r="AC151" s="413" t="e">
        <v>#N/A</v>
      </c>
      <c r="AD151" s="413" t="e">
        <v>#N/A</v>
      </c>
      <c r="AE151" s="424">
        <v>0</v>
      </c>
    </row>
    <row r="152" spans="1:31" ht="10.5" x14ac:dyDescent="0.25">
      <c r="A152" s="337"/>
      <c r="B152" s="410" t="str">
        <f>IF(TInspectieW[[#This Row],[UVID]]="","",VLOOKUP(TInspectieW[[#This Row],[UVID]],TInventW[],2,FALSE))</f>
        <v/>
      </c>
      <c r="C152" s="365" t="str">
        <f>IF(TInspectieW[[#This Row],[UVID]]="","",VLOOKUP(TInspectieW[[#This Row],[UVID]],TInventW[],11,FALSE))</f>
        <v/>
      </c>
      <c r="D152" s="411" t="str">
        <f>IF(TInspectieW[[#This Row],[UVID]]="","",VLOOKUP(TInspectieW[[#This Row],[UVID]],TInventW[],3,FALSE))</f>
        <v/>
      </c>
      <c r="E152" s="338"/>
      <c r="F152" s="412"/>
      <c r="G152" s="413" t="str">
        <f>IF(ISBLANK(TInspectieW[[#This Row],[Soort gebrek]]),"",VLOOKUP(TInspectieW[[#This Row],[Soort gebrek]],TSoortGebrek[#Data],3,FALSE))</f>
        <v/>
      </c>
      <c r="H152" s="413" t="str">
        <f>IF(ISBLANK(TInspectieW[[#This Row],[Soort gebrek]]),"",VLOOKUP(TInspectieW[[#This Row],[Soort gebrek]],TSoortGebrek[#Data],2,FALSE))</f>
        <v/>
      </c>
      <c r="I152" s="413" t="str">
        <f>IF(TInspectieW[[#This Row],[Soort gebrek]]=0,"",VLOOKUP(TInspectieW[[#This Row],[Soort gebrek]],TSoortGebrek[],4,FALSE))</f>
        <v/>
      </c>
      <c r="J152" s="425"/>
      <c r="K152" s="415" t="str">
        <f>IF(TInspectieW[[#This Row],[Soort gebrek]]=0,"",VLOOKUP(TInspectieW[[#This Row],[Combi]],TPrio[#Data],2,FALSE))</f>
        <v/>
      </c>
      <c r="L152" s="339"/>
      <c r="M152" s="416" t="str">
        <f>IF(ISBLANK(TInspectieW[[#This Row],[Gebrek nr.]]),"",TInspectieW[[#This Row],[UVID]]&amp;"-"&amp;TInspectieW[[#This Row],[Gebrek nr.]])</f>
        <v/>
      </c>
      <c r="N152" s="417"/>
      <c r="O152" s="418"/>
      <c r="P152" s="206"/>
      <c r="Q152" s="193"/>
      <c r="R152" s="206"/>
      <c r="S152" s="206"/>
      <c r="T152" s="206"/>
      <c r="U152" s="206"/>
      <c r="V152" s="206"/>
      <c r="W152" s="419"/>
      <c r="X152" s="340">
        <f>[1]Inventarisatie!U153</f>
        <v>0</v>
      </c>
      <c r="Y152" s="420"/>
      <c r="Z152" s="421" t="str">
        <f>IF(ISBLANK(TInspectieW[[#This Row],[Aantal]]),"",ROUND(TInspectieW[[#This Row],[Kengetal]]*TInspectieW[[#This Row],[Aantal]],-1))</f>
        <v/>
      </c>
      <c r="AA152" s="422" t="str">
        <f>IF(TInspectieW[[#This Row],[Vak-groep]]="","1",VLOOKUP(C152,$J$2:$K$7,2,FALSE))</f>
        <v>1</v>
      </c>
      <c r="AB152" s="423" t="str">
        <f>CONCATENATE(TInspectieW[[#This Row],[Soort gebrek]],TInspectieW[[#This Row],[Trede]])</f>
        <v>1</v>
      </c>
      <c r="AC152" s="413" t="e">
        <v>#N/A</v>
      </c>
      <c r="AD152" s="413" t="e">
        <v>#N/A</v>
      </c>
      <c r="AE152" s="424">
        <v>0</v>
      </c>
    </row>
    <row r="153" spans="1:31" ht="10.5" x14ac:dyDescent="0.25">
      <c r="A153" s="337"/>
      <c r="B153" s="410" t="str">
        <f>IF(TInspectieW[[#This Row],[UVID]]="","",VLOOKUP(TInspectieW[[#This Row],[UVID]],TInventW[],2,FALSE))</f>
        <v/>
      </c>
      <c r="C153" s="365" t="str">
        <f>IF(TInspectieW[[#This Row],[UVID]]="","",VLOOKUP(TInspectieW[[#This Row],[UVID]],TInventW[],11,FALSE))</f>
        <v/>
      </c>
      <c r="D153" s="411" t="str">
        <f>IF(TInspectieW[[#This Row],[UVID]]="","",VLOOKUP(TInspectieW[[#This Row],[UVID]],TInventW[],3,FALSE))</f>
        <v/>
      </c>
      <c r="E153" s="338"/>
      <c r="F153" s="412"/>
      <c r="G153" s="413" t="str">
        <f>IF(ISBLANK(TInspectieW[[#This Row],[Soort gebrek]]),"",VLOOKUP(TInspectieW[[#This Row],[Soort gebrek]],TSoortGebrek[#Data],3,FALSE))</f>
        <v/>
      </c>
      <c r="H153" s="413" t="str">
        <f>IF(ISBLANK(TInspectieW[[#This Row],[Soort gebrek]]),"",VLOOKUP(TInspectieW[[#This Row],[Soort gebrek]],TSoortGebrek[#Data],2,FALSE))</f>
        <v/>
      </c>
      <c r="I153" s="413" t="str">
        <f>IF(TInspectieW[[#This Row],[Soort gebrek]]=0,"",VLOOKUP(TInspectieW[[#This Row],[Soort gebrek]],TSoortGebrek[],4,FALSE))</f>
        <v/>
      </c>
      <c r="J153" s="425"/>
      <c r="K153" s="415" t="str">
        <f>IF(TInspectieW[[#This Row],[Soort gebrek]]=0,"",VLOOKUP(TInspectieW[[#This Row],[Combi]],TPrio[#Data],2,FALSE))</f>
        <v/>
      </c>
      <c r="L153" s="339"/>
      <c r="M153" s="416" t="str">
        <f>IF(ISBLANK(TInspectieW[[#This Row],[Gebrek nr.]]),"",TInspectieW[[#This Row],[UVID]]&amp;"-"&amp;TInspectieW[[#This Row],[Gebrek nr.]])</f>
        <v/>
      </c>
      <c r="N153" s="417"/>
      <c r="O153" s="418"/>
      <c r="P153" s="206"/>
      <c r="Q153" s="193"/>
      <c r="R153" s="206"/>
      <c r="S153" s="206"/>
      <c r="T153" s="206"/>
      <c r="U153" s="206"/>
      <c r="V153" s="206"/>
      <c r="W153" s="419"/>
      <c r="X153" s="340">
        <f>[1]Inventarisatie!U154</f>
        <v>0</v>
      </c>
      <c r="Y153" s="420"/>
      <c r="Z153" s="421" t="str">
        <f>IF(ISBLANK(TInspectieW[[#This Row],[Aantal]]),"",ROUND(TInspectieW[[#This Row],[Kengetal]]*TInspectieW[[#This Row],[Aantal]],-1))</f>
        <v/>
      </c>
      <c r="AA153" s="422" t="str">
        <f>IF(TInspectieW[[#This Row],[Vak-groep]]="","1",VLOOKUP(C153,$J$2:$K$7,2,FALSE))</f>
        <v>1</v>
      </c>
      <c r="AB153" s="423" t="str">
        <f>CONCATENATE(TInspectieW[[#This Row],[Soort gebrek]],TInspectieW[[#This Row],[Trede]])</f>
        <v>1</v>
      </c>
      <c r="AC153" s="413" t="e">
        <v>#N/A</v>
      </c>
      <c r="AD153" s="413" t="e">
        <v>#N/A</v>
      </c>
      <c r="AE153" s="424">
        <v>0</v>
      </c>
    </row>
    <row r="154" spans="1:31" ht="10.5" x14ac:dyDescent="0.25">
      <c r="A154" s="337"/>
      <c r="B154" s="410" t="str">
        <f>IF(TInspectieW[[#This Row],[UVID]]="","",VLOOKUP(TInspectieW[[#This Row],[UVID]],TInventW[],2,FALSE))</f>
        <v/>
      </c>
      <c r="C154" s="365" t="str">
        <f>IF(TInspectieW[[#This Row],[UVID]]="","",VLOOKUP(TInspectieW[[#This Row],[UVID]],TInventW[],11,FALSE))</f>
        <v/>
      </c>
      <c r="D154" s="411" t="str">
        <f>IF(TInspectieW[[#This Row],[UVID]]="","",VLOOKUP(TInspectieW[[#This Row],[UVID]],TInventW[],3,FALSE))</f>
        <v/>
      </c>
      <c r="E154" s="338"/>
      <c r="F154" s="412"/>
      <c r="G154" s="413" t="str">
        <f>IF(ISBLANK(TInspectieW[[#This Row],[Soort gebrek]]),"",VLOOKUP(TInspectieW[[#This Row],[Soort gebrek]],TSoortGebrek[#Data],3,FALSE))</f>
        <v/>
      </c>
      <c r="H154" s="413" t="str">
        <f>IF(ISBLANK(TInspectieW[[#This Row],[Soort gebrek]]),"",VLOOKUP(TInspectieW[[#This Row],[Soort gebrek]],TSoortGebrek[#Data],2,FALSE))</f>
        <v/>
      </c>
      <c r="I154" s="413" t="str">
        <f>IF(TInspectieW[[#This Row],[Soort gebrek]]=0,"",VLOOKUP(TInspectieW[[#This Row],[Soort gebrek]],TSoortGebrek[],4,FALSE))</f>
        <v/>
      </c>
      <c r="J154" s="425"/>
      <c r="K154" s="415" t="str">
        <f>IF(TInspectieW[[#This Row],[Soort gebrek]]=0,"",VLOOKUP(TInspectieW[[#This Row],[Combi]],TPrio[#Data],2,FALSE))</f>
        <v/>
      </c>
      <c r="L154" s="339"/>
      <c r="M154" s="416" t="str">
        <f>IF(ISBLANK(TInspectieW[[#This Row],[Gebrek nr.]]),"",TInspectieW[[#This Row],[UVID]]&amp;"-"&amp;TInspectieW[[#This Row],[Gebrek nr.]])</f>
        <v/>
      </c>
      <c r="N154" s="417"/>
      <c r="O154" s="418"/>
      <c r="P154" s="206"/>
      <c r="Q154" s="193"/>
      <c r="R154" s="206"/>
      <c r="S154" s="206"/>
      <c r="T154" s="206"/>
      <c r="U154" s="206"/>
      <c r="V154" s="206"/>
      <c r="W154" s="419"/>
      <c r="X154" s="340">
        <f>[1]Inventarisatie!U155</f>
        <v>0</v>
      </c>
      <c r="Y154" s="420"/>
      <c r="Z154" s="421" t="str">
        <f>IF(ISBLANK(TInspectieW[[#This Row],[Aantal]]),"",ROUND(TInspectieW[[#This Row],[Kengetal]]*TInspectieW[[#This Row],[Aantal]],-1))</f>
        <v/>
      </c>
      <c r="AA154" s="422" t="str">
        <f>IF(TInspectieW[[#This Row],[Vak-groep]]="","1",VLOOKUP(C154,$J$2:$K$7,2,FALSE))</f>
        <v>1</v>
      </c>
      <c r="AB154" s="423" t="str">
        <f>CONCATENATE(TInspectieW[[#This Row],[Soort gebrek]],TInspectieW[[#This Row],[Trede]])</f>
        <v>1</v>
      </c>
      <c r="AC154" s="413" t="e">
        <v>#N/A</v>
      </c>
      <c r="AD154" s="413" t="e">
        <v>#N/A</v>
      </c>
      <c r="AE154" s="424">
        <v>0</v>
      </c>
    </row>
    <row r="155" spans="1:31" ht="10.5" x14ac:dyDescent="0.25">
      <c r="A155" s="337"/>
      <c r="B155" s="410" t="str">
        <f>IF(TInspectieW[[#This Row],[UVID]]="","",VLOOKUP(TInspectieW[[#This Row],[UVID]],TInventW[],2,FALSE))</f>
        <v/>
      </c>
      <c r="C155" s="365" t="str">
        <f>IF(TInspectieW[[#This Row],[UVID]]="","",VLOOKUP(TInspectieW[[#This Row],[UVID]],TInventW[],11,FALSE))</f>
        <v/>
      </c>
      <c r="D155" s="411" t="str">
        <f>IF(TInspectieW[[#This Row],[UVID]]="","",VLOOKUP(TInspectieW[[#This Row],[UVID]],TInventW[],3,FALSE))</f>
        <v/>
      </c>
      <c r="E155" s="338"/>
      <c r="F155" s="412"/>
      <c r="G155" s="413" t="str">
        <f>IF(ISBLANK(TInspectieW[[#This Row],[Soort gebrek]]),"",VLOOKUP(TInspectieW[[#This Row],[Soort gebrek]],TSoortGebrek[#Data],3,FALSE))</f>
        <v/>
      </c>
      <c r="H155" s="413" t="str">
        <f>IF(ISBLANK(TInspectieW[[#This Row],[Soort gebrek]]),"",VLOOKUP(TInspectieW[[#This Row],[Soort gebrek]],TSoortGebrek[#Data],2,FALSE))</f>
        <v/>
      </c>
      <c r="I155" s="413" t="str">
        <f>IF(TInspectieW[[#This Row],[Soort gebrek]]=0,"",VLOOKUP(TInspectieW[[#This Row],[Soort gebrek]],TSoortGebrek[],4,FALSE))</f>
        <v/>
      </c>
      <c r="J155" s="425"/>
      <c r="K155" s="415" t="str">
        <f>IF(TInspectieW[[#This Row],[Soort gebrek]]=0,"",VLOOKUP(TInspectieW[[#This Row],[Combi]],TPrio[#Data],2,FALSE))</f>
        <v/>
      </c>
      <c r="L155" s="339"/>
      <c r="M155" s="416" t="str">
        <f>IF(ISBLANK(TInspectieW[[#This Row],[Gebrek nr.]]),"",TInspectieW[[#This Row],[UVID]]&amp;"-"&amp;TInspectieW[[#This Row],[Gebrek nr.]])</f>
        <v/>
      </c>
      <c r="N155" s="417"/>
      <c r="O155" s="418"/>
      <c r="P155" s="206"/>
      <c r="Q155" s="193"/>
      <c r="R155" s="206"/>
      <c r="S155" s="206"/>
      <c r="T155" s="206"/>
      <c r="U155" s="206"/>
      <c r="V155" s="206"/>
      <c r="W155" s="419"/>
      <c r="X155" s="340">
        <f>[1]Inventarisatie!U156</f>
        <v>0</v>
      </c>
      <c r="Y155" s="420"/>
      <c r="Z155" s="421" t="str">
        <f>IF(ISBLANK(TInspectieW[[#This Row],[Aantal]]),"",ROUND(TInspectieW[[#This Row],[Kengetal]]*TInspectieW[[#This Row],[Aantal]],-1))</f>
        <v/>
      </c>
      <c r="AA155" s="422" t="str">
        <f>IF(TInspectieW[[#This Row],[Vak-groep]]="","1",VLOOKUP(C155,$J$2:$K$7,2,FALSE))</f>
        <v>1</v>
      </c>
      <c r="AB155" s="423" t="str">
        <f>CONCATENATE(TInspectieW[[#This Row],[Soort gebrek]],TInspectieW[[#This Row],[Trede]])</f>
        <v>1</v>
      </c>
      <c r="AC155" s="413" t="e">
        <v>#N/A</v>
      </c>
      <c r="AD155" s="413" t="e">
        <v>#N/A</v>
      </c>
      <c r="AE155" s="424">
        <v>0</v>
      </c>
    </row>
    <row r="156" spans="1:31" ht="10.5" x14ac:dyDescent="0.25">
      <c r="A156" s="337"/>
      <c r="B156" s="410" t="str">
        <f>IF(TInspectieW[[#This Row],[UVID]]="","",VLOOKUP(TInspectieW[[#This Row],[UVID]],TInventW[],2,FALSE))</f>
        <v/>
      </c>
      <c r="C156" s="365" t="str">
        <f>IF(TInspectieW[[#This Row],[UVID]]="","",VLOOKUP(TInspectieW[[#This Row],[UVID]],TInventW[],11,FALSE))</f>
        <v/>
      </c>
      <c r="D156" s="411" t="str">
        <f>IF(TInspectieW[[#This Row],[UVID]]="","",VLOOKUP(TInspectieW[[#This Row],[UVID]],TInventW[],3,FALSE))</f>
        <v/>
      </c>
      <c r="E156" s="338"/>
      <c r="F156" s="412"/>
      <c r="G156" s="413" t="str">
        <f>IF(ISBLANK(TInspectieW[[#This Row],[Soort gebrek]]),"",VLOOKUP(TInspectieW[[#This Row],[Soort gebrek]],TSoortGebrek[#Data],3,FALSE))</f>
        <v/>
      </c>
      <c r="H156" s="413" t="str">
        <f>IF(ISBLANK(TInspectieW[[#This Row],[Soort gebrek]]),"",VLOOKUP(TInspectieW[[#This Row],[Soort gebrek]],TSoortGebrek[#Data],2,FALSE))</f>
        <v/>
      </c>
      <c r="I156" s="413" t="str">
        <f>IF(TInspectieW[[#This Row],[Soort gebrek]]=0,"",VLOOKUP(TInspectieW[[#This Row],[Soort gebrek]],TSoortGebrek[],4,FALSE))</f>
        <v/>
      </c>
      <c r="J156" s="425"/>
      <c r="K156" s="415" t="str">
        <f>IF(TInspectieW[[#This Row],[Soort gebrek]]=0,"",VLOOKUP(TInspectieW[[#This Row],[Combi]],TPrio[#Data],2,FALSE))</f>
        <v/>
      </c>
      <c r="L156" s="339"/>
      <c r="M156" s="416" t="str">
        <f>IF(ISBLANK(TInspectieW[[#This Row],[Gebrek nr.]]),"",TInspectieW[[#This Row],[UVID]]&amp;"-"&amp;TInspectieW[[#This Row],[Gebrek nr.]])</f>
        <v/>
      </c>
      <c r="N156" s="417"/>
      <c r="O156" s="418"/>
      <c r="P156" s="206"/>
      <c r="Q156" s="193"/>
      <c r="R156" s="206"/>
      <c r="S156" s="206"/>
      <c r="T156" s="206"/>
      <c r="U156" s="206"/>
      <c r="V156" s="206"/>
      <c r="W156" s="419"/>
      <c r="X156" s="340">
        <f>[1]Inventarisatie!U157</f>
        <v>0</v>
      </c>
      <c r="Y156" s="420"/>
      <c r="Z156" s="421" t="str">
        <f>IF(ISBLANK(TInspectieW[[#This Row],[Aantal]]),"",ROUND(TInspectieW[[#This Row],[Kengetal]]*TInspectieW[[#This Row],[Aantal]],-1))</f>
        <v/>
      </c>
      <c r="AA156" s="422" t="str">
        <f>IF(TInspectieW[[#This Row],[Vak-groep]]="","1",VLOOKUP(C156,$J$2:$K$7,2,FALSE))</f>
        <v>1</v>
      </c>
      <c r="AB156" s="423" t="str">
        <f>CONCATENATE(TInspectieW[[#This Row],[Soort gebrek]],TInspectieW[[#This Row],[Trede]])</f>
        <v>1</v>
      </c>
      <c r="AC156" s="413" t="e">
        <v>#N/A</v>
      </c>
      <c r="AD156" s="413" t="e">
        <v>#N/A</v>
      </c>
      <c r="AE156" s="424">
        <v>0</v>
      </c>
    </row>
    <row r="157" spans="1:31" ht="10.5" x14ac:dyDescent="0.25">
      <c r="A157" s="337"/>
      <c r="B157" s="410" t="str">
        <f>IF(TInspectieW[[#This Row],[UVID]]="","",VLOOKUP(TInspectieW[[#This Row],[UVID]],TInventW[],2,FALSE))</f>
        <v/>
      </c>
      <c r="C157" s="365" t="str">
        <f>IF(TInspectieW[[#This Row],[UVID]]="","",VLOOKUP(TInspectieW[[#This Row],[UVID]],TInventW[],11,FALSE))</f>
        <v/>
      </c>
      <c r="D157" s="411" t="str">
        <f>IF(TInspectieW[[#This Row],[UVID]]="","",VLOOKUP(TInspectieW[[#This Row],[UVID]],TInventW[],3,FALSE))</f>
        <v/>
      </c>
      <c r="E157" s="338"/>
      <c r="F157" s="412"/>
      <c r="G157" s="413" t="str">
        <f>IF(ISBLANK(TInspectieW[[#This Row],[Soort gebrek]]),"",VLOOKUP(TInspectieW[[#This Row],[Soort gebrek]],TSoortGebrek[#Data],3,FALSE))</f>
        <v/>
      </c>
      <c r="H157" s="413" t="str">
        <f>IF(ISBLANK(TInspectieW[[#This Row],[Soort gebrek]]),"",VLOOKUP(TInspectieW[[#This Row],[Soort gebrek]],TSoortGebrek[#Data],2,FALSE))</f>
        <v/>
      </c>
      <c r="I157" s="413" t="str">
        <f>IF(TInspectieW[[#This Row],[Soort gebrek]]=0,"",VLOOKUP(TInspectieW[[#This Row],[Soort gebrek]],TSoortGebrek[],4,FALSE))</f>
        <v/>
      </c>
      <c r="J157" s="425"/>
      <c r="K157" s="415" t="str">
        <f>IF(TInspectieW[[#This Row],[Soort gebrek]]=0,"",VLOOKUP(TInspectieW[[#This Row],[Combi]],TPrio[#Data],2,FALSE))</f>
        <v/>
      </c>
      <c r="L157" s="339"/>
      <c r="M157" s="416" t="str">
        <f>IF(ISBLANK(TInspectieW[[#This Row],[Gebrek nr.]]),"",TInspectieW[[#This Row],[UVID]]&amp;"-"&amp;TInspectieW[[#This Row],[Gebrek nr.]])</f>
        <v/>
      </c>
      <c r="N157" s="417"/>
      <c r="O157" s="418"/>
      <c r="P157" s="206"/>
      <c r="Q157" s="193"/>
      <c r="R157" s="206"/>
      <c r="S157" s="206"/>
      <c r="T157" s="206"/>
      <c r="U157" s="206"/>
      <c r="V157" s="206"/>
      <c r="W157" s="419"/>
      <c r="X157" s="340">
        <f>[1]Inventarisatie!U158</f>
        <v>0</v>
      </c>
      <c r="Y157" s="420"/>
      <c r="Z157" s="421" t="str">
        <f>IF(ISBLANK(TInspectieW[[#This Row],[Aantal]]),"",ROUND(TInspectieW[[#This Row],[Kengetal]]*TInspectieW[[#This Row],[Aantal]],-1))</f>
        <v/>
      </c>
      <c r="AA157" s="422" t="str">
        <f>IF(TInspectieW[[#This Row],[Vak-groep]]="","1",VLOOKUP(C157,$J$2:$K$7,2,FALSE))</f>
        <v>1</v>
      </c>
      <c r="AB157" s="423" t="str">
        <f>CONCATENATE(TInspectieW[[#This Row],[Soort gebrek]],TInspectieW[[#This Row],[Trede]])</f>
        <v>1</v>
      </c>
      <c r="AC157" s="413" t="e">
        <v>#N/A</v>
      </c>
      <c r="AD157" s="413" t="e">
        <v>#N/A</v>
      </c>
      <c r="AE157" s="424">
        <v>0</v>
      </c>
    </row>
    <row r="158" spans="1:31" ht="10.5" x14ac:dyDescent="0.25">
      <c r="A158" s="337"/>
      <c r="B158" s="410" t="str">
        <f>IF(TInspectieW[[#This Row],[UVID]]="","",VLOOKUP(TInspectieW[[#This Row],[UVID]],TInventW[],2,FALSE))</f>
        <v/>
      </c>
      <c r="C158" s="365" t="str">
        <f>IF(TInspectieW[[#This Row],[UVID]]="","",VLOOKUP(TInspectieW[[#This Row],[UVID]],TInventW[],11,FALSE))</f>
        <v/>
      </c>
      <c r="D158" s="411" t="str">
        <f>IF(TInspectieW[[#This Row],[UVID]]="","",VLOOKUP(TInspectieW[[#This Row],[UVID]],TInventW[],3,FALSE))</f>
        <v/>
      </c>
      <c r="E158" s="338"/>
      <c r="F158" s="412"/>
      <c r="G158" s="413" t="str">
        <f>IF(ISBLANK(TInspectieW[[#This Row],[Soort gebrek]]),"",VLOOKUP(TInspectieW[[#This Row],[Soort gebrek]],TSoortGebrek[#Data],3,FALSE))</f>
        <v/>
      </c>
      <c r="H158" s="413" t="str">
        <f>IF(ISBLANK(TInspectieW[[#This Row],[Soort gebrek]]),"",VLOOKUP(TInspectieW[[#This Row],[Soort gebrek]],TSoortGebrek[#Data],2,FALSE))</f>
        <v/>
      </c>
      <c r="I158" s="413" t="str">
        <f>IF(TInspectieW[[#This Row],[Soort gebrek]]=0,"",VLOOKUP(TInspectieW[[#This Row],[Soort gebrek]],TSoortGebrek[],4,FALSE))</f>
        <v/>
      </c>
      <c r="J158" s="425"/>
      <c r="K158" s="415" t="str">
        <f>IF(TInspectieW[[#This Row],[Soort gebrek]]=0,"",VLOOKUP(TInspectieW[[#This Row],[Combi]],TPrio[#Data],2,FALSE))</f>
        <v/>
      </c>
      <c r="L158" s="339"/>
      <c r="M158" s="416" t="str">
        <f>IF(ISBLANK(TInspectieW[[#This Row],[Gebrek nr.]]),"",TInspectieW[[#This Row],[UVID]]&amp;"-"&amp;TInspectieW[[#This Row],[Gebrek nr.]])</f>
        <v/>
      </c>
      <c r="N158" s="417"/>
      <c r="O158" s="418"/>
      <c r="P158" s="206"/>
      <c r="Q158" s="193"/>
      <c r="R158" s="206"/>
      <c r="S158" s="206"/>
      <c r="T158" s="206"/>
      <c r="U158" s="206"/>
      <c r="V158" s="206"/>
      <c r="W158" s="419"/>
      <c r="X158" s="340">
        <f>[1]Inventarisatie!U159</f>
        <v>0</v>
      </c>
      <c r="Y158" s="420"/>
      <c r="Z158" s="421" t="str">
        <f>IF(ISBLANK(TInspectieW[[#This Row],[Aantal]]),"",ROUND(TInspectieW[[#This Row],[Kengetal]]*TInspectieW[[#This Row],[Aantal]],-1))</f>
        <v/>
      </c>
      <c r="AA158" s="422" t="str">
        <f>IF(TInspectieW[[#This Row],[Vak-groep]]="","1",VLOOKUP(C158,$J$2:$K$7,2,FALSE))</f>
        <v>1</v>
      </c>
      <c r="AB158" s="423" t="str">
        <f>CONCATENATE(TInspectieW[[#This Row],[Soort gebrek]],TInspectieW[[#This Row],[Trede]])</f>
        <v>1</v>
      </c>
      <c r="AC158" s="413" t="e">
        <v>#N/A</v>
      </c>
      <c r="AD158" s="413" t="e">
        <v>#N/A</v>
      </c>
      <c r="AE158" s="424">
        <v>0</v>
      </c>
    </row>
    <row r="159" spans="1:31" ht="10.5" x14ac:dyDescent="0.25">
      <c r="A159" s="337"/>
      <c r="B159" s="410" t="str">
        <f>IF(TInspectieW[[#This Row],[UVID]]="","",VLOOKUP(TInspectieW[[#This Row],[UVID]],TInventW[],2,FALSE))</f>
        <v/>
      </c>
      <c r="C159" s="365" t="str">
        <f>IF(TInspectieW[[#This Row],[UVID]]="","",VLOOKUP(TInspectieW[[#This Row],[UVID]],TInventW[],11,FALSE))</f>
        <v/>
      </c>
      <c r="D159" s="411" t="str">
        <f>IF(TInspectieW[[#This Row],[UVID]]="","",VLOOKUP(TInspectieW[[#This Row],[UVID]],TInventW[],3,FALSE))</f>
        <v/>
      </c>
      <c r="E159" s="338"/>
      <c r="F159" s="412"/>
      <c r="G159" s="413" t="str">
        <f>IF(ISBLANK(TInspectieW[[#This Row],[Soort gebrek]]),"",VLOOKUP(TInspectieW[[#This Row],[Soort gebrek]],TSoortGebrek[#Data],3,FALSE))</f>
        <v/>
      </c>
      <c r="H159" s="413" t="str">
        <f>IF(ISBLANK(TInspectieW[[#This Row],[Soort gebrek]]),"",VLOOKUP(TInspectieW[[#This Row],[Soort gebrek]],TSoortGebrek[#Data],2,FALSE))</f>
        <v/>
      </c>
      <c r="I159" s="413" t="str">
        <f>IF(TInspectieW[[#This Row],[Soort gebrek]]=0,"",VLOOKUP(TInspectieW[[#This Row],[Soort gebrek]],TSoortGebrek[],4,FALSE))</f>
        <v/>
      </c>
      <c r="J159" s="425"/>
      <c r="K159" s="415" t="str">
        <f>IF(TInspectieW[[#This Row],[Soort gebrek]]=0,"",VLOOKUP(TInspectieW[[#This Row],[Combi]],TPrio[#Data],2,FALSE))</f>
        <v/>
      </c>
      <c r="L159" s="339"/>
      <c r="M159" s="416" t="str">
        <f>IF(ISBLANK(TInspectieW[[#This Row],[Gebrek nr.]]),"",TInspectieW[[#This Row],[UVID]]&amp;"-"&amp;TInspectieW[[#This Row],[Gebrek nr.]])</f>
        <v/>
      </c>
      <c r="N159" s="417"/>
      <c r="O159" s="418"/>
      <c r="P159" s="206"/>
      <c r="Q159" s="193"/>
      <c r="R159" s="206"/>
      <c r="S159" s="206"/>
      <c r="T159" s="206"/>
      <c r="U159" s="206"/>
      <c r="V159" s="206"/>
      <c r="W159" s="419"/>
      <c r="X159" s="340">
        <f>[1]Inventarisatie!U160</f>
        <v>0</v>
      </c>
      <c r="Y159" s="420"/>
      <c r="Z159" s="421" t="str">
        <f>IF(ISBLANK(TInspectieW[[#This Row],[Aantal]]),"",ROUND(TInspectieW[[#This Row],[Kengetal]]*TInspectieW[[#This Row],[Aantal]],-1))</f>
        <v/>
      </c>
      <c r="AA159" s="422" t="str">
        <f>IF(TInspectieW[[#This Row],[Vak-groep]]="","1",VLOOKUP(C159,$J$2:$K$7,2,FALSE))</f>
        <v>1</v>
      </c>
      <c r="AB159" s="423" t="str">
        <f>CONCATENATE(TInspectieW[[#This Row],[Soort gebrek]],TInspectieW[[#This Row],[Trede]])</f>
        <v>1</v>
      </c>
      <c r="AC159" s="413" t="e">
        <v>#N/A</v>
      </c>
      <c r="AD159" s="413" t="e">
        <v>#N/A</v>
      </c>
      <c r="AE159" s="424">
        <v>0</v>
      </c>
    </row>
    <row r="160" spans="1:31" ht="10.5" x14ac:dyDescent="0.25">
      <c r="A160" s="337"/>
      <c r="B160" s="410" t="str">
        <f>IF(TInspectieW[[#This Row],[UVID]]="","",VLOOKUP(TInspectieW[[#This Row],[UVID]],TInventW[],2,FALSE))</f>
        <v/>
      </c>
      <c r="C160" s="365" t="str">
        <f>IF(TInspectieW[[#This Row],[UVID]]="","",VLOOKUP(TInspectieW[[#This Row],[UVID]],TInventW[],11,FALSE))</f>
        <v/>
      </c>
      <c r="D160" s="411" t="str">
        <f>IF(TInspectieW[[#This Row],[UVID]]="","",VLOOKUP(TInspectieW[[#This Row],[UVID]],TInventW[],3,FALSE))</f>
        <v/>
      </c>
      <c r="E160" s="338"/>
      <c r="F160" s="412"/>
      <c r="G160" s="413" t="str">
        <f>IF(ISBLANK(TInspectieW[[#This Row],[Soort gebrek]]),"",VLOOKUP(TInspectieW[[#This Row],[Soort gebrek]],TSoortGebrek[#Data],3,FALSE))</f>
        <v/>
      </c>
      <c r="H160" s="413" t="str">
        <f>IF(ISBLANK(TInspectieW[[#This Row],[Soort gebrek]]),"",VLOOKUP(TInspectieW[[#This Row],[Soort gebrek]],TSoortGebrek[#Data],2,FALSE))</f>
        <v/>
      </c>
      <c r="I160" s="413" t="str">
        <f>IF(TInspectieW[[#This Row],[Soort gebrek]]=0,"",VLOOKUP(TInspectieW[[#This Row],[Soort gebrek]],TSoortGebrek[],4,FALSE))</f>
        <v/>
      </c>
      <c r="J160" s="425"/>
      <c r="K160" s="415" t="str">
        <f>IF(TInspectieW[[#This Row],[Soort gebrek]]=0,"",VLOOKUP(TInspectieW[[#This Row],[Combi]],TPrio[#Data],2,FALSE))</f>
        <v/>
      </c>
      <c r="L160" s="339"/>
      <c r="M160" s="416" t="str">
        <f>IF(ISBLANK(TInspectieW[[#This Row],[Gebrek nr.]]),"",TInspectieW[[#This Row],[UVID]]&amp;"-"&amp;TInspectieW[[#This Row],[Gebrek nr.]])</f>
        <v/>
      </c>
      <c r="N160" s="417"/>
      <c r="O160" s="418"/>
      <c r="P160" s="206"/>
      <c r="Q160" s="193"/>
      <c r="R160" s="206"/>
      <c r="S160" s="206"/>
      <c r="T160" s="206"/>
      <c r="U160" s="206"/>
      <c r="V160" s="206"/>
      <c r="W160" s="419"/>
      <c r="X160" s="340">
        <f>[1]Inventarisatie!U161</f>
        <v>0</v>
      </c>
      <c r="Y160" s="420"/>
      <c r="Z160" s="421" t="str">
        <f>IF(ISBLANK(TInspectieW[[#This Row],[Aantal]]),"",ROUND(TInspectieW[[#This Row],[Kengetal]]*TInspectieW[[#This Row],[Aantal]],-1))</f>
        <v/>
      </c>
      <c r="AA160" s="422" t="str">
        <f>IF(TInspectieW[[#This Row],[Vak-groep]]="","1",VLOOKUP(C160,$J$2:$K$7,2,FALSE))</f>
        <v>1</v>
      </c>
      <c r="AB160" s="423" t="str">
        <f>CONCATENATE(TInspectieW[[#This Row],[Soort gebrek]],TInspectieW[[#This Row],[Trede]])</f>
        <v>1</v>
      </c>
      <c r="AC160" s="413" t="e">
        <v>#N/A</v>
      </c>
      <c r="AD160" s="413" t="e">
        <v>#N/A</v>
      </c>
      <c r="AE160" s="424">
        <v>0</v>
      </c>
    </row>
    <row r="161" spans="1:31" ht="10.5" x14ac:dyDescent="0.25">
      <c r="A161" s="337"/>
      <c r="B161" s="410" t="str">
        <f>IF(TInspectieW[[#This Row],[UVID]]="","",VLOOKUP(TInspectieW[[#This Row],[UVID]],TInventW[],2,FALSE))</f>
        <v/>
      </c>
      <c r="C161" s="365" t="str">
        <f>IF(TInspectieW[[#This Row],[UVID]]="","",VLOOKUP(TInspectieW[[#This Row],[UVID]],TInventW[],11,FALSE))</f>
        <v/>
      </c>
      <c r="D161" s="411" t="str">
        <f>IF(TInspectieW[[#This Row],[UVID]]="","",VLOOKUP(TInspectieW[[#This Row],[UVID]],TInventW[],3,FALSE))</f>
        <v/>
      </c>
      <c r="E161" s="338"/>
      <c r="F161" s="412"/>
      <c r="G161" s="413" t="str">
        <f>IF(ISBLANK(TInspectieW[[#This Row],[Soort gebrek]]),"",VLOOKUP(TInspectieW[[#This Row],[Soort gebrek]],TSoortGebrek[#Data],3,FALSE))</f>
        <v/>
      </c>
      <c r="H161" s="413" t="str">
        <f>IF(ISBLANK(TInspectieW[[#This Row],[Soort gebrek]]),"",VLOOKUP(TInspectieW[[#This Row],[Soort gebrek]],TSoortGebrek[#Data],2,FALSE))</f>
        <v/>
      </c>
      <c r="I161" s="413" t="str">
        <f>IF(TInspectieW[[#This Row],[Soort gebrek]]=0,"",VLOOKUP(TInspectieW[[#This Row],[Soort gebrek]],TSoortGebrek[],4,FALSE))</f>
        <v/>
      </c>
      <c r="J161" s="425"/>
      <c r="K161" s="415" t="str">
        <f>IF(TInspectieW[[#This Row],[Soort gebrek]]=0,"",VLOOKUP(TInspectieW[[#This Row],[Combi]],TPrio[#Data],2,FALSE))</f>
        <v/>
      </c>
      <c r="L161" s="339"/>
      <c r="M161" s="416" t="str">
        <f>IF(ISBLANK(TInspectieW[[#This Row],[Gebrek nr.]]),"",TInspectieW[[#This Row],[UVID]]&amp;"-"&amp;TInspectieW[[#This Row],[Gebrek nr.]])</f>
        <v/>
      </c>
      <c r="N161" s="417"/>
      <c r="O161" s="418"/>
      <c r="P161" s="206"/>
      <c r="Q161" s="193"/>
      <c r="R161" s="206"/>
      <c r="S161" s="206"/>
      <c r="T161" s="206"/>
      <c r="U161" s="206"/>
      <c r="V161" s="206"/>
      <c r="W161" s="419"/>
      <c r="X161" s="340">
        <f>[1]Inventarisatie!U162</f>
        <v>0</v>
      </c>
      <c r="Y161" s="420"/>
      <c r="Z161" s="421" t="str">
        <f>IF(ISBLANK(TInspectieW[[#This Row],[Aantal]]),"",ROUND(TInspectieW[[#This Row],[Kengetal]]*TInspectieW[[#This Row],[Aantal]],-1))</f>
        <v/>
      </c>
      <c r="AA161" s="422" t="str">
        <f>IF(TInspectieW[[#This Row],[Vak-groep]]="","1",VLOOKUP(C161,$J$2:$K$7,2,FALSE))</f>
        <v>1</v>
      </c>
      <c r="AB161" s="423" t="str">
        <f>CONCATENATE(TInspectieW[[#This Row],[Soort gebrek]],TInspectieW[[#This Row],[Trede]])</f>
        <v>1</v>
      </c>
      <c r="AC161" s="413" t="e">
        <v>#N/A</v>
      </c>
      <c r="AD161" s="413" t="e">
        <v>#N/A</v>
      </c>
      <c r="AE161" s="424">
        <v>0</v>
      </c>
    </row>
    <row r="162" spans="1:31" ht="10.5" x14ac:dyDescent="0.25">
      <c r="A162" s="337"/>
      <c r="B162" s="410" t="str">
        <f>IF(TInspectieW[[#This Row],[UVID]]="","",VLOOKUP(TInspectieW[[#This Row],[UVID]],TInventW[],2,FALSE))</f>
        <v/>
      </c>
      <c r="C162" s="365" t="str">
        <f>IF(TInspectieW[[#This Row],[UVID]]="","",VLOOKUP(TInspectieW[[#This Row],[UVID]],TInventW[],11,FALSE))</f>
        <v/>
      </c>
      <c r="D162" s="411" t="str">
        <f>IF(TInspectieW[[#This Row],[UVID]]="","",VLOOKUP(TInspectieW[[#This Row],[UVID]],TInventW[],3,FALSE))</f>
        <v/>
      </c>
      <c r="E162" s="338"/>
      <c r="F162" s="412"/>
      <c r="G162" s="413" t="str">
        <f>IF(ISBLANK(TInspectieW[[#This Row],[Soort gebrek]]),"",VLOOKUP(TInspectieW[[#This Row],[Soort gebrek]],TSoortGebrek[#Data],3,FALSE))</f>
        <v/>
      </c>
      <c r="H162" s="413" t="str">
        <f>IF(ISBLANK(TInspectieW[[#This Row],[Soort gebrek]]),"",VLOOKUP(TInspectieW[[#This Row],[Soort gebrek]],TSoortGebrek[#Data],2,FALSE))</f>
        <v/>
      </c>
      <c r="I162" s="413" t="str">
        <f>IF(TInspectieW[[#This Row],[Soort gebrek]]=0,"",VLOOKUP(TInspectieW[[#This Row],[Soort gebrek]],TSoortGebrek[],4,FALSE))</f>
        <v/>
      </c>
      <c r="J162" s="425"/>
      <c r="K162" s="415" t="str">
        <f>IF(TInspectieW[[#This Row],[Soort gebrek]]=0,"",VLOOKUP(TInspectieW[[#This Row],[Combi]],TPrio[#Data],2,FALSE))</f>
        <v/>
      </c>
      <c r="L162" s="339"/>
      <c r="M162" s="416" t="str">
        <f>IF(ISBLANK(TInspectieW[[#This Row],[Gebrek nr.]]),"",TInspectieW[[#This Row],[UVID]]&amp;"-"&amp;TInspectieW[[#This Row],[Gebrek nr.]])</f>
        <v/>
      </c>
      <c r="N162" s="417"/>
      <c r="O162" s="418"/>
      <c r="P162" s="206"/>
      <c r="Q162" s="193"/>
      <c r="R162" s="206"/>
      <c r="S162" s="206"/>
      <c r="T162" s="206"/>
      <c r="U162" s="206"/>
      <c r="V162" s="206"/>
      <c r="W162" s="419"/>
      <c r="X162" s="340">
        <f>[1]Inventarisatie!U163</f>
        <v>0</v>
      </c>
      <c r="Y162" s="420"/>
      <c r="Z162" s="421" t="str">
        <f>IF(ISBLANK(TInspectieW[[#This Row],[Aantal]]),"",ROUND(TInspectieW[[#This Row],[Kengetal]]*TInspectieW[[#This Row],[Aantal]],-1))</f>
        <v/>
      </c>
      <c r="AA162" s="422" t="str">
        <f>IF(TInspectieW[[#This Row],[Vak-groep]]="","1",VLOOKUP(C162,$J$2:$K$7,2,FALSE))</f>
        <v>1</v>
      </c>
      <c r="AB162" s="423" t="str">
        <f>CONCATENATE(TInspectieW[[#This Row],[Soort gebrek]],TInspectieW[[#This Row],[Trede]])</f>
        <v>1</v>
      </c>
      <c r="AC162" s="413" t="e">
        <v>#N/A</v>
      </c>
      <c r="AD162" s="413" t="e">
        <v>#N/A</v>
      </c>
      <c r="AE162" s="424">
        <v>0</v>
      </c>
    </row>
    <row r="163" spans="1:31" ht="10.5" x14ac:dyDescent="0.25">
      <c r="A163" s="337"/>
      <c r="B163" s="410" t="str">
        <f>IF(TInspectieW[[#This Row],[UVID]]="","",VLOOKUP(TInspectieW[[#This Row],[UVID]],TInventW[],2,FALSE))</f>
        <v/>
      </c>
      <c r="C163" s="365" t="str">
        <f>IF(TInspectieW[[#This Row],[UVID]]="","",VLOOKUP(TInspectieW[[#This Row],[UVID]],TInventW[],11,FALSE))</f>
        <v/>
      </c>
      <c r="D163" s="411" t="str">
        <f>IF(TInspectieW[[#This Row],[UVID]]="","",VLOOKUP(TInspectieW[[#This Row],[UVID]],TInventW[],3,FALSE))</f>
        <v/>
      </c>
      <c r="E163" s="338"/>
      <c r="F163" s="412"/>
      <c r="G163" s="413" t="str">
        <f>IF(ISBLANK(TInspectieW[[#This Row],[Soort gebrek]]),"",VLOOKUP(TInspectieW[[#This Row],[Soort gebrek]],TSoortGebrek[#Data],3,FALSE))</f>
        <v/>
      </c>
      <c r="H163" s="413" t="str">
        <f>IF(ISBLANK(TInspectieW[[#This Row],[Soort gebrek]]),"",VLOOKUP(TInspectieW[[#This Row],[Soort gebrek]],TSoortGebrek[#Data],2,FALSE))</f>
        <v/>
      </c>
      <c r="I163" s="413" t="str">
        <f>IF(TInspectieW[[#This Row],[Soort gebrek]]=0,"",VLOOKUP(TInspectieW[[#This Row],[Soort gebrek]],TSoortGebrek[],4,FALSE))</f>
        <v/>
      </c>
      <c r="J163" s="425"/>
      <c r="K163" s="415" t="str">
        <f>IF(TInspectieW[[#This Row],[Soort gebrek]]=0,"",VLOOKUP(TInspectieW[[#This Row],[Combi]],TPrio[#Data],2,FALSE))</f>
        <v/>
      </c>
      <c r="L163" s="339"/>
      <c r="M163" s="416" t="str">
        <f>IF(ISBLANK(TInspectieW[[#This Row],[Gebrek nr.]]),"",TInspectieW[[#This Row],[UVID]]&amp;"-"&amp;TInspectieW[[#This Row],[Gebrek nr.]])</f>
        <v/>
      </c>
      <c r="N163" s="417"/>
      <c r="O163" s="418"/>
      <c r="P163" s="206"/>
      <c r="Q163" s="193"/>
      <c r="R163" s="206"/>
      <c r="S163" s="206"/>
      <c r="T163" s="206"/>
      <c r="U163" s="206"/>
      <c r="V163" s="206"/>
      <c r="W163" s="419"/>
      <c r="X163" s="340">
        <f>[1]Inventarisatie!U164</f>
        <v>0</v>
      </c>
      <c r="Y163" s="420"/>
      <c r="Z163" s="421" t="str">
        <f>IF(ISBLANK(TInspectieW[[#This Row],[Aantal]]),"",ROUND(TInspectieW[[#This Row],[Kengetal]]*TInspectieW[[#This Row],[Aantal]],-1))</f>
        <v/>
      </c>
      <c r="AA163" s="422" t="str">
        <f>IF(TInspectieW[[#This Row],[Vak-groep]]="","1",VLOOKUP(C163,$J$2:$K$7,2,FALSE))</f>
        <v>1</v>
      </c>
      <c r="AB163" s="423" t="str">
        <f>CONCATENATE(TInspectieW[[#This Row],[Soort gebrek]],TInspectieW[[#This Row],[Trede]])</f>
        <v>1</v>
      </c>
      <c r="AC163" s="413" t="e">
        <v>#N/A</v>
      </c>
      <c r="AD163" s="413" t="e">
        <v>#N/A</v>
      </c>
      <c r="AE163" s="424">
        <v>0</v>
      </c>
    </row>
    <row r="164" spans="1:31" ht="10.5" x14ac:dyDescent="0.25">
      <c r="A164" s="337"/>
      <c r="B164" s="410" t="str">
        <f>IF(TInspectieW[[#This Row],[UVID]]="","",VLOOKUP(TInspectieW[[#This Row],[UVID]],TInventW[],2,FALSE))</f>
        <v/>
      </c>
      <c r="C164" s="365" t="str">
        <f>IF(TInspectieW[[#This Row],[UVID]]="","",VLOOKUP(TInspectieW[[#This Row],[UVID]],TInventW[],11,FALSE))</f>
        <v/>
      </c>
      <c r="D164" s="411" t="str">
        <f>IF(TInspectieW[[#This Row],[UVID]]="","",VLOOKUP(TInspectieW[[#This Row],[UVID]],TInventW[],3,FALSE))</f>
        <v/>
      </c>
      <c r="E164" s="338"/>
      <c r="F164" s="412"/>
      <c r="G164" s="413" t="str">
        <f>IF(ISBLANK(TInspectieW[[#This Row],[Soort gebrek]]),"",VLOOKUP(TInspectieW[[#This Row],[Soort gebrek]],TSoortGebrek[#Data],3,FALSE))</f>
        <v/>
      </c>
      <c r="H164" s="413" t="str">
        <f>IF(ISBLANK(TInspectieW[[#This Row],[Soort gebrek]]),"",VLOOKUP(TInspectieW[[#This Row],[Soort gebrek]],TSoortGebrek[#Data],2,FALSE))</f>
        <v/>
      </c>
      <c r="I164" s="413" t="str">
        <f>IF(TInspectieW[[#This Row],[Soort gebrek]]=0,"",VLOOKUP(TInspectieW[[#This Row],[Soort gebrek]],TSoortGebrek[],4,FALSE))</f>
        <v/>
      </c>
      <c r="J164" s="425"/>
      <c r="K164" s="415" t="str">
        <f>IF(TInspectieW[[#This Row],[Soort gebrek]]=0,"",VLOOKUP(TInspectieW[[#This Row],[Combi]],TPrio[#Data],2,FALSE))</f>
        <v/>
      </c>
      <c r="L164" s="339"/>
      <c r="M164" s="416" t="str">
        <f>IF(ISBLANK(TInspectieW[[#This Row],[Gebrek nr.]]),"",TInspectieW[[#This Row],[UVID]]&amp;"-"&amp;TInspectieW[[#This Row],[Gebrek nr.]])</f>
        <v/>
      </c>
      <c r="N164" s="417"/>
      <c r="O164" s="418"/>
      <c r="P164" s="206"/>
      <c r="Q164" s="193"/>
      <c r="R164" s="206"/>
      <c r="S164" s="206"/>
      <c r="T164" s="206"/>
      <c r="U164" s="206"/>
      <c r="V164" s="206"/>
      <c r="W164" s="419"/>
      <c r="X164" s="340">
        <f>[1]Inventarisatie!U165</f>
        <v>0</v>
      </c>
      <c r="Y164" s="420"/>
      <c r="Z164" s="421" t="str">
        <f>IF(ISBLANK(TInspectieW[[#This Row],[Aantal]]),"",ROUND(TInspectieW[[#This Row],[Kengetal]]*TInspectieW[[#This Row],[Aantal]],-1))</f>
        <v/>
      </c>
      <c r="AA164" s="422" t="str">
        <f>IF(TInspectieW[[#This Row],[Vak-groep]]="","1",VLOOKUP(C164,$J$2:$K$7,2,FALSE))</f>
        <v>1</v>
      </c>
      <c r="AB164" s="423" t="str">
        <f>CONCATENATE(TInspectieW[[#This Row],[Soort gebrek]],TInspectieW[[#This Row],[Trede]])</f>
        <v>1</v>
      </c>
      <c r="AC164" s="413" t="e">
        <v>#N/A</v>
      </c>
      <c r="AD164" s="413" t="e">
        <v>#N/A</v>
      </c>
      <c r="AE164" s="424">
        <v>0</v>
      </c>
    </row>
    <row r="165" spans="1:31" ht="10.5" x14ac:dyDescent="0.25">
      <c r="A165" s="337"/>
      <c r="B165" s="410" t="str">
        <f>IF(TInspectieW[[#This Row],[UVID]]="","",VLOOKUP(TInspectieW[[#This Row],[UVID]],TInventW[],2,FALSE))</f>
        <v/>
      </c>
      <c r="C165" s="365" t="str">
        <f>IF(TInspectieW[[#This Row],[UVID]]="","",VLOOKUP(TInspectieW[[#This Row],[UVID]],TInventW[],11,FALSE))</f>
        <v/>
      </c>
      <c r="D165" s="411" t="str">
        <f>IF(TInspectieW[[#This Row],[UVID]]="","",VLOOKUP(TInspectieW[[#This Row],[UVID]],TInventW[],3,FALSE))</f>
        <v/>
      </c>
      <c r="E165" s="338"/>
      <c r="F165" s="412"/>
      <c r="G165" s="413" t="str">
        <f>IF(ISBLANK(TInspectieW[[#This Row],[Soort gebrek]]),"",VLOOKUP(TInspectieW[[#This Row],[Soort gebrek]],TSoortGebrek[#Data],3,FALSE))</f>
        <v/>
      </c>
      <c r="H165" s="413" t="str">
        <f>IF(ISBLANK(TInspectieW[[#This Row],[Soort gebrek]]),"",VLOOKUP(TInspectieW[[#This Row],[Soort gebrek]],TSoortGebrek[#Data],2,FALSE))</f>
        <v/>
      </c>
      <c r="I165" s="413" t="str">
        <f>IF(TInspectieW[[#This Row],[Soort gebrek]]=0,"",VLOOKUP(TInspectieW[[#This Row],[Soort gebrek]],TSoortGebrek[],4,FALSE))</f>
        <v/>
      </c>
      <c r="J165" s="425"/>
      <c r="K165" s="415" t="str">
        <f>IF(TInspectieW[[#This Row],[Soort gebrek]]=0,"",VLOOKUP(TInspectieW[[#This Row],[Combi]],TPrio[#Data],2,FALSE))</f>
        <v/>
      </c>
      <c r="L165" s="339"/>
      <c r="M165" s="416" t="str">
        <f>IF(ISBLANK(TInspectieW[[#This Row],[Gebrek nr.]]),"",TInspectieW[[#This Row],[UVID]]&amp;"-"&amp;TInspectieW[[#This Row],[Gebrek nr.]])</f>
        <v/>
      </c>
      <c r="N165" s="417"/>
      <c r="O165" s="418"/>
      <c r="P165" s="206"/>
      <c r="Q165" s="193"/>
      <c r="R165" s="206"/>
      <c r="S165" s="206"/>
      <c r="T165" s="206"/>
      <c r="U165" s="206"/>
      <c r="V165" s="206"/>
      <c r="W165" s="419"/>
      <c r="X165" s="340">
        <f>[1]Inventarisatie!U166</f>
        <v>0</v>
      </c>
      <c r="Y165" s="420"/>
      <c r="Z165" s="421" t="str">
        <f>IF(ISBLANK(TInspectieW[[#This Row],[Aantal]]),"",ROUND(TInspectieW[[#This Row],[Kengetal]]*TInspectieW[[#This Row],[Aantal]],-1))</f>
        <v/>
      </c>
      <c r="AA165" s="422" t="str">
        <f>IF(TInspectieW[[#This Row],[Vak-groep]]="","1",VLOOKUP(C165,$J$2:$K$7,2,FALSE))</f>
        <v>1</v>
      </c>
      <c r="AB165" s="423" t="str">
        <f>CONCATENATE(TInspectieW[[#This Row],[Soort gebrek]],TInspectieW[[#This Row],[Trede]])</f>
        <v>1</v>
      </c>
      <c r="AC165" s="413" t="e">
        <v>#N/A</v>
      </c>
      <c r="AD165" s="413" t="e">
        <v>#N/A</v>
      </c>
      <c r="AE165" s="424">
        <v>0</v>
      </c>
    </row>
    <row r="166" spans="1:31" ht="10.5" x14ac:dyDescent="0.25">
      <c r="A166" s="337"/>
      <c r="B166" s="410" t="str">
        <f>IF(TInspectieW[[#This Row],[UVID]]="","",VLOOKUP(TInspectieW[[#This Row],[UVID]],TInventW[],2,FALSE))</f>
        <v/>
      </c>
      <c r="C166" s="365" t="str">
        <f>IF(TInspectieW[[#This Row],[UVID]]="","",VLOOKUP(TInspectieW[[#This Row],[UVID]],TInventW[],11,FALSE))</f>
        <v/>
      </c>
      <c r="D166" s="411" t="str">
        <f>IF(TInspectieW[[#This Row],[UVID]]="","",VLOOKUP(TInspectieW[[#This Row],[UVID]],TInventW[],3,FALSE))</f>
        <v/>
      </c>
      <c r="E166" s="338"/>
      <c r="F166" s="412"/>
      <c r="G166" s="413" t="str">
        <f>IF(ISBLANK(TInspectieW[[#This Row],[Soort gebrek]]),"",VLOOKUP(TInspectieW[[#This Row],[Soort gebrek]],TSoortGebrek[#Data],3,FALSE))</f>
        <v/>
      </c>
      <c r="H166" s="413" t="str">
        <f>IF(ISBLANK(TInspectieW[[#This Row],[Soort gebrek]]),"",VLOOKUP(TInspectieW[[#This Row],[Soort gebrek]],TSoortGebrek[#Data],2,FALSE))</f>
        <v/>
      </c>
      <c r="I166" s="413" t="str">
        <f>IF(TInspectieW[[#This Row],[Soort gebrek]]=0,"",VLOOKUP(TInspectieW[[#This Row],[Soort gebrek]],TSoortGebrek[],4,FALSE))</f>
        <v/>
      </c>
      <c r="J166" s="425"/>
      <c r="K166" s="415" t="str">
        <f>IF(TInspectieW[[#This Row],[Soort gebrek]]=0,"",VLOOKUP(TInspectieW[[#This Row],[Combi]],TPrio[#Data],2,FALSE))</f>
        <v/>
      </c>
      <c r="L166" s="339"/>
      <c r="M166" s="416" t="str">
        <f>IF(ISBLANK(TInspectieW[[#This Row],[Gebrek nr.]]),"",TInspectieW[[#This Row],[UVID]]&amp;"-"&amp;TInspectieW[[#This Row],[Gebrek nr.]])</f>
        <v/>
      </c>
      <c r="N166" s="417"/>
      <c r="O166" s="418"/>
      <c r="P166" s="206"/>
      <c r="Q166" s="193"/>
      <c r="R166" s="206"/>
      <c r="S166" s="206"/>
      <c r="T166" s="206"/>
      <c r="U166" s="206"/>
      <c r="V166" s="206"/>
      <c r="W166" s="419"/>
      <c r="X166" s="340">
        <f>[1]Inventarisatie!U167</f>
        <v>0</v>
      </c>
      <c r="Y166" s="420"/>
      <c r="Z166" s="421" t="str">
        <f>IF(ISBLANK(TInspectieW[[#This Row],[Aantal]]),"",ROUND(TInspectieW[[#This Row],[Kengetal]]*TInspectieW[[#This Row],[Aantal]],-1))</f>
        <v/>
      </c>
      <c r="AA166" s="422" t="str">
        <f>IF(TInspectieW[[#This Row],[Vak-groep]]="","1",VLOOKUP(C166,$J$2:$K$7,2,FALSE))</f>
        <v>1</v>
      </c>
      <c r="AB166" s="423" t="str">
        <f>CONCATENATE(TInspectieW[[#This Row],[Soort gebrek]],TInspectieW[[#This Row],[Trede]])</f>
        <v>1</v>
      </c>
      <c r="AC166" s="413" t="e">
        <v>#N/A</v>
      </c>
      <c r="AD166" s="413" t="e">
        <v>#N/A</v>
      </c>
      <c r="AE166" s="424">
        <v>0</v>
      </c>
    </row>
    <row r="167" spans="1:31" ht="10.5" x14ac:dyDescent="0.25">
      <c r="A167" s="337"/>
      <c r="B167" s="410" t="str">
        <f>IF(TInspectieW[[#This Row],[UVID]]="","",VLOOKUP(TInspectieW[[#This Row],[UVID]],TInventW[],2,FALSE))</f>
        <v/>
      </c>
      <c r="C167" s="365" t="str">
        <f>IF(TInspectieW[[#This Row],[UVID]]="","",VLOOKUP(TInspectieW[[#This Row],[UVID]],TInventW[],11,FALSE))</f>
        <v/>
      </c>
      <c r="D167" s="411" t="str">
        <f>IF(TInspectieW[[#This Row],[UVID]]="","",VLOOKUP(TInspectieW[[#This Row],[UVID]],TInventW[],3,FALSE))</f>
        <v/>
      </c>
      <c r="E167" s="338"/>
      <c r="F167" s="412"/>
      <c r="G167" s="413" t="str">
        <f>IF(ISBLANK(TInspectieW[[#This Row],[Soort gebrek]]),"",VLOOKUP(TInspectieW[[#This Row],[Soort gebrek]],TSoortGebrek[#Data],3,FALSE))</f>
        <v/>
      </c>
      <c r="H167" s="413" t="str">
        <f>IF(ISBLANK(TInspectieW[[#This Row],[Soort gebrek]]),"",VLOOKUP(TInspectieW[[#This Row],[Soort gebrek]],TSoortGebrek[#Data],2,FALSE))</f>
        <v/>
      </c>
      <c r="I167" s="413" t="str">
        <f>IF(TInspectieW[[#This Row],[Soort gebrek]]=0,"",VLOOKUP(TInspectieW[[#This Row],[Soort gebrek]],TSoortGebrek[],4,FALSE))</f>
        <v/>
      </c>
      <c r="J167" s="425"/>
      <c r="K167" s="415" t="str">
        <f>IF(TInspectieW[[#This Row],[Soort gebrek]]=0,"",VLOOKUP(TInspectieW[[#This Row],[Combi]],TPrio[#Data],2,FALSE))</f>
        <v/>
      </c>
      <c r="L167" s="339"/>
      <c r="M167" s="416" t="str">
        <f>IF(ISBLANK(TInspectieW[[#This Row],[Gebrek nr.]]),"",TInspectieW[[#This Row],[UVID]]&amp;"-"&amp;TInspectieW[[#This Row],[Gebrek nr.]])</f>
        <v/>
      </c>
      <c r="N167" s="417"/>
      <c r="O167" s="418"/>
      <c r="P167" s="206"/>
      <c r="Q167" s="193"/>
      <c r="R167" s="206"/>
      <c r="S167" s="206"/>
      <c r="T167" s="206"/>
      <c r="U167" s="206"/>
      <c r="V167" s="206"/>
      <c r="W167" s="419"/>
      <c r="X167" s="340">
        <f>[1]Inventarisatie!U168</f>
        <v>0</v>
      </c>
      <c r="Y167" s="420"/>
      <c r="Z167" s="421" t="str">
        <f>IF(ISBLANK(TInspectieW[[#This Row],[Aantal]]),"",ROUND(TInspectieW[[#This Row],[Kengetal]]*TInspectieW[[#This Row],[Aantal]],-1))</f>
        <v/>
      </c>
      <c r="AA167" s="422" t="str">
        <f>IF(TInspectieW[[#This Row],[Vak-groep]]="","1",VLOOKUP(C167,$J$2:$K$7,2,FALSE))</f>
        <v>1</v>
      </c>
      <c r="AB167" s="423" t="str">
        <f>CONCATENATE(TInspectieW[[#This Row],[Soort gebrek]],TInspectieW[[#This Row],[Trede]])</f>
        <v>1</v>
      </c>
      <c r="AC167" s="413" t="e">
        <v>#N/A</v>
      </c>
      <c r="AD167" s="413" t="e">
        <v>#N/A</v>
      </c>
      <c r="AE167" s="424">
        <v>0</v>
      </c>
    </row>
    <row r="168" spans="1:31" ht="10.5" x14ac:dyDescent="0.25">
      <c r="A168" s="337"/>
      <c r="B168" s="410" t="str">
        <f>IF(TInspectieW[[#This Row],[UVID]]="","",VLOOKUP(TInspectieW[[#This Row],[UVID]],TInventW[],2,FALSE))</f>
        <v/>
      </c>
      <c r="C168" s="365" t="str">
        <f>IF(TInspectieW[[#This Row],[UVID]]="","",VLOOKUP(TInspectieW[[#This Row],[UVID]],TInventW[],11,FALSE))</f>
        <v/>
      </c>
      <c r="D168" s="411" t="str">
        <f>IF(TInspectieW[[#This Row],[UVID]]="","",VLOOKUP(TInspectieW[[#This Row],[UVID]],TInventW[],3,FALSE))</f>
        <v/>
      </c>
      <c r="E168" s="338"/>
      <c r="F168" s="412"/>
      <c r="G168" s="413" t="str">
        <f>IF(ISBLANK(TInspectieW[[#This Row],[Soort gebrek]]),"",VLOOKUP(TInspectieW[[#This Row],[Soort gebrek]],TSoortGebrek[#Data],3,FALSE))</f>
        <v/>
      </c>
      <c r="H168" s="413" t="str">
        <f>IF(ISBLANK(TInspectieW[[#This Row],[Soort gebrek]]),"",VLOOKUP(TInspectieW[[#This Row],[Soort gebrek]],TSoortGebrek[#Data],2,FALSE))</f>
        <v/>
      </c>
      <c r="I168" s="413" t="str">
        <f>IF(TInspectieW[[#This Row],[Soort gebrek]]=0,"",VLOOKUP(TInspectieW[[#This Row],[Soort gebrek]],TSoortGebrek[],4,FALSE))</f>
        <v/>
      </c>
      <c r="J168" s="425"/>
      <c r="K168" s="415" t="str">
        <f>IF(TInspectieW[[#This Row],[Soort gebrek]]=0,"",VLOOKUP(TInspectieW[[#This Row],[Combi]],TPrio[#Data],2,FALSE))</f>
        <v/>
      </c>
      <c r="L168" s="339"/>
      <c r="M168" s="416" t="str">
        <f>IF(ISBLANK(TInspectieW[[#This Row],[Gebrek nr.]]),"",TInspectieW[[#This Row],[UVID]]&amp;"-"&amp;TInspectieW[[#This Row],[Gebrek nr.]])</f>
        <v/>
      </c>
      <c r="N168" s="417"/>
      <c r="O168" s="418"/>
      <c r="P168" s="206"/>
      <c r="Q168" s="193"/>
      <c r="R168" s="206"/>
      <c r="S168" s="206"/>
      <c r="T168" s="206"/>
      <c r="U168" s="206"/>
      <c r="V168" s="206"/>
      <c r="W168" s="419"/>
      <c r="X168" s="340">
        <f>[1]Inventarisatie!U169</f>
        <v>0</v>
      </c>
      <c r="Y168" s="420"/>
      <c r="Z168" s="421" t="str">
        <f>IF(ISBLANK(TInspectieW[[#This Row],[Aantal]]),"",ROUND(TInspectieW[[#This Row],[Kengetal]]*TInspectieW[[#This Row],[Aantal]],-1))</f>
        <v/>
      </c>
      <c r="AA168" s="422" t="str">
        <f>IF(TInspectieW[[#This Row],[Vak-groep]]="","1",VLOOKUP(C168,$J$2:$K$7,2,FALSE))</f>
        <v>1</v>
      </c>
      <c r="AB168" s="423" t="str">
        <f>CONCATENATE(TInspectieW[[#This Row],[Soort gebrek]],TInspectieW[[#This Row],[Trede]])</f>
        <v>1</v>
      </c>
      <c r="AC168" s="413" t="e">
        <v>#N/A</v>
      </c>
      <c r="AD168" s="413" t="e">
        <v>#N/A</v>
      </c>
      <c r="AE168" s="424">
        <v>0</v>
      </c>
    </row>
    <row r="169" spans="1:31" ht="10.5" x14ac:dyDescent="0.25">
      <c r="A169" s="337"/>
      <c r="B169" s="410" t="str">
        <f>IF(TInspectieW[[#This Row],[UVID]]="","",VLOOKUP(TInspectieW[[#This Row],[UVID]],TInventW[],2,FALSE))</f>
        <v/>
      </c>
      <c r="C169" s="365" t="str">
        <f>IF(TInspectieW[[#This Row],[UVID]]="","",VLOOKUP(TInspectieW[[#This Row],[UVID]],TInventW[],11,FALSE))</f>
        <v/>
      </c>
      <c r="D169" s="411" t="str">
        <f>IF(TInspectieW[[#This Row],[UVID]]="","",VLOOKUP(TInspectieW[[#This Row],[UVID]],TInventW[],3,FALSE))</f>
        <v/>
      </c>
      <c r="E169" s="338"/>
      <c r="F169" s="412"/>
      <c r="G169" s="413" t="str">
        <f>IF(ISBLANK(TInspectieW[[#This Row],[Soort gebrek]]),"",VLOOKUP(TInspectieW[[#This Row],[Soort gebrek]],TSoortGebrek[#Data],3,FALSE))</f>
        <v/>
      </c>
      <c r="H169" s="413" t="str">
        <f>IF(ISBLANK(TInspectieW[[#This Row],[Soort gebrek]]),"",VLOOKUP(TInspectieW[[#This Row],[Soort gebrek]],TSoortGebrek[#Data],2,FALSE))</f>
        <v/>
      </c>
      <c r="I169" s="413" t="str">
        <f>IF(TInspectieW[[#This Row],[Soort gebrek]]=0,"",VLOOKUP(TInspectieW[[#This Row],[Soort gebrek]],TSoortGebrek[],4,FALSE))</f>
        <v/>
      </c>
      <c r="J169" s="425"/>
      <c r="K169" s="415" t="str">
        <f>IF(TInspectieW[[#This Row],[Soort gebrek]]=0,"",VLOOKUP(TInspectieW[[#This Row],[Combi]],TPrio[#Data],2,FALSE))</f>
        <v/>
      </c>
      <c r="L169" s="339"/>
      <c r="M169" s="416" t="str">
        <f>IF(ISBLANK(TInspectieW[[#This Row],[Gebrek nr.]]),"",TInspectieW[[#This Row],[UVID]]&amp;"-"&amp;TInspectieW[[#This Row],[Gebrek nr.]])</f>
        <v/>
      </c>
      <c r="N169" s="417"/>
      <c r="O169" s="418"/>
      <c r="P169" s="206"/>
      <c r="Q169" s="193"/>
      <c r="R169" s="206"/>
      <c r="S169" s="206"/>
      <c r="T169" s="206"/>
      <c r="U169" s="206"/>
      <c r="V169" s="206"/>
      <c r="W169" s="419"/>
      <c r="X169" s="340">
        <f>[1]Inventarisatie!U170</f>
        <v>0</v>
      </c>
      <c r="Y169" s="420"/>
      <c r="Z169" s="421" t="str">
        <f>IF(ISBLANK(TInspectieW[[#This Row],[Aantal]]),"",ROUND(TInspectieW[[#This Row],[Kengetal]]*TInspectieW[[#This Row],[Aantal]],-1))</f>
        <v/>
      </c>
      <c r="AA169" s="422" t="str">
        <f>IF(TInspectieW[[#This Row],[Vak-groep]]="","1",VLOOKUP(C169,$J$2:$K$7,2,FALSE))</f>
        <v>1</v>
      </c>
      <c r="AB169" s="423" t="str">
        <f>CONCATENATE(TInspectieW[[#This Row],[Soort gebrek]],TInspectieW[[#This Row],[Trede]])</f>
        <v>1</v>
      </c>
      <c r="AC169" s="413" t="e">
        <v>#N/A</v>
      </c>
      <c r="AD169" s="413" t="e">
        <v>#N/A</v>
      </c>
      <c r="AE169" s="424">
        <v>0</v>
      </c>
    </row>
    <row r="170" spans="1:31" ht="10.5" x14ac:dyDescent="0.25">
      <c r="A170" s="337"/>
      <c r="B170" s="410" t="str">
        <f>IF(TInspectieW[[#This Row],[UVID]]="","",VLOOKUP(TInspectieW[[#This Row],[UVID]],TInventW[],2,FALSE))</f>
        <v/>
      </c>
      <c r="C170" s="365" t="str">
        <f>IF(TInspectieW[[#This Row],[UVID]]="","",VLOOKUP(TInspectieW[[#This Row],[UVID]],TInventW[],11,FALSE))</f>
        <v/>
      </c>
      <c r="D170" s="411" t="str">
        <f>IF(TInspectieW[[#This Row],[UVID]]="","",VLOOKUP(TInspectieW[[#This Row],[UVID]],TInventW[],3,FALSE))</f>
        <v/>
      </c>
      <c r="E170" s="338"/>
      <c r="F170" s="412"/>
      <c r="G170" s="413" t="str">
        <f>IF(ISBLANK(TInspectieW[[#This Row],[Soort gebrek]]),"",VLOOKUP(TInspectieW[[#This Row],[Soort gebrek]],TSoortGebrek[#Data],3,FALSE))</f>
        <v/>
      </c>
      <c r="H170" s="413" t="str">
        <f>IF(ISBLANK(TInspectieW[[#This Row],[Soort gebrek]]),"",VLOOKUP(TInspectieW[[#This Row],[Soort gebrek]],TSoortGebrek[#Data],2,FALSE))</f>
        <v/>
      </c>
      <c r="I170" s="413" t="str">
        <f>IF(TInspectieW[[#This Row],[Soort gebrek]]=0,"",VLOOKUP(TInspectieW[[#This Row],[Soort gebrek]],TSoortGebrek[],4,FALSE))</f>
        <v/>
      </c>
      <c r="J170" s="425"/>
      <c r="K170" s="415" t="str">
        <f>IF(TInspectieW[[#This Row],[Soort gebrek]]=0,"",VLOOKUP(TInspectieW[[#This Row],[Combi]],TPrio[#Data],2,FALSE))</f>
        <v/>
      </c>
      <c r="L170" s="339"/>
      <c r="M170" s="416" t="str">
        <f>IF(ISBLANK(TInspectieW[[#This Row],[Gebrek nr.]]),"",TInspectieW[[#This Row],[UVID]]&amp;"-"&amp;TInspectieW[[#This Row],[Gebrek nr.]])</f>
        <v/>
      </c>
      <c r="N170" s="417"/>
      <c r="O170" s="418"/>
      <c r="P170" s="206"/>
      <c r="Q170" s="193"/>
      <c r="R170" s="206"/>
      <c r="S170" s="206"/>
      <c r="T170" s="206"/>
      <c r="U170" s="206"/>
      <c r="V170" s="206"/>
      <c r="W170" s="419"/>
      <c r="X170" s="340">
        <f>[1]Inventarisatie!U171</f>
        <v>0</v>
      </c>
      <c r="Y170" s="420"/>
      <c r="Z170" s="421" t="str">
        <f>IF(ISBLANK(TInspectieW[[#This Row],[Aantal]]),"",ROUND(TInspectieW[[#This Row],[Kengetal]]*TInspectieW[[#This Row],[Aantal]],-1))</f>
        <v/>
      </c>
      <c r="AA170" s="422" t="str">
        <f>IF(TInspectieW[[#This Row],[Vak-groep]]="","1",VLOOKUP(C170,$J$2:$K$7,2,FALSE))</f>
        <v>1</v>
      </c>
      <c r="AB170" s="423" t="str">
        <f>CONCATENATE(TInspectieW[[#This Row],[Soort gebrek]],TInspectieW[[#This Row],[Trede]])</f>
        <v>1</v>
      </c>
      <c r="AC170" s="413" t="e">
        <v>#N/A</v>
      </c>
      <c r="AD170" s="413" t="e">
        <v>#N/A</v>
      </c>
      <c r="AE170" s="424">
        <v>0</v>
      </c>
    </row>
    <row r="171" spans="1:31" ht="10.5" x14ac:dyDescent="0.25">
      <c r="A171" s="337"/>
      <c r="B171" s="410" t="str">
        <f>IF(TInspectieW[[#This Row],[UVID]]="","",VLOOKUP(TInspectieW[[#This Row],[UVID]],TInventW[],2,FALSE))</f>
        <v/>
      </c>
      <c r="C171" s="365" t="str">
        <f>IF(TInspectieW[[#This Row],[UVID]]="","",VLOOKUP(TInspectieW[[#This Row],[UVID]],TInventW[],11,FALSE))</f>
        <v/>
      </c>
      <c r="D171" s="411" t="str">
        <f>IF(TInspectieW[[#This Row],[UVID]]="","",VLOOKUP(TInspectieW[[#This Row],[UVID]],TInventW[],3,FALSE))</f>
        <v/>
      </c>
      <c r="E171" s="338"/>
      <c r="F171" s="412"/>
      <c r="G171" s="413" t="str">
        <f>IF(ISBLANK(TInspectieW[[#This Row],[Soort gebrek]]),"",VLOOKUP(TInspectieW[[#This Row],[Soort gebrek]],TSoortGebrek[#Data],3,FALSE))</f>
        <v/>
      </c>
      <c r="H171" s="413" t="str">
        <f>IF(ISBLANK(TInspectieW[[#This Row],[Soort gebrek]]),"",VLOOKUP(TInspectieW[[#This Row],[Soort gebrek]],TSoortGebrek[#Data],2,FALSE))</f>
        <v/>
      </c>
      <c r="I171" s="413" t="str">
        <f>IF(TInspectieW[[#This Row],[Soort gebrek]]=0,"",VLOOKUP(TInspectieW[[#This Row],[Soort gebrek]],TSoortGebrek[],4,FALSE))</f>
        <v/>
      </c>
      <c r="J171" s="425"/>
      <c r="K171" s="415" t="str">
        <f>IF(TInspectieW[[#This Row],[Soort gebrek]]=0,"",VLOOKUP(TInspectieW[[#This Row],[Combi]],TPrio[#Data],2,FALSE))</f>
        <v/>
      </c>
      <c r="L171" s="339"/>
      <c r="M171" s="416" t="str">
        <f>IF(ISBLANK(TInspectieW[[#This Row],[Gebrek nr.]]),"",TInspectieW[[#This Row],[UVID]]&amp;"-"&amp;TInspectieW[[#This Row],[Gebrek nr.]])</f>
        <v/>
      </c>
      <c r="N171" s="417"/>
      <c r="O171" s="418"/>
      <c r="P171" s="206"/>
      <c r="Q171" s="193"/>
      <c r="R171" s="206"/>
      <c r="S171" s="206"/>
      <c r="T171" s="206"/>
      <c r="U171" s="206"/>
      <c r="V171" s="206"/>
      <c r="W171" s="419"/>
      <c r="X171" s="340">
        <f>[1]Inventarisatie!U172</f>
        <v>0</v>
      </c>
      <c r="Y171" s="420"/>
      <c r="Z171" s="421" t="str">
        <f>IF(ISBLANK(TInspectieW[[#This Row],[Aantal]]),"",ROUND(TInspectieW[[#This Row],[Kengetal]]*TInspectieW[[#This Row],[Aantal]],-1))</f>
        <v/>
      </c>
      <c r="AA171" s="422" t="str">
        <f>IF(TInspectieW[[#This Row],[Vak-groep]]="","1",VLOOKUP(C171,$J$2:$K$7,2,FALSE))</f>
        <v>1</v>
      </c>
      <c r="AB171" s="423" t="str">
        <f>CONCATENATE(TInspectieW[[#This Row],[Soort gebrek]],TInspectieW[[#This Row],[Trede]])</f>
        <v>1</v>
      </c>
      <c r="AC171" s="413" t="e">
        <v>#N/A</v>
      </c>
      <c r="AD171" s="413" t="e">
        <v>#N/A</v>
      </c>
      <c r="AE171" s="424">
        <v>0</v>
      </c>
    </row>
    <row r="172" spans="1:31" ht="10.5" x14ac:dyDescent="0.25">
      <c r="A172" s="337"/>
      <c r="B172" s="410" t="str">
        <f>IF(TInspectieW[[#This Row],[UVID]]="","",VLOOKUP(TInspectieW[[#This Row],[UVID]],TInventW[],2,FALSE))</f>
        <v/>
      </c>
      <c r="C172" s="365" t="str">
        <f>IF(TInspectieW[[#This Row],[UVID]]="","",VLOOKUP(TInspectieW[[#This Row],[UVID]],TInventW[],11,FALSE))</f>
        <v/>
      </c>
      <c r="D172" s="411" t="str">
        <f>IF(TInspectieW[[#This Row],[UVID]]="","",VLOOKUP(TInspectieW[[#This Row],[UVID]],TInventW[],3,FALSE))</f>
        <v/>
      </c>
      <c r="E172" s="338"/>
      <c r="F172" s="412"/>
      <c r="G172" s="413" t="str">
        <f>IF(ISBLANK(TInspectieW[[#This Row],[Soort gebrek]]),"",VLOOKUP(TInspectieW[[#This Row],[Soort gebrek]],TSoortGebrek[#Data],3,FALSE))</f>
        <v/>
      </c>
      <c r="H172" s="413" t="str">
        <f>IF(ISBLANK(TInspectieW[[#This Row],[Soort gebrek]]),"",VLOOKUP(TInspectieW[[#This Row],[Soort gebrek]],TSoortGebrek[#Data],2,FALSE))</f>
        <v/>
      </c>
      <c r="I172" s="413" t="str">
        <f>IF(TInspectieW[[#This Row],[Soort gebrek]]=0,"",VLOOKUP(TInspectieW[[#This Row],[Soort gebrek]],TSoortGebrek[],4,FALSE))</f>
        <v/>
      </c>
      <c r="J172" s="425"/>
      <c r="K172" s="415" t="str">
        <f>IF(TInspectieW[[#This Row],[Soort gebrek]]=0,"",VLOOKUP(TInspectieW[[#This Row],[Combi]],TPrio[#Data],2,FALSE))</f>
        <v/>
      </c>
      <c r="L172" s="339"/>
      <c r="M172" s="416" t="str">
        <f>IF(ISBLANK(TInspectieW[[#This Row],[Gebrek nr.]]),"",TInspectieW[[#This Row],[UVID]]&amp;"-"&amp;TInspectieW[[#This Row],[Gebrek nr.]])</f>
        <v/>
      </c>
      <c r="N172" s="417"/>
      <c r="O172" s="418"/>
      <c r="P172" s="206"/>
      <c r="Q172" s="193"/>
      <c r="R172" s="206"/>
      <c r="S172" s="206"/>
      <c r="T172" s="206"/>
      <c r="U172" s="206"/>
      <c r="V172" s="206"/>
      <c r="W172" s="419"/>
      <c r="X172" s="340">
        <f>[1]Inventarisatie!U173</f>
        <v>0</v>
      </c>
      <c r="Y172" s="420"/>
      <c r="Z172" s="421" t="str">
        <f>IF(ISBLANK(TInspectieW[[#This Row],[Aantal]]),"",ROUND(TInspectieW[[#This Row],[Kengetal]]*TInspectieW[[#This Row],[Aantal]],-1))</f>
        <v/>
      </c>
      <c r="AA172" s="422" t="str">
        <f>IF(TInspectieW[[#This Row],[Vak-groep]]="","1",VLOOKUP(C172,$J$2:$K$7,2,FALSE))</f>
        <v>1</v>
      </c>
      <c r="AB172" s="423" t="str">
        <f>CONCATENATE(TInspectieW[[#This Row],[Soort gebrek]],TInspectieW[[#This Row],[Trede]])</f>
        <v>1</v>
      </c>
      <c r="AC172" s="413" t="e">
        <v>#N/A</v>
      </c>
      <c r="AD172" s="413" t="e">
        <v>#N/A</v>
      </c>
      <c r="AE172" s="424">
        <v>0</v>
      </c>
    </row>
    <row r="173" spans="1:31" ht="10.5" x14ac:dyDescent="0.25">
      <c r="A173" s="337"/>
      <c r="B173" s="410" t="str">
        <f>IF(TInspectieW[[#This Row],[UVID]]="","",VLOOKUP(TInspectieW[[#This Row],[UVID]],TInventW[],2,FALSE))</f>
        <v/>
      </c>
      <c r="C173" s="365" t="str">
        <f>IF(TInspectieW[[#This Row],[UVID]]="","",VLOOKUP(TInspectieW[[#This Row],[UVID]],TInventW[],11,FALSE))</f>
        <v/>
      </c>
      <c r="D173" s="411" t="str">
        <f>IF(TInspectieW[[#This Row],[UVID]]="","",VLOOKUP(TInspectieW[[#This Row],[UVID]],TInventW[],3,FALSE))</f>
        <v/>
      </c>
      <c r="E173" s="338"/>
      <c r="F173" s="412"/>
      <c r="G173" s="413" t="str">
        <f>IF(ISBLANK(TInspectieW[[#This Row],[Soort gebrek]]),"",VLOOKUP(TInspectieW[[#This Row],[Soort gebrek]],TSoortGebrek[#Data],3,FALSE))</f>
        <v/>
      </c>
      <c r="H173" s="413" t="str">
        <f>IF(ISBLANK(TInspectieW[[#This Row],[Soort gebrek]]),"",VLOOKUP(TInspectieW[[#This Row],[Soort gebrek]],TSoortGebrek[#Data],2,FALSE))</f>
        <v/>
      </c>
      <c r="I173" s="413" t="str">
        <f>IF(TInspectieW[[#This Row],[Soort gebrek]]=0,"",VLOOKUP(TInspectieW[[#This Row],[Soort gebrek]],TSoortGebrek[],4,FALSE))</f>
        <v/>
      </c>
      <c r="J173" s="425"/>
      <c r="K173" s="415" t="str">
        <f>IF(TInspectieW[[#This Row],[Soort gebrek]]=0,"",VLOOKUP(TInspectieW[[#This Row],[Combi]],TPrio[#Data],2,FALSE))</f>
        <v/>
      </c>
      <c r="L173" s="339"/>
      <c r="M173" s="416" t="str">
        <f>IF(ISBLANK(TInspectieW[[#This Row],[Gebrek nr.]]),"",TInspectieW[[#This Row],[UVID]]&amp;"-"&amp;TInspectieW[[#This Row],[Gebrek nr.]])</f>
        <v/>
      </c>
      <c r="N173" s="417"/>
      <c r="O173" s="418"/>
      <c r="P173" s="206"/>
      <c r="Q173" s="193"/>
      <c r="R173" s="206"/>
      <c r="S173" s="206"/>
      <c r="T173" s="206"/>
      <c r="U173" s="206"/>
      <c r="V173" s="206"/>
      <c r="W173" s="419"/>
      <c r="X173" s="340">
        <f>[1]Inventarisatie!U174</f>
        <v>0</v>
      </c>
      <c r="Y173" s="420"/>
      <c r="Z173" s="421" t="str">
        <f>IF(ISBLANK(TInspectieW[[#This Row],[Aantal]]),"",ROUND(TInspectieW[[#This Row],[Kengetal]]*TInspectieW[[#This Row],[Aantal]],-1))</f>
        <v/>
      </c>
      <c r="AA173" s="422" t="str">
        <f>IF(TInspectieW[[#This Row],[Vak-groep]]="","1",VLOOKUP(C173,$J$2:$K$7,2,FALSE))</f>
        <v>1</v>
      </c>
      <c r="AB173" s="423" t="str">
        <f>CONCATENATE(TInspectieW[[#This Row],[Soort gebrek]],TInspectieW[[#This Row],[Trede]])</f>
        <v>1</v>
      </c>
      <c r="AC173" s="413" t="e">
        <v>#N/A</v>
      </c>
      <c r="AD173" s="413" t="e">
        <v>#N/A</v>
      </c>
      <c r="AE173" s="424">
        <v>0</v>
      </c>
    </row>
    <row r="174" spans="1:31" ht="10.5" x14ac:dyDescent="0.25">
      <c r="A174" s="337"/>
      <c r="B174" s="410" t="str">
        <f>IF(TInspectieW[[#This Row],[UVID]]="","",VLOOKUP(TInspectieW[[#This Row],[UVID]],TInventW[],2,FALSE))</f>
        <v/>
      </c>
      <c r="C174" s="365" t="str">
        <f>IF(TInspectieW[[#This Row],[UVID]]="","",VLOOKUP(TInspectieW[[#This Row],[UVID]],TInventW[],11,FALSE))</f>
        <v/>
      </c>
      <c r="D174" s="411" t="str">
        <f>IF(TInspectieW[[#This Row],[UVID]]="","",VLOOKUP(TInspectieW[[#This Row],[UVID]],TInventW[],3,FALSE))</f>
        <v/>
      </c>
      <c r="E174" s="338"/>
      <c r="F174" s="412"/>
      <c r="G174" s="413" t="str">
        <f>IF(ISBLANK(TInspectieW[[#This Row],[Soort gebrek]]),"",VLOOKUP(TInspectieW[[#This Row],[Soort gebrek]],TSoortGebrek[#Data],3,FALSE))</f>
        <v/>
      </c>
      <c r="H174" s="413" t="str">
        <f>IF(ISBLANK(TInspectieW[[#This Row],[Soort gebrek]]),"",VLOOKUP(TInspectieW[[#This Row],[Soort gebrek]],TSoortGebrek[#Data],2,FALSE))</f>
        <v/>
      </c>
      <c r="I174" s="413" t="str">
        <f>IF(TInspectieW[[#This Row],[Soort gebrek]]=0,"",VLOOKUP(TInspectieW[[#This Row],[Soort gebrek]],TSoortGebrek[],4,FALSE))</f>
        <v/>
      </c>
      <c r="J174" s="425"/>
      <c r="K174" s="415" t="str">
        <f>IF(TInspectieW[[#This Row],[Soort gebrek]]=0,"",VLOOKUP(TInspectieW[[#This Row],[Combi]],TPrio[#Data],2,FALSE))</f>
        <v/>
      </c>
      <c r="L174" s="339"/>
      <c r="M174" s="416" t="str">
        <f>IF(ISBLANK(TInspectieW[[#This Row],[Gebrek nr.]]),"",TInspectieW[[#This Row],[UVID]]&amp;"-"&amp;TInspectieW[[#This Row],[Gebrek nr.]])</f>
        <v/>
      </c>
      <c r="N174" s="417"/>
      <c r="O174" s="418"/>
      <c r="P174" s="206"/>
      <c r="Q174" s="193"/>
      <c r="R174" s="206"/>
      <c r="S174" s="206"/>
      <c r="T174" s="206"/>
      <c r="U174" s="206"/>
      <c r="V174" s="206"/>
      <c r="W174" s="419"/>
      <c r="X174" s="340">
        <f>[1]Inventarisatie!U175</f>
        <v>0</v>
      </c>
      <c r="Y174" s="420"/>
      <c r="Z174" s="421" t="str">
        <f>IF(ISBLANK(TInspectieW[[#This Row],[Aantal]]),"",ROUND(TInspectieW[[#This Row],[Kengetal]]*TInspectieW[[#This Row],[Aantal]],-1))</f>
        <v/>
      </c>
      <c r="AA174" s="422" t="str">
        <f>IF(TInspectieW[[#This Row],[Vak-groep]]="","1",VLOOKUP(C174,$J$2:$K$7,2,FALSE))</f>
        <v>1</v>
      </c>
      <c r="AB174" s="423" t="str">
        <f>CONCATENATE(TInspectieW[[#This Row],[Soort gebrek]],TInspectieW[[#This Row],[Trede]])</f>
        <v>1</v>
      </c>
      <c r="AC174" s="413" t="e">
        <v>#N/A</v>
      </c>
      <c r="AD174" s="413" t="e">
        <v>#N/A</v>
      </c>
      <c r="AE174" s="424">
        <v>0</v>
      </c>
    </row>
    <row r="175" spans="1:31" ht="10.5" x14ac:dyDescent="0.25">
      <c r="A175" s="337"/>
      <c r="B175" s="410" t="str">
        <f>IF(TInspectieW[[#This Row],[UVID]]="","",VLOOKUP(TInspectieW[[#This Row],[UVID]],TInventW[],2,FALSE))</f>
        <v/>
      </c>
      <c r="C175" s="365" t="str">
        <f>IF(TInspectieW[[#This Row],[UVID]]="","",VLOOKUP(TInspectieW[[#This Row],[UVID]],TInventW[],11,FALSE))</f>
        <v/>
      </c>
      <c r="D175" s="411" t="str">
        <f>IF(TInspectieW[[#This Row],[UVID]]="","",VLOOKUP(TInspectieW[[#This Row],[UVID]],TInventW[],3,FALSE))</f>
        <v/>
      </c>
      <c r="E175" s="338"/>
      <c r="F175" s="412"/>
      <c r="G175" s="413" t="str">
        <f>IF(ISBLANK(TInspectieW[[#This Row],[Soort gebrek]]),"",VLOOKUP(TInspectieW[[#This Row],[Soort gebrek]],TSoortGebrek[#Data],3,FALSE))</f>
        <v/>
      </c>
      <c r="H175" s="413" t="str">
        <f>IF(ISBLANK(TInspectieW[[#This Row],[Soort gebrek]]),"",VLOOKUP(TInspectieW[[#This Row],[Soort gebrek]],TSoortGebrek[#Data],2,FALSE))</f>
        <v/>
      </c>
      <c r="I175" s="413" t="str">
        <f>IF(TInspectieW[[#This Row],[Soort gebrek]]=0,"",VLOOKUP(TInspectieW[[#This Row],[Soort gebrek]],TSoortGebrek[],4,FALSE))</f>
        <v/>
      </c>
      <c r="J175" s="425"/>
      <c r="K175" s="415" t="str">
        <f>IF(TInspectieW[[#This Row],[Soort gebrek]]=0,"",VLOOKUP(TInspectieW[[#This Row],[Combi]],TPrio[#Data],2,FALSE))</f>
        <v/>
      </c>
      <c r="L175" s="339"/>
      <c r="M175" s="416" t="str">
        <f>IF(ISBLANK(TInspectieW[[#This Row],[Gebrek nr.]]),"",TInspectieW[[#This Row],[UVID]]&amp;"-"&amp;TInspectieW[[#This Row],[Gebrek nr.]])</f>
        <v/>
      </c>
      <c r="N175" s="417"/>
      <c r="O175" s="418"/>
      <c r="P175" s="206"/>
      <c r="Q175" s="193"/>
      <c r="R175" s="206"/>
      <c r="S175" s="206"/>
      <c r="T175" s="206"/>
      <c r="U175" s="206"/>
      <c r="V175" s="206"/>
      <c r="W175" s="419"/>
      <c r="X175" s="340">
        <f>[1]Inventarisatie!U176</f>
        <v>0</v>
      </c>
      <c r="Y175" s="420"/>
      <c r="Z175" s="421" t="str">
        <f>IF(ISBLANK(TInspectieW[[#This Row],[Aantal]]),"",ROUND(TInspectieW[[#This Row],[Kengetal]]*TInspectieW[[#This Row],[Aantal]],-1))</f>
        <v/>
      </c>
      <c r="AA175" s="422" t="str">
        <f>IF(TInspectieW[[#This Row],[Vak-groep]]="","1",VLOOKUP(C175,$J$2:$K$7,2,FALSE))</f>
        <v>1</v>
      </c>
      <c r="AB175" s="423" t="str">
        <f>CONCATENATE(TInspectieW[[#This Row],[Soort gebrek]],TInspectieW[[#This Row],[Trede]])</f>
        <v>1</v>
      </c>
      <c r="AC175" s="413" t="e">
        <v>#N/A</v>
      </c>
      <c r="AD175" s="413" t="e">
        <v>#N/A</v>
      </c>
      <c r="AE175" s="424">
        <v>0</v>
      </c>
    </row>
    <row r="176" spans="1:31" ht="10.5" x14ac:dyDescent="0.25">
      <c r="A176" s="337"/>
      <c r="B176" s="410" t="str">
        <f>IF(TInspectieW[[#This Row],[UVID]]="","",VLOOKUP(TInspectieW[[#This Row],[UVID]],TInventW[],2,FALSE))</f>
        <v/>
      </c>
      <c r="C176" s="365" t="str">
        <f>IF(TInspectieW[[#This Row],[UVID]]="","",VLOOKUP(TInspectieW[[#This Row],[UVID]],TInventW[],11,FALSE))</f>
        <v/>
      </c>
      <c r="D176" s="411" t="str">
        <f>IF(TInspectieW[[#This Row],[UVID]]="","",VLOOKUP(TInspectieW[[#This Row],[UVID]],TInventW[],3,FALSE))</f>
        <v/>
      </c>
      <c r="E176" s="338"/>
      <c r="F176" s="412"/>
      <c r="G176" s="413" t="str">
        <f>IF(ISBLANK(TInspectieW[[#This Row],[Soort gebrek]]),"",VLOOKUP(TInspectieW[[#This Row],[Soort gebrek]],TSoortGebrek[#Data],3,FALSE))</f>
        <v/>
      </c>
      <c r="H176" s="413" t="str">
        <f>IF(ISBLANK(TInspectieW[[#This Row],[Soort gebrek]]),"",VLOOKUP(TInspectieW[[#This Row],[Soort gebrek]],TSoortGebrek[#Data],2,FALSE))</f>
        <v/>
      </c>
      <c r="I176" s="413" t="str">
        <f>IF(TInspectieW[[#This Row],[Soort gebrek]]=0,"",VLOOKUP(TInspectieW[[#This Row],[Soort gebrek]],TSoortGebrek[],4,FALSE))</f>
        <v/>
      </c>
      <c r="J176" s="425"/>
      <c r="K176" s="415" t="str">
        <f>IF(TInspectieW[[#This Row],[Soort gebrek]]=0,"",VLOOKUP(TInspectieW[[#This Row],[Combi]],TPrio[#Data],2,FALSE))</f>
        <v/>
      </c>
      <c r="L176" s="339"/>
      <c r="M176" s="416" t="str">
        <f>IF(ISBLANK(TInspectieW[[#This Row],[Gebrek nr.]]),"",TInspectieW[[#This Row],[UVID]]&amp;"-"&amp;TInspectieW[[#This Row],[Gebrek nr.]])</f>
        <v/>
      </c>
      <c r="N176" s="417"/>
      <c r="O176" s="418"/>
      <c r="P176" s="206"/>
      <c r="Q176" s="193"/>
      <c r="R176" s="206"/>
      <c r="S176" s="206"/>
      <c r="T176" s="206"/>
      <c r="U176" s="206"/>
      <c r="V176" s="206"/>
      <c r="W176" s="419"/>
      <c r="X176" s="340">
        <f>[1]Inventarisatie!U177</f>
        <v>0</v>
      </c>
      <c r="Y176" s="420"/>
      <c r="Z176" s="421" t="str">
        <f>IF(ISBLANK(TInspectieW[[#This Row],[Aantal]]),"",ROUND(TInspectieW[[#This Row],[Kengetal]]*TInspectieW[[#This Row],[Aantal]],-1))</f>
        <v/>
      </c>
      <c r="AA176" s="422" t="str">
        <f>IF(TInspectieW[[#This Row],[Vak-groep]]="","1",VLOOKUP(C176,$J$2:$K$7,2,FALSE))</f>
        <v>1</v>
      </c>
      <c r="AB176" s="423" t="str">
        <f>CONCATENATE(TInspectieW[[#This Row],[Soort gebrek]],TInspectieW[[#This Row],[Trede]])</f>
        <v>1</v>
      </c>
      <c r="AC176" s="413" t="e">
        <v>#N/A</v>
      </c>
      <c r="AD176" s="413" t="e">
        <v>#N/A</v>
      </c>
      <c r="AE176" s="424">
        <v>0</v>
      </c>
    </row>
    <row r="177" spans="1:31" ht="10.5" x14ac:dyDescent="0.25">
      <c r="A177" s="337"/>
      <c r="B177" s="410" t="str">
        <f>IF(TInspectieW[[#This Row],[UVID]]="","",VLOOKUP(TInspectieW[[#This Row],[UVID]],TInventW[],2,FALSE))</f>
        <v/>
      </c>
      <c r="C177" s="365" t="str">
        <f>IF(TInspectieW[[#This Row],[UVID]]="","",VLOOKUP(TInspectieW[[#This Row],[UVID]],TInventW[],11,FALSE))</f>
        <v/>
      </c>
      <c r="D177" s="411" t="str">
        <f>IF(TInspectieW[[#This Row],[UVID]]="","",VLOOKUP(TInspectieW[[#This Row],[UVID]],TInventW[],3,FALSE))</f>
        <v/>
      </c>
      <c r="E177" s="338"/>
      <c r="F177" s="412"/>
      <c r="G177" s="413" t="str">
        <f>IF(ISBLANK(TInspectieW[[#This Row],[Soort gebrek]]),"",VLOOKUP(TInspectieW[[#This Row],[Soort gebrek]],TSoortGebrek[#Data],3,FALSE))</f>
        <v/>
      </c>
      <c r="H177" s="413" t="str">
        <f>IF(ISBLANK(TInspectieW[[#This Row],[Soort gebrek]]),"",VLOOKUP(TInspectieW[[#This Row],[Soort gebrek]],TSoortGebrek[#Data],2,FALSE))</f>
        <v/>
      </c>
      <c r="I177" s="413" t="str">
        <f>IF(TInspectieW[[#This Row],[Soort gebrek]]=0,"",VLOOKUP(TInspectieW[[#This Row],[Soort gebrek]],TSoortGebrek[],4,FALSE))</f>
        <v/>
      </c>
      <c r="J177" s="425"/>
      <c r="K177" s="415" t="str">
        <f>IF(TInspectieW[[#This Row],[Soort gebrek]]=0,"",VLOOKUP(TInspectieW[[#This Row],[Combi]],TPrio[#Data],2,FALSE))</f>
        <v/>
      </c>
      <c r="L177" s="339"/>
      <c r="M177" s="416" t="str">
        <f>IF(ISBLANK(TInspectieW[[#This Row],[Gebrek nr.]]),"",TInspectieW[[#This Row],[UVID]]&amp;"-"&amp;TInspectieW[[#This Row],[Gebrek nr.]])</f>
        <v/>
      </c>
      <c r="N177" s="417"/>
      <c r="O177" s="418"/>
      <c r="P177" s="206"/>
      <c r="Q177" s="193"/>
      <c r="R177" s="206"/>
      <c r="S177" s="206"/>
      <c r="T177" s="206"/>
      <c r="U177" s="206"/>
      <c r="V177" s="206"/>
      <c r="W177" s="419"/>
      <c r="X177" s="340">
        <f>[1]Inventarisatie!U178</f>
        <v>0</v>
      </c>
      <c r="Y177" s="420"/>
      <c r="Z177" s="421" t="str">
        <f>IF(ISBLANK(TInspectieW[[#This Row],[Aantal]]),"",ROUND(TInspectieW[[#This Row],[Kengetal]]*TInspectieW[[#This Row],[Aantal]],-1))</f>
        <v/>
      </c>
      <c r="AA177" s="422" t="str">
        <f>IF(TInspectieW[[#This Row],[Vak-groep]]="","1",VLOOKUP(C177,$J$2:$K$7,2,FALSE))</f>
        <v>1</v>
      </c>
      <c r="AB177" s="423" t="str">
        <f>CONCATENATE(TInspectieW[[#This Row],[Soort gebrek]],TInspectieW[[#This Row],[Trede]])</f>
        <v>1</v>
      </c>
      <c r="AC177" s="413" t="e">
        <v>#N/A</v>
      </c>
      <c r="AD177" s="413" t="e">
        <v>#N/A</v>
      </c>
      <c r="AE177" s="424">
        <v>0</v>
      </c>
    </row>
    <row r="178" spans="1:31" ht="10.5" x14ac:dyDescent="0.25">
      <c r="A178" s="337"/>
      <c r="B178" s="410" t="str">
        <f>IF(TInspectieW[[#This Row],[UVID]]="","",VLOOKUP(TInspectieW[[#This Row],[UVID]],TInventW[],2,FALSE))</f>
        <v/>
      </c>
      <c r="C178" s="365" t="str">
        <f>IF(TInspectieW[[#This Row],[UVID]]="","",VLOOKUP(TInspectieW[[#This Row],[UVID]],TInventW[],11,FALSE))</f>
        <v/>
      </c>
      <c r="D178" s="411" t="str">
        <f>IF(TInspectieW[[#This Row],[UVID]]="","",VLOOKUP(TInspectieW[[#This Row],[UVID]],TInventW[],3,FALSE))</f>
        <v/>
      </c>
      <c r="E178" s="338"/>
      <c r="F178" s="412"/>
      <c r="G178" s="413" t="str">
        <f>IF(ISBLANK(TInspectieW[[#This Row],[Soort gebrek]]),"",VLOOKUP(TInspectieW[[#This Row],[Soort gebrek]],TSoortGebrek[#Data],3,FALSE))</f>
        <v/>
      </c>
      <c r="H178" s="413" t="str">
        <f>IF(ISBLANK(TInspectieW[[#This Row],[Soort gebrek]]),"",VLOOKUP(TInspectieW[[#This Row],[Soort gebrek]],TSoortGebrek[#Data],2,FALSE))</f>
        <v/>
      </c>
      <c r="I178" s="413" t="str">
        <f>IF(TInspectieW[[#This Row],[Soort gebrek]]=0,"",VLOOKUP(TInspectieW[[#This Row],[Soort gebrek]],TSoortGebrek[],4,FALSE))</f>
        <v/>
      </c>
      <c r="J178" s="425"/>
      <c r="K178" s="415" t="str">
        <f>IF(TInspectieW[[#This Row],[Soort gebrek]]=0,"",VLOOKUP(TInspectieW[[#This Row],[Combi]],TPrio[#Data],2,FALSE))</f>
        <v/>
      </c>
      <c r="L178" s="339"/>
      <c r="M178" s="416" t="str">
        <f>IF(ISBLANK(TInspectieW[[#This Row],[Gebrek nr.]]),"",TInspectieW[[#This Row],[UVID]]&amp;"-"&amp;TInspectieW[[#This Row],[Gebrek nr.]])</f>
        <v/>
      </c>
      <c r="N178" s="417"/>
      <c r="O178" s="418"/>
      <c r="P178" s="206"/>
      <c r="Q178" s="193"/>
      <c r="R178" s="206"/>
      <c r="S178" s="206"/>
      <c r="T178" s="206"/>
      <c r="U178" s="206"/>
      <c r="V178" s="206"/>
      <c r="W178" s="419"/>
      <c r="X178" s="340">
        <f>[1]Inventarisatie!U179</f>
        <v>0</v>
      </c>
      <c r="Y178" s="420"/>
      <c r="Z178" s="421" t="str">
        <f>IF(ISBLANK(TInspectieW[[#This Row],[Aantal]]),"",ROUND(TInspectieW[[#This Row],[Kengetal]]*TInspectieW[[#This Row],[Aantal]],-1))</f>
        <v/>
      </c>
      <c r="AA178" s="422" t="str">
        <f>IF(TInspectieW[[#This Row],[Vak-groep]]="","1",VLOOKUP(C178,$J$2:$K$7,2,FALSE))</f>
        <v>1</v>
      </c>
      <c r="AB178" s="423" t="str">
        <f>CONCATENATE(TInspectieW[[#This Row],[Soort gebrek]],TInspectieW[[#This Row],[Trede]])</f>
        <v>1</v>
      </c>
      <c r="AC178" s="413" t="e">
        <v>#N/A</v>
      </c>
      <c r="AD178" s="413" t="e">
        <v>#N/A</v>
      </c>
      <c r="AE178" s="424">
        <v>0</v>
      </c>
    </row>
    <row r="179" spans="1:31" ht="10.5" x14ac:dyDescent="0.25">
      <c r="A179" s="337"/>
      <c r="B179" s="410" t="str">
        <f>IF(TInspectieW[[#This Row],[UVID]]="","",VLOOKUP(TInspectieW[[#This Row],[UVID]],TInventW[],2,FALSE))</f>
        <v/>
      </c>
      <c r="C179" s="365" t="str">
        <f>IF(TInspectieW[[#This Row],[UVID]]="","",VLOOKUP(TInspectieW[[#This Row],[UVID]],TInventW[],11,FALSE))</f>
        <v/>
      </c>
      <c r="D179" s="411" t="str">
        <f>IF(TInspectieW[[#This Row],[UVID]]="","",VLOOKUP(TInspectieW[[#This Row],[UVID]],TInventW[],3,FALSE))</f>
        <v/>
      </c>
      <c r="E179" s="338"/>
      <c r="F179" s="412"/>
      <c r="G179" s="413" t="str">
        <f>IF(ISBLANK(TInspectieW[[#This Row],[Soort gebrek]]),"",VLOOKUP(TInspectieW[[#This Row],[Soort gebrek]],TSoortGebrek[#Data],3,FALSE))</f>
        <v/>
      </c>
      <c r="H179" s="413" t="str">
        <f>IF(ISBLANK(TInspectieW[[#This Row],[Soort gebrek]]),"",VLOOKUP(TInspectieW[[#This Row],[Soort gebrek]],TSoortGebrek[#Data],2,FALSE))</f>
        <v/>
      </c>
      <c r="I179" s="413" t="str">
        <f>IF(TInspectieW[[#This Row],[Soort gebrek]]=0,"",VLOOKUP(TInspectieW[[#This Row],[Soort gebrek]],TSoortGebrek[],4,FALSE))</f>
        <v/>
      </c>
      <c r="J179" s="425"/>
      <c r="K179" s="415" t="str">
        <f>IF(TInspectieW[[#This Row],[Soort gebrek]]=0,"",VLOOKUP(TInspectieW[[#This Row],[Combi]],TPrio[#Data],2,FALSE))</f>
        <v/>
      </c>
      <c r="L179" s="339"/>
      <c r="M179" s="416" t="str">
        <f>IF(ISBLANK(TInspectieW[[#This Row],[Gebrek nr.]]),"",TInspectieW[[#This Row],[UVID]]&amp;"-"&amp;TInspectieW[[#This Row],[Gebrek nr.]])</f>
        <v/>
      </c>
      <c r="N179" s="417"/>
      <c r="O179" s="418"/>
      <c r="P179" s="206"/>
      <c r="Q179" s="193"/>
      <c r="R179" s="206"/>
      <c r="S179" s="206"/>
      <c r="T179" s="206"/>
      <c r="U179" s="206"/>
      <c r="V179" s="206"/>
      <c r="W179" s="419"/>
      <c r="X179" s="340">
        <f>[1]Inventarisatie!U180</f>
        <v>0</v>
      </c>
      <c r="Y179" s="420"/>
      <c r="Z179" s="421" t="str">
        <f>IF(ISBLANK(TInspectieW[[#This Row],[Aantal]]),"",ROUND(TInspectieW[[#This Row],[Kengetal]]*TInspectieW[[#This Row],[Aantal]],-1))</f>
        <v/>
      </c>
      <c r="AA179" s="422" t="str">
        <f>IF(TInspectieW[[#This Row],[Vak-groep]]="","1",VLOOKUP(C179,$J$2:$K$7,2,FALSE))</f>
        <v>1</v>
      </c>
      <c r="AB179" s="423" t="str">
        <f>CONCATENATE(TInspectieW[[#This Row],[Soort gebrek]],TInspectieW[[#This Row],[Trede]])</f>
        <v>1</v>
      </c>
      <c r="AC179" s="413" t="e">
        <v>#N/A</v>
      </c>
      <c r="AD179" s="413" t="e">
        <v>#N/A</v>
      </c>
      <c r="AE179" s="424">
        <v>0</v>
      </c>
    </row>
    <row r="180" spans="1:31" ht="10.5" x14ac:dyDescent="0.25">
      <c r="A180" s="337"/>
      <c r="B180" s="410" t="str">
        <f>IF(TInspectieW[[#This Row],[UVID]]="","",VLOOKUP(TInspectieW[[#This Row],[UVID]],TInventW[],2,FALSE))</f>
        <v/>
      </c>
      <c r="C180" s="365" t="str">
        <f>IF(TInspectieW[[#This Row],[UVID]]="","",VLOOKUP(TInspectieW[[#This Row],[UVID]],TInventW[],11,FALSE))</f>
        <v/>
      </c>
      <c r="D180" s="411" t="str">
        <f>IF(TInspectieW[[#This Row],[UVID]]="","",VLOOKUP(TInspectieW[[#This Row],[UVID]],TInventW[],3,FALSE))</f>
        <v/>
      </c>
      <c r="E180" s="338"/>
      <c r="F180" s="412"/>
      <c r="G180" s="413" t="str">
        <f>IF(ISBLANK(TInspectieW[[#This Row],[Soort gebrek]]),"",VLOOKUP(TInspectieW[[#This Row],[Soort gebrek]],TSoortGebrek[#Data],3,FALSE))</f>
        <v/>
      </c>
      <c r="H180" s="413" t="str">
        <f>IF(ISBLANK(TInspectieW[[#This Row],[Soort gebrek]]),"",VLOOKUP(TInspectieW[[#This Row],[Soort gebrek]],TSoortGebrek[#Data],2,FALSE))</f>
        <v/>
      </c>
      <c r="I180" s="413" t="str">
        <f>IF(TInspectieW[[#This Row],[Soort gebrek]]=0,"",VLOOKUP(TInspectieW[[#This Row],[Soort gebrek]],TSoortGebrek[],4,FALSE))</f>
        <v/>
      </c>
      <c r="J180" s="425"/>
      <c r="K180" s="415" t="str">
        <f>IF(TInspectieW[[#This Row],[Soort gebrek]]=0,"",VLOOKUP(TInspectieW[[#This Row],[Combi]],TPrio[#Data],2,FALSE))</f>
        <v/>
      </c>
      <c r="L180" s="339"/>
      <c r="M180" s="416" t="str">
        <f>IF(ISBLANK(TInspectieW[[#This Row],[Gebrek nr.]]),"",TInspectieW[[#This Row],[UVID]]&amp;"-"&amp;TInspectieW[[#This Row],[Gebrek nr.]])</f>
        <v/>
      </c>
      <c r="N180" s="417"/>
      <c r="O180" s="418"/>
      <c r="P180" s="206"/>
      <c r="Q180" s="193"/>
      <c r="R180" s="206"/>
      <c r="S180" s="206"/>
      <c r="T180" s="206"/>
      <c r="U180" s="206"/>
      <c r="V180" s="206"/>
      <c r="W180" s="419"/>
      <c r="X180" s="340">
        <f>[1]Inventarisatie!U181</f>
        <v>0</v>
      </c>
      <c r="Y180" s="420"/>
      <c r="Z180" s="421" t="str">
        <f>IF(ISBLANK(TInspectieW[[#This Row],[Aantal]]),"",ROUND(TInspectieW[[#This Row],[Kengetal]]*TInspectieW[[#This Row],[Aantal]],-1))</f>
        <v/>
      </c>
      <c r="AA180" s="422" t="str">
        <f>IF(TInspectieW[[#This Row],[Vak-groep]]="","1",VLOOKUP(C180,$J$2:$K$7,2,FALSE))</f>
        <v>1</v>
      </c>
      <c r="AB180" s="423" t="str">
        <f>CONCATENATE(TInspectieW[[#This Row],[Soort gebrek]],TInspectieW[[#This Row],[Trede]])</f>
        <v>1</v>
      </c>
      <c r="AC180" s="413" t="e">
        <v>#N/A</v>
      </c>
      <c r="AD180" s="413" t="e">
        <v>#N/A</v>
      </c>
      <c r="AE180" s="424">
        <v>0</v>
      </c>
    </row>
    <row r="181" spans="1:31" ht="10.5" x14ac:dyDescent="0.25">
      <c r="A181" s="337"/>
      <c r="B181" s="410" t="str">
        <f>IF(TInspectieW[[#This Row],[UVID]]="","",VLOOKUP(TInspectieW[[#This Row],[UVID]],TInventW[],2,FALSE))</f>
        <v/>
      </c>
      <c r="C181" s="365" t="str">
        <f>IF(TInspectieW[[#This Row],[UVID]]="","",VLOOKUP(TInspectieW[[#This Row],[UVID]],TInventW[],11,FALSE))</f>
        <v/>
      </c>
      <c r="D181" s="411" t="str">
        <f>IF(TInspectieW[[#This Row],[UVID]]="","",VLOOKUP(TInspectieW[[#This Row],[UVID]],TInventW[],3,FALSE))</f>
        <v/>
      </c>
      <c r="E181" s="338"/>
      <c r="F181" s="412"/>
      <c r="G181" s="413" t="str">
        <f>IF(ISBLANK(TInspectieW[[#This Row],[Soort gebrek]]),"",VLOOKUP(TInspectieW[[#This Row],[Soort gebrek]],TSoortGebrek[#Data],3,FALSE))</f>
        <v/>
      </c>
      <c r="H181" s="413" t="str">
        <f>IF(ISBLANK(TInspectieW[[#This Row],[Soort gebrek]]),"",VLOOKUP(TInspectieW[[#This Row],[Soort gebrek]],TSoortGebrek[#Data],2,FALSE))</f>
        <v/>
      </c>
      <c r="I181" s="413" t="str">
        <f>IF(TInspectieW[[#This Row],[Soort gebrek]]=0,"",VLOOKUP(TInspectieW[[#This Row],[Soort gebrek]],TSoortGebrek[],4,FALSE))</f>
        <v/>
      </c>
      <c r="J181" s="425"/>
      <c r="K181" s="415" t="str">
        <f>IF(TInspectieW[[#This Row],[Soort gebrek]]=0,"",VLOOKUP(TInspectieW[[#This Row],[Combi]],TPrio[#Data],2,FALSE))</f>
        <v/>
      </c>
      <c r="L181" s="339"/>
      <c r="M181" s="416" t="str">
        <f>IF(ISBLANK(TInspectieW[[#This Row],[Gebrek nr.]]),"",TInspectieW[[#This Row],[UVID]]&amp;"-"&amp;TInspectieW[[#This Row],[Gebrek nr.]])</f>
        <v/>
      </c>
      <c r="N181" s="417"/>
      <c r="O181" s="418"/>
      <c r="P181" s="206"/>
      <c r="Q181" s="193"/>
      <c r="R181" s="206"/>
      <c r="S181" s="206"/>
      <c r="T181" s="206"/>
      <c r="U181" s="206"/>
      <c r="V181" s="206"/>
      <c r="W181" s="419"/>
      <c r="X181" s="340">
        <f>[1]Inventarisatie!U182</f>
        <v>0</v>
      </c>
      <c r="Y181" s="420"/>
      <c r="Z181" s="421" t="str">
        <f>IF(ISBLANK(TInspectieW[[#This Row],[Aantal]]),"",ROUND(TInspectieW[[#This Row],[Kengetal]]*TInspectieW[[#This Row],[Aantal]],-1))</f>
        <v/>
      </c>
      <c r="AA181" s="422" t="str">
        <f>IF(TInspectieW[[#This Row],[Vak-groep]]="","1",VLOOKUP(C181,$J$2:$K$7,2,FALSE))</f>
        <v>1</v>
      </c>
      <c r="AB181" s="423" t="str">
        <f>CONCATENATE(TInspectieW[[#This Row],[Soort gebrek]],TInspectieW[[#This Row],[Trede]])</f>
        <v>1</v>
      </c>
      <c r="AC181" s="413" t="e">
        <v>#N/A</v>
      </c>
      <c r="AD181" s="413" t="e">
        <v>#N/A</v>
      </c>
      <c r="AE181" s="424">
        <v>0</v>
      </c>
    </row>
    <row r="182" spans="1:31" ht="10.5" x14ac:dyDescent="0.25">
      <c r="A182" s="337"/>
      <c r="B182" s="410" t="str">
        <f>IF(TInspectieW[[#This Row],[UVID]]="","",VLOOKUP(TInspectieW[[#This Row],[UVID]],TInventW[],2,FALSE))</f>
        <v/>
      </c>
      <c r="C182" s="365" t="str">
        <f>IF(TInspectieW[[#This Row],[UVID]]="","",VLOOKUP(TInspectieW[[#This Row],[UVID]],TInventW[],11,FALSE))</f>
        <v/>
      </c>
      <c r="D182" s="411" t="str">
        <f>IF(TInspectieW[[#This Row],[UVID]]="","",VLOOKUP(TInspectieW[[#This Row],[UVID]],TInventW[],3,FALSE))</f>
        <v/>
      </c>
      <c r="E182" s="338"/>
      <c r="F182" s="412"/>
      <c r="G182" s="413" t="str">
        <f>IF(ISBLANK(TInspectieW[[#This Row],[Soort gebrek]]),"",VLOOKUP(TInspectieW[[#This Row],[Soort gebrek]],TSoortGebrek[#Data],3,FALSE))</f>
        <v/>
      </c>
      <c r="H182" s="413" t="str">
        <f>IF(ISBLANK(TInspectieW[[#This Row],[Soort gebrek]]),"",VLOOKUP(TInspectieW[[#This Row],[Soort gebrek]],TSoortGebrek[#Data],2,FALSE))</f>
        <v/>
      </c>
      <c r="I182" s="413" t="str">
        <f>IF(TInspectieW[[#This Row],[Soort gebrek]]=0,"",VLOOKUP(TInspectieW[[#This Row],[Soort gebrek]],TSoortGebrek[],4,FALSE))</f>
        <v/>
      </c>
      <c r="J182" s="425"/>
      <c r="K182" s="415" t="str">
        <f>IF(TInspectieW[[#This Row],[Soort gebrek]]=0,"",VLOOKUP(TInspectieW[[#This Row],[Combi]],TPrio[#Data],2,FALSE))</f>
        <v/>
      </c>
      <c r="L182" s="339"/>
      <c r="M182" s="416" t="str">
        <f>IF(ISBLANK(TInspectieW[[#This Row],[Gebrek nr.]]),"",TInspectieW[[#This Row],[UVID]]&amp;"-"&amp;TInspectieW[[#This Row],[Gebrek nr.]])</f>
        <v/>
      </c>
      <c r="N182" s="417"/>
      <c r="O182" s="418"/>
      <c r="P182" s="206"/>
      <c r="Q182" s="193"/>
      <c r="R182" s="206"/>
      <c r="S182" s="206"/>
      <c r="T182" s="206"/>
      <c r="U182" s="206"/>
      <c r="V182" s="206"/>
      <c r="W182" s="419"/>
      <c r="X182" s="340">
        <f>[1]Inventarisatie!U183</f>
        <v>0</v>
      </c>
      <c r="Y182" s="420"/>
      <c r="Z182" s="421" t="str">
        <f>IF(ISBLANK(TInspectieW[[#This Row],[Aantal]]),"",ROUND(TInspectieW[[#This Row],[Kengetal]]*TInspectieW[[#This Row],[Aantal]],-1))</f>
        <v/>
      </c>
      <c r="AA182" s="422" t="str">
        <f>IF(TInspectieW[[#This Row],[Vak-groep]]="","1",VLOOKUP(C182,$J$2:$K$7,2,FALSE))</f>
        <v>1</v>
      </c>
      <c r="AB182" s="423" t="str">
        <f>CONCATENATE(TInspectieW[[#This Row],[Soort gebrek]],TInspectieW[[#This Row],[Trede]])</f>
        <v>1</v>
      </c>
      <c r="AC182" s="413" t="e">
        <v>#N/A</v>
      </c>
      <c r="AD182" s="413" t="e">
        <v>#N/A</v>
      </c>
      <c r="AE182" s="424">
        <v>0</v>
      </c>
    </row>
    <row r="183" spans="1:31" ht="10.5" x14ac:dyDescent="0.25">
      <c r="A183" s="337"/>
      <c r="B183" s="410" t="str">
        <f>IF(TInspectieW[[#This Row],[UVID]]="","",VLOOKUP(TInspectieW[[#This Row],[UVID]],TInventW[],2,FALSE))</f>
        <v/>
      </c>
      <c r="C183" s="365" t="str">
        <f>IF(TInspectieW[[#This Row],[UVID]]="","",VLOOKUP(TInspectieW[[#This Row],[UVID]],TInventW[],11,FALSE))</f>
        <v/>
      </c>
      <c r="D183" s="411" t="str">
        <f>IF(TInspectieW[[#This Row],[UVID]]="","",VLOOKUP(TInspectieW[[#This Row],[UVID]],TInventW[],3,FALSE))</f>
        <v/>
      </c>
      <c r="E183" s="338"/>
      <c r="F183" s="412"/>
      <c r="G183" s="413" t="str">
        <f>IF(ISBLANK(TInspectieW[[#This Row],[Soort gebrek]]),"",VLOOKUP(TInspectieW[[#This Row],[Soort gebrek]],TSoortGebrek[#Data],3,FALSE))</f>
        <v/>
      </c>
      <c r="H183" s="413" t="str">
        <f>IF(ISBLANK(TInspectieW[[#This Row],[Soort gebrek]]),"",VLOOKUP(TInspectieW[[#This Row],[Soort gebrek]],TSoortGebrek[#Data],2,FALSE))</f>
        <v/>
      </c>
      <c r="I183" s="413" t="str">
        <f>IF(TInspectieW[[#This Row],[Soort gebrek]]=0,"",VLOOKUP(TInspectieW[[#This Row],[Soort gebrek]],TSoortGebrek[],4,FALSE))</f>
        <v/>
      </c>
      <c r="J183" s="425"/>
      <c r="K183" s="415" t="str">
        <f>IF(TInspectieW[[#This Row],[Soort gebrek]]=0,"",VLOOKUP(TInspectieW[[#This Row],[Combi]],TPrio[#Data],2,FALSE))</f>
        <v/>
      </c>
      <c r="L183" s="339"/>
      <c r="M183" s="416" t="str">
        <f>IF(ISBLANK(TInspectieW[[#This Row],[Gebrek nr.]]),"",TInspectieW[[#This Row],[UVID]]&amp;"-"&amp;TInspectieW[[#This Row],[Gebrek nr.]])</f>
        <v/>
      </c>
      <c r="N183" s="417"/>
      <c r="O183" s="418"/>
      <c r="P183" s="206"/>
      <c r="Q183" s="193"/>
      <c r="R183" s="206"/>
      <c r="S183" s="206"/>
      <c r="T183" s="206"/>
      <c r="U183" s="206"/>
      <c r="V183" s="206"/>
      <c r="W183" s="419"/>
      <c r="X183" s="340">
        <f>[1]Inventarisatie!U184</f>
        <v>0</v>
      </c>
      <c r="Y183" s="420"/>
      <c r="Z183" s="421" t="str">
        <f>IF(ISBLANK(TInspectieW[[#This Row],[Aantal]]),"",ROUND(TInspectieW[[#This Row],[Kengetal]]*TInspectieW[[#This Row],[Aantal]],-1))</f>
        <v/>
      </c>
      <c r="AA183" s="422" t="str">
        <f>IF(TInspectieW[[#This Row],[Vak-groep]]="","1",VLOOKUP(C183,$J$2:$K$7,2,FALSE))</f>
        <v>1</v>
      </c>
      <c r="AB183" s="423" t="str">
        <f>CONCATENATE(TInspectieW[[#This Row],[Soort gebrek]],TInspectieW[[#This Row],[Trede]])</f>
        <v>1</v>
      </c>
      <c r="AC183" s="413" t="e">
        <v>#N/A</v>
      </c>
      <c r="AD183" s="413" t="e">
        <v>#N/A</v>
      </c>
      <c r="AE183" s="424">
        <v>0</v>
      </c>
    </row>
    <row r="184" spans="1:31" ht="10.5" x14ac:dyDescent="0.25">
      <c r="A184" s="337"/>
      <c r="B184" s="410" t="str">
        <f>IF(TInspectieW[[#This Row],[UVID]]="","",VLOOKUP(TInspectieW[[#This Row],[UVID]],TInventW[],2,FALSE))</f>
        <v/>
      </c>
      <c r="C184" s="365" t="str">
        <f>IF(TInspectieW[[#This Row],[UVID]]="","",VLOOKUP(TInspectieW[[#This Row],[UVID]],TInventW[],11,FALSE))</f>
        <v/>
      </c>
      <c r="D184" s="411" t="str">
        <f>IF(TInspectieW[[#This Row],[UVID]]="","",VLOOKUP(TInspectieW[[#This Row],[UVID]],TInventW[],3,FALSE))</f>
        <v/>
      </c>
      <c r="E184" s="338"/>
      <c r="F184" s="412"/>
      <c r="G184" s="413" t="str">
        <f>IF(ISBLANK(TInspectieW[[#This Row],[Soort gebrek]]),"",VLOOKUP(TInspectieW[[#This Row],[Soort gebrek]],TSoortGebrek[#Data],3,FALSE))</f>
        <v/>
      </c>
      <c r="H184" s="413" t="str">
        <f>IF(ISBLANK(TInspectieW[[#This Row],[Soort gebrek]]),"",VLOOKUP(TInspectieW[[#This Row],[Soort gebrek]],TSoortGebrek[#Data],2,FALSE))</f>
        <v/>
      </c>
      <c r="I184" s="413" t="str">
        <f>IF(TInspectieW[[#This Row],[Soort gebrek]]=0,"",VLOOKUP(TInspectieW[[#This Row],[Soort gebrek]],TSoortGebrek[],4,FALSE))</f>
        <v/>
      </c>
      <c r="J184" s="425"/>
      <c r="K184" s="415" t="str">
        <f>IF(TInspectieW[[#This Row],[Soort gebrek]]=0,"",VLOOKUP(TInspectieW[[#This Row],[Combi]],TPrio[#Data],2,FALSE))</f>
        <v/>
      </c>
      <c r="L184" s="339"/>
      <c r="M184" s="416" t="str">
        <f>IF(ISBLANK(TInspectieW[[#This Row],[Gebrek nr.]]),"",TInspectieW[[#This Row],[UVID]]&amp;"-"&amp;TInspectieW[[#This Row],[Gebrek nr.]])</f>
        <v/>
      </c>
      <c r="N184" s="417"/>
      <c r="O184" s="418"/>
      <c r="P184" s="206"/>
      <c r="Q184" s="193"/>
      <c r="R184" s="206"/>
      <c r="S184" s="206"/>
      <c r="T184" s="206"/>
      <c r="U184" s="206"/>
      <c r="V184" s="206"/>
      <c r="W184" s="419"/>
      <c r="X184" s="340">
        <f>[1]Inventarisatie!U185</f>
        <v>0</v>
      </c>
      <c r="Y184" s="420"/>
      <c r="Z184" s="421" t="str">
        <f>IF(ISBLANK(TInspectieW[[#This Row],[Aantal]]),"",ROUND(TInspectieW[[#This Row],[Kengetal]]*TInspectieW[[#This Row],[Aantal]],-1))</f>
        <v/>
      </c>
      <c r="AA184" s="422" t="str">
        <f>IF(TInspectieW[[#This Row],[Vak-groep]]="","1",VLOOKUP(C184,$J$2:$K$7,2,FALSE))</f>
        <v>1</v>
      </c>
      <c r="AB184" s="423" t="str">
        <f>CONCATENATE(TInspectieW[[#This Row],[Soort gebrek]],TInspectieW[[#This Row],[Trede]])</f>
        <v>1</v>
      </c>
      <c r="AC184" s="413" t="e">
        <v>#N/A</v>
      </c>
      <c r="AD184" s="413" t="e">
        <v>#N/A</v>
      </c>
      <c r="AE184" s="424">
        <v>0</v>
      </c>
    </row>
    <row r="185" spans="1:31" ht="10.5" x14ac:dyDescent="0.25">
      <c r="A185" s="337"/>
      <c r="B185" s="410" t="str">
        <f>IF(TInspectieW[[#This Row],[UVID]]="","",VLOOKUP(TInspectieW[[#This Row],[UVID]],TInventW[],2,FALSE))</f>
        <v/>
      </c>
      <c r="C185" s="365" t="str">
        <f>IF(TInspectieW[[#This Row],[UVID]]="","",VLOOKUP(TInspectieW[[#This Row],[UVID]],TInventW[],11,FALSE))</f>
        <v/>
      </c>
      <c r="D185" s="411" t="str">
        <f>IF(TInspectieW[[#This Row],[UVID]]="","",VLOOKUP(TInspectieW[[#This Row],[UVID]],TInventW[],3,FALSE))</f>
        <v/>
      </c>
      <c r="E185" s="338"/>
      <c r="F185" s="412"/>
      <c r="G185" s="413" t="str">
        <f>IF(ISBLANK(TInspectieW[[#This Row],[Soort gebrek]]),"",VLOOKUP(TInspectieW[[#This Row],[Soort gebrek]],TSoortGebrek[#Data],3,FALSE))</f>
        <v/>
      </c>
      <c r="H185" s="413" t="str">
        <f>IF(ISBLANK(TInspectieW[[#This Row],[Soort gebrek]]),"",VLOOKUP(TInspectieW[[#This Row],[Soort gebrek]],TSoortGebrek[#Data],2,FALSE))</f>
        <v/>
      </c>
      <c r="I185" s="413" t="str">
        <f>IF(TInspectieW[[#This Row],[Soort gebrek]]=0,"",VLOOKUP(TInspectieW[[#This Row],[Soort gebrek]],TSoortGebrek[],4,FALSE))</f>
        <v/>
      </c>
      <c r="J185" s="425"/>
      <c r="K185" s="415" t="str">
        <f>IF(TInspectieW[[#This Row],[Soort gebrek]]=0,"",VLOOKUP(TInspectieW[[#This Row],[Combi]],TPrio[#Data],2,FALSE))</f>
        <v/>
      </c>
      <c r="L185" s="339"/>
      <c r="M185" s="416" t="str">
        <f>IF(ISBLANK(TInspectieW[[#This Row],[Gebrek nr.]]),"",TInspectieW[[#This Row],[UVID]]&amp;"-"&amp;TInspectieW[[#This Row],[Gebrek nr.]])</f>
        <v/>
      </c>
      <c r="N185" s="417"/>
      <c r="O185" s="418"/>
      <c r="P185" s="206"/>
      <c r="Q185" s="193"/>
      <c r="R185" s="206"/>
      <c r="S185" s="206"/>
      <c r="T185" s="206"/>
      <c r="U185" s="206"/>
      <c r="V185" s="206"/>
      <c r="W185" s="419"/>
      <c r="X185" s="340">
        <f>[1]Inventarisatie!U186</f>
        <v>0</v>
      </c>
      <c r="Y185" s="420"/>
      <c r="Z185" s="421" t="str">
        <f>IF(ISBLANK(TInspectieW[[#This Row],[Aantal]]),"",ROUND(TInspectieW[[#This Row],[Kengetal]]*TInspectieW[[#This Row],[Aantal]],-1))</f>
        <v/>
      </c>
      <c r="AA185" s="422" t="str">
        <f>IF(TInspectieW[[#This Row],[Vak-groep]]="","1",VLOOKUP(C185,$J$2:$K$7,2,FALSE))</f>
        <v>1</v>
      </c>
      <c r="AB185" s="423" t="str">
        <f>CONCATENATE(TInspectieW[[#This Row],[Soort gebrek]],TInspectieW[[#This Row],[Trede]])</f>
        <v>1</v>
      </c>
      <c r="AC185" s="413" t="e">
        <v>#N/A</v>
      </c>
      <c r="AD185" s="413" t="e">
        <v>#N/A</v>
      </c>
      <c r="AE185" s="424">
        <v>0</v>
      </c>
    </row>
    <row r="186" spans="1:31" ht="10.5" x14ac:dyDescent="0.25">
      <c r="A186" s="337"/>
      <c r="B186" s="410" t="str">
        <f>IF(TInspectieW[[#This Row],[UVID]]="","",VLOOKUP(TInspectieW[[#This Row],[UVID]],TInventW[],2,FALSE))</f>
        <v/>
      </c>
      <c r="C186" s="365" t="str">
        <f>IF(TInspectieW[[#This Row],[UVID]]="","",VLOOKUP(TInspectieW[[#This Row],[UVID]],TInventW[],11,FALSE))</f>
        <v/>
      </c>
      <c r="D186" s="411" t="str">
        <f>IF(TInspectieW[[#This Row],[UVID]]="","",VLOOKUP(TInspectieW[[#This Row],[UVID]],TInventW[],3,FALSE))</f>
        <v/>
      </c>
      <c r="E186" s="338"/>
      <c r="F186" s="412"/>
      <c r="G186" s="413" t="str">
        <f>IF(ISBLANK(TInspectieW[[#This Row],[Soort gebrek]]),"",VLOOKUP(TInspectieW[[#This Row],[Soort gebrek]],TSoortGebrek[#Data],3,FALSE))</f>
        <v/>
      </c>
      <c r="H186" s="413" t="str">
        <f>IF(ISBLANK(TInspectieW[[#This Row],[Soort gebrek]]),"",VLOOKUP(TInspectieW[[#This Row],[Soort gebrek]],TSoortGebrek[#Data],2,FALSE))</f>
        <v/>
      </c>
      <c r="I186" s="413" t="str">
        <f>IF(TInspectieW[[#This Row],[Soort gebrek]]=0,"",VLOOKUP(TInspectieW[[#This Row],[Soort gebrek]],TSoortGebrek[],4,FALSE))</f>
        <v/>
      </c>
      <c r="J186" s="425"/>
      <c r="K186" s="415" t="str">
        <f>IF(TInspectieW[[#This Row],[Soort gebrek]]=0,"",VLOOKUP(TInspectieW[[#This Row],[Combi]],TPrio[#Data],2,FALSE))</f>
        <v/>
      </c>
      <c r="L186" s="339"/>
      <c r="M186" s="416" t="str">
        <f>IF(ISBLANK(TInspectieW[[#This Row],[Gebrek nr.]]),"",TInspectieW[[#This Row],[UVID]]&amp;"-"&amp;TInspectieW[[#This Row],[Gebrek nr.]])</f>
        <v/>
      </c>
      <c r="N186" s="417"/>
      <c r="O186" s="418"/>
      <c r="P186" s="206"/>
      <c r="Q186" s="193"/>
      <c r="R186" s="206"/>
      <c r="S186" s="206"/>
      <c r="T186" s="206"/>
      <c r="U186" s="206"/>
      <c r="V186" s="206"/>
      <c r="W186" s="419"/>
      <c r="X186" s="340">
        <f>[1]Inventarisatie!U187</f>
        <v>0</v>
      </c>
      <c r="Y186" s="420"/>
      <c r="Z186" s="421" t="str">
        <f>IF(ISBLANK(TInspectieW[[#This Row],[Aantal]]),"",ROUND(TInspectieW[[#This Row],[Kengetal]]*TInspectieW[[#This Row],[Aantal]],-1))</f>
        <v/>
      </c>
      <c r="AA186" s="422" t="str">
        <f>IF(TInspectieW[[#This Row],[Vak-groep]]="","1",VLOOKUP(C186,$J$2:$K$7,2,FALSE))</f>
        <v>1</v>
      </c>
      <c r="AB186" s="423" t="str">
        <f>CONCATENATE(TInspectieW[[#This Row],[Soort gebrek]],TInspectieW[[#This Row],[Trede]])</f>
        <v>1</v>
      </c>
      <c r="AC186" s="413" t="e">
        <v>#N/A</v>
      </c>
      <c r="AD186" s="413" t="e">
        <v>#N/A</v>
      </c>
      <c r="AE186" s="424">
        <v>0</v>
      </c>
    </row>
    <row r="187" spans="1:31" ht="10.5" x14ac:dyDescent="0.25">
      <c r="A187" s="337"/>
      <c r="B187" s="410" t="str">
        <f>IF(TInspectieW[[#This Row],[UVID]]="","",VLOOKUP(TInspectieW[[#This Row],[UVID]],TInventW[],2,FALSE))</f>
        <v/>
      </c>
      <c r="C187" s="365" t="str">
        <f>IF(TInspectieW[[#This Row],[UVID]]="","",VLOOKUP(TInspectieW[[#This Row],[UVID]],TInventW[],11,FALSE))</f>
        <v/>
      </c>
      <c r="D187" s="411" t="str">
        <f>IF(TInspectieW[[#This Row],[UVID]]="","",VLOOKUP(TInspectieW[[#This Row],[UVID]],TInventW[],3,FALSE))</f>
        <v/>
      </c>
      <c r="E187" s="338"/>
      <c r="F187" s="412"/>
      <c r="G187" s="413" t="str">
        <f>IF(ISBLANK(TInspectieW[[#This Row],[Soort gebrek]]),"",VLOOKUP(TInspectieW[[#This Row],[Soort gebrek]],TSoortGebrek[#Data],3,FALSE))</f>
        <v/>
      </c>
      <c r="H187" s="413" t="str">
        <f>IF(ISBLANK(TInspectieW[[#This Row],[Soort gebrek]]),"",VLOOKUP(TInspectieW[[#This Row],[Soort gebrek]],TSoortGebrek[#Data],2,FALSE))</f>
        <v/>
      </c>
      <c r="I187" s="413" t="str">
        <f>IF(TInspectieW[[#This Row],[Soort gebrek]]=0,"",VLOOKUP(TInspectieW[[#This Row],[Soort gebrek]],TSoortGebrek[],4,FALSE))</f>
        <v/>
      </c>
      <c r="J187" s="425"/>
      <c r="K187" s="415" t="str">
        <f>IF(TInspectieW[[#This Row],[Soort gebrek]]=0,"",VLOOKUP(TInspectieW[[#This Row],[Combi]],TPrio[#Data],2,FALSE))</f>
        <v/>
      </c>
      <c r="L187" s="339"/>
      <c r="M187" s="416" t="str">
        <f>IF(ISBLANK(TInspectieW[[#This Row],[Gebrek nr.]]),"",TInspectieW[[#This Row],[UVID]]&amp;"-"&amp;TInspectieW[[#This Row],[Gebrek nr.]])</f>
        <v/>
      </c>
      <c r="N187" s="417"/>
      <c r="O187" s="418"/>
      <c r="P187" s="206"/>
      <c r="Q187" s="193"/>
      <c r="R187" s="206"/>
      <c r="S187" s="206"/>
      <c r="T187" s="206"/>
      <c r="U187" s="206"/>
      <c r="V187" s="206"/>
      <c r="W187" s="419"/>
      <c r="X187" s="340">
        <f>[1]Inventarisatie!U188</f>
        <v>0</v>
      </c>
      <c r="Y187" s="420"/>
      <c r="Z187" s="421" t="str">
        <f>IF(ISBLANK(TInspectieW[[#This Row],[Aantal]]),"",ROUND(TInspectieW[[#This Row],[Kengetal]]*TInspectieW[[#This Row],[Aantal]],-1))</f>
        <v/>
      </c>
      <c r="AA187" s="422" t="str">
        <f>IF(TInspectieW[[#This Row],[Vak-groep]]="","1",VLOOKUP(C187,$J$2:$K$7,2,FALSE))</f>
        <v>1</v>
      </c>
      <c r="AB187" s="423" t="str">
        <f>CONCATENATE(TInspectieW[[#This Row],[Soort gebrek]],TInspectieW[[#This Row],[Trede]])</f>
        <v>1</v>
      </c>
      <c r="AC187" s="413" t="e">
        <v>#N/A</v>
      </c>
      <c r="AD187" s="413" t="e">
        <v>#N/A</v>
      </c>
      <c r="AE187" s="424">
        <v>0</v>
      </c>
    </row>
    <row r="188" spans="1:31" ht="10.5" x14ac:dyDescent="0.25">
      <c r="A188" s="337"/>
      <c r="B188" s="410" t="str">
        <f>IF(TInspectieW[[#This Row],[UVID]]="","",VLOOKUP(TInspectieW[[#This Row],[UVID]],TInventW[],2,FALSE))</f>
        <v/>
      </c>
      <c r="C188" s="365" t="str">
        <f>IF(TInspectieW[[#This Row],[UVID]]="","",VLOOKUP(TInspectieW[[#This Row],[UVID]],TInventW[],11,FALSE))</f>
        <v/>
      </c>
      <c r="D188" s="411" t="str">
        <f>IF(TInspectieW[[#This Row],[UVID]]="","",VLOOKUP(TInspectieW[[#This Row],[UVID]],TInventW[],3,FALSE))</f>
        <v/>
      </c>
      <c r="E188" s="338"/>
      <c r="F188" s="412"/>
      <c r="G188" s="413" t="str">
        <f>IF(ISBLANK(TInspectieW[[#This Row],[Soort gebrek]]),"",VLOOKUP(TInspectieW[[#This Row],[Soort gebrek]],TSoortGebrek[#Data],3,FALSE))</f>
        <v/>
      </c>
      <c r="H188" s="413" t="str">
        <f>IF(ISBLANK(TInspectieW[[#This Row],[Soort gebrek]]),"",VLOOKUP(TInspectieW[[#This Row],[Soort gebrek]],TSoortGebrek[#Data],2,FALSE))</f>
        <v/>
      </c>
      <c r="I188" s="413" t="str">
        <f>IF(TInspectieW[[#This Row],[Soort gebrek]]=0,"",VLOOKUP(TInspectieW[[#This Row],[Soort gebrek]],TSoortGebrek[],4,FALSE))</f>
        <v/>
      </c>
      <c r="J188" s="425"/>
      <c r="K188" s="415" t="str">
        <f>IF(TInspectieW[[#This Row],[Soort gebrek]]=0,"",VLOOKUP(TInspectieW[[#This Row],[Combi]],TPrio[#Data],2,FALSE))</f>
        <v/>
      </c>
      <c r="L188" s="339"/>
      <c r="M188" s="416" t="str">
        <f>IF(ISBLANK(TInspectieW[[#This Row],[Gebrek nr.]]),"",TInspectieW[[#This Row],[UVID]]&amp;"-"&amp;TInspectieW[[#This Row],[Gebrek nr.]])</f>
        <v/>
      </c>
      <c r="N188" s="417"/>
      <c r="O188" s="418"/>
      <c r="P188" s="206"/>
      <c r="Q188" s="193"/>
      <c r="R188" s="206"/>
      <c r="S188" s="206"/>
      <c r="T188" s="206"/>
      <c r="U188" s="206"/>
      <c r="V188" s="206"/>
      <c r="W188" s="419"/>
      <c r="X188" s="340">
        <f>[1]Inventarisatie!U189</f>
        <v>0</v>
      </c>
      <c r="Y188" s="420"/>
      <c r="Z188" s="421" t="str">
        <f>IF(ISBLANK(TInspectieW[[#This Row],[Aantal]]),"",ROUND(TInspectieW[[#This Row],[Kengetal]]*TInspectieW[[#This Row],[Aantal]],-1))</f>
        <v/>
      </c>
      <c r="AA188" s="422" t="str">
        <f>IF(TInspectieW[[#This Row],[Vak-groep]]="","1",VLOOKUP(C188,$J$2:$K$7,2,FALSE))</f>
        <v>1</v>
      </c>
      <c r="AB188" s="423" t="str">
        <f>CONCATENATE(TInspectieW[[#This Row],[Soort gebrek]],TInspectieW[[#This Row],[Trede]])</f>
        <v>1</v>
      </c>
      <c r="AC188" s="413" t="e">
        <v>#N/A</v>
      </c>
      <c r="AD188" s="413" t="e">
        <v>#N/A</v>
      </c>
      <c r="AE188" s="424">
        <v>0</v>
      </c>
    </row>
    <row r="189" spans="1:31" ht="10.5" x14ac:dyDescent="0.25">
      <c r="A189" s="337"/>
      <c r="B189" s="410" t="str">
        <f>IF(TInspectieW[[#This Row],[UVID]]="","",VLOOKUP(TInspectieW[[#This Row],[UVID]],TInventW[],2,FALSE))</f>
        <v/>
      </c>
      <c r="C189" s="365" t="str">
        <f>IF(TInspectieW[[#This Row],[UVID]]="","",VLOOKUP(TInspectieW[[#This Row],[UVID]],TInventW[],11,FALSE))</f>
        <v/>
      </c>
      <c r="D189" s="411" t="str">
        <f>IF(TInspectieW[[#This Row],[UVID]]="","",VLOOKUP(TInspectieW[[#This Row],[UVID]],TInventW[],3,FALSE))</f>
        <v/>
      </c>
      <c r="E189" s="338"/>
      <c r="F189" s="412"/>
      <c r="G189" s="413" t="str">
        <f>IF(ISBLANK(TInspectieW[[#This Row],[Soort gebrek]]),"",VLOOKUP(TInspectieW[[#This Row],[Soort gebrek]],TSoortGebrek[#Data],3,FALSE))</f>
        <v/>
      </c>
      <c r="H189" s="413" t="str">
        <f>IF(ISBLANK(TInspectieW[[#This Row],[Soort gebrek]]),"",VLOOKUP(TInspectieW[[#This Row],[Soort gebrek]],TSoortGebrek[#Data],2,FALSE))</f>
        <v/>
      </c>
      <c r="I189" s="413" t="str">
        <f>IF(TInspectieW[[#This Row],[Soort gebrek]]=0,"",VLOOKUP(TInspectieW[[#This Row],[Soort gebrek]],TSoortGebrek[],4,FALSE))</f>
        <v/>
      </c>
      <c r="J189" s="425"/>
      <c r="K189" s="415" t="str">
        <f>IF(TInspectieW[[#This Row],[Soort gebrek]]=0,"",VLOOKUP(TInspectieW[[#This Row],[Combi]],TPrio[#Data],2,FALSE))</f>
        <v/>
      </c>
      <c r="L189" s="339"/>
      <c r="M189" s="416" t="str">
        <f>IF(ISBLANK(TInspectieW[[#This Row],[Gebrek nr.]]),"",TInspectieW[[#This Row],[UVID]]&amp;"-"&amp;TInspectieW[[#This Row],[Gebrek nr.]])</f>
        <v/>
      </c>
      <c r="N189" s="417"/>
      <c r="O189" s="418"/>
      <c r="P189" s="206"/>
      <c r="Q189" s="193"/>
      <c r="R189" s="206"/>
      <c r="S189" s="206"/>
      <c r="T189" s="206"/>
      <c r="U189" s="206"/>
      <c r="V189" s="206"/>
      <c r="W189" s="419"/>
      <c r="X189" s="340">
        <f>[1]Inventarisatie!U190</f>
        <v>0</v>
      </c>
      <c r="Y189" s="420"/>
      <c r="Z189" s="421" t="str">
        <f>IF(ISBLANK(TInspectieW[[#This Row],[Aantal]]),"",ROUND(TInspectieW[[#This Row],[Kengetal]]*TInspectieW[[#This Row],[Aantal]],-1))</f>
        <v/>
      </c>
      <c r="AA189" s="422" t="str">
        <f>IF(TInspectieW[[#This Row],[Vak-groep]]="","1",VLOOKUP(C189,$J$2:$K$7,2,FALSE))</f>
        <v>1</v>
      </c>
      <c r="AB189" s="423" t="str">
        <f>CONCATENATE(TInspectieW[[#This Row],[Soort gebrek]],TInspectieW[[#This Row],[Trede]])</f>
        <v>1</v>
      </c>
      <c r="AC189" s="413" t="e">
        <v>#N/A</v>
      </c>
      <c r="AD189" s="413" t="e">
        <v>#N/A</v>
      </c>
      <c r="AE189" s="424">
        <v>0</v>
      </c>
    </row>
    <row r="190" spans="1:31" ht="10.5" x14ac:dyDescent="0.25">
      <c r="A190" s="337"/>
      <c r="B190" s="410" t="str">
        <f>IF(TInspectieW[[#This Row],[UVID]]="","",VLOOKUP(TInspectieW[[#This Row],[UVID]],TInventW[],2,FALSE))</f>
        <v/>
      </c>
      <c r="C190" s="365" t="str">
        <f>IF(TInspectieW[[#This Row],[UVID]]="","",VLOOKUP(TInspectieW[[#This Row],[UVID]],TInventW[],11,FALSE))</f>
        <v/>
      </c>
      <c r="D190" s="411" t="str">
        <f>IF(TInspectieW[[#This Row],[UVID]]="","",VLOOKUP(TInspectieW[[#This Row],[UVID]],TInventW[],3,FALSE))</f>
        <v/>
      </c>
      <c r="E190" s="338"/>
      <c r="F190" s="412"/>
      <c r="G190" s="413" t="str">
        <f>IF(ISBLANK(TInspectieW[[#This Row],[Soort gebrek]]),"",VLOOKUP(TInspectieW[[#This Row],[Soort gebrek]],TSoortGebrek[#Data],3,FALSE))</f>
        <v/>
      </c>
      <c r="H190" s="413" t="str">
        <f>IF(ISBLANK(TInspectieW[[#This Row],[Soort gebrek]]),"",VLOOKUP(TInspectieW[[#This Row],[Soort gebrek]],TSoortGebrek[#Data],2,FALSE))</f>
        <v/>
      </c>
      <c r="I190" s="413" t="str">
        <f>IF(TInspectieW[[#This Row],[Soort gebrek]]=0,"",VLOOKUP(TInspectieW[[#This Row],[Soort gebrek]],TSoortGebrek[],4,FALSE))</f>
        <v/>
      </c>
      <c r="J190" s="425"/>
      <c r="K190" s="415" t="str">
        <f>IF(TInspectieW[[#This Row],[Soort gebrek]]=0,"",VLOOKUP(TInspectieW[[#This Row],[Combi]],TPrio[#Data],2,FALSE))</f>
        <v/>
      </c>
      <c r="L190" s="339"/>
      <c r="M190" s="416" t="str">
        <f>IF(ISBLANK(TInspectieW[[#This Row],[Gebrek nr.]]),"",TInspectieW[[#This Row],[UVID]]&amp;"-"&amp;TInspectieW[[#This Row],[Gebrek nr.]])</f>
        <v/>
      </c>
      <c r="N190" s="417"/>
      <c r="O190" s="418"/>
      <c r="P190" s="206"/>
      <c r="Q190" s="193"/>
      <c r="R190" s="206"/>
      <c r="S190" s="206"/>
      <c r="T190" s="206"/>
      <c r="U190" s="206"/>
      <c r="V190" s="206"/>
      <c r="W190" s="419"/>
      <c r="X190" s="340">
        <f>[1]Inventarisatie!U191</f>
        <v>0</v>
      </c>
      <c r="Y190" s="420"/>
      <c r="Z190" s="421" t="str">
        <f>IF(ISBLANK(TInspectieW[[#This Row],[Aantal]]),"",ROUND(TInspectieW[[#This Row],[Kengetal]]*TInspectieW[[#This Row],[Aantal]],-1))</f>
        <v/>
      </c>
      <c r="AA190" s="422" t="str">
        <f>IF(TInspectieW[[#This Row],[Vak-groep]]="","1",VLOOKUP(C190,$J$2:$K$7,2,FALSE))</f>
        <v>1</v>
      </c>
      <c r="AB190" s="423" t="str">
        <f>CONCATENATE(TInspectieW[[#This Row],[Soort gebrek]],TInspectieW[[#This Row],[Trede]])</f>
        <v>1</v>
      </c>
      <c r="AC190" s="413" t="e">
        <v>#N/A</v>
      </c>
      <c r="AD190" s="413" t="e">
        <v>#N/A</v>
      </c>
      <c r="AE190" s="424">
        <v>0</v>
      </c>
    </row>
    <row r="191" spans="1:31" ht="10.5" x14ac:dyDescent="0.25">
      <c r="A191" s="337"/>
      <c r="B191" s="410" t="str">
        <f>IF(TInspectieW[[#This Row],[UVID]]="","",VLOOKUP(TInspectieW[[#This Row],[UVID]],TInventW[],2,FALSE))</f>
        <v/>
      </c>
      <c r="C191" s="365" t="str">
        <f>IF(TInspectieW[[#This Row],[UVID]]="","",VLOOKUP(TInspectieW[[#This Row],[UVID]],TInventW[],11,FALSE))</f>
        <v/>
      </c>
      <c r="D191" s="411" t="str">
        <f>IF(TInspectieW[[#This Row],[UVID]]="","",VLOOKUP(TInspectieW[[#This Row],[UVID]],TInventW[],3,FALSE))</f>
        <v/>
      </c>
      <c r="E191" s="338"/>
      <c r="F191" s="412"/>
      <c r="G191" s="413" t="str">
        <f>IF(ISBLANK(TInspectieW[[#This Row],[Soort gebrek]]),"",VLOOKUP(TInspectieW[[#This Row],[Soort gebrek]],TSoortGebrek[#Data],3,FALSE))</f>
        <v/>
      </c>
      <c r="H191" s="413" t="str">
        <f>IF(ISBLANK(TInspectieW[[#This Row],[Soort gebrek]]),"",VLOOKUP(TInspectieW[[#This Row],[Soort gebrek]],TSoortGebrek[#Data],2,FALSE))</f>
        <v/>
      </c>
      <c r="I191" s="413" t="str">
        <f>IF(TInspectieW[[#This Row],[Soort gebrek]]=0,"",VLOOKUP(TInspectieW[[#This Row],[Soort gebrek]],TSoortGebrek[],4,FALSE))</f>
        <v/>
      </c>
      <c r="J191" s="425"/>
      <c r="K191" s="415" t="str">
        <f>IF(TInspectieW[[#This Row],[Soort gebrek]]=0,"",VLOOKUP(TInspectieW[[#This Row],[Combi]],TPrio[#Data],2,FALSE))</f>
        <v/>
      </c>
      <c r="L191" s="339"/>
      <c r="M191" s="416" t="str">
        <f>IF(ISBLANK(TInspectieW[[#This Row],[Gebrek nr.]]),"",TInspectieW[[#This Row],[UVID]]&amp;"-"&amp;TInspectieW[[#This Row],[Gebrek nr.]])</f>
        <v/>
      </c>
      <c r="N191" s="417"/>
      <c r="O191" s="418"/>
      <c r="P191" s="206"/>
      <c r="Q191" s="193"/>
      <c r="R191" s="206"/>
      <c r="S191" s="206"/>
      <c r="T191" s="206"/>
      <c r="U191" s="206"/>
      <c r="V191" s="206"/>
      <c r="W191" s="419"/>
      <c r="X191" s="340">
        <f>[1]Inventarisatie!U192</f>
        <v>0</v>
      </c>
      <c r="Y191" s="420"/>
      <c r="Z191" s="421" t="str">
        <f>IF(ISBLANK(TInspectieW[[#This Row],[Aantal]]),"",ROUND(TInspectieW[[#This Row],[Kengetal]]*TInspectieW[[#This Row],[Aantal]],-1))</f>
        <v/>
      </c>
      <c r="AA191" s="422" t="str">
        <f>IF(TInspectieW[[#This Row],[Vak-groep]]="","1",VLOOKUP(C191,$J$2:$K$7,2,FALSE))</f>
        <v>1</v>
      </c>
      <c r="AB191" s="423" t="str">
        <f>CONCATENATE(TInspectieW[[#This Row],[Soort gebrek]],TInspectieW[[#This Row],[Trede]])</f>
        <v>1</v>
      </c>
      <c r="AC191" s="413" t="e">
        <v>#N/A</v>
      </c>
      <c r="AD191" s="413" t="e">
        <v>#N/A</v>
      </c>
      <c r="AE191" s="424">
        <v>0</v>
      </c>
    </row>
    <row r="192" spans="1:31" ht="10.5" x14ac:dyDescent="0.25">
      <c r="A192" s="337"/>
      <c r="B192" s="410" t="str">
        <f>IF(TInspectieW[[#This Row],[UVID]]="","",VLOOKUP(TInspectieW[[#This Row],[UVID]],TInventW[],2,FALSE))</f>
        <v/>
      </c>
      <c r="C192" s="365" t="str">
        <f>IF(TInspectieW[[#This Row],[UVID]]="","",VLOOKUP(TInspectieW[[#This Row],[UVID]],TInventW[],11,FALSE))</f>
        <v/>
      </c>
      <c r="D192" s="411" t="str">
        <f>IF(TInspectieW[[#This Row],[UVID]]="","",VLOOKUP(TInspectieW[[#This Row],[UVID]],TInventW[],3,FALSE))</f>
        <v/>
      </c>
      <c r="E192" s="338"/>
      <c r="F192" s="412"/>
      <c r="G192" s="413" t="str">
        <f>IF(ISBLANK(TInspectieW[[#This Row],[Soort gebrek]]),"",VLOOKUP(TInspectieW[[#This Row],[Soort gebrek]],TSoortGebrek[#Data],3,FALSE))</f>
        <v/>
      </c>
      <c r="H192" s="413" t="str">
        <f>IF(ISBLANK(TInspectieW[[#This Row],[Soort gebrek]]),"",VLOOKUP(TInspectieW[[#This Row],[Soort gebrek]],TSoortGebrek[#Data],2,FALSE))</f>
        <v/>
      </c>
      <c r="I192" s="413" t="str">
        <f>IF(TInspectieW[[#This Row],[Soort gebrek]]=0,"",VLOOKUP(TInspectieW[[#This Row],[Soort gebrek]],TSoortGebrek[],4,FALSE))</f>
        <v/>
      </c>
      <c r="J192" s="425"/>
      <c r="K192" s="415" t="str">
        <f>IF(TInspectieW[[#This Row],[Soort gebrek]]=0,"",VLOOKUP(TInspectieW[[#This Row],[Combi]],TPrio[#Data],2,FALSE))</f>
        <v/>
      </c>
      <c r="L192" s="339"/>
      <c r="M192" s="416" t="str">
        <f>IF(ISBLANK(TInspectieW[[#This Row],[Gebrek nr.]]),"",TInspectieW[[#This Row],[UVID]]&amp;"-"&amp;TInspectieW[[#This Row],[Gebrek nr.]])</f>
        <v/>
      </c>
      <c r="N192" s="417"/>
      <c r="O192" s="418"/>
      <c r="P192" s="206"/>
      <c r="Q192" s="193"/>
      <c r="R192" s="206"/>
      <c r="S192" s="206"/>
      <c r="T192" s="206"/>
      <c r="U192" s="206"/>
      <c r="V192" s="206"/>
      <c r="W192" s="419"/>
      <c r="X192" s="340">
        <f>[1]Inventarisatie!U193</f>
        <v>0</v>
      </c>
      <c r="Y192" s="420"/>
      <c r="Z192" s="421" t="str">
        <f>IF(ISBLANK(TInspectieW[[#This Row],[Aantal]]),"",ROUND(TInspectieW[[#This Row],[Kengetal]]*TInspectieW[[#This Row],[Aantal]],-1))</f>
        <v/>
      </c>
      <c r="AA192" s="422" t="str">
        <f>IF(TInspectieW[[#This Row],[Vak-groep]]="","1",VLOOKUP(C192,$J$2:$K$7,2,FALSE))</f>
        <v>1</v>
      </c>
      <c r="AB192" s="423" t="str">
        <f>CONCATENATE(TInspectieW[[#This Row],[Soort gebrek]],TInspectieW[[#This Row],[Trede]])</f>
        <v>1</v>
      </c>
      <c r="AC192" s="413" t="e">
        <v>#N/A</v>
      </c>
      <c r="AD192" s="413" t="e">
        <v>#N/A</v>
      </c>
      <c r="AE192" s="424">
        <v>0</v>
      </c>
    </row>
    <row r="193" spans="1:31" ht="10.5" x14ac:dyDescent="0.25">
      <c r="A193" s="337"/>
      <c r="B193" s="410" t="str">
        <f>IF(TInspectieW[[#This Row],[UVID]]="","",VLOOKUP(TInspectieW[[#This Row],[UVID]],TInventW[],2,FALSE))</f>
        <v/>
      </c>
      <c r="C193" s="365" t="str">
        <f>IF(TInspectieW[[#This Row],[UVID]]="","",VLOOKUP(TInspectieW[[#This Row],[UVID]],TInventW[],11,FALSE))</f>
        <v/>
      </c>
      <c r="D193" s="411" t="str">
        <f>IF(TInspectieW[[#This Row],[UVID]]="","",VLOOKUP(TInspectieW[[#This Row],[UVID]],TInventW[],3,FALSE))</f>
        <v/>
      </c>
      <c r="E193" s="338"/>
      <c r="F193" s="412"/>
      <c r="G193" s="413" t="str">
        <f>IF(ISBLANK(TInspectieW[[#This Row],[Soort gebrek]]),"",VLOOKUP(TInspectieW[[#This Row],[Soort gebrek]],TSoortGebrek[#Data],3,FALSE))</f>
        <v/>
      </c>
      <c r="H193" s="413" t="str">
        <f>IF(ISBLANK(TInspectieW[[#This Row],[Soort gebrek]]),"",VLOOKUP(TInspectieW[[#This Row],[Soort gebrek]],TSoortGebrek[#Data],2,FALSE))</f>
        <v/>
      </c>
      <c r="I193" s="413" t="str">
        <f>IF(TInspectieW[[#This Row],[Soort gebrek]]=0,"",VLOOKUP(TInspectieW[[#This Row],[Soort gebrek]],TSoortGebrek[],4,FALSE))</f>
        <v/>
      </c>
      <c r="J193" s="425"/>
      <c r="K193" s="415" t="str">
        <f>IF(TInspectieW[[#This Row],[Soort gebrek]]=0,"",VLOOKUP(TInspectieW[[#This Row],[Combi]],TPrio[#Data],2,FALSE))</f>
        <v/>
      </c>
      <c r="L193" s="339"/>
      <c r="M193" s="416" t="str">
        <f>IF(ISBLANK(TInspectieW[[#This Row],[Gebrek nr.]]),"",TInspectieW[[#This Row],[UVID]]&amp;"-"&amp;TInspectieW[[#This Row],[Gebrek nr.]])</f>
        <v/>
      </c>
      <c r="N193" s="417"/>
      <c r="O193" s="418"/>
      <c r="P193" s="206"/>
      <c r="Q193" s="193"/>
      <c r="R193" s="206"/>
      <c r="S193" s="206"/>
      <c r="T193" s="206"/>
      <c r="U193" s="206"/>
      <c r="V193" s="206"/>
      <c r="W193" s="419"/>
      <c r="X193" s="340">
        <f>[1]Inventarisatie!U194</f>
        <v>0</v>
      </c>
      <c r="Y193" s="420"/>
      <c r="Z193" s="421" t="str">
        <f>IF(ISBLANK(TInspectieW[[#This Row],[Aantal]]),"",ROUND(TInspectieW[[#This Row],[Kengetal]]*TInspectieW[[#This Row],[Aantal]],-1))</f>
        <v/>
      </c>
      <c r="AA193" s="422" t="str">
        <f>IF(TInspectieW[[#This Row],[Vak-groep]]="","1",VLOOKUP(C193,$J$2:$K$7,2,FALSE))</f>
        <v>1</v>
      </c>
      <c r="AB193" s="423" t="str">
        <f>CONCATENATE(TInspectieW[[#This Row],[Soort gebrek]],TInspectieW[[#This Row],[Trede]])</f>
        <v>1</v>
      </c>
      <c r="AC193" s="413" t="e">
        <v>#N/A</v>
      </c>
      <c r="AD193" s="413" t="e">
        <v>#N/A</v>
      </c>
      <c r="AE193" s="424">
        <v>0</v>
      </c>
    </row>
    <row r="194" spans="1:31" ht="10.5" x14ac:dyDescent="0.25">
      <c r="A194" s="337"/>
      <c r="B194" s="410" t="str">
        <f>IF(TInspectieW[[#This Row],[UVID]]="","",VLOOKUP(TInspectieW[[#This Row],[UVID]],TInventW[],2,FALSE))</f>
        <v/>
      </c>
      <c r="C194" s="365" t="str">
        <f>IF(TInspectieW[[#This Row],[UVID]]="","",VLOOKUP(TInspectieW[[#This Row],[UVID]],TInventW[],11,FALSE))</f>
        <v/>
      </c>
      <c r="D194" s="411" t="str">
        <f>IF(TInspectieW[[#This Row],[UVID]]="","",VLOOKUP(TInspectieW[[#This Row],[UVID]],TInventW[],3,FALSE))</f>
        <v/>
      </c>
      <c r="E194" s="338"/>
      <c r="F194" s="412"/>
      <c r="G194" s="413" t="str">
        <f>IF(ISBLANK(TInspectieW[[#This Row],[Soort gebrek]]),"",VLOOKUP(TInspectieW[[#This Row],[Soort gebrek]],TSoortGebrek[#Data],3,FALSE))</f>
        <v/>
      </c>
      <c r="H194" s="413" t="str">
        <f>IF(ISBLANK(TInspectieW[[#This Row],[Soort gebrek]]),"",VLOOKUP(TInspectieW[[#This Row],[Soort gebrek]],TSoortGebrek[#Data],2,FALSE))</f>
        <v/>
      </c>
      <c r="I194" s="413" t="str">
        <f>IF(TInspectieW[[#This Row],[Soort gebrek]]=0,"",VLOOKUP(TInspectieW[[#This Row],[Soort gebrek]],TSoortGebrek[],4,FALSE))</f>
        <v/>
      </c>
      <c r="J194" s="425"/>
      <c r="K194" s="415" t="str">
        <f>IF(TInspectieW[[#This Row],[Soort gebrek]]=0,"",VLOOKUP(TInspectieW[[#This Row],[Combi]],TPrio[#Data],2,FALSE))</f>
        <v/>
      </c>
      <c r="L194" s="339"/>
      <c r="M194" s="416" t="str">
        <f>IF(ISBLANK(TInspectieW[[#This Row],[Gebrek nr.]]),"",TInspectieW[[#This Row],[UVID]]&amp;"-"&amp;TInspectieW[[#This Row],[Gebrek nr.]])</f>
        <v/>
      </c>
      <c r="N194" s="417"/>
      <c r="O194" s="418"/>
      <c r="P194" s="206"/>
      <c r="Q194" s="193"/>
      <c r="R194" s="206"/>
      <c r="S194" s="419"/>
      <c r="T194" s="206"/>
      <c r="U194" s="206"/>
      <c r="V194" s="419"/>
      <c r="W194" s="419"/>
      <c r="X194" s="340">
        <f>[1]Inventarisatie!U195</f>
        <v>0</v>
      </c>
      <c r="Y194" s="420"/>
      <c r="Z194" s="421" t="str">
        <f>IF(ISBLANK(TInspectieW[[#This Row],[Aantal]]),"",ROUND(TInspectieW[[#This Row],[Kengetal]]*TInspectieW[[#This Row],[Aantal]],-1))</f>
        <v/>
      </c>
      <c r="AA194" s="422" t="str">
        <f>IF(TInspectieW[[#This Row],[Vak-groep]]="","1",VLOOKUP(C194,$J$2:$K$7,2,FALSE))</f>
        <v>1</v>
      </c>
      <c r="AB194" s="423" t="str">
        <f>CONCATENATE(TInspectieW[[#This Row],[Soort gebrek]],TInspectieW[[#This Row],[Trede]])</f>
        <v>1</v>
      </c>
      <c r="AC194" s="426" t="e">
        <v>#N/A</v>
      </c>
      <c r="AD194" s="426" t="e">
        <v>#N/A</v>
      </c>
      <c r="AE194" s="427">
        <v>0</v>
      </c>
    </row>
    <row r="195" spans="1:31" ht="10.5" x14ac:dyDescent="0.25">
      <c r="A195" s="629"/>
      <c r="B195" s="594" t="str">
        <f>IF(TInspectieW[[#This Row],[UVID]]="","",VLOOKUP(TInspectieW[[#This Row],[UVID]],TInventW[],2,FALSE))</f>
        <v/>
      </c>
      <c r="C195" s="626" t="str">
        <f>IF(TInspectieW[[#This Row],[UVID]]="","",VLOOKUP(TInspectieW[[#This Row],[UVID]],TInventW[],11,FALSE))</f>
        <v/>
      </c>
      <c r="D195" s="627" t="str">
        <f>IF(TInspectieW[[#This Row],[UVID]]="","",VLOOKUP(TInspectieW[[#This Row],[UVID]],TInventW[],3,FALSE))</f>
        <v/>
      </c>
      <c r="E195" s="628"/>
      <c r="F195" s="275"/>
      <c r="G195" s="620" t="str">
        <f>IF(ISBLANK(TInspectieW[[#This Row],[Soort gebrek]]),"",VLOOKUP(TInspectieW[[#This Row],[Soort gebrek]],TSoortGebrek[#Data],3,FALSE))</f>
        <v/>
      </c>
      <c r="H195" s="621" t="str">
        <f>IF(ISBLANK(TInspectieW[[#This Row],[Soort gebrek]]),"",VLOOKUP(TInspectieW[[#This Row],[Soort gebrek]],TSoortGebrek[#Data],2,FALSE))</f>
        <v/>
      </c>
      <c r="I195" s="620" t="str">
        <f>IF(TInspectieW[[#This Row],[Soort gebrek]]=0,"",VLOOKUP(TInspectieW[[#This Row],[Soort gebrek]],TSoortGebrek[],4,FALSE))</f>
        <v/>
      </c>
      <c r="J195" s="425"/>
      <c r="K195" s="622" t="str">
        <f>IF(TInspectieW[[#This Row],[Soort gebrek]]=0,"",VLOOKUP(TInspectieW[[#This Row],[Combi]],TPrio[#Data],2,FALSE))</f>
        <v/>
      </c>
      <c r="L195" s="339"/>
      <c r="M195" s="623" t="str">
        <f>IF(ISBLANK(TInspectieW[[#This Row],[Gebrek nr.]]),"",TInspectieW[[#This Row],[UVID]]&amp;"-"&amp;TInspectieW[[#This Row],[Gebrek nr.]])</f>
        <v/>
      </c>
      <c r="N195" s="268"/>
      <c r="O195" s="418"/>
      <c r="P195" s="206"/>
      <c r="Q195" s="203"/>
      <c r="R195" s="206"/>
      <c r="S195" s="206"/>
      <c r="T195" s="206"/>
      <c r="U195" s="206"/>
      <c r="V195" s="206"/>
      <c r="W195" s="282"/>
      <c r="X195" s="340">
        <f>[1]Inventarisatie!U196</f>
        <v>0</v>
      </c>
      <c r="Y195" s="420"/>
      <c r="Z195" s="624" t="str">
        <f>IF(ISBLANK(TInspectieW[[#This Row],[Aantal]]),"",ROUND(TInspectieW[[#This Row],[Kengetal]]*TInspectieW[[#This Row],[Aantal]],-1))</f>
        <v/>
      </c>
      <c r="AA195" s="625" t="str">
        <f>IF(TInspectieW[[#This Row],[Vak-groep]]="","1",VLOOKUP(C195,$J$2:$K$7,2,FALSE))</f>
        <v>1</v>
      </c>
      <c r="AB195" s="423" t="str">
        <f>CONCATENATE(TInspectieW[[#This Row],[Soort gebrek]],TInspectieW[[#This Row],[Trede]])</f>
        <v>1</v>
      </c>
      <c r="AC195" s="621"/>
      <c r="AD195" s="621"/>
      <c r="AE195" s="424"/>
    </row>
    <row r="196" spans="1:31" ht="10.5" x14ac:dyDescent="0.25">
      <c r="A196" s="629"/>
      <c r="B196" s="594" t="str">
        <f>IF(TInspectieW[[#This Row],[UVID]]="","",VLOOKUP(TInspectieW[[#This Row],[UVID]],TInventW[],2,FALSE))</f>
        <v/>
      </c>
      <c r="C196" s="626" t="str">
        <f>IF(TInspectieW[[#This Row],[UVID]]="","",VLOOKUP(TInspectieW[[#This Row],[UVID]],TInventW[],11,FALSE))</f>
        <v/>
      </c>
      <c r="D196" s="627" t="str">
        <f>IF(TInspectieW[[#This Row],[UVID]]="","",VLOOKUP(TInspectieW[[#This Row],[UVID]],TInventW[],3,FALSE))</f>
        <v/>
      </c>
      <c r="E196" s="628"/>
      <c r="F196" s="275"/>
      <c r="G196" s="620" t="str">
        <f>IF(ISBLANK(TInspectieW[[#This Row],[Soort gebrek]]),"",VLOOKUP(TInspectieW[[#This Row],[Soort gebrek]],TSoortGebrek[#Data],3,FALSE))</f>
        <v/>
      </c>
      <c r="H196" s="621" t="str">
        <f>IF(ISBLANK(TInspectieW[[#This Row],[Soort gebrek]]),"",VLOOKUP(TInspectieW[[#This Row],[Soort gebrek]],TSoortGebrek[#Data],2,FALSE))</f>
        <v/>
      </c>
      <c r="I196" s="620" t="str">
        <f>IF(TInspectieW[[#This Row],[Soort gebrek]]=0,"",VLOOKUP(TInspectieW[[#This Row],[Soort gebrek]],TSoortGebrek[],4,FALSE))</f>
        <v/>
      </c>
      <c r="J196" s="425"/>
      <c r="K196" s="622" t="str">
        <f>IF(TInspectieW[[#This Row],[Soort gebrek]]=0,"",VLOOKUP(TInspectieW[[#This Row],[Combi]],TPrio[#Data],2,FALSE))</f>
        <v/>
      </c>
      <c r="L196" s="339"/>
      <c r="M196" s="623" t="str">
        <f>IF(ISBLANK(TInspectieW[[#This Row],[Gebrek nr.]]),"",TInspectieW[[#This Row],[UVID]]&amp;"-"&amp;TInspectieW[[#This Row],[Gebrek nr.]])</f>
        <v/>
      </c>
      <c r="N196" s="268"/>
      <c r="O196" s="418"/>
      <c r="P196" s="206"/>
      <c r="Q196" s="203"/>
      <c r="R196" s="206"/>
      <c r="S196" s="206"/>
      <c r="T196" s="206"/>
      <c r="U196" s="206"/>
      <c r="V196" s="206"/>
      <c r="W196" s="282"/>
      <c r="X196" s="340">
        <f>[1]Inventarisatie!U197</f>
        <v>0</v>
      </c>
      <c r="Y196" s="420"/>
      <c r="Z196" s="624" t="str">
        <f>IF(ISBLANK(TInspectieW[[#This Row],[Aantal]]),"",ROUND(TInspectieW[[#This Row],[Kengetal]]*TInspectieW[[#This Row],[Aantal]],-1))</f>
        <v/>
      </c>
      <c r="AA196" s="625" t="str">
        <f>IF(TInspectieW[[#This Row],[Vak-groep]]="","1",VLOOKUP(C196,$J$2:$K$7,2,FALSE))</f>
        <v>1</v>
      </c>
      <c r="AB196" s="423" t="str">
        <f>CONCATENATE(TInspectieW[[#This Row],[Soort gebrek]],TInspectieW[[#This Row],[Trede]])</f>
        <v>1</v>
      </c>
      <c r="AC196" s="621"/>
      <c r="AD196" s="621"/>
      <c r="AE196" s="424"/>
    </row>
  </sheetData>
  <conditionalFormatting sqref="J3:J4">
    <cfRule type="expression" dxfId="42" priority="1">
      <formula>IF(Discipline="G",TRUE)</formula>
    </cfRule>
  </conditionalFormatting>
  <conditionalFormatting sqref="J6:K6">
    <cfRule type="expression" dxfId="41" priority="3">
      <formula>IF(Discipline="T",TRUE)</formula>
    </cfRule>
  </conditionalFormatting>
  <conditionalFormatting sqref="J7:K7">
    <cfRule type="expression" dxfId="40" priority="2">
      <formula>IF(Discipline="G",TRUE)</formula>
    </cfRule>
  </conditionalFormatting>
  <conditionalFormatting sqref="K4:K5">
    <cfRule type="expression" dxfId="39" priority="4">
      <formula>IF(Discipline="G",TRUE)</formula>
    </cfRule>
  </conditionalFormatting>
  <pageMargins left="0.7" right="0.7" top="0.75" bottom="0.75" header="0.3" footer="0.3"/>
  <pageSetup paperSize="9" orientation="portrait" r:id="rId1"/>
  <legacyDrawing r:id="rId2"/>
  <tableParts count="1">
    <tablePart r:id="rId3"/>
  </tableParts>
  <extLst>
    <ext xmlns:x14="http://schemas.microsoft.com/office/spreadsheetml/2009/9/main" uri="{CCE6A557-97BC-4b89-ADB6-D9C93CAAB3DF}">
      <x14:dataValidations xmlns:xm="http://schemas.microsoft.com/office/excel/2006/main" count="7">
        <x14:dataValidation type="list" allowBlank="1" showInputMessage="1" showErrorMessage="1" xr:uid="{2F38CBDE-E69C-4D76-AC2A-AA901A238C01}">
          <x14:formula1>
            <xm:f>'SBL-2024 (formules)'!$G$88:$G$224</xm:f>
          </x14:formula1>
          <xm:sqref>S10:S196</xm:sqref>
        </x14:dataValidation>
        <x14:dataValidation type="list" allowBlank="1" showInputMessage="1" showErrorMessage="1" xr:uid="{70ABE1A1-7F32-4BCB-9B77-6CD01F142899}">
          <x14:formula1>
            <xm:f>Herstelmaatregelen!$E$6:$E$19</xm:f>
          </x14:formula1>
          <xm:sqref>W10:W196</xm:sqref>
        </x14:dataValidation>
        <x14:dataValidation type="list" allowBlank="1" showInputMessage="1" showErrorMessage="1" xr:uid="{87078064-9986-432E-A1F0-AF5DCD23A17F}">
          <x14:formula1>
            <xm:f>'Menu''s'!$G$249:$G$255</xm:f>
          </x14:formula1>
          <xm:sqref>F10:F196</xm:sqref>
        </x14:dataValidation>
        <x14:dataValidation type="list" allowBlank="1" showInputMessage="1" xr:uid="{EBE225D8-7077-42BB-ACE6-920FD265CFBC}">
          <x14:formula1>
            <xm:f>'Menu''s'!$H$303:$H$306</xm:f>
          </x14:formula1>
          <xm:sqref>E10:E196</xm:sqref>
        </x14:dataValidation>
        <x14:dataValidation type="list" allowBlank="1" showInputMessage="1" showErrorMessage="1" xr:uid="{38C26112-30E4-42A5-BF3F-0CE0DB804B3E}">
          <x14:formula1>
            <xm:f>'Menu''s'!$H$260:$H$264</xm:f>
          </x14:formula1>
          <xm:sqref>Q10:Q196</xm:sqref>
        </x14:dataValidation>
        <x14:dataValidation type="list" allowBlank="1" showInputMessage="1" showErrorMessage="1" xr:uid="{4750FF6D-34FA-4E86-822B-A0B400C25913}">
          <x14:formula1>
            <xm:f>'Inventarisatie W'!$A$8:$A$59</xm:f>
          </x14:formula1>
          <xm:sqref>A10:A196</xm:sqref>
        </x14:dataValidation>
        <x14:dataValidation type="list" allowBlank="1" showInputMessage="1" showErrorMessage="1" xr:uid="{FB42E0D3-AD79-4F43-82EB-770985D2DD72}">
          <x14:formula1>
            <xm:f>'FUTP''s'!$E$3:$E$30</xm:f>
          </x14:formula1>
          <xm:sqref>V10:V196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68472-6222-4DF1-9BAC-2E3979166026}">
  <dimension ref="B1:W63"/>
  <sheetViews>
    <sheetView zoomScale="90" zoomScaleNormal="90" workbookViewId="0">
      <selection activeCell="T42" sqref="T42"/>
    </sheetView>
  </sheetViews>
  <sheetFormatPr defaultColWidth="9.140625" defaultRowHeight="15" x14ac:dyDescent="0.25"/>
  <cols>
    <col min="1" max="1" width="3.42578125" style="442" customWidth="1"/>
    <col min="2" max="2" width="30.5703125" style="442" customWidth="1"/>
    <col min="3" max="3" width="9.140625" style="442"/>
    <col min="4" max="4" width="13" style="442" bestFit="1" customWidth="1"/>
    <col min="5" max="5" width="13" style="442" customWidth="1"/>
    <col min="6" max="6" width="16.28515625" style="442" customWidth="1"/>
    <col min="7" max="7" width="31.85546875" style="442" customWidth="1"/>
    <col min="8" max="8" width="12.42578125" style="467" hidden="1" customWidth="1"/>
    <col min="9" max="9" width="6.42578125" style="467" hidden="1" customWidth="1"/>
    <col min="10" max="10" width="12.85546875" style="442" customWidth="1"/>
    <col min="11" max="13" width="12.85546875" style="442" hidden="1" customWidth="1"/>
    <col min="14" max="15" width="34.5703125" style="457" hidden="1" customWidth="1"/>
    <col min="16" max="16" width="10.5703125" style="442" hidden="1" customWidth="1"/>
    <col min="17" max="17" width="30.5703125" style="442" hidden="1" customWidth="1"/>
    <col min="18" max="18" width="17.42578125" style="442" hidden="1" customWidth="1"/>
    <col min="19" max="19" width="31.140625" style="442" hidden="1" customWidth="1"/>
    <col min="20" max="20" width="33.85546875" style="457" customWidth="1"/>
    <col min="21" max="22" width="9.140625" style="457"/>
    <col min="23" max="24" width="34.5703125" style="442" customWidth="1"/>
    <col min="25" max="16384" width="9.140625" style="442"/>
  </cols>
  <sheetData>
    <row r="1" spans="2:22" ht="14.25" x14ac:dyDescent="0.2">
      <c r="N1" s="442"/>
      <c r="O1" s="442"/>
      <c r="T1" s="442"/>
      <c r="U1" s="442"/>
      <c r="V1" s="442"/>
    </row>
    <row r="2" spans="2:22" ht="29.25" x14ac:dyDescent="0.35">
      <c r="B2" s="468" t="s">
        <v>754</v>
      </c>
      <c r="C2" s="469"/>
      <c r="D2" s="469"/>
      <c r="E2" s="469"/>
      <c r="F2" s="469"/>
      <c r="G2" s="469"/>
      <c r="H2" s="469"/>
      <c r="I2" s="469"/>
      <c r="J2" s="469"/>
      <c r="K2" s="469"/>
      <c r="L2" s="469"/>
      <c r="M2" s="469"/>
      <c r="N2" s="469"/>
      <c r="O2" s="442"/>
      <c r="P2" s="469"/>
      <c r="Q2" s="469"/>
      <c r="R2" s="469"/>
      <c r="S2" s="469"/>
      <c r="T2" s="442"/>
      <c r="U2" s="442"/>
      <c r="V2" s="442"/>
    </row>
    <row r="3" spans="2:22" ht="14.25" x14ac:dyDescent="0.2">
      <c r="B3" s="442" t="s">
        <v>856</v>
      </c>
      <c r="N3" s="442"/>
      <c r="O3" s="442"/>
      <c r="T3" s="442"/>
      <c r="U3" s="442"/>
      <c r="V3" s="442"/>
    </row>
    <row r="4" spans="2:22" s="536" customFormat="1" ht="42" x14ac:dyDescent="0.2">
      <c r="B4" s="535" t="s">
        <v>755</v>
      </c>
      <c r="C4" s="535" t="s">
        <v>756</v>
      </c>
      <c r="D4" s="535" t="s">
        <v>757</v>
      </c>
      <c r="E4" s="535" t="s">
        <v>579</v>
      </c>
      <c r="F4" s="535" t="s">
        <v>592</v>
      </c>
      <c r="G4" s="535" t="s">
        <v>758</v>
      </c>
      <c r="H4" s="535" t="s">
        <v>759</v>
      </c>
      <c r="I4" s="535" t="s">
        <v>760</v>
      </c>
      <c r="J4" s="535" t="s">
        <v>1265</v>
      </c>
      <c r="K4" s="535" t="s">
        <v>762</v>
      </c>
      <c r="L4" s="535" t="s">
        <v>763</v>
      </c>
      <c r="M4" s="535" t="s">
        <v>764</v>
      </c>
      <c r="N4" s="535" t="s">
        <v>765</v>
      </c>
      <c r="O4" s="535" t="s">
        <v>766</v>
      </c>
      <c r="P4" s="535" t="s">
        <v>767</v>
      </c>
      <c r="Q4" s="535" t="s">
        <v>768</v>
      </c>
      <c r="R4" s="535" t="s">
        <v>769</v>
      </c>
      <c r="S4" s="535" t="s">
        <v>770</v>
      </c>
      <c r="T4" s="535" t="s">
        <v>1268</v>
      </c>
    </row>
    <row r="5" spans="2:22" ht="31.5" x14ac:dyDescent="0.2">
      <c r="B5" s="478" t="s">
        <v>771</v>
      </c>
      <c r="C5" s="479">
        <v>411110</v>
      </c>
      <c r="D5" s="480" t="s">
        <v>380</v>
      </c>
      <c r="E5" s="481" t="s">
        <v>772</v>
      </c>
      <c r="F5" s="481" t="s">
        <v>628</v>
      </c>
      <c r="G5" s="482" t="s">
        <v>773</v>
      </c>
      <c r="H5" s="533" t="s">
        <v>774</v>
      </c>
      <c r="I5" s="534"/>
      <c r="J5" s="533" t="s">
        <v>775</v>
      </c>
      <c r="K5" s="533"/>
      <c r="L5" s="533" t="s">
        <v>677</v>
      </c>
      <c r="M5" s="533" t="s">
        <v>677</v>
      </c>
      <c r="N5" s="534"/>
      <c r="O5" s="534"/>
      <c r="P5" s="481">
        <v>411100</v>
      </c>
      <c r="Q5" s="481" t="s">
        <v>771</v>
      </c>
      <c r="R5" s="481" t="s">
        <v>776</v>
      </c>
      <c r="S5" s="481" t="s">
        <v>776</v>
      </c>
      <c r="T5" s="588" t="s">
        <v>1347</v>
      </c>
      <c r="U5" s="442"/>
      <c r="V5" s="442"/>
    </row>
    <row r="6" spans="2:22" ht="31.5" x14ac:dyDescent="0.2">
      <c r="B6" s="483" t="s">
        <v>777</v>
      </c>
      <c r="C6" s="479">
        <v>313230</v>
      </c>
      <c r="D6" s="480" t="s">
        <v>380</v>
      </c>
      <c r="E6" s="481" t="s">
        <v>905</v>
      </c>
      <c r="F6" s="481" t="s">
        <v>628</v>
      </c>
      <c r="G6" s="482" t="s">
        <v>1148</v>
      </c>
      <c r="H6" s="533" t="s">
        <v>774</v>
      </c>
      <c r="I6" s="534"/>
      <c r="J6" s="533" t="s">
        <v>778</v>
      </c>
      <c r="K6" s="533" t="s">
        <v>677</v>
      </c>
      <c r="L6" s="533" t="s">
        <v>677</v>
      </c>
      <c r="M6" s="533" t="s">
        <v>677</v>
      </c>
      <c r="N6" s="534"/>
      <c r="O6" s="534"/>
      <c r="P6" s="490" t="s">
        <v>779</v>
      </c>
      <c r="Q6" s="490"/>
      <c r="R6" s="490" t="s">
        <v>780</v>
      </c>
      <c r="S6" s="490" t="s">
        <v>781</v>
      </c>
      <c r="T6" s="588" t="s">
        <v>1346</v>
      </c>
      <c r="U6" s="442"/>
      <c r="V6" s="442"/>
    </row>
    <row r="7" spans="2:22" ht="14.25" x14ac:dyDescent="0.2">
      <c r="B7" s="478" t="s">
        <v>782</v>
      </c>
      <c r="C7" s="479">
        <v>312030</v>
      </c>
      <c r="D7" s="480" t="s">
        <v>380</v>
      </c>
      <c r="E7" s="481" t="s">
        <v>772</v>
      </c>
      <c r="F7" s="481" t="s">
        <v>628</v>
      </c>
      <c r="G7" s="482" t="s">
        <v>783</v>
      </c>
      <c r="H7" s="533" t="s">
        <v>774</v>
      </c>
      <c r="I7" s="534"/>
      <c r="J7" s="533" t="s">
        <v>778</v>
      </c>
      <c r="K7" s="533" t="s">
        <v>677</v>
      </c>
      <c r="L7" s="533" t="s">
        <v>677</v>
      </c>
      <c r="M7" s="533" t="s">
        <v>677</v>
      </c>
      <c r="N7" s="534"/>
      <c r="O7" s="534"/>
      <c r="P7" s="481">
        <v>310500</v>
      </c>
      <c r="Q7" s="481" t="s">
        <v>782</v>
      </c>
      <c r="R7" s="481" t="s">
        <v>776</v>
      </c>
      <c r="S7" s="481" t="s">
        <v>776</v>
      </c>
      <c r="T7" s="588" t="s">
        <v>1344</v>
      </c>
      <c r="U7" s="442"/>
      <c r="V7" s="442"/>
    </row>
    <row r="8" spans="2:22" ht="14.25" x14ac:dyDescent="0.2">
      <c r="B8" s="478" t="s">
        <v>784</v>
      </c>
      <c r="C8" s="479">
        <v>312050</v>
      </c>
      <c r="D8" s="480" t="s">
        <v>380</v>
      </c>
      <c r="E8" s="481" t="s">
        <v>772</v>
      </c>
      <c r="F8" s="481" t="s">
        <v>628</v>
      </c>
      <c r="G8" s="482" t="s">
        <v>783</v>
      </c>
      <c r="H8" s="533" t="s">
        <v>774</v>
      </c>
      <c r="I8" s="534"/>
      <c r="J8" s="533" t="s">
        <v>778</v>
      </c>
      <c r="K8" s="533" t="s">
        <v>677</v>
      </c>
      <c r="L8" s="533" t="s">
        <v>677</v>
      </c>
      <c r="M8" s="533" t="s">
        <v>677</v>
      </c>
      <c r="N8" s="534"/>
      <c r="O8" s="534"/>
      <c r="P8" s="481">
        <v>310520</v>
      </c>
      <c r="Q8" s="481" t="s">
        <v>784</v>
      </c>
      <c r="R8" s="481" t="s">
        <v>776</v>
      </c>
      <c r="S8" s="481" t="s">
        <v>776</v>
      </c>
      <c r="T8" s="588" t="s">
        <v>1345</v>
      </c>
      <c r="U8" s="442"/>
      <c r="V8" s="442"/>
    </row>
    <row r="9" spans="2:22" ht="14.25" x14ac:dyDescent="0.2">
      <c r="B9" s="478" t="s">
        <v>785</v>
      </c>
      <c r="C9" s="479">
        <v>312040</v>
      </c>
      <c r="D9" s="480" t="s">
        <v>380</v>
      </c>
      <c r="E9" s="481" t="s">
        <v>772</v>
      </c>
      <c r="F9" s="481" t="s">
        <v>628</v>
      </c>
      <c r="G9" s="482" t="s">
        <v>783</v>
      </c>
      <c r="H9" s="533" t="s">
        <v>774</v>
      </c>
      <c r="I9" s="534"/>
      <c r="J9" s="533" t="s">
        <v>778</v>
      </c>
      <c r="K9" s="533" t="s">
        <v>677</v>
      </c>
      <c r="L9" s="533" t="s">
        <v>677</v>
      </c>
      <c r="M9" s="533" t="s">
        <v>677</v>
      </c>
      <c r="N9" s="534"/>
      <c r="O9" s="534"/>
      <c r="P9" s="481">
        <v>310530</v>
      </c>
      <c r="Q9" s="481" t="s">
        <v>786</v>
      </c>
      <c r="R9" s="481" t="s">
        <v>776</v>
      </c>
      <c r="S9" s="481" t="s">
        <v>776</v>
      </c>
      <c r="T9" s="588" t="s">
        <v>1345</v>
      </c>
      <c r="U9" s="442"/>
      <c r="V9" s="442"/>
    </row>
    <row r="10" spans="2:22" ht="304.5" x14ac:dyDescent="0.2">
      <c r="B10" s="478" t="s">
        <v>787</v>
      </c>
      <c r="C10" s="479">
        <v>411210</v>
      </c>
      <c r="D10" s="480" t="s">
        <v>380</v>
      </c>
      <c r="E10" s="481" t="s">
        <v>772</v>
      </c>
      <c r="F10" s="481" t="s">
        <v>628</v>
      </c>
      <c r="G10" s="482" t="s">
        <v>73</v>
      </c>
      <c r="H10" s="533" t="s">
        <v>774</v>
      </c>
      <c r="I10" s="534"/>
      <c r="J10" s="533" t="s">
        <v>775</v>
      </c>
      <c r="K10" s="533" t="s">
        <v>677</v>
      </c>
      <c r="L10" s="533" t="s">
        <v>677</v>
      </c>
      <c r="M10" s="533" t="s">
        <v>677</v>
      </c>
      <c r="N10" s="534"/>
      <c r="O10" s="534"/>
      <c r="P10" s="481">
        <v>411200</v>
      </c>
      <c r="Q10" s="481" t="s">
        <v>787</v>
      </c>
      <c r="R10" s="481" t="s">
        <v>776</v>
      </c>
      <c r="S10" s="481" t="s">
        <v>776</v>
      </c>
      <c r="T10" s="588" t="s">
        <v>1348</v>
      </c>
      <c r="U10" s="442"/>
      <c r="V10" s="442"/>
    </row>
    <row r="11" spans="2:22" ht="42" x14ac:dyDescent="0.2">
      <c r="B11" s="478" t="s">
        <v>788</v>
      </c>
      <c r="C11" s="479">
        <v>222110</v>
      </c>
      <c r="D11" s="480" t="s">
        <v>380</v>
      </c>
      <c r="E11" s="481" t="s">
        <v>772</v>
      </c>
      <c r="F11" s="481" t="s">
        <v>628</v>
      </c>
      <c r="G11" s="482" t="s">
        <v>789</v>
      </c>
      <c r="H11" s="533" t="s">
        <v>774</v>
      </c>
      <c r="I11" s="534"/>
      <c r="J11" s="533" t="s">
        <v>775</v>
      </c>
      <c r="K11" s="533"/>
      <c r="L11" s="533" t="s">
        <v>677</v>
      </c>
      <c r="M11" s="533" t="s">
        <v>677</v>
      </c>
      <c r="N11" s="534"/>
      <c r="O11" s="534"/>
      <c r="P11" s="481">
        <v>222100</v>
      </c>
      <c r="Q11" s="481" t="s">
        <v>788</v>
      </c>
      <c r="R11" s="481" t="s">
        <v>776</v>
      </c>
      <c r="S11" s="481" t="s">
        <v>776</v>
      </c>
      <c r="T11" s="588" t="s">
        <v>1342</v>
      </c>
      <c r="U11" s="442"/>
      <c r="V11" s="442"/>
    </row>
    <row r="12" spans="2:22" ht="21" x14ac:dyDescent="0.2">
      <c r="B12" s="478" t="s">
        <v>790</v>
      </c>
      <c r="C12" s="479">
        <v>272010</v>
      </c>
      <c r="D12" s="480" t="s">
        <v>380</v>
      </c>
      <c r="E12" s="481" t="s">
        <v>772</v>
      </c>
      <c r="F12" s="481" t="s">
        <v>628</v>
      </c>
      <c r="G12" s="482" t="s">
        <v>791</v>
      </c>
      <c r="H12" s="533" t="s">
        <v>774</v>
      </c>
      <c r="I12" s="534"/>
      <c r="J12" s="533" t="s">
        <v>792</v>
      </c>
      <c r="K12" s="533" t="s">
        <v>677</v>
      </c>
      <c r="L12" s="533" t="s">
        <v>677</v>
      </c>
      <c r="M12" s="533" t="s">
        <v>677</v>
      </c>
      <c r="N12" s="534"/>
      <c r="O12" s="534"/>
      <c r="P12" s="481">
        <v>270100</v>
      </c>
      <c r="Q12" s="481" t="s">
        <v>790</v>
      </c>
      <c r="R12" s="481" t="s">
        <v>776</v>
      </c>
      <c r="S12" s="481" t="s">
        <v>776</v>
      </c>
      <c r="T12" s="588" t="s">
        <v>1343</v>
      </c>
      <c r="U12" s="442"/>
      <c r="V12" s="442"/>
    </row>
    <row r="13" spans="2:22" ht="94.5" x14ac:dyDescent="0.2">
      <c r="B13" s="478" t="s">
        <v>793</v>
      </c>
      <c r="C13" s="479">
        <v>471110</v>
      </c>
      <c r="D13" s="480" t="s">
        <v>380</v>
      </c>
      <c r="E13" s="481" t="s">
        <v>772</v>
      </c>
      <c r="F13" s="481" t="s">
        <v>628</v>
      </c>
      <c r="G13" s="482" t="s">
        <v>794</v>
      </c>
      <c r="H13" s="533" t="s">
        <v>774</v>
      </c>
      <c r="I13" s="534"/>
      <c r="J13" s="533" t="s">
        <v>792</v>
      </c>
      <c r="K13" s="533" t="s">
        <v>677</v>
      </c>
      <c r="L13" s="533" t="s">
        <v>677</v>
      </c>
      <c r="M13" s="533" t="s">
        <v>677</v>
      </c>
      <c r="N13" s="534"/>
      <c r="O13" s="534"/>
      <c r="P13" s="481">
        <v>471100</v>
      </c>
      <c r="Q13" s="481" t="s">
        <v>795</v>
      </c>
      <c r="R13" s="481" t="s">
        <v>796</v>
      </c>
      <c r="S13" s="481" t="s">
        <v>797</v>
      </c>
      <c r="T13" s="588" t="s">
        <v>1349</v>
      </c>
      <c r="U13" s="442"/>
      <c r="V13" s="442"/>
    </row>
    <row r="14" spans="2:22" ht="126" x14ac:dyDescent="0.2">
      <c r="B14" s="478" t="s">
        <v>798</v>
      </c>
      <c r="C14" s="479">
        <v>471210</v>
      </c>
      <c r="D14" s="484" t="s">
        <v>380</v>
      </c>
      <c r="E14" s="481" t="s">
        <v>1170</v>
      </c>
      <c r="F14" s="481" t="s">
        <v>628</v>
      </c>
      <c r="G14" s="482" t="s">
        <v>800</v>
      </c>
      <c r="H14" s="533" t="s">
        <v>801</v>
      </c>
      <c r="I14" s="534"/>
      <c r="J14" s="533" t="s">
        <v>792</v>
      </c>
      <c r="K14" s="533" t="s">
        <v>677</v>
      </c>
      <c r="L14" s="533" t="s">
        <v>677</v>
      </c>
      <c r="M14" s="533" t="s">
        <v>677</v>
      </c>
      <c r="N14" s="534" t="s">
        <v>802</v>
      </c>
      <c r="O14" s="534" t="s">
        <v>802</v>
      </c>
      <c r="P14" s="481">
        <v>471200</v>
      </c>
      <c r="Q14" s="481" t="s">
        <v>798</v>
      </c>
      <c r="R14" s="481" t="s">
        <v>803</v>
      </c>
      <c r="S14" s="481" t="s">
        <v>804</v>
      </c>
      <c r="T14" s="588" t="s">
        <v>1350</v>
      </c>
      <c r="U14" s="442"/>
      <c r="V14" s="442"/>
    </row>
    <row r="15" spans="2:22" ht="14.25" x14ac:dyDescent="0.2">
      <c r="B15" s="482" t="s">
        <v>805</v>
      </c>
      <c r="C15" s="485">
        <v>210010</v>
      </c>
      <c r="D15" s="481" t="s">
        <v>380</v>
      </c>
      <c r="E15" s="481" t="s">
        <v>772</v>
      </c>
      <c r="F15" s="481" t="s">
        <v>628</v>
      </c>
      <c r="G15" s="482" t="s">
        <v>73</v>
      </c>
      <c r="H15" s="533" t="s">
        <v>774</v>
      </c>
      <c r="I15" s="534"/>
      <c r="J15" s="533" t="s">
        <v>775</v>
      </c>
      <c r="K15" s="533" t="s">
        <v>677</v>
      </c>
      <c r="L15" s="533" t="s">
        <v>677</v>
      </c>
      <c r="M15" s="533" t="s">
        <v>677</v>
      </c>
      <c r="N15" s="534"/>
      <c r="O15" s="534"/>
      <c r="P15" s="481">
        <v>210000</v>
      </c>
      <c r="Q15" s="481" t="s">
        <v>805</v>
      </c>
      <c r="R15" s="481" t="s">
        <v>776</v>
      </c>
      <c r="S15" s="481" t="s">
        <v>776</v>
      </c>
      <c r="T15" s="588" t="s">
        <v>1340</v>
      </c>
      <c r="U15" s="442"/>
      <c r="V15" s="442"/>
    </row>
    <row r="16" spans="2:22" ht="52.5" x14ac:dyDescent="0.2">
      <c r="B16" s="482" t="s">
        <v>806</v>
      </c>
      <c r="C16" s="485">
        <v>312010</v>
      </c>
      <c r="D16" s="481" t="s">
        <v>380</v>
      </c>
      <c r="E16" s="481" t="s">
        <v>772</v>
      </c>
      <c r="F16" s="481" t="s">
        <v>628</v>
      </c>
      <c r="G16" s="482" t="s">
        <v>783</v>
      </c>
      <c r="H16" s="533" t="s">
        <v>774</v>
      </c>
      <c r="I16" s="534"/>
      <c r="J16" s="533" t="s">
        <v>778</v>
      </c>
      <c r="K16" s="533" t="s">
        <v>677</v>
      </c>
      <c r="L16" s="533" t="s">
        <v>677</v>
      </c>
      <c r="M16" s="533" t="s">
        <v>677</v>
      </c>
      <c r="N16" s="534"/>
      <c r="O16" s="534"/>
      <c r="P16" s="481">
        <v>310100</v>
      </c>
      <c r="Q16" s="481" t="s">
        <v>806</v>
      </c>
      <c r="R16" s="481" t="s">
        <v>776</v>
      </c>
      <c r="S16" s="481" t="s">
        <v>776</v>
      </c>
      <c r="T16" s="588" t="s">
        <v>1341</v>
      </c>
      <c r="U16" s="442"/>
      <c r="V16" s="442"/>
    </row>
    <row r="17" spans="2:23" ht="14.25" x14ac:dyDescent="0.2">
      <c r="B17" s="482" t="s">
        <v>807</v>
      </c>
      <c r="C17" s="485">
        <v>281210</v>
      </c>
      <c r="D17" s="481" t="s">
        <v>380</v>
      </c>
      <c r="E17" s="481" t="s">
        <v>772</v>
      </c>
      <c r="F17" s="481" t="s">
        <v>628</v>
      </c>
      <c r="G17" s="482" t="s">
        <v>808</v>
      </c>
      <c r="H17" s="533" t="s">
        <v>774</v>
      </c>
      <c r="I17" s="534"/>
      <c r="J17" s="533" t="s">
        <v>809</v>
      </c>
      <c r="K17" s="533"/>
      <c r="L17" s="533" t="s">
        <v>677</v>
      </c>
      <c r="M17" s="533" t="s">
        <v>677</v>
      </c>
      <c r="N17" s="534"/>
      <c r="O17" s="534"/>
      <c r="P17" s="481">
        <v>281200</v>
      </c>
      <c r="Q17" s="481" t="s">
        <v>807</v>
      </c>
      <c r="R17" s="481" t="s">
        <v>776</v>
      </c>
      <c r="S17" s="481" t="s">
        <v>776</v>
      </c>
      <c r="T17" s="588" t="s">
        <v>1340</v>
      </c>
      <c r="U17" s="442"/>
      <c r="V17" s="442"/>
    </row>
    <row r="18" spans="2:23" ht="14.25" x14ac:dyDescent="0.2">
      <c r="B18" s="482" t="s">
        <v>810</v>
      </c>
      <c r="C18" s="485">
        <v>281120</v>
      </c>
      <c r="D18" s="481" t="s">
        <v>380</v>
      </c>
      <c r="E18" s="481" t="s">
        <v>772</v>
      </c>
      <c r="F18" s="481" t="s">
        <v>628</v>
      </c>
      <c r="G18" s="482" t="s">
        <v>73</v>
      </c>
      <c r="H18" s="533" t="s">
        <v>774</v>
      </c>
      <c r="I18" s="534"/>
      <c r="J18" s="533" t="s">
        <v>809</v>
      </c>
      <c r="K18" s="533"/>
      <c r="L18" s="533" t="s">
        <v>677</v>
      </c>
      <c r="M18" s="533" t="s">
        <v>677</v>
      </c>
      <c r="N18" s="534"/>
      <c r="O18" s="534"/>
      <c r="P18" s="481">
        <v>281100</v>
      </c>
      <c r="Q18" s="481" t="s">
        <v>810</v>
      </c>
      <c r="R18" s="481" t="s">
        <v>776</v>
      </c>
      <c r="S18" s="481" t="s">
        <v>776</v>
      </c>
      <c r="T18" s="588" t="s">
        <v>1340</v>
      </c>
      <c r="U18" s="442"/>
      <c r="V18" s="442"/>
    </row>
    <row r="19" spans="2:23" ht="52.5" x14ac:dyDescent="0.2">
      <c r="B19" s="482" t="s">
        <v>811</v>
      </c>
      <c r="C19" s="485">
        <v>211410</v>
      </c>
      <c r="D19" s="481" t="s">
        <v>380</v>
      </c>
      <c r="E19" s="481" t="s">
        <v>772</v>
      </c>
      <c r="F19" s="481" t="s">
        <v>628</v>
      </c>
      <c r="G19" s="482" t="s">
        <v>783</v>
      </c>
      <c r="H19" s="533" t="s">
        <v>774</v>
      </c>
      <c r="I19" s="534"/>
      <c r="J19" s="533" t="s">
        <v>778</v>
      </c>
      <c r="K19" s="533" t="s">
        <v>677</v>
      </c>
      <c r="L19" s="533" t="s">
        <v>677</v>
      </c>
      <c r="M19" s="533" t="s">
        <v>677</v>
      </c>
      <c r="N19" s="534"/>
      <c r="O19" s="534"/>
      <c r="P19" s="481">
        <v>310400</v>
      </c>
      <c r="Q19" s="481" t="s">
        <v>811</v>
      </c>
      <c r="R19" s="481" t="s">
        <v>776</v>
      </c>
      <c r="S19" s="481" t="s">
        <v>776</v>
      </c>
      <c r="T19" s="588" t="s">
        <v>1341</v>
      </c>
      <c r="U19" s="442"/>
      <c r="V19" s="442"/>
    </row>
    <row r="21" spans="2:23" x14ac:dyDescent="0.25">
      <c r="B21" s="442" t="s">
        <v>857</v>
      </c>
    </row>
    <row r="22" spans="2:23" ht="52.5" x14ac:dyDescent="0.25">
      <c r="B22" s="486" t="s">
        <v>755</v>
      </c>
      <c r="C22" s="487" t="s">
        <v>756</v>
      </c>
      <c r="D22" s="487" t="s">
        <v>757</v>
      </c>
      <c r="E22" s="487" t="s">
        <v>579</v>
      </c>
      <c r="F22" s="487" t="s">
        <v>592</v>
      </c>
      <c r="G22" s="488" t="s">
        <v>758</v>
      </c>
      <c r="H22" s="487" t="s">
        <v>759</v>
      </c>
      <c r="I22" s="487" t="s">
        <v>760</v>
      </c>
      <c r="J22" s="537" t="s">
        <v>1266</v>
      </c>
      <c r="K22" s="487" t="s">
        <v>762</v>
      </c>
      <c r="L22" s="487" t="s">
        <v>763</v>
      </c>
      <c r="M22" s="487" t="s">
        <v>764</v>
      </c>
      <c r="N22" s="487" t="s">
        <v>765</v>
      </c>
      <c r="O22" s="487" t="s">
        <v>766</v>
      </c>
      <c r="P22" s="487" t="s">
        <v>767</v>
      </c>
      <c r="Q22" s="487" t="s">
        <v>768</v>
      </c>
      <c r="R22" s="487" t="s">
        <v>769</v>
      </c>
      <c r="S22" s="487" t="s">
        <v>770</v>
      </c>
      <c r="T22" s="487" t="s">
        <v>1268</v>
      </c>
      <c r="W22" s="457"/>
    </row>
    <row r="23" spans="2:23" ht="31.5" x14ac:dyDescent="0.25">
      <c r="B23" s="491" t="s">
        <v>910</v>
      </c>
      <c r="C23" s="485">
        <v>634010</v>
      </c>
      <c r="D23" s="490" t="s">
        <v>381</v>
      </c>
      <c r="E23" s="490" t="s">
        <v>905</v>
      </c>
      <c r="F23" s="490" t="s">
        <v>628</v>
      </c>
      <c r="G23" s="483" t="s">
        <v>911</v>
      </c>
      <c r="H23" s="532" t="s">
        <v>801</v>
      </c>
      <c r="I23" s="532"/>
      <c r="J23" s="532" t="s">
        <v>1188</v>
      </c>
      <c r="K23" s="532"/>
      <c r="L23" s="532" t="s">
        <v>677</v>
      </c>
      <c r="M23" s="532" t="s">
        <v>677</v>
      </c>
      <c r="N23" s="532" t="s">
        <v>1189</v>
      </c>
      <c r="O23" s="532"/>
      <c r="P23" s="532">
        <v>863210</v>
      </c>
      <c r="Q23" s="532" t="s">
        <v>1190</v>
      </c>
      <c r="R23" s="532" t="s">
        <v>776</v>
      </c>
      <c r="S23" s="532" t="s">
        <v>1191</v>
      </c>
      <c r="T23" s="590" t="s">
        <v>1355</v>
      </c>
      <c r="W23" s="457"/>
    </row>
    <row r="24" spans="2:23" ht="21" x14ac:dyDescent="0.25">
      <c r="B24" s="491" t="s">
        <v>912</v>
      </c>
      <c r="C24" s="485">
        <v>611510</v>
      </c>
      <c r="D24" s="490" t="s">
        <v>381</v>
      </c>
      <c r="E24" s="490" t="s">
        <v>905</v>
      </c>
      <c r="F24" s="490" t="s">
        <v>1279</v>
      </c>
      <c r="G24" s="483" t="s">
        <v>800</v>
      </c>
      <c r="H24" s="490" t="s">
        <v>774</v>
      </c>
      <c r="I24" s="490"/>
      <c r="J24" s="490" t="s">
        <v>1192</v>
      </c>
      <c r="K24" s="490" t="s">
        <v>677</v>
      </c>
      <c r="L24" s="490" t="s">
        <v>677</v>
      </c>
      <c r="M24" s="490" t="s">
        <v>677</v>
      </c>
      <c r="N24" s="490"/>
      <c r="O24" s="490"/>
      <c r="P24" s="490">
        <v>861114</v>
      </c>
      <c r="Q24" s="490" t="s">
        <v>1193</v>
      </c>
      <c r="R24" s="490" t="s">
        <v>1194</v>
      </c>
      <c r="S24" s="490" t="s">
        <v>1195</v>
      </c>
      <c r="T24" s="588" t="s">
        <v>1357</v>
      </c>
      <c r="W24" s="457"/>
    </row>
    <row r="25" spans="2:23" ht="63" x14ac:dyDescent="0.25">
      <c r="B25" s="492" t="s">
        <v>914</v>
      </c>
      <c r="C25" s="479">
        <v>632010</v>
      </c>
      <c r="D25" s="493" t="s">
        <v>381</v>
      </c>
      <c r="E25" s="493" t="s">
        <v>905</v>
      </c>
      <c r="F25" s="493" t="s">
        <v>909</v>
      </c>
      <c r="G25" s="494" t="s">
        <v>911</v>
      </c>
      <c r="H25" s="493" t="s">
        <v>774</v>
      </c>
      <c r="I25" s="493"/>
      <c r="J25" s="493" t="s">
        <v>1188</v>
      </c>
      <c r="K25" s="493" t="s">
        <v>677</v>
      </c>
      <c r="L25" s="493" t="s">
        <v>677</v>
      </c>
      <c r="M25" s="493" t="s">
        <v>677</v>
      </c>
      <c r="N25" s="493"/>
      <c r="O25" s="493"/>
      <c r="P25" s="493">
        <v>863140</v>
      </c>
      <c r="Q25" s="493" t="s">
        <v>1196</v>
      </c>
      <c r="R25" s="493" t="s">
        <v>776</v>
      </c>
      <c r="S25" s="493" t="s">
        <v>776</v>
      </c>
      <c r="T25" s="588" t="s">
        <v>1367</v>
      </c>
      <c r="W25" s="457"/>
    </row>
    <row r="27" spans="2:23" x14ac:dyDescent="0.25">
      <c r="B27" s="442" t="s">
        <v>915</v>
      </c>
    </row>
    <row r="28" spans="2:23" ht="52.5" x14ac:dyDescent="0.25">
      <c r="B28" s="486" t="s">
        <v>755</v>
      </c>
      <c r="C28" s="487" t="s">
        <v>756</v>
      </c>
      <c r="D28" s="487" t="s">
        <v>757</v>
      </c>
      <c r="E28" s="487" t="s">
        <v>579</v>
      </c>
      <c r="F28" s="487" t="s">
        <v>592</v>
      </c>
      <c r="G28" s="488" t="s">
        <v>758</v>
      </c>
      <c r="H28" s="487" t="s">
        <v>759</v>
      </c>
      <c r="I28" s="487" t="s">
        <v>760</v>
      </c>
      <c r="J28" s="537" t="s">
        <v>1266</v>
      </c>
      <c r="K28" s="487" t="s">
        <v>762</v>
      </c>
      <c r="L28" s="487" t="s">
        <v>763</v>
      </c>
      <c r="M28" s="487" t="s">
        <v>764</v>
      </c>
      <c r="N28" s="487" t="s">
        <v>765</v>
      </c>
      <c r="O28" s="487" t="s">
        <v>766</v>
      </c>
      <c r="P28" s="487" t="s">
        <v>767</v>
      </c>
      <c r="Q28" s="487" t="s">
        <v>768</v>
      </c>
      <c r="R28" s="487" t="s">
        <v>769</v>
      </c>
      <c r="S28" s="487" t="s">
        <v>770</v>
      </c>
      <c r="T28" s="487" t="s">
        <v>1268</v>
      </c>
      <c r="W28" s="457"/>
    </row>
    <row r="29" spans="2:23" ht="31.5" x14ac:dyDescent="0.25">
      <c r="B29" s="485" t="s">
        <v>1052</v>
      </c>
      <c r="C29" s="490">
        <v>568010</v>
      </c>
      <c r="D29" s="481" t="s">
        <v>382</v>
      </c>
      <c r="E29" s="481" t="s">
        <v>905</v>
      </c>
      <c r="F29" s="481" t="s">
        <v>1053</v>
      </c>
      <c r="G29" s="482" t="s">
        <v>1054</v>
      </c>
      <c r="H29" s="533" t="s">
        <v>774</v>
      </c>
      <c r="I29" s="534"/>
      <c r="J29" s="533" t="s">
        <v>1197</v>
      </c>
      <c r="K29" s="533" t="s">
        <v>677</v>
      </c>
      <c r="L29" s="533" t="s">
        <v>677</v>
      </c>
      <c r="M29" s="533" t="s">
        <v>677</v>
      </c>
      <c r="N29" s="534"/>
      <c r="O29" s="534"/>
      <c r="P29" s="481">
        <v>856117</v>
      </c>
      <c r="Q29" s="481" t="s">
        <v>1052</v>
      </c>
      <c r="R29" s="481" t="s">
        <v>776</v>
      </c>
      <c r="S29" s="481" t="s">
        <v>776</v>
      </c>
      <c r="T29" s="589" t="s">
        <v>1362</v>
      </c>
      <c r="W29" s="457"/>
    </row>
    <row r="30" spans="2:23" ht="31.5" x14ac:dyDescent="0.25">
      <c r="B30" s="538" t="s">
        <v>1055</v>
      </c>
      <c r="C30" s="493">
        <v>572210</v>
      </c>
      <c r="D30" s="481" t="s">
        <v>382</v>
      </c>
      <c r="E30" s="481" t="s">
        <v>905</v>
      </c>
      <c r="F30" s="481" t="s">
        <v>1056</v>
      </c>
      <c r="G30" s="482" t="s">
        <v>1057</v>
      </c>
      <c r="H30" s="533" t="s">
        <v>774</v>
      </c>
      <c r="I30" s="534"/>
      <c r="J30" s="533" t="s">
        <v>1198</v>
      </c>
      <c r="K30" s="533" t="s">
        <v>677</v>
      </c>
      <c r="L30" s="533" t="s">
        <v>677</v>
      </c>
      <c r="M30" s="533" t="s">
        <v>677</v>
      </c>
      <c r="N30" s="534"/>
      <c r="O30" s="534"/>
      <c r="P30" s="481">
        <v>857200</v>
      </c>
      <c r="Q30" s="481" t="s">
        <v>1055</v>
      </c>
      <c r="R30" s="481" t="s">
        <v>1199</v>
      </c>
      <c r="S30" s="481" t="s">
        <v>1200</v>
      </c>
      <c r="T30" s="588" t="s">
        <v>1354</v>
      </c>
      <c r="W30" s="457"/>
    </row>
    <row r="31" spans="2:23" ht="21" x14ac:dyDescent="0.25">
      <c r="B31" s="538" t="s">
        <v>1058</v>
      </c>
      <c r="C31" s="493">
        <v>552310</v>
      </c>
      <c r="D31" s="481" t="s">
        <v>382</v>
      </c>
      <c r="E31" s="481" t="s">
        <v>905</v>
      </c>
      <c r="F31" s="481" t="s">
        <v>1059</v>
      </c>
      <c r="G31" s="482" t="s">
        <v>1060</v>
      </c>
      <c r="H31" s="533" t="s">
        <v>774</v>
      </c>
      <c r="I31" s="534"/>
      <c r="J31" s="533" t="s">
        <v>1201</v>
      </c>
      <c r="K31" s="533" t="s">
        <v>677</v>
      </c>
      <c r="L31" s="533" t="s">
        <v>677</v>
      </c>
      <c r="M31" s="533" t="s">
        <v>677</v>
      </c>
      <c r="N31" s="534"/>
      <c r="O31" s="534"/>
      <c r="P31" s="481">
        <v>851540</v>
      </c>
      <c r="Q31" s="481" t="s">
        <v>1202</v>
      </c>
      <c r="R31" s="481" t="s">
        <v>1203</v>
      </c>
      <c r="S31" s="481" t="s">
        <v>1058</v>
      </c>
      <c r="T31" s="588" t="s">
        <v>1358</v>
      </c>
      <c r="W31" s="457"/>
    </row>
    <row r="32" spans="2:23" x14ac:dyDescent="0.25">
      <c r="B32" s="538" t="s">
        <v>1061</v>
      </c>
      <c r="C32" s="493">
        <v>532030</v>
      </c>
      <c r="D32" s="481" t="s">
        <v>382</v>
      </c>
      <c r="E32" s="481" t="s">
        <v>905</v>
      </c>
      <c r="F32" s="481" t="s">
        <v>1062</v>
      </c>
      <c r="G32" s="482" t="s">
        <v>84</v>
      </c>
      <c r="H32" s="533" t="s">
        <v>774</v>
      </c>
      <c r="I32" s="534"/>
      <c r="J32" s="533" t="s">
        <v>1204</v>
      </c>
      <c r="K32" s="533"/>
      <c r="L32" s="533" t="s">
        <v>677</v>
      </c>
      <c r="M32" s="533" t="s">
        <v>677</v>
      </c>
      <c r="N32" s="534"/>
      <c r="O32" s="534"/>
      <c r="P32" s="481">
        <v>853208</v>
      </c>
      <c r="Q32" s="481" t="s">
        <v>1205</v>
      </c>
      <c r="R32" s="481" t="s">
        <v>776</v>
      </c>
      <c r="S32" s="481" t="s">
        <v>776</v>
      </c>
      <c r="T32" s="588" t="s">
        <v>1345</v>
      </c>
      <c r="W32" s="457"/>
    </row>
    <row r="33" spans="2:23" ht="31.5" x14ac:dyDescent="0.25">
      <c r="B33" s="538" t="s">
        <v>1063</v>
      </c>
      <c r="C33" s="493">
        <v>562130</v>
      </c>
      <c r="D33" s="481" t="s">
        <v>382</v>
      </c>
      <c r="E33" s="481" t="s">
        <v>905</v>
      </c>
      <c r="F33" s="481" t="s">
        <v>1056</v>
      </c>
      <c r="G33" s="482" t="s">
        <v>1064</v>
      </c>
      <c r="H33" s="533" t="s">
        <v>774</v>
      </c>
      <c r="I33" s="534"/>
      <c r="J33" s="533" t="s">
        <v>1206</v>
      </c>
      <c r="K33" s="533" t="s">
        <v>677</v>
      </c>
      <c r="L33" s="533" t="s">
        <v>677</v>
      </c>
      <c r="M33" s="533" t="s">
        <v>677</v>
      </c>
      <c r="N33" s="534"/>
      <c r="O33" s="534"/>
      <c r="P33" s="481" t="s">
        <v>776</v>
      </c>
      <c r="Q33" s="481" t="s">
        <v>776</v>
      </c>
      <c r="R33" s="481" t="s">
        <v>1207</v>
      </c>
      <c r="S33" s="481" t="s">
        <v>1208</v>
      </c>
      <c r="T33" s="588" t="s">
        <v>1355</v>
      </c>
      <c r="W33" s="457"/>
    </row>
    <row r="34" spans="2:23" ht="42" x14ac:dyDescent="0.25">
      <c r="B34" s="538" t="s">
        <v>1065</v>
      </c>
      <c r="C34" s="493">
        <v>741020</v>
      </c>
      <c r="D34" s="481" t="s">
        <v>382</v>
      </c>
      <c r="E34" s="481" t="s">
        <v>905</v>
      </c>
      <c r="F34" s="481" t="s">
        <v>905</v>
      </c>
      <c r="G34" s="482" t="s">
        <v>97</v>
      </c>
      <c r="H34" s="533" t="s">
        <v>774</v>
      </c>
      <c r="I34" s="534"/>
      <c r="J34" s="533" t="s">
        <v>1209</v>
      </c>
      <c r="K34" s="533" t="s">
        <v>677</v>
      </c>
      <c r="L34" s="533" t="s">
        <v>677</v>
      </c>
      <c r="M34" s="533" t="s">
        <v>677</v>
      </c>
      <c r="N34" s="534"/>
      <c r="O34" s="534"/>
      <c r="P34" s="481">
        <v>874320</v>
      </c>
      <c r="Q34" s="481" t="s">
        <v>1065</v>
      </c>
      <c r="R34" s="481" t="s">
        <v>776</v>
      </c>
      <c r="S34" s="481" t="s">
        <v>776</v>
      </c>
      <c r="T34" s="589" t="s">
        <v>1369</v>
      </c>
      <c r="W34" s="457"/>
    </row>
    <row r="35" spans="2:23" ht="21" x14ac:dyDescent="0.25">
      <c r="B35" s="482" t="s">
        <v>1066</v>
      </c>
      <c r="C35" s="490">
        <v>732020</v>
      </c>
      <c r="D35" s="481" t="s">
        <v>382</v>
      </c>
      <c r="E35" s="481" t="s">
        <v>905</v>
      </c>
      <c r="F35" s="481" t="s">
        <v>1053</v>
      </c>
      <c r="G35" s="482" t="s">
        <v>1067</v>
      </c>
      <c r="H35" s="533" t="s">
        <v>774</v>
      </c>
      <c r="I35" s="534"/>
      <c r="J35" s="533" t="s">
        <v>1210</v>
      </c>
      <c r="K35" s="533"/>
      <c r="L35" s="533" t="s">
        <v>677</v>
      </c>
      <c r="M35" s="533" t="s">
        <v>677</v>
      </c>
      <c r="N35" s="534"/>
      <c r="O35" s="534"/>
      <c r="P35" s="481">
        <v>873204</v>
      </c>
      <c r="Q35" s="481" t="s">
        <v>1211</v>
      </c>
      <c r="R35" s="481" t="s">
        <v>1212</v>
      </c>
      <c r="S35" s="481" t="s">
        <v>1213</v>
      </c>
      <c r="T35" s="588" t="s">
        <v>1354</v>
      </c>
      <c r="W35" s="457"/>
    </row>
    <row r="36" spans="2:23" x14ac:dyDescent="0.25">
      <c r="B36" s="482" t="s">
        <v>1068</v>
      </c>
      <c r="C36" s="490">
        <v>552220</v>
      </c>
      <c r="D36" s="481" t="s">
        <v>382</v>
      </c>
      <c r="E36" s="481" t="s">
        <v>905</v>
      </c>
      <c r="F36" s="481" t="s">
        <v>1053</v>
      </c>
      <c r="G36" s="482" t="s">
        <v>1069</v>
      </c>
      <c r="H36" s="533" t="s">
        <v>774</v>
      </c>
      <c r="I36" s="534"/>
      <c r="J36" s="533" t="s">
        <v>1214</v>
      </c>
      <c r="K36" s="533" t="s">
        <v>677</v>
      </c>
      <c r="L36" s="533" t="s">
        <v>677</v>
      </c>
      <c r="M36" s="533" t="s">
        <v>677</v>
      </c>
      <c r="N36" s="534"/>
      <c r="O36" s="534"/>
      <c r="P36" s="481">
        <v>855207</v>
      </c>
      <c r="Q36" s="481" t="s">
        <v>1068</v>
      </c>
      <c r="R36" s="481" t="s">
        <v>1215</v>
      </c>
      <c r="S36" s="481" t="s">
        <v>1216</v>
      </c>
      <c r="T36" s="588" t="s">
        <v>1357</v>
      </c>
      <c r="W36" s="457"/>
    </row>
    <row r="37" spans="2:23" ht="21" x14ac:dyDescent="0.25">
      <c r="B37" s="538" t="s">
        <v>1070</v>
      </c>
      <c r="C37" s="493">
        <v>732030</v>
      </c>
      <c r="D37" s="481" t="s">
        <v>382</v>
      </c>
      <c r="E37" s="481" t="s">
        <v>905</v>
      </c>
      <c r="F37" s="481" t="s">
        <v>1053</v>
      </c>
      <c r="G37" s="482" t="s">
        <v>1071</v>
      </c>
      <c r="H37" s="533" t="s">
        <v>774</v>
      </c>
      <c r="I37" s="534"/>
      <c r="J37" s="533" t="s">
        <v>1210</v>
      </c>
      <c r="K37" s="533"/>
      <c r="L37" s="533" t="s">
        <v>677</v>
      </c>
      <c r="M37" s="533" t="s">
        <v>677</v>
      </c>
      <c r="N37" s="534"/>
      <c r="O37" s="534"/>
      <c r="P37" s="481">
        <v>873205</v>
      </c>
      <c r="Q37" s="481" t="s">
        <v>1217</v>
      </c>
      <c r="R37" s="481" t="s">
        <v>1212</v>
      </c>
      <c r="S37" s="481" t="s">
        <v>1213</v>
      </c>
      <c r="T37" s="588" t="s">
        <v>1354</v>
      </c>
      <c r="W37" s="457"/>
    </row>
    <row r="38" spans="2:23" ht="52.5" x14ac:dyDescent="0.25">
      <c r="B38" s="482" t="s">
        <v>1072</v>
      </c>
      <c r="C38" s="490">
        <v>552010</v>
      </c>
      <c r="D38" s="481" t="s">
        <v>382</v>
      </c>
      <c r="E38" s="481" t="s">
        <v>905</v>
      </c>
      <c r="F38" s="481" t="s">
        <v>1053</v>
      </c>
      <c r="G38" s="482" t="s">
        <v>1073</v>
      </c>
      <c r="H38" s="533" t="s">
        <v>774</v>
      </c>
      <c r="I38" s="534"/>
      <c r="J38" s="533" t="s">
        <v>1214</v>
      </c>
      <c r="K38" s="533" t="s">
        <v>677</v>
      </c>
      <c r="L38" s="533" t="s">
        <v>677</v>
      </c>
      <c r="M38" s="533" t="s">
        <v>677</v>
      </c>
      <c r="N38" s="534"/>
      <c r="O38" s="534"/>
      <c r="P38" s="481">
        <v>855200</v>
      </c>
      <c r="Q38" s="481" t="s">
        <v>1218</v>
      </c>
      <c r="R38" s="481" t="s">
        <v>1219</v>
      </c>
      <c r="S38" s="481" t="s">
        <v>1220</v>
      </c>
      <c r="T38" s="588" t="s">
        <v>1356</v>
      </c>
      <c r="W38" s="457"/>
    </row>
    <row r="39" spans="2:23" ht="31.5" x14ac:dyDescent="0.25">
      <c r="B39" s="482" t="s">
        <v>1074</v>
      </c>
      <c r="C39" s="490">
        <v>531010</v>
      </c>
      <c r="D39" s="481" t="s">
        <v>382</v>
      </c>
      <c r="E39" s="481" t="s">
        <v>905</v>
      </c>
      <c r="F39" s="481" t="s">
        <v>1075</v>
      </c>
      <c r="G39" s="482" t="s">
        <v>96</v>
      </c>
      <c r="H39" s="533" t="s">
        <v>801</v>
      </c>
      <c r="I39" s="534"/>
      <c r="J39" s="533" t="s">
        <v>1221</v>
      </c>
      <c r="K39" s="533" t="s">
        <v>677</v>
      </c>
      <c r="L39" s="533" t="s">
        <v>677</v>
      </c>
      <c r="M39" s="533" t="s">
        <v>677</v>
      </c>
      <c r="N39" s="534" t="s">
        <v>1222</v>
      </c>
      <c r="O39" s="534" t="s">
        <v>1223</v>
      </c>
      <c r="P39" s="481">
        <v>853103</v>
      </c>
      <c r="Q39" s="481" t="s">
        <v>1224</v>
      </c>
      <c r="R39" s="481" t="s">
        <v>1225</v>
      </c>
      <c r="S39" s="481" t="s">
        <v>1226</v>
      </c>
      <c r="T39" s="588" t="s">
        <v>1345</v>
      </c>
      <c r="W39" s="457"/>
    </row>
    <row r="40" spans="2:23" ht="21" x14ac:dyDescent="0.25">
      <c r="B40" s="485" t="s">
        <v>1076</v>
      </c>
      <c r="C40" s="490">
        <v>569030</v>
      </c>
      <c r="D40" s="481" t="s">
        <v>382</v>
      </c>
      <c r="E40" s="481" t="s">
        <v>1075</v>
      </c>
      <c r="F40" s="481" t="s">
        <v>628</v>
      </c>
      <c r="G40" s="482" t="s">
        <v>1077</v>
      </c>
      <c r="H40" s="533" t="s">
        <v>774</v>
      </c>
      <c r="I40" s="534"/>
      <c r="J40" s="533" t="s">
        <v>1227</v>
      </c>
      <c r="K40" s="533" t="s">
        <v>677</v>
      </c>
      <c r="L40" s="533" t="s">
        <v>677</v>
      </c>
      <c r="M40" s="533" t="s">
        <v>677</v>
      </c>
      <c r="N40" s="534"/>
      <c r="O40" s="534"/>
      <c r="P40" s="481">
        <v>856103</v>
      </c>
      <c r="Q40" s="481" t="s">
        <v>1228</v>
      </c>
      <c r="R40" s="481" t="s">
        <v>776</v>
      </c>
      <c r="S40" s="481" t="s">
        <v>776</v>
      </c>
      <c r="T40" s="588" t="s">
        <v>1345</v>
      </c>
      <c r="W40" s="457"/>
    </row>
    <row r="41" spans="2:23" ht="42" x14ac:dyDescent="0.25">
      <c r="B41" s="482" t="s">
        <v>1078</v>
      </c>
      <c r="C41" s="490">
        <v>574010</v>
      </c>
      <c r="D41" s="481" t="s">
        <v>382</v>
      </c>
      <c r="E41" s="481" t="s">
        <v>905</v>
      </c>
      <c r="F41" s="481" t="s">
        <v>1056</v>
      </c>
      <c r="G41" s="482" t="s">
        <v>1079</v>
      </c>
      <c r="H41" s="533" t="s">
        <v>774</v>
      </c>
      <c r="I41" s="534"/>
      <c r="J41" s="533" t="s">
        <v>1198</v>
      </c>
      <c r="K41" s="533" t="s">
        <v>677</v>
      </c>
      <c r="L41" s="533" t="s">
        <v>677</v>
      </c>
      <c r="M41" s="533" t="s">
        <v>677</v>
      </c>
      <c r="N41" s="534"/>
      <c r="O41" s="534"/>
      <c r="P41" s="481">
        <v>857510</v>
      </c>
      <c r="Q41" s="481" t="s">
        <v>1229</v>
      </c>
      <c r="R41" s="481" t="s">
        <v>1199</v>
      </c>
      <c r="S41" s="481" t="s">
        <v>1230</v>
      </c>
      <c r="T41" s="588" t="s">
        <v>1365</v>
      </c>
      <c r="W41" s="457"/>
    </row>
    <row r="42" spans="2:23" ht="42" x14ac:dyDescent="0.25">
      <c r="B42" s="482" t="s">
        <v>1080</v>
      </c>
      <c r="C42" s="490">
        <v>579040</v>
      </c>
      <c r="D42" s="481" t="s">
        <v>382</v>
      </c>
      <c r="E42" s="481" t="s">
        <v>1075</v>
      </c>
      <c r="F42" s="481" t="s">
        <v>628</v>
      </c>
      <c r="G42" s="482" t="s">
        <v>1081</v>
      </c>
      <c r="H42" s="533" t="s">
        <v>774</v>
      </c>
      <c r="I42" s="534"/>
      <c r="J42" s="533" t="s">
        <v>1231</v>
      </c>
      <c r="K42" s="533" t="s">
        <v>677</v>
      </c>
      <c r="L42" s="533" t="s">
        <v>677</v>
      </c>
      <c r="M42" s="533" t="s">
        <v>677</v>
      </c>
      <c r="N42" s="534"/>
      <c r="O42" s="534"/>
      <c r="P42" s="481">
        <v>857714</v>
      </c>
      <c r="Q42" s="481" t="s">
        <v>1232</v>
      </c>
      <c r="R42" s="481" t="s">
        <v>776</v>
      </c>
      <c r="S42" s="481" t="s">
        <v>776</v>
      </c>
      <c r="T42" s="588" t="s">
        <v>1366</v>
      </c>
      <c r="W42" s="457"/>
    </row>
    <row r="43" spans="2:23" ht="31.5" x14ac:dyDescent="0.25">
      <c r="B43" s="482" t="s">
        <v>1082</v>
      </c>
      <c r="C43" s="490">
        <v>573020</v>
      </c>
      <c r="D43" s="481" t="s">
        <v>382</v>
      </c>
      <c r="E43" s="481" t="s">
        <v>905</v>
      </c>
      <c r="F43" s="481" t="s">
        <v>1056</v>
      </c>
      <c r="G43" s="482" t="s">
        <v>1083</v>
      </c>
      <c r="H43" s="533" t="s">
        <v>774</v>
      </c>
      <c r="I43" s="534"/>
      <c r="J43" s="533" t="s">
        <v>1198</v>
      </c>
      <c r="K43" s="533" t="s">
        <v>677</v>
      </c>
      <c r="L43" s="533" t="s">
        <v>677</v>
      </c>
      <c r="M43" s="533" t="s">
        <v>677</v>
      </c>
      <c r="N43" s="534"/>
      <c r="O43" s="534"/>
      <c r="P43" s="481" t="s">
        <v>776</v>
      </c>
      <c r="Q43" s="481" t="s">
        <v>776</v>
      </c>
      <c r="R43" s="481" t="s">
        <v>1199</v>
      </c>
      <c r="S43" s="481" t="s">
        <v>1082</v>
      </c>
      <c r="T43" s="588" t="s">
        <v>1363</v>
      </c>
      <c r="W43" s="457"/>
    </row>
    <row r="44" spans="2:23" x14ac:dyDescent="0.25">
      <c r="B44" s="482" t="s">
        <v>1084</v>
      </c>
      <c r="C44" s="490">
        <v>542310</v>
      </c>
      <c r="D44" s="481" t="s">
        <v>382</v>
      </c>
      <c r="E44" s="481" t="s">
        <v>905</v>
      </c>
      <c r="F44" s="481" t="s">
        <v>1059</v>
      </c>
      <c r="G44" s="482" t="s">
        <v>1085</v>
      </c>
      <c r="H44" s="533" t="s">
        <v>774</v>
      </c>
      <c r="I44" s="534"/>
      <c r="J44" s="533" t="s">
        <v>1233</v>
      </c>
      <c r="K44" s="533"/>
      <c r="L44" s="533" t="s">
        <v>677</v>
      </c>
      <c r="M44" s="533" t="s">
        <v>677</v>
      </c>
      <c r="N44" s="534"/>
      <c r="O44" s="534"/>
      <c r="P44" s="481">
        <v>854201</v>
      </c>
      <c r="Q44" s="481" t="s">
        <v>1084</v>
      </c>
      <c r="R44" s="481" t="s">
        <v>776</v>
      </c>
      <c r="S44" s="481" t="s">
        <v>776</v>
      </c>
      <c r="T44" s="588" t="s">
        <v>1355</v>
      </c>
      <c r="W44" s="457"/>
    </row>
    <row r="45" spans="2:23" ht="31.5" x14ac:dyDescent="0.25">
      <c r="B45" s="485" t="s">
        <v>1086</v>
      </c>
      <c r="C45" s="490">
        <v>564110</v>
      </c>
      <c r="D45" s="481" t="s">
        <v>382</v>
      </c>
      <c r="E45" s="481" t="s">
        <v>905</v>
      </c>
      <c r="F45" s="481" t="s">
        <v>1053</v>
      </c>
      <c r="G45" s="482" t="s">
        <v>1172</v>
      </c>
      <c r="H45" s="533" t="s">
        <v>774</v>
      </c>
      <c r="I45" s="534"/>
      <c r="J45" s="533" t="s">
        <v>1227</v>
      </c>
      <c r="K45" s="533" t="s">
        <v>677</v>
      </c>
      <c r="L45" s="533" t="s">
        <v>677</v>
      </c>
      <c r="M45" s="533" t="s">
        <v>677</v>
      </c>
      <c r="N45" s="534"/>
      <c r="O45" s="534"/>
      <c r="P45" s="481">
        <v>856102</v>
      </c>
      <c r="Q45" s="481" t="s">
        <v>1234</v>
      </c>
      <c r="R45" s="481" t="s">
        <v>776</v>
      </c>
      <c r="S45" s="481" t="s">
        <v>776</v>
      </c>
      <c r="T45" s="588" t="s">
        <v>1354</v>
      </c>
      <c r="W45" s="457"/>
    </row>
    <row r="46" spans="2:23" ht="21.75" thickBot="1" x14ac:dyDescent="0.3">
      <c r="B46" s="544" t="s">
        <v>1267</v>
      </c>
      <c r="C46" s="542">
        <v>553010</v>
      </c>
      <c r="D46" s="539" t="s">
        <v>382</v>
      </c>
      <c r="E46" s="540" t="s">
        <v>905</v>
      </c>
      <c r="F46" s="540" t="s">
        <v>1053</v>
      </c>
      <c r="G46" s="545" t="s">
        <v>1171</v>
      </c>
      <c r="H46" s="541"/>
      <c r="I46" s="481"/>
      <c r="J46" s="541"/>
      <c r="K46" s="533"/>
      <c r="L46" s="533"/>
      <c r="M46" s="533"/>
      <c r="N46" s="534"/>
      <c r="O46" s="534"/>
      <c r="P46" s="481"/>
      <c r="Q46" s="481"/>
      <c r="R46" s="481"/>
      <c r="S46" s="481"/>
      <c r="T46" s="588" t="s">
        <v>1354</v>
      </c>
      <c r="W46" s="457"/>
    </row>
    <row r="47" spans="2:23" ht="31.5" x14ac:dyDescent="0.25">
      <c r="B47" s="482" t="s">
        <v>1087</v>
      </c>
      <c r="C47" s="490">
        <v>561020</v>
      </c>
      <c r="D47" s="481" t="s">
        <v>382</v>
      </c>
      <c r="E47" s="481" t="s">
        <v>905</v>
      </c>
      <c r="F47" s="481" t="s">
        <v>1053</v>
      </c>
      <c r="G47" s="482" t="s">
        <v>1088</v>
      </c>
      <c r="H47" s="533" t="s">
        <v>774</v>
      </c>
      <c r="I47" s="534"/>
      <c r="J47" s="533" t="s">
        <v>1206</v>
      </c>
      <c r="K47" s="533"/>
      <c r="L47" s="533" t="s">
        <v>677</v>
      </c>
      <c r="M47" s="533" t="s">
        <v>677</v>
      </c>
      <c r="N47" s="534"/>
      <c r="O47" s="534"/>
      <c r="P47" s="481">
        <v>851270</v>
      </c>
      <c r="Q47" s="481" t="s">
        <v>1087</v>
      </c>
      <c r="R47" s="481" t="s">
        <v>776</v>
      </c>
      <c r="S47" s="481" t="s">
        <v>776</v>
      </c>
      <c r="T47" s="588" t="s">
        <v>1359</v>
      </c>
      <c r="W47" s="457"/>
    </row>
    <row r="48" spans="2:23" ht="42" x14ac:dyDescent="0.25">
      <c r="B48" s="482" t="s">
        <v>1089</v>
      </c>
      <c r="C48" s="490">
        <v>534010</v>
      </c>
      <c r="D48" s="481" t="s">
        <v>382</v>
      </c>
      <c r="E48" s="481" t="s">
        <v>905</v>
      </c>
      <c r="F48" s="481" t="s">
        <v>1053</v>
      </c>
      <c r="G48" s="482" t="s">
        <v>1090</v>
      </c>
      <c r="H48" s="533" t="s">
        <v>801</v>
      </c>
      <c r="I48" s="534"/>
      <c r="J48" s="533" t="s">
        <v>1206</v>
      </c>
      <c r="K48" s="533" t="s">
        <v>677</v>
      </c>
      <c r="L48" s="533" t="s">
        <v>677</v>
      </c>
      <c r="M48" s="533" t="s">
        <v>677</v>
      </c>
      <c r="N48" s="534" t="s">
        <v>1235</v>
      </c>
      <c r="O48" s="534" t="s">
        <v>628</v>
      </c>
      <c r="P48" s="481">
        <v>851241</v>
      </c>
      <c r="Q48" s="481" t="s">
        <v>1236</v>
      </c>
      <c r="R48" s="481" t="s">
        <v>1237</v>
      </c>
      <c r="S48" s="481" t="s">
        <v>1089</v>
      </c>
      <c r="T48" s="588" t="s">
        <v>1351</v>
      </c>
      <c r="W48" s="457"/>
    </row>
    <row r="49" spans="2:23" x14ac:dyDescent="0.25">
      <c r="B49" s="482" t="s">
        <v>1091</v>
      </c>
      <c r="C49" s="490">
        <v>542120</v>
      </c>
      <c r="D49" s="481" t="s">
        <v>382</v>
      </c>
      <c r="E49" s="481" t="s">
        <v>905</v>
      </c>
      <c r="F49" s="481" t="s">
        <v>1059</v>
      </c>
      <c r="G49" s="482" t="s">
        <v>1060</v>
      </c>
      <c r="H49" s="533" t="s">
        <v>774</v>
      </c>
      <c r="I49" s="534"/>
      <c r="J49" s="533" t="s">
        <v>1233</v>
      </c>
      <c r="K49" s="533"/>
      <c r="L49" s="533" t="s">
        <v>677</v>
      </c>
      <c r="M49" s="533" t="s">
        <v>677</v>
      </c>
      <c r="N49" s="534"/>
      <c r="O49" s="534"/>
      <c r="P49" s="481">
        <v>854211</v>
      </c>
      <c r="Q49" s="481" t="s">
        <v>1091</v>
      </c>
      <c r="R49" s="481" t="s">
        <v>776</v>
      </c>
      <c r="S49" s="481" t="s">
        <v>776</v>
      </c>
      <c r="T49" s="588" t="s">
        <v>1355</v>
      </c>
      <c r="W49" s="457"/>
    </row>
    <row r="50" spans="2:23" ht="52.5" x14ac:dyDescent="0.25">
      <c r="B50" s="482" t="s">
        <v>1092</v>
      </c>
      <c r="C50" s="490">
        <v>732210</v>
      </c>
      <c r="D50" s="481" t="s">
        <v>382</v>
      </c>
      <c r="E50" s="481" t="s">
        <v>905</v>
      </c>
      <c r="F50" s="481" t="s">
        <v>628</v>
      </c>
      <c r="G50" s="482" t="s">
        <v>1093</v>
      </c>
      <c r="H50" s="533" t="s">
        <v>774</v>
      </c>
      <c r="I50" s="534"/>
      <c r="J50" s="533" t="s">
        <v>1210</v>
      </c>
      <c r="K50" s="533"/>
      <c r="L50" s="533" t="s">
        <v>677</v>
      </c>
      <c r="M50" s="533" t="s">
        <v>677</v>
      </c>
      <c r="N50" s="534"/>
      <c r="O50" s="534"/>
      <c r="P50" s="481">
        <v>873100</v>
      </c>
      <c r="Q50" s="481" t="s">
        <v>1092</v>
      </c>
      <c r="R50" s="481" t="s">
        <v>1212</v>
      </c>
      <c r="S50" s="481" t="s">
        <v>1213</v>
      </c>
      <c r="T50" s="588" t="s">
        <v>1368</v>
      </c>
      <c r="W50" s="457"/>
    </row>
    <row r="51" spans="2:23" x14ac:dyDescent="0.25">
      <c r="B51" s="482" t="s">
        <v>1094</v>
      </c>
      <c r="C51" s="490">
        <v>573130</v>
      </c>
      <c r="D51" s="481" t="s">
        <v>382</v>
      </c>
      <c r="E51" s="481" t="s">
        <v>905</v>
      </c>
      <c r="F51" s="481" t="s">
        <v>628</v>
      </c>
      <c r="G51" s="482" t="s">
        <v>85</v>
      </c>
      <c r="H51" s="533" t="s">
        <v>774</v>
      </c>
      <c r="I51" s="534"/>
      <c r="J51" s="533" t="s">
        <v>1231</v>
      </c>
      <c r="K51" s="533" t="s">
        <v>677</v>
      </c>
      <c r="L51" s="533" t="s">
        <v>677</v>
      </c>
      <c r="M51" s="533" t="s">
        <v>677</v>
      </c>
      <c r="N51" s="534"/>
      <c r="O51" s="534"/>
      <c r="P51" s="481">
        <v>857709</v>
      </c>
      <c r="Q51" s="481" t="s">
        <v>1094</v>
      </c>
      <c r="R51" s="481" t="s">
        <v>776</v>
      </c>
      <c r="S51" s="481" t="s">
        <v>776</v>
      </c>
      <c r="T51" s="588" t="s">
        <v>1354</v>
      </c>
      <c r="W51" s="457"/>
    </row>
    <row r="52" spans="2:23" ht="31.5" x14ac:dyDescent="0.25">
      <c r="B52" s="482" t="s">
        <v>1095</v>
      </c>
      <c r="C52" s="490">
        <v>573110</v>
      </c>
      <c r="D52" s="481" t="s">
        <v>382</v>
      </c>
      <c r="E52" s="481" t="s">
        <v>905</v>
      </c>
      <c r="F52" s="481" t="s">
        <v>1053</v>
      </c>
      <c r="G52" s="482" t="s">
        <v>17</v>
      </c>
      <c r="H52" s="533" t="s">
        <v>774</v>
      </c>
      <c r="I52" s="534"/>
      <c r="J52" s="533" t="s">
        <v>1197</v>
      </c>
      <c r="K52" s="533" t="s">
        <v>677</v>
      </c>
      <c r="L52" s="533" t="s">
        <v>677</v>
      </c>
      <c r="M52" s="533" t="s">
        <v>677</v>
      </c>
      <c r="N52" s="534"/>
      <c r="O52" s="534"/>
      <c r="P52" s="481">
        <v>857705</v>
      </c>
      <c r="Q52" s="481" t="s">
        <v>1095</v>
      </c>
      <c r="R52" s="481" t="s">
        <v>1199</v>
      </c>
      <c r="S52" s="481" t="s">
        <v>1238</v>
      </c>
      <c r="T52" s="588" t="s">
        <v>1364</v>
      </c>
      <c r="W52" s="457"/>
    </row>
    <row r="53" spans="2:23" x14ac:dyDescent="0.25">
      <c r="B53" s="485" t="s">
        <v>1096</v>
      </c>
      <c r="C53" s="490">
        <v>563010</v>
      </c>
      <c r="D53" s="481" t="s">
        <v>382</v>
      </c>
      <c r="E53" s="481" t="s">
        <v>905</v>
      </c>
      <c r="F53" s="481" t="s">
        <v>1097</v>
      </c>
      <c r="G53" s="482" t="s">
        <v>1098</v>
      </c>
      <c r="H53" s="533" t="s">
        <v>774</v>
      </c>
      <c r="I53" s="534"/>
      <c r="J53" s="533" t="s">
        <v>1227</v>
      </c>
      <c r="K53" s="533"/>
      <c r="L53" s="533" t="s">
        <v>677</v>
      </c>
      <c r="M53" s="533" t="s">
        <v>677</v>
      </c>
      <c r="N53" s="534"/>
      <c r="O53" s="534"/>
      <c r="P53" s="481">
        <v>856101</v>
      </c>
      <c r="Q53" s="481" t="s">
        <v>1239</v>
      </c>
      <c r="R53" s="481" t="s">
        <v>776</v>
      </c>
      <c r="S53" s="481" t="s">
        <v>776</v>
      </c>
      <c r="T53" s="588" t="s">
        <v>1345</v>
      </c>
      <c r="W53" s="457"/>
    </row>
    <row r="54" spans="2:23" ht="31.5" x14ac:dyDescent="0.25">
      <c r="B54" s="485" t="s">
        <v>1099</v>
      </c>
      <c r="C54" s="490">
        <v>532110</v>
      </c>
      <c r="D54" s="481" t="s">
        <v>382</v>
      </c>
      <c r="E54" s="481" t="s">
        <v>905</v>
      </c>
      <c r="F54" s="481" t="s">
        <v>1062</v>
      </c>
      <c r="G54" s="482" t="s">
        <v>98</v>
      </c>
      <c r="H54" s="533" t="s">
        <v>774</v>
      </c>
      <c r="I54" s="534"/>
      <c r="J54" s="533" t="s">
        <v>1240</v>
      </c>
      <c r="K54" s="533" t="s">
        <v>677</v>
      </c>
      <c r="L54" s="533" t="s">
        <v>677</v>
      </c>
      <c r="M54" s="533" t="s">
        <v>677</v>
      </c>
      <c r="N54" s="534"/>
      <c r="O54" s="534"/>
      <c r="P54" s="481">
        <v>853210</v>
      </c>
      <c r="Q54" s="481" t="s">
        <v>1241</v>
      </c>
      <c r="R54" s="481" t="s">
        <v>1242</v>
      </c>
      <c r="S54" s="481" t="s">
        <v>1243</v>
      </c>
      <c r="T54" s="588" t="s">
        <v>1352</v>
      </c>
      <c r="W54" s="457"/>
    </row>
    <row r="55" spans="2:23" ht="31.5" x14ac:dyDescent="0.25">
      <c r="B55" s="485" t="s">
        <v>1100</v>
      </c>
      <c r="C55" s="490">
        <v>532310</v>
      </c>
      <c r="D55" s="481" t="s">
        <v>382</v>
      </c>
      <c r="E55" s="481" t="s">
        <v>905</v>
      </c>
      <c r="F55" s="481" t="s">
        <v>1053</v>
      </c>
      <c r="G55" s="482" t="s">
        <v>98</v>
      </c>
      <c r="H55" s="533" t="s">
        <v>774</v>
      </c>
      <c r="I55" s="534"/>
      <c r="J55" s="533" t="s">
        <v>1240</v>
      </c>
      <c r="K55" s="533" t="s">
        <v>677</v>
      </c>
      <c r="L55" s="533" t="s">
        <v>677</v>
      </c>
      <c r="M55" s="533" t="s">
        <v>677</v>
      </c>
      <c r="N55" s="534"/>
      <c r="O55" s="534"/>
      <c r="P55" s="481" t="s">
        <v>776</v>
      </c>
      <c r="Q55" s="481" t="s">
        <v>776</v>
      </c>
      <c r="R55" s="481" t="s">
        <v>1244</v>
      </c>
      <c r="S55" s="481" t="s">
        <v>1245</v>
      </c>
      <c r="T55" s="588" t="s">
        <v>1353</v>
      </c>
      <c r="W55" s="457"/>
    </row>
    <row r="56" spans="2:23" ht="73.5" x14ac:dyDescent="0.25">
      <c r="B56" s="482" t="s">
        <v>1101</v>
      </c>
      <c r="C56" s="490">
        <v>562110</v>
      </c>
      <c r="D56" s="481" t="s">
        <v>382</v>
      </c>
      <c r="E56" s="481" t="s">
        <v>905</v>
      </c>
      <c r="F56" s="481" t="s">
        <v>1053</v>
      </c>
      <c r="G56" s="482" t="s">
        <v>1102</v>
      </c>
      <c r="H56" s="533" t="s">
        <v>801</v>
      </c>
      <c r="I56" s="534"/>
      <c r="J56" s="533" t="s">
        <v>1206</v>
      </c>
      <c r="K56" s="533" t="s">
        <v>677</v>
      </c>
      <c r="L56" s="533" t="s">
        <v>677</v>
      </c>
      <c r="M56" s="533" t="s">
        <v>677</v>
      </c>
      <c r="N56" s="534" t="s">
        <v>1235</v>
      </c>
      <c r="O56" s="534" t="s">
        <v>628</v>
      </c>
      <c r="P56" s="481">
        <v>851200</v>
      </c>
      <c r="Q56" s="481" t="s">
        <v>1246</v>
      </c>
      <c r="R56" s="481" t="s">
        <v>1247</v>
      </c>
      <c r="S56" s="481" t="s">
        <v>1248</v>
      </c>
      <c r="T56" s="588" t="s">
        <v>1360</v>
      </c>
      <c r="W56" s="457"/>
    </row>
    <row r="57" spans="2:23" ht="73.5" x14ac:dyDescent="0.25">
      <c r="B57" s="482" t="s">
        <v>1103</v>
      </c>
      <c r="C57" s="490">
        <v>562120</v>
      </c>
      <c r="D57" s="481" t="s">
        <v>382</v>
      </c>
      <c r="E57" s="481" t="s">
        <v>905</v>
      </c>
      <c r="F57" s="481" t="s">
        <v>1053</v>
      </c>
      <c r="G57" s="482" t="s">
        <v>1104</v>
      </c>
      <c r="H57" s="533" t="s">
        <v>801</v>
      </c>
      <c r="I57" s="534"/>
      <c r="J57" s="533" t="s">
        <v>1206</v>
      </c>
      <c r="K57" s="533" t="s">
        <v>677</v>
      </c>
      <c r="L57" s="533" t="s">
        <v>677</v>
      </c>
      <c r="M57" s="533" t="s">
        <v>677</v>
      </c>
      <c r="N57" s="534" t="s">
        <v>1235</v>
      </c>
      <c r="O57" s="534" t="s">
        <v>628</v>
      </c>
      <c r="P57" s="481">
        <v>851300</v>
      </c>
      <c r="Q57" s="481" t="s">
        <v>1249</v>
      </c>
      <c r="R57" s="481" t="s">
        <v>1250</v>
      </c>
      <c r="S57" s="481" t="s">
        <v>1251</v>
      </c>
      <c r="T57" s="588" t="s">
        <v>1361</v>
      </c>
      <c r="W57" s="457"/>
    </row>
    <row r="58" spans="2:23" ht="21" x14ac:dyDescent="0.25">
      <c r="B58" s="482" t="s">
        <v>1105</v>
      </c>
      <c r="C58" s="490">
        <v>732040</v>
      </c>
      <c r="D58" s="481" t="s">
        <v>382</v>
      </c>
      <c r="E58" s="481" t="s">
        <v>905</v>
      </c>
      <c r="F58" s="481" t="s">
        <v>1053</v>
      </c>
      <c r="G58" s="482" t="s">
        <v>1106</v>
      </c>
      <c r="H58" s="533" t="s">
        <v>774</v>
      </c>
      <c r="I58" s="534"/>
      <c r="J58" s="533" t="s">
        <v>1210</v>
      </c>
      <c r="K58" s="533"/>
      <c r="L58" s="533" t="s">
        <v>677</v>
      </c>
      <c r="M58" s="533" t="s">
        <v>677</v>
      </c>
      <c r="N58" s="534"/>
      <c r="O58" s="534"/>
      <c r="P58" s="481">
        <v>873206</v>
      </c>
      <c r="Q58" s="481" t="s">
        <v>1252</v>
      </c>
      <c r="R58" s="481" t="s">
        <v>1212</v>
      </c>
      <c r="S58" s="481" t="s">
        <v>1213</v>
      </c>
      <c r="T58" s="588" t="s">
        <v>1354</v>
      </c>
      <c r="W58" s="457"/>
    </row>
    <row r="59" spans="2:23" ht="42" x14ac:dyDescent="0.25">
      <c r="B59" s="482" t="s">
        <v>1107</v>
      </c>
      <c r="C59" s="490">
        <v>532010</v>
      </c>
      <c r="D59" s="481" t="s">
        <v>382</v>
      </c>
      <c r="E59" s="481" t="s">
        <v>905</v>
      </c>
      <c r="F59" s="481" t="s">
        <v>1053</v>
      </c>
      <c r="G59" s="482" t="s">
        <v>1104</v>
      </c>
      <c r="H59" s="533" t="s">
        <v>801</v>
      </c>
      <c r="I59" s="534"/>
      <c r="J59" s="533" t="s">
        <v>1206</v>
      </c>
      <c r="K59" s="533" t="s">
        <v>677</v>
      </c>
      <c r="L59" s="533" t="s">
        <v>677</v>
      </c>
      <c r="M59" s="533" t="s">
        <v>677</v>
      </c>
      <c r="N59" s="534" t="s">
        <v>1235</v>
      </c>
      <c r="O59" s="534" t="s">
        <v>628</v>
      </c>
      <c r="P59" s="481">
        <v>851220</v>
      </c>
      <c r="Q59" s="481" t="s">
        <v>1253</v>
      </c>
      <c r="R59" s="481" t="s">
        <v>1254</v>
      </c>
      <c r="S59" s="481" t="s">
        <v>1255</v>
      </c>
      <c r="T59" s="588" t="s">
        <v>1351</v>
      </c>
      <c r="W59" s="457"/>
    </row>
    <row r="60" spans="2:23" ht="31.5" x14ac:dyDescent="0.25">
      <c r="B60" s="485" t="s">
        <v>1108</v>
      </c>
      <c r="C60" s="490">
        <v>562310</v>
      </c>
      <c r="D60" s="481" t="s">
        <v>382</v>
      </c>
      <c r="E60" s="481" t="s">
        <v>905</v>
      </c>
      <c r="F60" s="481" t="s">
        <v>1053</v>
      </c>
      <c r="G60" s="482" t="s">
        <v>1109</v>
      </c>
      <c r="H60" s="533" t="s">
        <v>774</v>
      </c>
      <c r="I60" s="534"/>
      <c r="J60" s="533" t="s">
        <v>1206</v>
      </c>
      <c r="K60" s="533" t="s">
        <v>677</v>
      </c>
      <c r="L60" s="533" t="s">
        <v>677</v>
      </c>
      <c r="M60" s="533" t="s">
        <v>677</v>
      </c>
      <c r="N60" s="534"/>
      <c r="O60" s="534"/>
      <c r="P60" s="481">
        <v>851400</v>
      </c>
      <c r="Q60" s="481" t="s">
        <v>1256</v>
      </c>
      <c r="R60" s="481" t="s">
        <v>1257</v>
      </c>
      <c r="S60" s="481" t="s">
        <v>1258</v>
      </c>
      <c r="T60" s="588" t="s">
        <v>1355</v>
      </c>
      <c r="W60" s="457"/>
    </row>
    <row r="61" spans="2:23" ht="31.5" x14ac:dyDescent="0.25">
      <c r="B61" s="482" t="s">
        <v>1110</v>
      </c>
      <c r="C61" s="490">
        <v>552110</v>
      </c>
      <c r="D61" s="481" t="s">
        <v>382</v>
      </c>
      <c r="E61" s="481" t="s">
        <v>905</v>
      </c>
      <c r="F61" s="481" t="s">
        <v>628</v>
      </c>
      <c r="G61" s="482" t="s">
        <v>1111</v>
      </c>
      <c r="H61" s="533" t="s">
        <v>774</v>
      </c>
      <c r="I61" s="534"/>
      <c r="J61" s="533" t="s">
        <v>1206</v>
      </c>
      <c r="K61" s="533" t="s">
        <v>677</v>
      </c>
      <c r="L61" s="533" t="s">
        <v>677</v>
      </c>
      <c r="M61" s="533" t="s">
        <v>677</v>
      </c>
      <c r="N61" s="534"/>
      <c r="O61" s="534"/>
      <c r="P61" s="481">
        <v>851500</v>
      </c>
      <c r="Q61" s="481" t="s">
        <v>1259</v>
      </c>
      <c r="R61" s="481" t="s">
        <v>1260</v>
      </c>
      <c r="S61" s="481" t="s">
        <v>1110</v>
      </c>
      <c r="T61" s="588" t="s">
        <v>1355</v>
      </c>
      <c r="W61" s="457"/>
    </row>
    <row r="62" spans="2:23" x14ac:dyDescent="0.25">
      <c r="B62" s="489" t="s">
        <v>1112</v>
      </c>
      <c r="C62" s="543">
        <v>533110</v>
      </c>
      <c r="D62" s="481" t="s">
        <v>382</v>
      </c>
      <c r="E62" s="481" t="s">
        <v>905</v>
      </c>
      <c r="F62" s="481" t="s">
        <v>628</v>
      </c>
      <c r="G62" s="482" t="s">
        <v>1113</v>
      </c>
      <c r="H62" s="533" t="s">
        <v>774</v>
      </c>
      <c r="I62" s="534"/>
      <c r="J62" s="533" t="s">
        <v>1261</v>
      </c>
      <c r="K62" s="533"/>
      <c r="L62" s="533" t="s">
        <v>677</v>
      </c>
      <c r="M62" s="533" t="s">
        <v>677</v>
      </c>
      <c r="N62" s="534"/>
      <c r="O62" s="534"/>
      <c r="P62" s="481">
        <v>853500</v>
      </c>
      <c r="Q62" s="481" t="s">
        <v>1262</v>
      </c>
      <c r="R62" s="481" t="s">
        <v>1263</v>
      </c>
      <c r="S62" s="481" t="s">
        <v>1112</v>
      </c>
      <c r="T62" s="588" t="s">
        <v>1354</v>
      </c>
      <c r="W62" s="457"/>
    </row>
    <row r="63" spans="2:23" ht="21" x14ac:dyDescent="0.25">
      <c r="B63" s="489" t="s">
        <v>1114</v>
      </c>
      <c r="C63" s="543">
        <v>533420</v>
      </c>
      <c r="D63" s="481" t="s">
        <v>382</v>
      </c>
      <c r="E63" s="481" t="s">
        <v>905</v>
      </c>
      <c r="F63" s="481" t="s">
        <v>628</v>
      </c>
      <c r="G63" s="482" t="s">
        <v>1115</v>
      </c>
      <c r="H63" s="533" t="s">
        <v>774</v>
      </c>
      <c r="I63" s="534"/>
      <c r="J63" s="533" t="s">
        <v>1261</v>
      </c>
      <c r="K63" s="533"/>
      <c r="L63" s="533" t="s">
        <v>677</v>
      </c>
      <c r="M63" s="533" t="s">
        <v>677</v>
      </c>
      <c r="N63" s="534"/>
      <c r="O63" s="534"/>
      <c r="P63" s="481" t="s">
        <v>776</v>
      </c>
      <c r="Q63" s="481" t="s">
        <v>776</v>
      </c>
      <c r="R63" s="481" t="s">
        <v>1264</v>
      </c>
      <c r="S63" s="481" t="s">
        <v>1114</v>
      </c>
      <c r="T63" s="588" t="s">
        <v>1355</v>
      </c>
      <c r="W63" s="457"/>
    </row>
  </sheetData>
  <phoneticPr fontId="7" type="noConversion"/>
  <pageMargins left="0.7" right="0.7" top="0.75" bottom="0.75" header="0.3" footer="0.3"/>
  <tableParts count="3">
    <tablePart r:id="rId1"/>
    <tablePart r:id="rId2"/>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37F6C-2D1A-401D-98AB-1A9758EEF58E}">
  <dimension ref="B1:V224"/>
  <sheetViews>
    <sheetView workbookViewId="0">
      <selection activeCell="G225" sqref="G225"/>
    </sheetView>
  </sheetViews>
  <sheetFormatPr defaultColWidth="9.140625" defaultRowHeight="15" x14ac:dyDescent="0.25"/>
  <cols>
    <col min="1" max="1" width="3.42578125" style="442" customWidth="1"/>
    <col min="2" max="2" width="30.5703125" style="442" customWidth="1"/>
    <col min="3" max="3" width="9.140625" style="442"/>
    <col min="4" max="4" width="13" style="442" bestFit="1" customWidth="1"/>
    <col min="5" max="5" width="13" style="442" customWidth="1"/>
    <col min="6" max="6" width="16.28515625" style="442" customWidth="1"/>
    <col min="7" max="7" width="31.85546875" style="442" customWidth="1"/>
    <col min="8" max="8" width="12.42578125" style="467" hidden="1" customWidth="1"/>
    <col min="9" max="9" width="6.42578125" style="467" hidden="1" customWidth="1"/>
    <col min="10" max="13" width="12.85546875" style="442" hidden="1" customWidth="1"/>
    <col min="14" max="15" width="34.5703125" style="457" hidden="1" customWidth="1"/>
    <col min="16" max="16" width="10.5703125" style="442" hidden="1" customWidth="1"/>
    <col min="17" max="17" width="30.5703125" style="442" hidden="1" customWidth="1"/>
    <col min="18" max="18" width="17.42578125" style="442" hidden="1" customWidth="1"/>
    <col min="19" max="19" width="31.140625" style="442" hidden="1" customWidth="1"/>
    <col min="20" max="22" width="9.140625" style="457"/>
    <col min="23" max="24" width="34.5703125" style="442" customWidth="1"/>
    <col min="25" max="16384" width="9.140625" style="442"/>
  </cols>
  <sheetData>
    <row r="1" spans="2:22" ht="14.25" x14ac:dyDescent="0.2">
      <c r="N1" s="442"/>
      <c r="O1" s="442"/>
      <c r="T1" s="442"/>
      <c r="U1" s="442"/>
      <c r="V1" s="442"/>
    </row>
    <row r="2" spans="2:22" ht="29.25" x14ac:dyDescent="0.35">
      <c r="B2" s="468" t="s">
        <v>754</v>
      </c>
      <c r="C2" s="469"/>
      <c r="D2" s="469"/>
      <c r="E2" s="469"/>
      <c r="F2" s="469"/>
      <c r="G2" s="469"/>
      <c r="H2" s="469"/>
      <c r="I2" s="469"/>
      <c r="J2" s="469"/>
      <c r="K2" s="469"/>
      <c r="L2" s="469"/>
      <c r="M2" s="469"/>
      <c r="N2" s="469"/>
      <c r="O2" s="442"/>
      <c r="P2" s="469"/>
      <c r="Q2" s="469"/>
      <c r="R2" s="469"/>
      <c r="S2" s="469"/>
      <c r="T2" s="442"/>
      <c r="U2" s="442"/>
      <c r="V2" s="442"/>
    </row>
    <row r="3" spans="2:22" ht="14.25" x14ac:dyDescent="0.2">
      <c r="B3" s="442" t="s">
        <v>856</v>
      </c>
      <c r="N3" s="442"/>
      <c r="O3" s="442"/>
      <c r="T3" s="442"/>
      <c r="U3" s="442"/>
      <c r="V3" s="442"/>
    </row>
    <row r="4" spans="2:22" ht="42" x14ac:dyDescent="0.2">
      <c r="B4" s="498" t="s">
        <v>755</v>
      </c>
      <c r="C4" s="498" t="s">
        <v>756</v>
      </c>
      <c r="D4" s="498" t="s">
        <v>757</v>
      </c>
      <c r="E4" s="498" t="s">
        <v>579</v>
      </c>
      <c r="F4" s="498" t="s">
        <v>592</v>
      </c>
      <c r="G4" s="498" t="s">
        <v>758</v>
      </c>
      <c r="H4" s="471" t="s">
        <v>759</v>
      </c>
      <c r="I4" s="471" t="s">
        <v>760</v>
      </c>
      <c r="J4" s="471" t="s">
        <v>761</v>
      </c>
      <c r="K4" s="471" t="s">
        <v>762</v>
      </c>
      <c r="L4" s="471" t="s">
        <v>763</v>
      </c>
      <c r="M4" s="471" t="s">
        <v>764</v>
      </c>
      <c r="N4" s="471" t="s">
        <v>765</v>
      </c>
      <c r="O4" s="471" t="s">
        <v>766</v>
      </c>
      <c r="P4" s="470" t="s">
        <v>767</v>
      </c>
      <c r="Q4" s="470" t="s">
        <v>768</v>
      </c>
      <c r="R4" s="470" t="s">
        <v>769</v>
      </c>
      <c r="S4" s="470" t="s">
        <v>770</v>
      </c>
      <c r="T4" s="442"/>
      <c r="U4" s="442"/>
      <c r="V4" s="442"/>
    </row>
    <row r="5" spans="2:22" ht="14.25" x14ac:dyDescent="0.2">
      <c r="B5" s="504" t="s">
        <v>777</v>
      </c>
      <c r="C5" s="500">
        <v>313230</v>
      </c>
      <c r="D5" s="501" t="s">
        <v>380</v>
      </c>
      <c r="E5" s="502" t="s">
        <v>772</v>
      </c>
      <c r="F5" s="502" t="s">
        <v>628</v>
      </c>
      <c r="G5" s="503" t="s">
        <v>25</v>
      </c>
      <c r="H5" s="473" t="s">
        <v>774</v>
      </c>
      <c r="I5" s="474"/>
      <c r="J5" s="475" t="s">
        <v>778</v>
      </c>
      <c r="K5" s="475" t="s">
        <v>677</v>
      </c>
      <c r="L5" s="475" t="s">
        <v>677</v>
      </c>
      <c r="M5" s="475" t="s">
        <v>677</v>
      </c>
      <c r="N5" s="476"/>
      <c r="O5" s="476"/>
      <c r="P5" s="477" t="s">
        <v>779</v>
      </c>
      <c r="Q5" s="477"/>
      <c r="R5" s="477" t="s">
        <v>780</v>
      </c>
      <c r="S5" s="477" t="s">
        <v>781</v>
      </c>
      <c r="T5" s="442"/>
      <c r="U5" s="442"/>
      <c r="V5" s="442"/>
    </row>
    <row r="6" spans="2:22" ht="14.25" x14ac:dyDescent="0.2">
      <c r="B6" s="499" t="s">
        <v>782</v>
      </c>
      <c r="C6" s="500">
        <v>312030</v>
      </c>
      <c r="D6" s="501" t="s">
        <v>380</v>
      </c>
      <c r="E6" s="502" t="s">
        <v>772</v>
      </c>
      <c r="F6" s="502" t="s">
        <v>628</v>
      </c>
      <c r="G6" s="503" t="s">
        <v>55</v>
      </c>
      <c r="H6" s="473" t="s">
        <v>774</v>
      </c>
      <c r="I6" s="474"/>
      <c r="J6" s="475" t="s">
        <v>778</v>
      </c>
      <c r="K6" s="475" t="s">
        <v>677</v>
      </c>
      <c r="L6" s="475" t="s">
        <v>677</v>
      </c>
      <c r="M6" s="475" t="s">
        <v>677</v>
      </c>
      <c r="N6" s="476"/>
      <c r="O6" s="476"/>
      <c r="P6" s="472">
        <v>310500</v>
      </c>
      <c r="Q6" s="472" t="s">
        <v>782</v>
      </c>
      <c r="R6" s="472" t="s">
        <v>776</v>
      </c>
      <c r="S6" s="472" t="s">
        <v>776</v>
      </c>
      <c r="T6" s="442"/>
      <c r="U6" s="442"/>
      <c r="V6" s="442"/>
    </row>
    <row r="7" spans="2:22" ht="14.25" x14ac:dyDescent="0.2">
      <c r="B7" s="499" t="s">
        <v>784</v>
      </c>
      <c r="C7" s="500">
        <v>312050</v>
      </c>
      <c r="D7" s="501" t="s">
        <v>380</v>
      </c>
      <c r="E7" s="502" t="s">
        <v>772</v>
      </c>
      <c r="F7" s="502" t="s">
        <v>628</v>
      </c>
      <c r="G7" s="503" t="s">
        <v>55</v>
      </c>
      <c r="H7" s="473" t="s">
        <v>774</v>
      </c>
      <c r="I7" s="474"/>
      <c r="J7" s="475" t="s">
        <v>778</v>
      </c>
      <c r="K7" s="475" t="s">
        <v>677</v>
      </c>
      <c r="L7" s="475" t="s">
        <v>677</v>
      </c>
      <c r="M7" s="475" t="s">
        <v>677</v>
      </c>
      <c r="N7" s="476"/>
      <c r="O7" s="476"/>
      <c r="P7" s="472">
        <v>310520</v>
      </c>
      <c r="Q7" s="472" t="s">
        <v>784</v>
      </c>
      <c r="R7" s="472" t="s">
        <v>776</v>
      </c>
      <c r="S7" s="472" t="s">
        <v>776</v>
      </c>
      <c r="T7" s="442"/>
      <c r="U7" s="442"/>
      <c r="V7" s="442"/>
    </row>
    <row r="8" spans="2:22" ht="14.25" x14ac:dyDescent="0.2">
      <c r="B8" s="499" t="s">
        <v>785</v>
      </c>
      <c r="C8" s="500">
        <v>312040</v>
      </c>
      <c r="D8" s="501" t="s">
        <v>380</v>
      </c>
      <c r="E8" s="502" t="s">
        <v>772</v>
      </c>
      <c r="F8" s="502" t="s">
        <v>628</v>
      </c>
      <c r="G8" s="503" t="s">
        <v>55</v>
      </c>
      <c r="H8" s="473" t="s">
        <v>774</v>
      </c>
      <c r="I8" s="474"/>
      <c r="J8" s="475" t="s">
        <v>778</v>
      </c>
      <c r="K8" s="475" t="s">
        <v>677</v>
      </c>
      <c r="L8" s="475" t="s">
        <v>677</v>
      </c>
      <c r="M8" s="475" t="s">
        <v>677</v>
      </c>
      <c r="N8" s="476"/>
      <c r="O8" s="476"/>
      <c r="P8" s="472">
        <v>310530</v>
      </c>
      <c r="Q8" s="472" t="s">
        <v>786</v>
      </c>
      <c r="R8" s="472" t="s">
        <v>776</v>
      </c>
      <c r="S8" s="472" t="s">
        <v>776</v>
      </c>
      <c r="T8" s="442"/>
      <c r="U8" s="442"/>
      <c r="V8" s="442"/>
    </row>
    <row r="9" spans="2:22" ht="14.25" x14ac:dyDescent="0.2">
      <c r="B9" s="499" t="s">
        <v>806</v>
      </c>
      <c r="C9" s="500">
        <v>312010</v>
      </c>
      <c r="D9" s="501" t="s">
        <v>380</v>
      </c>
      <c r="E9" s="502" t="s">
        <v>772</v>
      </c>
      <c r="F9" s="502" t="s">
        <v>628</v>
      </c>
      <c r="G9" s="503" t="s">
        <v>55</v>
      </c>
      <c r="H9" s="473" t="s">
        <v>774</v>
      </c>
      <c r="I9" s="474"/>
      <c r="J9" s="475" t="s">
        <v>778</v>
      </c>
      <c r="K9" s="475" t="s">
        <v>677</v>
      </c>
      <c r="L9" s="475" t="s">
        <v>677</v>
      </c>
      <c r="M9" s="475" t="s">
        <v>677</v>
      </c>
      <c r="N9" s="476"/>
      <c r="O9" s="476"/>
      <c r="P9" s="472">
        <v>310100</v>
      </c>
      <c r="Q9" s="472" t="s">
        <v>806</v>
      </c>
      <c r="R9" s="472" t="s">
        <v>776</v>
      </c>
      <c r="S9" s="472" t="s">
        <v>776</v>
      </c>
      <c r="T9" s="442"/>
      <c r="U9" s="442"/>
      <c r="V9" s="442"/>
    </row>
    <row r="10" spans="2:22" ht="14.25" x14ac:dyDescent="0.2">
      <c r="B10" s="499" t="s">
        <v>811</v>
      </c>
      <c r="C10" s="500">
        <v>211410</v>
      </c>
      <c r="D10" s="501" t="s">
        <v>380</v>
      </c>
      <c r="E10" s="502" t="s">
        <v>772</v>
      </c>
      <c r="F10" s="502" t="s">
        <v>628</v>
      </c>
      <c r="G10" s="503" t="s">
        <v>55</v>
      </c>
      <c r="H10" s="473" t="s">
        <v>774</v>
      </c>
      <c r="I10" s="474"/>
      <c r="J10" s="475" t="s">
        <v>778</v>
      </c>
      <c r="K10" s="475" t="s">
        <v>677</v>
      </c>
      <c r="L10" s="475" t="s">
        <v>677</v>
      </c>
      <c r="M10" s="475" t="s">
        <v>677</v>
      </c>
      <c r="N10" s="476"/>
      <c r="O10" s="476"/>
      <c r="P10" s="472">
        <v>310400</v>
      </c>
      <c r="Q10" s="472" t="s">
        <v>811</v>
      </c>
      <c r="R10" s="472" t="s">
        <v>776</v>
      </c>
      <c r="S10" s="472" t="s">
        <v>776</v>
      </c>
      <c r="T10" s="442"/>
      <c r="U10" s="442"/>
      <c r="V10" s="442"/>
    </row>
    <row r="11" spans="2:22" ht="14.25" x14ac:dyDescent="0.2">
      <c r="B11" s="499" t="s">
        <v>788</v>
      </c>
      <c r="C11" s="500">
        <v>222110</v>
      </c>
      <c r="D11" s="501" t="s">
        <v>380</v>
      </c>
      <c r="E11" s="502" t="s">
        <v>772</v>
      </c>
      <c r="F11" s="502" t="s">
        <v>628</v>
      </c>
      <c r="G11" s="503" t="s">
        <v>59</v>
      </c>
      <c r="H11" s="473" t="s">
        <v>774</v>
      </c>
      <c r="I11" s="474"/>
      <c r="J11" s="475" t="s">
        <v>775</v>
      </c>
      <c r="K11" s="475"/>
      <c r="L11" s="475" t="s">
        <v>677</v>
      </c>
      <c r="M11" s="475" t="s">
        <v>677</v>
      </c>
      <c r="N11" s="476"/>
      <c r="O11" s="476"/>
      <c r="P11" s="472">
        <v>222100</v>
      </c>
      <c r="Q11" s="472" t="s">
        <v>788</v>
      </c>
      <c r="R11" s="472" t="s">
        <v>776</v>
      </c>
      <c r="S11" s="472" t="s">
        <v>776</v>
      </c>
      <c r="T11" s="442"/>
      <c r="U11" s="442"/>
      <c r="V11" s="442"/>
    </row>
    <row r="12" spans="2:22" ht="14.25" x14ac:dyDescent="0.2">
      <c r="B12" s="499" t="s">
        <v>790</v>
      </c>
      <c r="C12" s="500">
        <v>272010</v>
      </c>
      <c r="D12" s="501" t="s">
        <v>380</v>
      </c>
      <c r="E12" s="502" t="s">
        <v>772</v>
      </c>
      <c r="F12" s="502" t="s">
        <v>628</v>
      </c>
      <c r="G12" s="503" t="s">
        <v>62</v>
      </c>
      <c r="H12" s="473" t="s">
        <v>774</v>
      </c>
      <c r="I12" s="474"/>
      <c r="J12" s="475" t="s">
        <v>792</v>
      </c>
      <c r="K12" s="475" t="s">
        <v>677</v>
      </c>
      <c r="L12" s="475" t="s">
        <v>677</v>
      </c>
      <c r="M12" s="475" t="s">
        <v>677</v>
      </c>
      <c r="N12" s="476"/>
      <c r="O12" s="476"/>
      <c r="P12" s="472">
        <v>270100</v>
      </c>
      <c r="Q12" s="472" t="s">
        <v>790</v>
      </c>
      <c r="R12" s="472" t="s">
        <v>776</v>
      </c>
      <c r="S12" s="472" t="s">
        <v>776</v>
      </c>
      <c r="T12" s="442"/>
      <c r="U12" s="442"/>
      <c r="V12" s="442"/>
    </row>
    <row r="13" spans="2:22" ht="14.25" x14ac:dyDescent="0.2">
      <c r="B13" s="499" t="s">
        <v>793</v>
      </c>
      <c r="C13" s="500">
        <v>471110</v>
      </c>
      <c r="D13" s="501" t="s">
        <v>380</v>
      </c>
      <c r="E13" s="502" t="s">
        <v>772</v>
      </c>
      <c r="F13" s="502" t="s">
        <v>628</v>
      </c>
      <c r="G13" s="503" t="s">
        <v>62</v>
      </c>
      <c r="H13" s="473" t="s">
        <v>774</v>
      </c>
      <c r="I13" s="474"/>
      <c r="J13" s="475" t="s">
        <v>792</v>
      </c>
      <c r="K13" s="475" t="s">
        <v>677</v>
      </c>
      <c r="L13" s="475" t="s">
        <v>677</v>
      </c>
      <c r="M13" s="475" t="s">
        <v>677</v>
      </c>
      <c r="N13" s="476"/>
      <c r="O13" s="476"/>
      <c r="P13" s="472">
        <v>471100</v>
      </c>
      <c r="Q13" s="472" t="s">
        <v>795</v>
      </c>
      <c r="R13" s="472" t="s">
        <v>796</v>
      </c>
      <c r="S13" s="472" t="s">
        <v>797</v>
      </c>
      <c r="T13" s="442"/>
      <c r="U13" s="442"/>
      <c r="V13" s="442"/>
    </row>
    <row r="14" spans="2:22" ht="14.25" x14ac:dyDescent="0.2">
      <c r="B14" s="499" t="s">
        <v>793</v>
      </c>
      <c r="C14" s="500">
        <v>471110</v>
      </c>
      <c r="D14" s="501" t="s">
        <v>380</v>
      </c>
      <c r="E14" s="502" t="s">
        <v>772</v>
      </c>
      <c r="F14" s="502" t="s">
        <v>628</v>
      </c>
      <c r="G14" s="503" t="s">
        <v>71</v>
      </c>
      <c r="H14" s="473" t="s">
        <v>774</v>
      </c>
      <c r="I14" s="474"/>
      <c r="J14" s="475" t="s">
        <v>792</v>
      </c>
      <c r="K14" s="475" t="s">
        <v>677</v>
      </c>
      <c r="L14" s="475" t="s">
        <v>677</v>
      </c>
      <c r="M14" s="475" t="s">
        <v>677</v>
      </c>
      <c r="N14" s="476"/>
      <c r="O14" s="476"/>
      <c r="P14" s="472">
        <v>471100</v>
      </c>
      <c r="Q14" s="472" t="s">
        <v>795</v>
      </c>
      <c r="R14" s="472" t="s">
        <v>796</v>
      </c>
      <c r="S14" s="472" t="s">
        <v>797</v>
      </c>
      <c r="T14" s="442"/>
      <c r="U14" s="442"/>
      <c r="V14" s="442"/>
    </row>
    <row r="15" spans="2:22" ht="42" x14ac:dyDescent="0.2">
      <c r="B15" s="499" t="s">
        <v>798</v>
      </c>
      <c r="C15" s="500">
        <v>471210</v>
      </c>
      <c r="D15" s="505" t="s">
        <v>380</v>
      </c>
      <c r="E15" s="502" t="s">
        <v>799</v>
      </c>
      <c r="F15" s="502" t="s">
        <v>628</v>
      </c>
      <c r="G15" s="503" t="s">
        <v>71</v>
      </c>
      <c r="H15" s="473" t="s">
        <v>801</v>
      </c>
      <c r="I15" s="474"/>
      <c r="J15" s="475" t="s">
        <v>792</v>
      </c>
      <c r="K15" s="475" t="s">
        <v>677</v>
      </c>
      <c r="L15" s="475" t="s">
        <v>677</v>
      </c>
      <c r="M15" s="475" t="s">
        <v>677</v>
      </c>
      <c r="N15" s="476" t="s">
        <v>802</v>
      </c>
      <c r="O15" s="476" t="s">
        <v>802</v>
      </c>
      <c r="P15" s="472">
        <v>471200</v>
      </c>
      <c r="Q15" s="472" t="s">
        <v>798</v>
      </c>
      <c r="R15" s="472" t="s">
        <v>803</v>
      </c>
      <c r="S15" s="472" t="s">
        <v>804</v>
      </c>
      <c r="T15" s="442"/>
      <c r="U15" s="442"/>
      <c r="V15" s="442"/>
    </row>
    <row r="16" spans="2:22" ht="14.25" x14ac:dyDescent="0.2">
      <c r="B16" s="499" t="s">
        <v>771</v>
      </c>
      <c r="C16" s="500">
        <v>411110</v>
      </c>
      <c r="D16" s="501" t="s">
        <v>380</v>
      </c>
      <c r="E16" s="502" t="s">
        <v>772</v>
      </c>
      <c r="F16" s="502" t="s">
        <v>628</v>
      </c>
      <c r="G16" s="503" t="s">
        <v>73</v>
      </c>
      <c r="H16" s="473" t="s">
        <v>774</v>
      </c>
      <c r="I16" s="474"/>
      <c r="J16" s="475" t="s">
        <v>775</v>
      </c>
      <c r="K16" s="475"/>
      <c r="L16" s="475" t="s">
        <v>677</v>
      </c>
      <c r="M16" s="475" t="s">
        <v>677</v>
      </c>
      <c r="N16" s="476"/>
      <c r="O16" s="476"/>
      <c r="P16" s="472">
        <v>411100</v>
      </c>
      <c r="Q16" s="472" t="s">
        <v>771</v>
      </c>
      <c r="R16" s="472" t="s">
        <v>776</v>
      </c>
      <c r="S16" s="472" t="s">
        <v>776</v>
      </c>
      <c r="T16" s="442"/>
      <c r="U16" s="442"/>
      <c r="V16" s="442"/>
    </row>
    <row r="17" spans="2:22" ht="14.25" x14ac:dyDescent="0.2">
      <c r="B17" s="499" t="s">
        <v>787</v>
      </c>
      <c r="C17" s="500">
        <v>411210</v>
      </c>
      <c r="D17" s="501" t="s">
        <v>380</v>
      </c>
      <c r="E17" s="502" t="s">
        <v>772</v>
      </c>
      <c r="F17" s="502" t="s">
        <v>628</v>
      </c>
      <c r="G17" s="503" t="s">
        <v>73</v>
      </c>
      <c r="H17" s="473" t="s">
        <v>774</v>
      </c>
      <c r="I17" s="474"/>
      <c r="J17" s="475" t="s">
        <v>775</v>
      </c>
      <c r="K17" s="475" t="s">
        <v>677</v>
      </c>
      <c r="L17" s="475" t="s">
        <v>677</v>
      </c>
      <c r="M17" s="475" t="s">
        <v>677</v>
      </c>
      <c r="N17" s="476"/>
      <c r="O17" s="476"/>
      <c r="P17" s="472">
        <v>411200</v>
      </c>
      <c r="Q17" s="472" t="s">
        <v>787</v>
      </c>
      <c r="R17" s="472" t="s">
        <v>776</v>
      </c>
      <c r="S17" s="472" t="s">
        <v>776</v>
      </c>
      <c r="T17" s="442"/>
      <c r="U17" s="442"/>
      <c r="V17" s="442"/>
    </row>
    <row r="18" spans="2:22" ht="14.25" x14ac:dyDescent="0.2">
      <c r="B18" s="499" t="s">
        <v>805</v>
      </c>
      <c r="C18" s="500">
        <v>210010</v>
      </c>
      <c r="D18" s="501" t="s">
        <v>380</v>
      </c>
      <c r="E18" s="502" t="s">
        <v>772</v>
      </c>
      <c r="F18" s="502" t="s">
        <v>628</v>
      </c>
      <c r="G18" s="503" t="s">
        <v>73</v>
      </c>
      <c r="H18" s="473" t="s">
        <v>774</v>
      </c>
      <c r="I18" s="474"/>
      <c r="J18" s="475" t="s">
        <v>775</v>
      </c>
      <c r="K18" s="475" t="s">
        <v>677</v>
      </c>
      <c r="L18" s="475" t="s">
        <v>677</v>
      </c>
      <c r="M18" s="475" t="s">
        <v>677</v>
      </c>
      <c r="N18" s="476"/>
      <c r="O18" s="476"/>
      <c r="P18" s="472">
        <v>210000</v>
      </c>
      <c r="Q18" s="472" t="s">
        <v>805</v>
      </c>
      <c r="R18" s="472" t="s">
        <v>776</v>
      </c>
      <c r="S18" s="472" t="s">
        <v>776</v>
      </c>
      <c r="T18" s="442"/>
      <c r="U18" s="442"/>
      <c r="V18" s="442"/>
    </row>
    <row r="19" spans="2:22" ht="14.25" x14ac:dyDescent="0.2">
      <c r="B19" s="499" t="s">
        <v>807</v>
      </c>
      <c r="C19" s="500">
        <v>281210</v>
      </c>
      <c r="D19" s="501" t="s">
        <v>380</v>
      </c>
      <c r="E19" s="502" t="s">
        <v>772</v>
      </c>
      <c r="F19" s="502" t="s">
        <v>628</v>
      </c>
      <c r="G19" s="503" t="s">
        <v>73</v>
      </c>
      <c r="H19" s="473" t="s">
        <v>774</v>
      </c>
      <c r="I19" s="474"/>
      <c r="J19" s="475" t="s">
        <v>809</v>
      </c>
      <c r="K19" s="475"/>
      <c r="L19" s="475" t="s">
        <v>677</v>
      </c>
      <c r="M19" s="475" t="s">
        <v>677</v>
      </c>
      <c r="N19" s="476"/>
      <c r="O19" s="476"/>
      <c r="P19" s="472">
        <v>281200</v>
      </c>
      <c r="Q19" s="472" t="s">
        <v>807</v>
      </c>
      <c r="R19" s="472" t="s">
        <v>776</v>
      </c>
      <c r="S19" s="472" t="s">
        <v>776</v>
      </c>
      <c r="T19" s="442"/>
      <c r="U19" s="442"/>
      <c r="V19" s="442"/>
    </row>
    <row r="20" spans="2:22" ht="14.25" x14ac:dyDescent="0.2">
      <c r="B20" s="499" t="s">
        <v>810</v>
      </c>
      <c r="C20" s="500">
        <v>281120</v>
      </c>
      <c r="D20" s="501" t="s">
        <v>380</v>
      </c>
      <c r="E20" s="502" t="s">
        <v>772</v>
      </c>
      <c r="F20" s="502" t="s">
        <v>628</v>
      </c>
      <c r="G20" s="503" t="s">
        <v>73</v>
      </c>
      <c r="H20" s="473" t="s">
        <v>774</v>
      </c>
      <c r="I20" s="474"/>
      <c r="J20" s="475" t="s">
        <v>809</v>
      </c>
      <c r="K20" s="475"/>
      <c r="L20" s="475" t="s">
        <v>677</v>
      </c>
      <c r="M20" s="475" t="s">
        <v>677</v>
      </c>
      <c r="N20" s="476"/>
      <c r="O20" s="476"/>
      <c r="P20" s="472">
        <v>281100</v>
      </c>
      <c r="Q20" s="472" t="s">
        <v>810</v>
      </c>
      <c r="R20" s="472" t="s">
        <v>776</v>
      </c>
      <c r="S20" s="472" t="s">
        <v>776</v>
      </c>
      <c r="T20" s="442"/>
      <c r="U20" s="442"/>
      <c r="V20" s="442"/>
    </row>
    <row r="21" spans="2:22" ht="14.25" x14ac:dyDescent="0.2">
      <c r="B21" s="499" t="s">
        <v>790</v>
      </c>
      <c r="C21" s="500">
        <v>272010</v>
      </c>
      <c r="D21" s="501" t="s">
        <v>380</v>
      </c>
      <c r="E21" s="502" t="s">
        <v>772</v>
      </c>
      <c r="F21" s="502" t="s">
        <v>628</v>
      </c>
      <c r="G21" s="503" t="s">
        <v>74</v>
      </c>
      <c r="H21" s="473" t="s">
        <v>774</v>
      </c>
      <c r="I21" s="474"/>
      <c r="J21" s="475" t="s">
        <v>792</v>
      </c>
      <c r="K21" s="475" t="s">
        <v>677</v>
      </c>
      <c r="L21" s="475" t="s">
        <v>677</v>
      </c>
      <c r="M21" s="475" t="s">
        <v>677</v>
      </c>
      <c r="N21" s="476"/>
      <c r="O21" s="476"/>
      <c r="P21" s="472">
        <v>270100</v>
      </c>
      <c r="Q21" s="472" t="s">
        <v>790</v>
      </c>
      <c r="R21" s="472" t="s">
        <v>776</v>
      </c>
      <c r="S21" s="472" t="s">
        <v>776</v>
      </c>
      <c r="T21" s="442"/>
      <c r="U21" s="442"/>
      <c r="V21" s="442"/>
    </row>
    <row r="22" spans="2:22" ht="14.25" x14ac:dyDescent="0.2">
      <c r="B22" s="499" t="s">
        <v>793</v>
      </c>
      <c r="C22" s="500">
        <v>471110</v>
      </c>
      <c r="D22" s="501" t="s">
        <v>380</v>
      </c>
      <c r="E22" s="502" t="s">
        <v>772</v>
      </c>
      <c r="F22" s="502" t="s">
        <v>628</v>
      </c>
      <c r="G22" s="503" t="s">
        <v>74</v>
      </c>
      <c r="H22" s="473" t="s">
        <v>774</v>
      </c>
      <c r="I22" s="474"/>
      <c r="J22" s="475" t="s">
        <v>792</v>
      </c>
      <c r="K22" s="475" t="s">
        <v>677</v>
      </c>
      <c r="L22" s="475" t="s">
        <v>677</v>
      </c>
      <c r="M22" s="475" t="s">
        <v>677</v>
      </c>
      <c r="N22" s="476"/>
      <c r="O22" s="476"/>
      <c r="P22" s="472">
        <v>471100</v>
      </c>
      <c r="Q22" s="472" t="s">
        <v>795</v>
      </c>
      <c r="R22" s="472" t="s">
        <v>796</v>
      </c>
      <c r="S22" s="472" t="s">
        <v>797</v>
      </c>
      <c r="T22" s="442"/>
      <c r="U22" s="442"/>
      <c r="V22" s="442"/>
    </row>
    <row r="23" spans="2:22" ht="14.25" x14ac:dyDescent="0.2">
      <c r="B23" s="504" t="s">
        <v>777</v>
      </c>
      <c r="C23" s="500">
        <v>313230</v>
      </c>
      <c r="D23" s="501" t="s">
        <v>380</v>
      </c>
      <c r="E23" s="502" t="s">
        <v>772</v>
      </c>
      <c r="F23" s="502" t="s">
        <v>628</v>
      </c>
      <c r="G23" s="503" t="s">
        <v>75</v>
      </c>
      <c r="H23" s="473" t="s">
        <v>774</v>
      </c>
      <c r="I23" s="474"/>
      <c r="J23" s="475" t="s">
        <v>778</v>
      </c>
      <c r="K23" s="475" t="s">
        <v>677</v>
      </c>
      <c r="L23" s="475" t="s">
        <v>677</v>
      </c>
      <c r="M23" s="475" t="s">
        <v>677</v>
      </c>
      <c r="N23" s="476"/>
      <c r="O23" s="476"/>
      <c r="P23" s="477" t="s">
        <v>779</v>
      </c>
      <c r="Q23" s="477"/>
      <c r="R23" s="477" t="s">
        <v>780</v>
      </c>
      <c r="S23" s="477" t="s">
        <v>781</v>
      </c>
      <c r="T23" s="442"/>
      <c r="U23" s="442"/>
      <c r="V23" s="442"/>
    </row>
    <row r="24" spans="2:22" ht="14.25" x14ac:dyDescent="0.2">
      <c r="B24" s="499" t="s">
        <v>790</v>
      </c>
      <c r="C24" s="500">
        <v>272010</v>
      </c>
      <c r="D24" s="501" t="s">
        <v>380</v>
      </c>
      <c r="E24" s="502" t="s">
        <v>772</v>
      </c>
      <c r="F24" s="502" t="s">
        <v>628</v>
      </c>
      <c r="G24" s="503" t="s">
        <v>76</v>
      </c>
      <c r="H24" s="473" t="s">
        <v>774</v>
      </c>
      <c r="I24" s="474"/>
      <c r="J24" s="475" t="s">
        <v>792</v>
      </c>
      <c r="K24" s="475" t="s">
        <v>677</v>
      </c>
      <c r="L24" s="475" t="s">
        <v>677</v>
      </c>
      <c r="M24" s="475" t="s">
        <v>677</v>
      </c>
      <c r="N24" s="476"/>
      <c r="O24" s="476"/>
      <c r="P24" s="472">
        <v>270100</v>
      </c>
      <c r="Q24" s="472" t="s">
        <v>790</v>
      </c>
      <c r="R24" s="472" t="s">
        <v>776</v>
      </c>
      <c r="S24" s="472" t="s">
        <v>776</v>
      </c>
      <c r="T24" s="442"/>
      <c r="U24" s="442"/>
      <c r="V24" s="442"/>
    </row>
    <row r="25" spans="2:22" ht="14.25" x14ac:dyDescent="0.2">
      <c r="B25" s="499" t="s">
        <v>793</v>
      </c>
      <c r="C25" s="500">
        <v>471110</v>
      </c>
      <c r="D25" s="501" t="s">
        <v>380</v>
      </c>
      <c r="E25" s="502" t="s">
        <v>772</v>
      </c>
      <c r="F25" s="502" t="s">
        <v>628</v>
      </c>
      <c r="G25" s="503" t="s">
        <v>76</v>
      </c>
      <c r="H25" s="473" t="s">
        <v>774</v>
      </c>
      <c r="I25" s="474"/>
      <c r="J25" s="475" t="s">
        <v>792</v>
      </c>
      <c r="K25" s="475" t="s">
        <v>677</v>
      </c>
      <c r="L25" s="475" t="s">
        <v>677</v>
      </c>
      <c r="M25" s="475" t="s">
        <v>677</v>
      </c>
      <c r="N25" s="476"/>
      <c r="O25" s="476"/>
      <c r="P25" s="472">
        <v>471100</v>
      </c>
      <c r="Q25" s="472" t="s">
        <v>795</v>
      </c>
      <c r="R25" s="472" t="s">
        <v>796</v>
      </c>
      <c r="S25" s="472" t="s">
        <v>797</v>
      </c>
      <c r="T25" s="442"/>
      <c r="U25" s="442"/>
      <c r="V25" s="442"/>
    </row>
    <row r="26" spans="2:22" ht="14.25" x14ac:dyDescent="0.2">
      <c r="B26" s="499" t="s">
        <v>782</v>
      </c>
      <c r="C26" s="500">
        <v>312030</v>
      </c>
      <c r="D26" s="501" t="s">
        <v>380</v>
      </c>
      <c r="E26" s="502" t="s">
        <v>772</v>
      </c>
      <c r="F26" s="502" t="s">
        <v>628</v>
      </c>
      <c r="G26" s="503" t="s">
        <v>77</v>
      </c>
      <c r="H26" s="473" t="s">
        <v>774</v>
      </c>
      <c r="I26" s="474"/>
      <c r="J26" s="475" t="s">
        <v>778</v>
      </c>
      <c r="K26" s="475" t="s">
        <v>677</v>
      </c>
      <c r="L26" s="475" t="s">
        <v>677</v>
      </c>
      <c r="M26" s="475" t="s">
        <v>677</v>
      </c>
      <c r="N26" s="476"/>
      <c r="O26" s="476"/>
      <c r="P26" s="472">
        <v>310500</v>
      </c>
      <c r="Q26" s="472" t="s">
        <v>782</v>
      </c>
      <c r="R26" s="472" t="s">
        <v>776</v>
      </c>
      <c r="S26" s="472" t="s">
        <v>776</v>
      </c>
      <c r="T26" s="442"/>
      <c r="U26" s="442"/>
      <c r="V26" s="442"/>
    </row>
    <row r="27" spans="2:22" ht="14.25" x14ac:dyDescent="0.2">
      <c r="B27" s="499" t="s">
        <v>784</v>
      </c>
      <c r="C27" s="500">
        <v>312050</v>
      </c>
      <c r="D27" s="501" t="s">
        <v>380</v>
      </c>
      <c r="E27" s="502" t="s">
        <v>772</v>
      </c>
      <c r="F27" s="502" t="s">
        <v>628</v>
      </c>
      <c r="G27" s="503" t="s">
        <v>77</v>
      </c>
      <c r="H27" s="473" t="s">
        <v>774</v>
      </c>
      <c r="I27" s="474"/>
      <c r="J27" s="475" t="s">
        <v>778</v>
      </c>
      <c r="K27" s="475" t="s">
        <v>677</v>
      </c>
      <c r="L27" s="475" t="s">
        <v>677</v>
      </c>
      <c r="M27" s="475" t="s">
        <v>677</v>
      </c>
      <c r="N27" s="476"/>
      <c r="O27" s="476"/>
      <c r="P27" s="472">
        <v>310520</v>
      </c>
      <c r="Q27" s="472" t="s">
        <v>784</v>
      </c>
      <c r="R27" s="472" t="s">
        <v>776</v>
      </c>
      <c r="S27" s="472" t="s">
        <v>776</v>
      </c>
      <c r="T27" s="442"/>
      <c r="U27" s="442"/>
      <c r="V27" s="442"/>
    </row>
    <row r="28" spans="2:22" ht="14.25" x14ac:dyDescent="0.2">
      <c r="B28" s="499" t="s">
        <v>785</v>
      </c>
      <c r="C28" s="500">
        <v>312040</v>
      </c>
      <c r="D28" s="501" t="s">
        <v>380</v>
      </c>
      <c r="E28" s="502" t="s">
        <v>772</v>
      </c>
      <c r="F28" s="502" t="s">
        <v>628</v>
      </c>
      <c r="G28" s="503" t="s">
        <v>77</v>
      </c>
      <c r="H28" s="473" t="s">
        <v>774</v>
      </c>
      <c r="I28" s="474"/>
      <c r="J28" s="475" t="s">
        <v>778</v>
      </c>
      <c r="K28" s="475" t="s">
        <v>677</v>
      </c>
      <c r="L28" s="475" t="s">
        <v>677</v>
      </c>
      <c r="M28" s="475" t="s">
        <v>677</v>
      </c>
      <c r="N28" s="476"/>
      <c r="O28" s="476"/>
      <c r="P28" s="472">
        <v>310530</v>
      </c>
      <c r="Q28" s="472" t="s">
        <v>786</v>
      </c>
      <c r="R28" s="472" t="s">
        <v>776</v>
      </c>
      <c r="S28" s="472" t="s">
        <v>776</v>
      </c>
      <c r="T28" s="442"/>
      <c r="U28" s="442"/>
      <c r="V28" s="442"/>
    </row>
    <row r="29" spans="2:22" ht="14.25" x14ac:dyDescent="0.2">
      <c r="B29" s="499" t="s">
        <v>806</v>
      </c>
      <c r="C29" s="500">
        <v>312010</v>
      </c>
      <c r="D29" s="501" t="s">
        <v>380</v>
      </c>
      <c r="E29" s="502" t="s">
        <v>772</v>
      </c>
      <c r="F29" s="502" t="s">
        <v>628</v>
      </c>
      <c r="G29" s="503" t="s">
        <v>77</v>
      </c>
      <c r="H29" s="473" t="s">
        <v>774</v>
      </c>
      <c r="I29" s="474"/>
      <c r="J29" s="475" t="s">
        <v>778</v>
      </c>
      <c r="K29" s="475" t="s">
        <v>677</v>
      </c>
      <c r="L29" s="475" t="s">
        <v>677</v>
      </c>
      <c r="M29" s="475" t="s">
        <v>677</v>
      </c>
      <c r="N29" s="476"/>
      <c r="O29" s="476"/>
      <c r="P29" s="472">
        <v>310100</v>
      </c>
      <c r="Q29" s="472" t="s">
        <v>806</v>
      </c>
      <c r="R29" s="472" t="s">
        <v>776</v>
      </c>
      <c r="S29" s="472" t="s">
        <v>776</v>
      </c>
      <c r="T29" s="442"/>
      <c r="U29" s="442"/>
      <c r="V29" s="442"/>
    </row>
    <row r="30" spans="2:22" ht="14.25" x14ac:dyDescent="0.2">
      <c r="B30" s="499" t="s">
        <v>811</v>
      </c>
      <c r="C30" s="500">
        <v>211410</v>
      </c>
      <c r="D30" s="501" t="s">
        <v>380</v>
      </c>
      <c r="E30" s="502" t="s">
        <v>772</v>
      </c>
      <c r="F30" s="502" t="s">
        <v>628</v>
      </c>
      <c r="G30" s="503" t="s">
        <v>77</v>
      </c>
      <c r="H30" s="473" t="s">
        <v>774</v>
      </c>
      <c r="I30" s="474"/>
      <c r="J30" s="475" t="s">
        <v>778</v>
      </c>
      <c r="K30" s="475" t="s">
        <v>677</v>
      </c>
      <c r="L30" s="475" t="s">
        <v>677</v>
      </c>
      <c r="M30" s="475" t="s">
        <v>677</v>
      </c>
      <c r="N30" s="476"/>
      <c r="O30" s="476"/>
      <c r="P30" s="472">
        <v>310400</v>
      </c>
      <c r="Q30" s="472" t="s">
        <v>811</v>
      </c>
      <c r="R30" s="472" t="s">
        <v>776</v>
      </c>
      <c r="S30" s="472" t="s">
        <v>776</v>
      </c>
      <c r="T30" s="442"/>
      <c r="U30" s="442"/>
      <c r="V30" s="442"/>
    </row>
    <row r="31" spans="2:22" ht="14.25" x14ac:dyDescent="0.2">
      <c r="B31" s="503" t="s">
        <v>782</v>
      </c>
      <c r="C31" s="506">
        <v>312030</v>
      </c>
      <c r="D31" s="502" t="s">
        <v>380</v>
      </c>
      <c r="E31" s="502" t="s">
        <v>772</v>
      </c>
      <c r="F31" s="502" t="s">
        <v>628</v>
      </c>
      <c r="G31" s="503" t="s">
        <v>78</v>
      </c>
      <c r="H31" s="473" t="s">
        <v>774</v>
      </c>
      <c r="I31" s="474"/>
      <c r="J31" s="475" t="s">
        <v>778</v>
      </c>
      <c r="K31" s="475" t="s">
        <v>677</v>
      </c>
      <c r="L31" s="475" t="s">
        <v>677</v>
      </c>
      <c r="M31" s="475" t="s">
        <v>677</v>
      </c>
      <c r="N31" s="476"/>
      <c r="O31" s="476"/>
      <c r="P31" s="472">
        <v>310500</v>
      </c>
      <c r="Q31" s="472" t="s">
        <v>782</v>
      </c>
      <c r="R31" s="472" t="s">
        <v>776</v>
      </c>
      <c r="S31" s="472" t="s">
        <v>776</v>
      </c>
      <c r="T31" s="442"/>
      <c r="U31" s="442"/>
      <c r="V31" s="442"/>
    </row>
    <row r="32" spans="2:22" ht="14.25" x14ac:dyDescent="0.2">
      <c r="B32" s="503" t="s">
        <v>784</v>
      </c>
      <c r="C32" s="506">
        <v>312050</v>
      </c>
      <c r="D32" s="502" t="s">
        <v>380</v>
      </c>
      <c r="E32" s="502" t="s">
        <v>772</v>
      </c>
      <c r="F32" s="502" t="s">
        <v>628</v>
      </c>
      <c r="G32" s="503" t="s">
        <v>78</v>
      </c>
      <c r="H32" s="473" t="s">
        <v>774</v>
      </c>
      <c r="I32" s="474"/>
      <c r="J32" s="475" t="s">
        <v>778</v>
      </c>
      <c r="K32" s="475" t="s">
        <v>677</v>
      </c>
      <c r="L32" s="475" t="s">
        <v>677</v>
      </c>
      <c r="M32" s="475" t="s">
        <v>677</v>
      </c>
      <c r="N32" s="476"/>
      <c r="O32" s="476"/>
      <c r="P32" s="472">
        <v>310520</v>
      </c>
      <c r="Q32" s="472" t="s">
        <v>784</v>
      </c>
      <c r="R32" s="472" t="s">
        <v>776</v>
      </c>
      <c r="S32" s="472" t="s">
        <v>776</v>
      </c>
      <c r="T32" s="442"/>
      <c r="U32" s="442"/>
      <c r="V32" s="442"/>
    </row>
    <row r="33" spans="2:22" ht="14.25" x14ac:dyDescent="0.2">
      <c r="B33" s="503" t="s">
        <v>785</v>
      </c>
      <c r="C33" s="506">
        <v>312040</v>
      </c>
      <c r="D33" s="502" t="s">
        <v>380</v>
      </c>
      <c r="E33" s="502" t="s">
        <v>772</v>
      </c>
      <c r="F33" s="502" t="s">
        <v>628</v>
      </c>
      <c r="G33" s="503" t="s">
        <v>78</v>
      </c>
      <c r="H33" s="473" t="s">
        <v>774</v>
      </c>
      <c r="I33" s="474"/>
      <c r="J33" s="475" t="s">
        <v>778</v>
      </c>
      <c r="K33" s="475" t="s">
        <v>677</v>
      </c>
      <c r="L33" s="475" t="s">
        <v>677</v>
      </c>
      <c r="M33" s="475" t="s">
        <v>677</v>
      </c>
      <c r="N33" s="476"/>
      <c r="O33" s="476"/>
      <c r="P33" s="472">
        <v>310530</v>
      </c>
      <c r="Q33" s="472" t="s">
        <v>786</v>
      </c>
      <c r="R33" s="472" t="s">
        <v>776</v>
      </c>
      <c r="S33" s="472" t="s">
        <v>776</v>
      </c>
      <c r="T33" s="442"/>
      <c r="U33" s="442"/>
      <c r="V33" s="442"/>
    </row>
    <row r="34" spans="2:22" ht="14.25" x14ac:dyDescent="0.2">
      <c r="B34" s="503" t="s">
        <v>806</v>
      </c>
      <c r="C34" s="506">
        <v>312010</v>
      </c>
      <c r="D34" s="502" t="s">
        <v>380</v>
      </c>
      <c r="E34" s="502" t="s">
        <v>772</v>
      </c>
      <c r="F34" s="502" t="s">
        <v>628</v>
      </c>
      <c r="G34" s="503" t="s">
        <v>78</v>
      </c>
      <c r="H34" s="473" t="s">
        <v>774</v>
      </c>
      <c r="I34" s="474"/>
      <c r="J34" s="475" t="s">
        <v>778</v>
      </c>
      <c r="K34" s="475" t="s">
        <v>677</v>
      </c>
      <c r="L34" s="475" t="s">
        <v>677</v>
      </c>
      <c r="M34" s="475" t="s">
        <v>677</v>
      </c>
      <c r="N34" s="476"/>
      <c r="O34" s="476"/>
      <c r="P34" s="472">
        <v>310100</v>
      </c>
      <c r="Q34" s="472" t="s">
        <v>806</v>
      </c>
      <c r="R34" s="472" t="s">
        <v>776</v>
      </c>
      <c r="S34" s="472" t="s">
        <v>776</v>
      </c>
      <c r="T34" s="442"/>
      <c r="U34" s="442"/>
      <c r="V34" s="442"/>
    </row>
    <row r="35" spans="2:22" ht="14.25" x14ac:dyDescent="0.2">
      <c r="B35" s="503" t="s">
        <v>811</v>
      </c>
      <c r="C35" s="506">
        <v>211410</v>
      </c>
      <c r="D35" s="502" t="s">
        <v>380</v>
      </c>
      <c r="E35" s="502" t="s">
        <v>772</v>
      </c>
      <c r="F35" s="502" t="s">
        <v>628</v>
      </c>
      <c r="G35" s="503" t="s">
        <v>78</v>
      </c>
      <c r="H35" s="473" t="s">
        <v>774</v>
      </c>
      <c r="I35" s="474"/>
      <c r="J35" s="475" t="s">
        <v>778</v>
      </c>
      <c r="K35" s="475" t="s">
        <v>677</v>
      </c>
      <c r="L35" s="475" t="s">
        <v>677</v>
      </c>
      <c r="M35" s="475" t="s">
        <v>677</v>
      </c>
      <c r="N35" s="476"/>
      <c r="O35" s="476"/>
      <c r="P35" s="472">
        <v>310400</v>
      </c>
      <c r="Q35" s="472" t="s">
        <v>811</v>
      </c>
      <c r="R35" s="472" t="s">
        <v>776</v>
      </c>
      <c r="S35" s="472" t="s">
        <v>776</v>
      </c>
      <c r="T35" s="442"/>
      <c r="U35" s="442"/>
      <c r="V35" s="442"/>
    </row>
    <row r="36" spans="2:22" ht="14.25" x14ac:dyDescent="0.2">
      <c r="B36" s="506" t="s">
        <v>777</v>
      </c>
      <c r="C36" s="506">
        <v>313230</v>
      </c>
      <c r="D36" s="502" t="s">
        <v>380</v>
      </c>
      <c r="E36" s="502" t="s">
        <v>772</v>
      </c>
      <c r="F36" s="502" t="s">
        <v>628</v>
      </c>
      <c r="G36" s="503" t="s">
        <v>79</v>
      </c>
      <c r="H36" s="473" t="s">
        <v>774</v>
      </c>
      <c r="I36" s="474"/>
      <c r="J36" s="475" t="s">
        <v>778</v>
      </c>
      <c r="K36" s="475" t="s">
        <v>677</v>
      </c>
      <c r="L36" s="475" t="s">
        <v>677</v>
      </c>
      <c r="M36" s="475" t="s">
        <v>677</v>
      </c>
      <c r="N36" s="476"/>
      <c r="O36" s="476"/>
      <c r="P36" s="477" t="s">
        <v>779</v>
      </c>
      <c r="Q36" s="477"/>
      <c r="R36" s="477" t="s">
        <v>780</v>
      </c>
      <c r="S36" s="477" t="s">
        <v>781</v>
      </c>
      <c r="T36" s="442"/>
      <c r="U36" s="442"/>
      <c r="V36" s="442"/>
    </row>
    <row r="37" spans="2:22" ht="14.25" x14ac:dyDescent="0.2">
      <c r="B37" s="506" t="s">
        <v>777</v>
      </c>
      <c r="C37" s="506">
        <v>313230</v>
      </c>
      <c r="D37" s="502" t="s">
        <v>380</v>
      </c>
      <c r="E37" s="502" t="s">
        <v>772</v>
      </c>
      <c r="F37" s="502" t="s">
        <v>628</v>
      </c>
      <c r="G37" s="503" t="s">
        <v>80</v>
      </c>
      <c r="H37" s="473" t="s">
        <v>774</v>
      </c>
      <c r="I37" s="474"/>
      <c r="J37" s="475" t="s">
        <v>778</v>
      </c>
      <c r="K37" s="475" t="s">
        <v>677</v>
      </c>
      <c r="L37" s="475" t="s">
        <v>677</v>
      </c>
      <c r="M37" s="475" t="s">
        <v>677</v>
      </c>
      <c r="N37" s="476"/>
      <c r="O37" s="476"/>
      <c r="P37" s="477" t="s">
        <v>779</v>
      </c>
      <c r="Q37" s="477"/>
      <c r="R37" s="477" t="s">
        <v>780</v>
      </c>
      <c r="S37" s="477" t="s">
        <v>781</v>
      </c>
      <c r="T37" s="442"/>
      <c r="U37" s="442"/>
      <c r="V37" s="442"/>
    </row>
    <row r="38" spans="2:22" ht="14.25" x14ac:dyDescent="0.2">
      <c r="B38" s="503" t="s">
        <v>793</v>
      </c>
      <c r="C38" s="506">
        <v>471110</v>
      </c>
      <c r="D38" s="502" t="s">
        <v>380</v>
      </c>
      <c r="E38" s="502" t="s">
        <v>772</v>
      </c>
      <c r="F38" s="502" t="s">
        <v>628</v>
      </c>
      <c r="G38" s="503" t="s">
        <v>118</v>
      </c>
      <c r="H38" s="473" t="s">
        <v>774</v>
      </c>
      <c r="I38" s="474"/>
      <c r="J38" s="475" t="s">
        <v>792</v>
      </c>
      <c r="K38" s="475" t="s">
        <v>677</v>
      </c>
      <c r="L38" s="475" t="s">
        <v>677</v>
      </c>
      <c r="M38" s="475" t="s">
        <v>677</v>
      </c>
      <c r="N38" s="476"/>
      <c r="O38" s="476"/>
      <c r="P38" s="472">
        <v>471100</v>
      </c>
      <c r="Q38" s="472" t="s">
        <v>795</v>
      </c>
      <c r="R38" s="472" t="s">
        <v>796</v>
      </c>
      <c r="S38" s="472" t="s">
        <v>797</v>
      </c>
      <c r="T38" s="442"/>
      <c r="U38" s="442"/>
      <c r="V38" s="442"/>
    </row>
    <row r="39" spans="2:22" ht="42" x14ac:dyDescent="0.2">
      <c r="B39" s="503" t="s">
        <v>798</v>
      </c>
      <c r="C39" s="506">
        <v>471210</v>
      </c>
      <c r="D39" s="511" t="s">
        <v>380</v>
      </c>
      <c r="E39" s="502" t="s">
        <v>799</v>
      </c>
      <c r="F39" s="502" t="s">
        <v>628</v>
      </c>
      <c r="G39" s="503" t="s">
        <v>118</v>
      </c>
      <c r="H39" s="473" t="s">
        <v>801</v>
      </c>
      <c r="I39" s="474"/>
      <c r="J39" s="475" t="s">
        <v>792</v>
      </c>
      <c r="K39" s="475" t="s">
        <v>677</v>
      </c>
      <c r="L39" s="475" t="s">
        <v>677</v>
      </c>
      <c r="M39" s="475" t="s">
        <v>677</v>
      </c>
      <c r="N39" s="476" t="s">
        <v>802</v>
      </c>
      <c r="O39" s="476" t="s">
        <v>802</v>
      </c>
      <c r="P39" s="472">
        <v>471200</v>
      </c>
      <c r="Q39" s="472" t="s">
        <v>798</v>
      </c>
      <c r="R39" s="472" t="s">
        <v>803</v>
      </c>
      <c r="S39" s="472" t="s">
        <v>804</v>
      </c>
      <c r="T39" s="442"/>
      <c r="U39" s="442"/>
      <c r="V39" s="442"/>
    </row>
    <row r="40" spans="2:22" x14ac:dyDescent="0.25">
      <c r="B40" s="478" t="s">
        <v>358</v>
      </c>
      <c r="C40" s="597"/>
      <c r="D40" s="484"/>
      <c r="E40" s="481"/>
      <c r="F40" s="481"/>
      <c r="G40" s="482" t="s">
        <v>776</v>
      </c>
      <c r="H40" s="598"/>
      <c r="I40" s="599"/>
      <c r="J40" s="600"/>
      <c r="K40" s="475"/>
      <c r="L40" s="475"/>
      <c r="M40" s="475"/>
      <c r="N40" s="476"/>
      <c r="O40" s="476"/>
      <c r="P40" s="472"/>
      <c r="Q40" s="472"/>
      <c r="R40" s="472"/>
      <c r="S40" s="472"/>
    </row>
    <row r="42" spans="2:22" x14ac:dyDescent="0.25">
      <c r="B42" s="442" t="s">
        <v>857</v>
      </c>
    </row>
    <row r="43" spans="2:22" ht="31.5" x14ac:dyDescent="0.25">
      <c r="B43" s="507" t="s">
        <v>755</v>
      </c>
      <c r="C43" s="508" t="s">
        <v>756</v>
      </c>
      <c r="D43" s="508" t="s">
        <v>757</v>
      </c>
      <c r="E43" s="508" t="s">
        <v>579</v>
      </c>
      <c r="F43" s="508" t="s">
        <v>592</v>
      </c>
      <c r="G43" s="509" t="s">
        <v>758</v>
      </c>
    </row>
    <row r="44" spans="2:22" x14ac:dyDescent="0.25">
      <c r="B44" s="510" t="s">
        <v>904</v>
      </c>
      <c r="C44" s="506">
        <v>313010</v>
      </c>
      <c r="D44" s="511" t="s">
        <v>381</v>
      </c>
      <c r="E44" s="511" t="s">
        <v>905</v>
      </c>
      <c r="F44" s="511" t="s">
        <v>906</v>
      </c>
      <c r="G44" s="504" t="s">
        <v>25</v>
      </c>
    </row>
    <row r="45" spans="2:22" ht="21" x14ac:dyDescent="0.25">
      <c r="B45" s="512" t="s">
        <v>912</v>
      </c>
      <c r="C45" s="506">
        <v>611510</v>
      </c>
      <c r="D45" s="511" t="s">
        <v>381</v>
      </c>
      <c r="E45" s="511" t="s">
        <v>905</v>
      </c>
      <c r="F45" s="511" t="s">
        <v>913</v>
      </c>
      <c r="G45" s="504" t="s">
        <v>71</v>
      </c>
    </row>
    <row r="46" spans="2:22" x14ac:dyDescent="0.25">
      <c r="B46" s="510" t="s">
        <v>904</v>
      </c>
      <c r="C46" s="506">
        <v>313010</v>
      </c>
      <c r="D46" s="511" t="s">
        <v>381</v>
      </c>
      <c r="E46" s="511" t="s">
        <v>905</v>
      </c>
      <c r="F46" s="511" t="s">
        <v>906</v>
      </c>
      <c r="G46" s="504" t="s">
        <v>75</v>
      </c>
    </row>
    <row r="47" spans="2:22" x14ac:dyDescent="0.25">
      <c r="B47" s="512" t="s">
        <v>907</v>
      </c>
      <c r="C47" s="506">
        <v>313110</v>
      </c>
      <c r="D47" s="511" t="s">
        <v>381</v>
      </c>
      <c r="E47" s="511" t="s">
        <v>905</v>
      </c>
      <c r="F47" s="511" t="s">
        <v>906</v>
      </c>
      <c r="G47" s="504" t="s">
        <v>75</v>
      </c>
    </row>
    <row r="48" spans="2:22" x14ac:dyDescent="0.25">
      <c r="B48" s="510" t="s">
        <v>904</v>
      </c>
      <c r="C48" s="506">
        <v>313010</v>
      </c>
      <c r="D48" s="511" t="s">
        <v>381</v>
      </c>
      <c r="E48" s="511" t="s">
        <v>905</v>
      </c>
      <c r="F48" s="511" t="s">
        <v>906</v>
      </c>
      <c r="G48" s="504" t="s">
        <v>79</v>
      </c>
    </row>
    <row r="49" spans="2:7" x14ac:dyDescent="0.25">
      <c r="B49" s="512" t="s">
        <v>907</v>
      </c>
      <c r="C49" s="506">
        <v>313110</v>
      </c>
      <c r="D49" s="511" t="s">
        <v>381</v>
      </c>
      <c r="E49" s="511" t="s">
        <v>905</v>
      </c>
      <c r="F49" s="511" t="s">
        <v>906</v>
      </c>
      <c r="G49" s="504" t="s">
        <v>79</v>
      </c>
    </row>
    <row r="50" spans="2:7" x14ac:dyDescent="0.25">
      <c r="B50" s="510" t="s">
        <v>904</v>
      </c>
      <c r="C50" s="506">
        <v>313010</v>
      </c>
      <c r="D50" s="511" t="s">
        <v>381</v>
      </c>
      <c r="E50" s="511" t="s">
        <v>905</v>
      </c>
      <c r="F50" s="511" t="s">
        <v>906</v>
      </c>
      <c r="G50" s="504" t="s">
        <v>80</v>
      </c>
    </row>
    <row r="51" spans="2:7" x14ac:dyDescent="0.25">
      <c r="B51" s="512" t="s">
        <v>907</v>
      </c>
      <c r="C51" s="506">
        <v>313110</v>
      </c>
      <c r="D51" s="511" t="s">
        <v>381</v>
      </c>
      <c r="E51" s="511" t="s">
        <v>905</v>
      </c>
      <c r="F51" s="511" t="s">
        <v>906</v>
      </c>
      <c r="G51" s="504" t="s">
        <v>80</v>
      </c>
    </row>
    <row r="52" spans="2:7" x14ac:dyDescent="0.25">
      <c r="B52" s="512" t="s">
        <v>908</v>
      </c>
      <c r="C52" s="506">
        <v>615010</v>
      </c>
      <c r="D52" s="511" t="s">
        <v>381</v>
      </c>
      <c r="E52" s="511" t="s">
        <v>905</v>
      </c>
      <c r="F52" s="511" t="s">
        <v>909</v>
      </c>
      <c r="G52" s="504" t="s">
        <v>99</v>
      </c>
    </row>
    <row r="53" spans="2:7" ht="21" x14ac:dyDescent="0.25">
      <c r="B53" s="512" t="s">
        <v>912</v>
      </c>
      <c r="C53" s="506">
        <v>611510</v>
      </c>
      <c r="D53" s="511" t="s">
        <v>381</v>
      </c>
      <c r="E53" s="511" t="s">
        <v>905</v>
      </c>
      <c r="F53" s="511" t="s">
        <v>913</v>
      </c>
      <c r="G53" s="504" t="s">
        <v>99</v>
      </c>
    </row>
    <row r="54" spans="2:7" ht="21" x14ac:dyDescent="0.25">
      <c r="B54" s="512" t="s">
        <v>910</v>
      </c>
      <c r="C54" s="506">
        <v>634010</v>
      </c>
      <c r="D54" s="511" t="s">
        <v>381</v>
      </c>
      <c r="E54" s="511" t="s">
        <v>905</v>
      </c>
      <c r="F54" s="511" t="s">
        <v>628</v>
      </c>
      <c r="G54" s="504" t="s">
        <v>108</v>
      </c>
    </row>
    <row r="55" spans="2:7" x14ac:dyDescent="0.25">
      <c r="B55" s="512" t="s">
        <v>914</v>
      </c>
      <c r="C55" s="506">
        <v>632010</v>
      </c>
      <c r="D55" s="511" t="s">
        <v>381</v>
      </c>
      <c r="E55" s="511" t="s">
        <v>905</v>
      </c>
      <c r="F55" s="511" t="s">
        <v>909</v>
      </c>
      <c r="G55" s="504" t="s">
        <v>108</v>
      </c>
    </row>
    <row r="56" spans="2:7" ht="21" x14ac:dyDescent="0.25">
      <c r="B56" s="512" t="s">
        <v>910</v>
      </c>
      <c r="C56" s="506">
        <v>634010</v>
      </c>
      <c r="D56" s="511" t="s">
        <v>381</v>
      </c>
      <c r="E56" s="511" t="s">
        <v>905</v>
      </c>
      <c r="F56" s="511" t="s">
        <v>628</v>
      </c>
      <c r="G56" s="504" t="s">
        <v>109</v>
      </c>
    </row>
    <row r="57" spans="2:7" x14ac:dyDescent="0.25">
      <c r="B57" s="512" t="s">
        <v>914</v>
      </c>
      <c r="C57" s="506">
        <v>632010</v>
      </c>
      <c r="D57" s="511" t="s">
        <v>381</v>
      </c>
      <c r="E57" s="511" t="s">
        <v>905</v>
      </c>
      <c r="F57" s="511" t="s">
        <v>909</v>
      </c>
      <c r="G57" s="504" t="s">
        <v>109</v>
      </c>
    </row>
    <row r="58" spans="2:7" ht="21" x14ac:dyDescent="0.25">
      <c r="B58" s="512" t="s">
        <v>910</v>
      </c>
      <c r="C58" s="506">
        <v>634010</v>
      </c>
      <c r="D58" s="511" t="s">
        <v>381</v>
      </c>
      <c r="E58" s="511" t="s">
        <v>905</v>
      </c>
      <c r="F58" s="511" t="s">
        <v>628</v>
      </c>
      <c r="G58" s="504" t="s">
        <v>110</v>
      </c>
    </row>
    <row r="59" spans="2:7" x14ac:dyDescent="0.25">
      <c r="B59" s="512" t="s">
        <v>914</v>
      </c>
      <c r="C59" s="506">
        <v>632010</v>
      </c>
      <c r="D59" s="511" t="s">
        <v>381</v>
      </c>
      <c r="E59" s="511" t="s">
        <v>905</v>
      </c>
      <c r="F59" s="511" t="s">
        <v>909</v>
      </c>
      <c r="G59" s="504" t="s">
        <v>110</v>
      </c>
    </row>
    <row r="60" spans="2:7" ht="21" x14ac:dyDescent="0.25">
      <c r="B60" s="512" t="s">
        <v>910</v>
      </c>
      <c r="C60" s="506">
        <v>634010</v>
      </c>
      <c r="D60" s="511" t="s">
        <v>381</v>
      </c>
      <c r="E60" s="511" t="s">
        <v>905</v>
      </c>
      <c r="F60" s="511" t="s">
        <v>628</v>
      </c>
      <c r="G60" s="504" t="s">
        <v>111</v>
      </c>
    </row>
    <row r="61" spans="2:7" x14ac:dyDescent="0.25">
      <c r="B61" s="512" t="s">
        <v>914</v>
      </c>
      <c r="C61" s="506">
        <v>632010</v>
      </c>
      <c r="D61" s="511" t="s">
        <v>381</v>
      </c>
      <c r="E61" s="511" t="s">
        <v>905</v>
      </c>
      <c r="F61" s="511" t="s">
        <v>909</v>
      </c>
      <c r="G61" s="504" t="s">
        <v>111</v>
      </c>
    </row>
    <row r="62" spans="2:7" ht="21" x14ac:dyDescent="0.25">
      <c r="B62" s="512" t="s">
        <v>910</v>
      </c>
      <c r="C62" s="506">
        <v>634010</v>
      </c>
      <c r="D62" s="511" t="s">
        <v>381</v>
      </c>
      <c r="E62" s="511" t="s">
        <v>905</v>
      </c>
      <c r="F62" s="511" t="s">
        <v>628</v>
      </c>
      <c r="G62" s="504" t="s">
        <v>112</v>
      </c>
    </row>
    <row r="63" spans="2:7" x14ac:dyDescent="0.25">
      <c r="B63" s="512" t="s">
        <v>914</v>
      </c>
      <c r="C63" s="506">
        <v>632010</v>
      </c>
      <c r="D63" s="511" t="s">
        <v>381</v>
      </c>
      <c r="E63" s="511" t="s">
        <v>905</v>
      </c>
      <c r="F63" s="511" t="s">
        <v>909</v>
      </c>
      <c r="G63" s="504" t="s">
        <v>112</v>
      </c>
    </row>
    <row r="64" spans="2:7" ht="21" x14ac:dyDescent="0.25">
      <c r="B64" s="512" t="s">
        <v>910</v>
      </c>
      <c r="C64" s="506">
        <v>634010</v>
      </c>
      <c r="D64" s="511" t="s">
        <v>381</v>
      </c>
      <c r="E64" s="511" t="s">
        <v>905</v>
      </c>
      <c r="F64" s="511" t="s">
        <v>628</v>
      </c>
      <c r="G64" s="504" t="s">
        <v>113</v>
      </c>
    </row>
    <row r="65" spans="2:7" x14ac:dyDescent="0.25">
      <c r="B65" s="512" t="s">
        <v>914</v>
      </c>
      <c r="C65" s="506">
        <v>632010</v>
      </c>
      <c r="D65" s="511" t="s">
        <v>381</v>
      </c>
      <c r="E65" s="511" t="s">
        <v>905</v>
      </c>
      <c r="F65" s="511" t="s">
        <v>909</v>
      </c>
      <c r="G65" s="504" t="s">
        <v>113</v>
      </c>
    </row>
    <row r="66" spans="2:7" ht="21" x14ac:dyDescent="0.25">
      <c r="B66" s="512" t="s">
        <v>910</v>
      </c>
      <c r="C66" s="506">
        <v>634010</v>
      </c>
      <c r="D66" s="511" t="s">
        <v>381</v>
      </c>
      <c r="E66" s="511" t="s">
        <v>905</v>
      </c>
      <c r="F66" s="511" t="s">
        <v>628</v>
      </c>
      <c r="G66" s="504" t="s">
        <v>1169</v>
      </c>
    </row>
    <row r="67" spans="2:7" x14ac:dyDescent="0.25">
      <c r="B67" s="512" t="s">
        <v>914</v>
      </c>
      <c r="C67" s="506">
        <v>632010</v>
      </c>
      <c r="D67" s="511" t="s">
        <v>381</v>
      </c>
      <c r="E67" s="511" t="s">
        <v>905</v>
      </c>
      <c r="F67" s="511" t="s">
        <v>909</v>
      </c>
      <c r="G67" s="504" t="s">
        <v>1169</v>
      </c>
    </row>
    <row r="68" spans="2:7" ht="21" x14ac:dyDescent="0.25">
      <c r="B68" s="512" t="s">
        <v>910</v>
      </c>
      <c r="C68" s="506">
        <v>634010</v>
      </c>
      <c r="D68" s="511" t="s">
        <v>381</v>
      </c>
      <c r="E68" s="511" t="s">
        <v>905</v>
      </c>
      <c r="F68" s="511" t="s">
        <v>628</v>
      </c>
      <c r="G68" s="504" t="s">
        <v>101</v>
      </c>
    </row>
    <row r="69" spans="2:7" x14ac:dyDescent="0.25">
      <c r="B69" s="512" t="s">
        <v>914</v>
      </c>
      <c r="C69" s="506">
        <v>632010</v>
      </c>
      <c r="D69" s="511" t="s">
        <v>381</v>
      </c>
      <c r="E69" s="511" t="s">
        <v>905</v>
      </c>
      <c r="F69" s="511" t="s">
        <v>909</v>
      </c>
      <c r="G69" s="504" t="s">
        <v>101</v>
      </c>
    </row>
    <row r="70" spans="2:7" ht="21" x14ac:dyDescent="0.25">
      <c r="B70" s="512" t="s">
        <v>910</v>
      </c>
      <c r="C70" s="506">
        <v>634010</v>
      </c>
      <c r="D70" s="511" t="s">
        <v>381</v>
      </c>
      <c r="E70" s="511" t="s">
        <v>905</v>
      </c>
      <c r="F70" s="511" t="s">
        <v>628</v>
      </c>
      <c r="G70" s="504" t="s">
        <v>102</v>
      </c>
    </row>
    <row r="71" spans="2:7" x14ac:dyDescent="0.25">
      <c r="B71" s="512" t="s">
        <v>914</v>
      </c>
      <c r="C71" s="506">
        <v>632010</v>
      </c>
      <c r="D71" s="511" t="s">
        <v>381</v>
      </c>
      <c r="E71" s="511" t="s">
        <v>905</v>
      </c>
      <c r="F71" s="511" t="s">
        <v>909</v>
      </c>
      <c r="G71" s="504" t="s">
        <v>102</v>
      </c>
    </row>
    <row r="72" spans="2:7" ht="21" x14ac:dyDescent="0.25">
      <c r="B72" s="512" t="s">
        <v>910</v>
      </c>
      <c r="C72" s="506">
        <v>634010</v>
      </c>
      <c r="D72" s="511" t="s">
        <v>381</v>
      </c>
      <c r="E72" s="511" t="s">
        <v>905</v>
      </c>
      <c r="F72" s="511" t="s">
        <v>628</v>
      </c>
      <c r="G72" s="504" t="s">
        <v>103</v>
      </c>
    </row>
    <row r="73" spans="2:7" x14ac:dyDescent="0.25">
      <c r="B73" s="512" t="s">
        <v>914</v>
      </c>
      <c r="C73" s="506">
        <v>632010</v>
      </c>
      <c r="D73" s="511" t="s">
        <v>381</v>
      </c>
      <c r="E73" s="511" t="s">
        <v>905</v>
      </c>
      <c r="F73" s="511" t="s">
        <v>909</v>
      </c>
      <c r="G73" s="504" t="s">
        <v>103</v>
      </c>
    </row>
    <row r="74" spans="2:7" ht="21" x14ac:dyDescent="0.25">
      <c r="B74" s="512" t="s">
        <v>910</v>
      </c>
      <c r="C74" s="506">
        <v>634010</v>
      </c>
      <c r="D74" s="511" t="s">
        <v>381</v>
      </c>
      <c r="E74" s="511" t="s">
        <v>905</v>
      </c>
      <c r="F74" s="511" t="s">
        <v>628</v>
      </c>
      <c r="G74" s="504" t="s">
        <v>104</v>
      </c>
    </row>
    <row r="75" spans="2:7" x14ac:dyDescent="0.25">
      <c r="B75" s="512" t="s">
        <v>914</v>
      </c>
      <c r="C75" s="506">
        <v>632010</v>
      </c>
      <c r="D75" s="511" t="s">
        <v>381</v>
      </c>
      <c r="E75" s="511" t="s">
        <v>905</v>
      </c>
      <c r="F75" s="511" t="s">
        <v>909</v>
      </c>
      <c r="G75" s="504" t="s">
        <v>104</v>
      </c>
    </row>
    <row r="76" spans="2:7" ht="21" x14ac:dyDescent="0.25">
      <c r="B76" s="512" t="s">
        <v>910</v>
      </c>
      <c r="C76" s="506">
        <v>634010</v>
      </c>
      <c r="D76" s="511" t="s">
        <v>381</v>
      </c>
      <c r="E76" s="511" t="s">
        <v>905</v>
      </c>
      <c r="F76" s="511" t="s">
        <v>628</v>
      </c>
      <c r="G76" s="504" t="s">
        <v>105</v>
      </c>
    </row>
    <row r="77" spans="2:7" x14ac:dyDescent="0.25">
      <c r="B77" s="512" t="s">
        <v>914</v>
      </c>
      <c r="C77" s="506">
        <v>632010</v>
      </c>
      <c r="D77" s="511" t="s">
        <v>381</v>
      </c>
      <c r="E77" s="511" t="s">
        <v>905</v>
      </c>
      <c r="F77" s="511" t="s">
        <v>909</v>
      </c>
      <c r="G77" s="504" t="s">
        <v>105</v>
      </c>
    </row>
    <row r="78" spans="2:7" ht="21" x14ac:dyDescent="0.25">
      <c r="B78" s="512" t="s">
        <v>910</v>
      </c>
      <c r="C78" s="506">
        <v>634010</v>
      </c>
      <c r="D78" s="511" t="s">
        <v>381</v>
      </c>
      <c r="E78" s="511" t="s">
        <v>905</v>
      </c>
      <c r="F78" s="511" t="s">
        <v>628</v>
      </c>
      <c r="G78" s="504" t="s">
        <v>106</v>
      </c>
    </row>
    <row r="79" spans="2:7" x14ac:dyDescent="0.25">
      <c r="B79" s="512" t="s">
        <v>914</v>
      </c>
      <c r="C79" s="506">
        <v>632010</v>
      </c>
      <c r="D79" s="511" t="s">
        <v>381</v>
      </c>
      <c r="E79" s="511" t="s">
        <v>905</v>
      </c>
      <c r="F79" s="511" t="s">
        <v>909</v>
      </c>
      <c r="G79" s="504" t="s">
        <v>106</v>
      </c>
    </row>
    <row r="80" spans="2:7" ht="21" x14ac:dyDescent="0.25">
      <c r="B80" s="512" t="s">
        <v>910</v>
      </c>
      <c r="C80" s="506">
        <v>634010</v>
      </c>
      <c r="D80" s="511" t="s">
        <v>381</v>
      </c>
      <c r="E80" s="511" t="s">
        <v>905</v>
      </c>
      <c r="F80" s="511" t="s">
        <v>628</v>
      </c>
      <c r="G80" s="504" t="s">
        <v>107</v>
      </c>
    </row>
    <row r="81" spans="2:22" x14ac:dyDescent="0.25">
      <c r="B81" s="512" t="s">
        <v>914</v>
      </c>
      <c r="C81" s="506">
        <v>632010</v>
      </c>
      <c r="D81" s="511" t="s">
        <v>381</v>
      </c>
      <c r="E81" s="511" t="s">
        <v>905</v>
      </c>
      <c r="F81" s="511" t="s">
        <v>909</v>
      </c>
      <c r="G81" s="504" t="s">
        <v>107</v>
      </c>
    </row>
    <row r="82" spans="2:22" ht="21" x14ac:dyDescent="0.25">
      <c r="B82" s="512" t="s">
        <v>910</v>
      </c>
      <c r="C82" s="506">
        <v>634010</v>
      </c>
      <c r="D82" s="511" t="s">
        <v>381</v>
      </c>
      <c r="E82" s="511" t="s">
        <v>905</v>
      </c>
      <c r="F82" s="511" t="s">
        <v>628</v>
      </c>
      <c r="G82" s="504"/>
    </row>
    <row r="83" spans="2:22" ht="21" x14ac:dyDescent="0.25">
      <c r="B83" s="513" t="s">
        <v>910</v>
      </c>
      <c r="C83" s="500">
        <v>634010</v>
      </c>
      <c r="D83" s="514" t="s">
        <v>381</v>
      </c>
      <c r="E83" s="514" t="s">
        <v>905</v>
      </c>
      <c r="F83" s="514" t="s">
        <v>628</v>
      </c>
      <c r="G83" s="504"/>
    </row>
    <row r="84" spans="2:22" x14ac:dyDescent="0.25">
      <c r="B84" s="478" t="s">
        <v>358</v>
      </c>
      <c r="C84" s="597"/>
      <c r="D84" s="484"/>
      <c r="E84" s="481"/>
      <c r="F84" s="481"/>
      <c r="G84" s="482" t="s">
        <v>776</v>
      </c>
    </row>
    <row r="85" spans="2:22" s="467" customFormat="1" x14ac:dyDescent="0.25">
      <c r="B85" s="442"/>
      <c r="C85" s="442"/>
      <c r="D85" s="442"/>
      <c r="E85" s="442"/>
      <c r="F85" s="442"/>
      <c r="G85" s="442"/>
      <c r="J85" s="442"/>
      <c r="K85" s="442"/>
      <c r="L85" s="442"/>
      <c r="M85" s="442"/>
      <c r="N85" s="457"/>
      <c r="O85" s="457"/>
      <c r="P85" s="442"/>
      <c r="Q85" s="442"/>
      <c r="R85" s="442"/>
      <c r="S85" s="442"/>
      <c r="T85" s="457"/>
      <c r="U85" s="457"/>
      <c r="V85" s="457"/>
    </row>
    <row r="86" spans="2:22" s="467" customFormat="1" x14ac:dyDescent="0.25">
      <c r="B86" s="442" t="s">
        <v>915</v>
      </c>
      <c r="C86" s="442"/>
      <c r="D86" s="442"/>
      <c r="E86" s="442"/>
      <c r="F86" s="442"/>
      <c r="G86" s="442"/>
      <c r="J86" s="442"/>
      <c r="K86" s="442"/>
      <c r="L86" s="442"/>
      <c r="M86" s="442"/>
      <c r="N86" s="457"/>
      <c r="O86" s="457"/>
      <c r="P86" s="442"/>
      <c r="Q86" s="442"/>
      <c r="R86" s="442"/>
      <c r="S86" s="442"/>
      <c r="T86" s="457"/>
      <c r="U86" s="457"/>
      <c r="V86" s="457"/>
    </row>
    <row r="87" spans="2:22" s="467" customFormat="1" ht="31.5" x14ac:dyDescent="0.25">
      <c r="B87" s="507" t="s">
        <v>755</v>
      </c>
      <c r="C87" s="508" t="s">
        <v>756</v>
      </c>
      <c r="D87" s="508" t="s">
        <v>757</v>
      </c>
      <c r="E87" s="508" t="s">
        <v>579</v>
      </c>
      <c r="F87" s="508" t="s">
        <v>592</v>
      </c>
      <c r="G87" s="509" t="s">
        <v>758</v>
      </c>
      <c r="J87" s="442"/>
      <c r="K87" s="442"/>
      <c r="L87" s="442"/>
      <c r="M87" s="442"/>
      <c r="N87" s="457"/>
      <c r="O87" s="457"/>
      <c r="P87" s="442"/>
      <c r="Q87" s="442"/>
      <c r="R87" s="442"/>
      <c r="S87" s="442"/>
      <c r="T87" s="457"/>
      <c r="U87" s="457"/>
      <c r="V87" s="457"/>
    </row>
    <row r="88" spans="2:22" s="467" customFormat="1" ht="21" x14ac:dyDescent="0.25">
      <c r="B88" s="510" t="s">
        <v>1154</v>
      </c>
      <c r="C88" s="506">
        <v>579040</v>
      </c>
      <c r="D88" s="502" t="s">
        <v>382</v>
      </c>
      <c r="E88" s="502" t="s">
        <v>1075</v>
      </c>
      <c r="F88" s="502" t="s">
        <v>628</v>
      </c>
      <c r="G88" s="499" t="s">
        <v>7</v>
      </c>
      <c r="J88" s="442"/>
      <c r="K88" s="442"/>
      <c r="L88" s="442"/>
      <c r="M88" s="442"/>
      <c r="N88" s="457"/>
      <c r="O88" s="457"/>
      <c r="P88" s="442"/>
      <c r="Q88" s="442"/>
      <c r="R88" s="442"/>
      <c r="S88" s="442"/>
      <c r="T88" s="457"/>
      <c r="U88" s="457"/>
      <c r="V88" s="457"/>
    </row>
    <row r="89" spans="2:22" s="467" customFormat="1" x14ac:dyDescent="0.25">
      <c r="B89" s="510" t="s">
        <v>1084</v>
      </c>
      <c r="C89" s="506">
        <v>542310</v>
      </c>
      <c r="D89" s="502" t="s">
        <v>382</v>
      </c>
      <c r="E89" s="502" t="s">
        <v>905</v>
      </c>
      <c r="F89" s="502" t="s">
        <v>1059</v>
      </c>
      <c r="G89" s="499" t="s">
        <v>7</v>
      </c>
      <c r="J89" s="442"/>
      <c r="K89" s="442"/>
      <c r="L89" s="442"/>
      <c r="M89" s="442"/>
      <c r="N89" s="457"/>
      <c r="O89" s="457"/>
      <c r="P89" s="442"/>
      <c r="Q89" s="442"/>
      <c r="R89" s="442"/>
      <c r="S89" s="442"/>
      <c r="T89" s="457"/>
      <c r="U89" s="457"/>
      <c r="V89" s="457"/>
    </row>
    <row r="90" spans="2:22" s="467" customFormat="1" ht="21" x14ac:dyDescent="0.25">
      <c r="B90" s="515" t="s">
        <v>1154</v>
      </c>
      <c r="C90" s="516">
        <v>579040</v>
      </c>
      <c r="D90" s="502" t="s">
        <v>382</v>
      </c>
      <c r="E90" s="502" t="s">
        <v>1075</v>
      </c>
      <c r="F90" s="502" t="s">
        <v>628</v>
      </c>
      <c r="G90" s="499" t="s">
        <v>9</v>
      </c>
      <c r="J90" s="442"/>
      <c r="K90" s="442"/>
      <c r="L90" s="442"/>
      <c r="M90" s="442"/>
      <c r="N90" s="457"/>
      <c r="O90" s="457"/>
      <c r="P90" s="442"/>
      <c r="Q90" s="442"/>
      <c r="R90" s="442"/>
      <c r="S90" s="442"/>
      <c r="T90" s="457"/>
      <c r="U90" s="457"/>
      <c r="V90" s="457"/>
    </row>
    <row r="91" spans="2:22" s="467" customFormat="1" x14ac:dyDescent="0.25">
      <c r="B91" s="515" t="s">
        <v>1084</v>
      </c>
      <c r="C91" s="516">
        <v>542310</v>
      </c>
      <c r="D91" s="502" t="s">
        <v>382</v>
      </c>
      <c r="E91" s="502" t="s">
        <v>905</v>
      </c>
      <c r="F91" s="502" t="s">
        <v>1059</v>
      </c>
      <c r="G91" s="499" t="s">
        <v>9</v>
      </c>
      <c r="J91" s="442"/>
      <c r="K91" s="442"/>
      <c r="L91" s="442"/>
      <c r="M91" s="442"/>
      <c r="N91" s="457"/>
      <c r="O91" s="457"/>
      <c r="P91" s="442"/>
      <c r="Q91" s="442"/>
      <c r="R91" s="442"/>
      <c r="S91" s="442"/>
      <c r="T91" s="457"/>
      <c r="U91" s="457"/>
      <c r="V91" s="457"/>
    </row>
    <row r="92" spans="2:22" s="467" customFormat="1" x14ac:dyDescent="0.25">
      <c r="B92" s="515" t="s">
        <v>1089</v>
      </c>
      <c r="C92" s="516">
        <v>534010</v>
      </c>
      <c r="D92" s="502" t="s">
        <v>382</v>
      </c>
      <c r="E92" s="502" t="s">
        <v>905</v>
      </c>
      <c r="F92" s="502" t="s">
        <v>1053</v>
      </c>
      <c r="G92" s="499" t="s">
        <v>1163</v>
      </c>
      <c r="J92" s="442"/>
      <c r="K92" s="442"/>
      <c r="L92" s="442"/>
      <c r="M92" s="442"/>
      <c r="N92" s="457"/>
      <c r="O92" s="457"/>
      <c r="P92" s="442"/>
      <c r="Q92" s="442"/>
      <c r="R92" s="442"/>
      <c r="S92" s="442"/>
      <c r="T92" s="457"/>
      <c r="U92" s="457"/>
      <c r="V92" s="457"/>
    </row>
    <row r="93" spans="2:22" s="467" customFormat="1" x14ac:dyDescent="0.25">
      <c r="B93" s="515" t="s">
        <v>1087</v>
      </c>
      <c r="C93" s="516">
        <v>561020</v>
      </c>
      <c r="D93" s="502" t="s">
        <v>382</v>
      </c>
      <c r="E93" s="502" t="s">
        <v>905</v>
      </c>
      <c r="F93" s="502" t="s">
        <v>1053</v>
      </c>
      <c r="G93" s="499" t="s">
        <v>1161</v>
      </c>
      <c r="J93" s="442"/>
      <c r="K93" s="442"/>
      <c r="L93" s="442"/>
      <c r="M93" s="442"/>
      <c r="N93" s="457"/>
      <c r="O93" s="457"/>
      <c r="P93" s="442"/>
      <c r="Q93" s="442"/>
      <c r="R93" s="442"/>
      <c r="S93" s="442"/>
      <c r="T93" s="457"/>
      <c r="U93" s="457"/>
      <c r="V93" s="457"/>
    </row>
    <row r="94" spans="2:22" s="467" customFormat="1" x14ac:dyDescent="0.25">
      <c r="B94" s="515" t="s">
        <v>1089</v>
      </c>
      <c r="C94" s="516">
        <v>534010</v>
      </c>
      <c r="D94" s="502" t="s">
        <v>382</v>
      </c>
      <c r="E94" s="502" t="s">
        <v>905</v>
      </c>
      <c r="F94" s="502" t="s">
        <v>1053</v>
      </c>
      <c r="G94" s="499" t="s">
        <v>1161</v>
      </c>
      <c r="J94" s="442"/>
      <c r="K94" s="442"/>
      <c r="L94" s="442"/>
      <c r="M94" s="442"/>
      <c r="N94" s="457"/>
      <c r="O94" s="457"/>
      <c r="P94" s="442"/>
      <c r="Q94" s="442"/>
      <c r="R94" s="442"/>
      <c r="S94" s="442"/>
      <c r="T94" s="457"/>
      <c r="U94" s="457"/>
      <c r="V94" s="457"/>
    </row>
    <row r="95" spans="2:22" s="467" customFormat="1" x14ac:dyDescent="0.25">
      <c r="B95" s="515" t="s">
        <v>1087</v>
      </c>
      <c r="C95" s="516">
        <v>561020</v>
      </c>
      <c r="D95" s="502" t="s">
        <v>382</v>
      </c>
      <c r="E95" s="502" t="s">
        <v>905</v>
      </c>
      <c r="F95" s="502" t="s">
        <v>1053</v>
      </c>
      <c r="G95" s="499" t="s">
        <v>1162</v>
      </c>
      <c r="J95" s="442"/>
      <c r="K95" s="442"/>
      <c r="L95" s="442"/>
      <c r="M95" s="442"/>
      <c r="N95" s="457"/>
      <c r="O95" s="457"/>
      <c r="P95" s="442"/>
      <c r="Q95" s="442"/>
      <c r="R95" s="442"/>
      <c r="S95" s="442"/>
      <c r="T95" s="457"/>
      <c r="U95" s="457"/>
      <c r="V95" s="457"/>
    </row>
    <row r="96" spans="2:22" s="467" customFormat="1" x14ac:dyDescent="0.25">
      <c r="B96" s="515" t="s">
        <v>1089</v>
      </c>
      <c r="C96" s="516">
        <v>534010</v>
      </c>
      <c r="D96" s="502" t="s">
        <v>382</v>
      </c>
      <c r="E96" s="502" t="s">
        <v>905</v>
      </c>
      <c r="F96" s="502" t="s">
        <v>1053</v>
      </c>
      <c r="G96" s="499" t="s">
        <v>1162</v>
      </c>
      <c r="J96" s="442"/>
      <c r="K96" s="442"/>
      <c r="L96" s="442"/>
      <c r="M96" s="442"/>
      <c r="N96" s="457"/>
      <c r="O96" s="457"/>
      <c r="P96" s="442"/>
      <c r="Q96" s="442"/>
      <c r="R96" s="442"/>
      <c r="S96" s="442"/>
      <c r="T96" s="457"/>
      <c r="U96" s="457"/>
      <c r="V96" s="457"/>
    </row>
    <row r="97" spans="2:22" s="467" customFormat="1" x14ac:dyDescent="0.25">
      <c r="B97" s="520" t="s">
        <v>1052</v>
      </c>
      <c r="C97" s="516">
        <v>568010</v>
      </c>
      <c r="D97" s="502" t="s">
        <v>382</v>
      </c>
      <c r="E97" s="502" t="s">
        <v>905</v>
      </c>
      <c r="F97" s="502" t="s">
        <v>1053</v>
      </c>
      <c r="G97" s="499" t="s">
        <v>17</v>
      </c>
      <c r="J97" s="442"/>
      <c r="K97" s="442"/>
      <c r="L97" s="442"/>
      <c r="M97" s="442"/>
      <c r="N97" s="457"/>
      <c r="O97" s="457"/>
      <c r="P97" s="442"/>
      <c r="Q97" s="442"/>
      <c r="R97" s="442"/>
      <c r="S97" s="442"/>
      <c r="T97" s="457"/>
      <c r="U97" s="457"/>
      <c r="V97" s="457"/>
    </row>
    <row r="98" spans="2:22" s="467" customFormat="1" x14ac:dyDescent="0.25">
      <c r="B98" s="515" t="s">
        <v>1063</v>
      </c>
      <c r="C98" s="516">
        <v>562130</v>
      </c>
      <c r="D98" s="502" t="s">
        <v>382</v>
      </c>
      <c r="E98" s="502" t="s">
        <v>905</v>
      </c>
      <c r="F98" s="502" t="s">
        <v>1056</v>
      </c>
      <c r="G98" s="499" t="s">
        <v>17</v>
      </c>
      <c r="J98" s="442"/>
      <c r="K98" s="442"/>
      <c r="L98" s="442"/>
      <c r="M98" s="442"/>
      <c r="N98" s="457"/>
      <c r="O98" s="457"/>
      <c r="P98" s="442"/>
      <c r="Q98" s="442"/>
      <c r="R98" s="442"/>
      <c r="S98" s="442"/>
      <c r="T98" s="457"/>
      <c r="U98" s="457"/>
      <c r="V98" s="457"/>
    </row>
    <row r="99" spans="2:22" s="467" customFormat="1" x14ac:dyDescent="0.25">
      <c r="B99" s="510" t="s">
        <v>1095</v>
      </c>
      <c r="C99" s="506">
        <v>573110</v>
      </c>
      <c r="D99" s="502" t="s">
        <v>382</v>
      </c>
      <c r="E99" s="502" t="s">
        <v>905</v>
      </c>
      <c r="F99" s="502" t="s">
        <v>1053</v>
      </c>
      <c r="G99" s="499" t="s">
        <v>17</v>
      </c>
      <c r="J99" s="442"/>
      <c r="K99" s="442"/>
      <c r="L99" s="442"/>
      <c r="M99" s="442"/>
      <c r="N99" s="457"/>
      <c r="O99" s="457"/>
      <c r="P99" s="442"/>
      <c r="Q99" s="442"/>
      <c r="R99" s="442"/>
      <c r="S99" s="442"/>
      <c r="T99" s="457"/>
      <c r="U99" s="457"/>
      <c r="V99" s="457"/>
    </row>
    <row r="100" spans="2:22" s="467" customFormat="1" x14ac:dyDescent="0.25">
      <c r="B100" s="510" t="s">
        <v>1089</v>
      </c>
      <c r="C100" s="506">
        <v>534010</v>
      </c>
      <c r="D100" s="502" t="s">
        <v>382</v>
      </c>
      <c r="E100" s="502" t="s">
        <v>905</v>
      </c>
      <c r="F100" s="502" t="s">
        <v>1053</v>
      </c>
      <c r="G100" s="499" t="s">
        <v>18</v>
      </c>
      <c r="J100" s="442"/>
      <c r="K100" s="442"/>
      <c r="L100" s="442"/>
      <c r="M100" s="442"/>
      <c r="N100" s="457"/>
      <c r="O100" s="457"/>
      <c r="P100" s="442"/>
      <c r="Q100" s="442"/>
      <c r="R100" s="442"/>
      <c r="S100" s="442"/>
      <c r="T100" s="457"/>
      <c r="U100" s="457"/>
      <c r="V100" s="457"/>
    </row>
    <row r="101" spans="2:22" s="467" customFormat="1" ht="21" x14ac:dyDescent="0.25">
      <c r="B101" s="512" t="s">
        <v>1076</v>
      </c>
      <c r="C101" s="506">
        <v>569030</v>
      </c>
      <c r="D101" s="502" t="s">
        <v>382</v>
      </c>
      <c r="E101" s="502" t="s">
        <v>1075</v>
      </c>
      <c r="F101" s="502" t="s">
        <v>628</v>
      </c>
      <c r="G101" s="499" t="s">
        <v>1157</v>
      </c>
      <c r="J101" s="442"/>
      <c r="K101" s="442"/>
      <c r="L101" s="442"/>
      <c r="M101" s="442"/>
      <c r="N101" s="457"/>
      <c r="O101" s="457"/>
      <c r="P101" s="442"/>
      <c r="Q101" s="442"/>
      <c r="R101" s="442"/>
      <c r="S101" s="442"/>
      <c r="T101" s="457"/>
      <c r="U101" s="457"/>
      <c r="V101" s="457"/>
    </row>
    <row r="102" spans="2:22" s="467" customFormat="1" x14ac:dyDescent="0.25">
      <c r="B102" s="510" t="s">
        <v>1112</v>
      </c>
      <c r="C102" s="506">
        <v>533110</v>
      </c>
      <c r="D102" s="502" t="s">
        <v>382</v>
      </c>
      <c r="E102" s="502" t="s">
        <v>905</v>
      </c>
      <c r="F102" s="502" t="s">
        <v>628</v>
      </c>
      <c r="G102" s="499" t="s">
        <v>1164</v>
      </c>
      <c r="J102" s="442"/>
      <c r="K102" s="442"/>
      <c r="L102" s="442"/>
      <c r="M102" s="442"/>
      <c r="N102" s="457"/>
      <c r="O102" s="457"/>
      <c r="P102" s="442"/>
      <c r="Q102" s="442"/>
      <c r="R102" s="442"/>
      <c r="S102" s="442"/>
      <c r="T102" s="457"/>
      <c r="U102" s="457"/>
      <c r="V102" s="457"/>
    </row>
    <row r="103" spans="2:22" s="467" customFormat="1" x14ac:dyDescent="0.25">
      <c r="B103" s="510" t="s">
        <v>1101</v>
      </c>
      <c r="C103" s="506">
        <v>562110</v>
      </c>
      <c r="D103" s="502" t="s">
        <v>382</v>
      </c>
      <c r="E103" s="502" t="s">
        <v>905</v>
      </c>
      <c r="F103" s="502" t="s">
        <v>1053</v>
      </c>
      <c r="G103" s="499" t="s">
        <v>21</v>
      </c>
      <c r="J103" s="442"/>
      <c r="K103" s="442"/>
      <c r="L103" s="442"/>
      <c r="M103" s="442"/>
      <c r="N103" s="457"/>
      <c r="O103" s="457"/>
      <c r="P103" s="442"/>
      <c r="Q103" s="442"/>
      <c r="R103" s="442"/>
      <c r="S103" s="442"/>
      <c r="T103" s="457"/>
      <c r="U103" s="457"/>
      <c r="V103" s="457"/>
    </row>
    <row r="104" spans="2:22" s="467" customFormat="1" ht="21" x14ac:dyDescent="0.25">
      <c r="B104" s="512" t="s">
        <v>1076</v>
      </c>
      <c r="C104" s="506">
        <v>569030</v>
      </c>
      <c r="D104" s="502" t="s">
        <v>382</v>
      </c>
      <c r="E104" s="502" t="s">
        <v>1075</v>
      </c>
      <c r="F104" s="502" t="s">
        <v>628</v>
      </c>
      <c r="G104" s="499" t="s">
        <v>1158</v>
      </c>
      <c r="J104" s="442"/>
      <c r="K104" s="442"/>
      <c r="L104" s="442"/>
      <c r="M104" s="442"/>
      <c r="N104" s="457"/>
      <c r="O104" s="457"/>
      <c r="P104" s="442"/>
      <c r="Q104" s="442"/>
      <c r="R104" s="442"/>
      <c r="S104" s="442"/>
      <c r="T104" s="457"/>
      <c r="U104" s="457"/>
      <c r="V104" s="457"/>
    </row>
    <row r="105" spans="2:22" s="467" customFormat="1" x14ac:dyDescent="0.25">
      <c r="B105" s="515" t="s">
        <v>1058</v>
      </c>
      <c r="C105" s="516">
        <v>552310</v>
      </c>
      <c r="D105" s="502" t="s">
        <v>382</v>
      </c>
      <c r="E105" s="502" t="s">
        <v>905</v>
      </c>
      <c r="F105" s="502" t="s">
        <v>1059</v>
      </c>
      <c r="G105" s="499" t="s">
        <v>23</v>
      </c>
      <c r="J105" s="442"/>
      <c r="K105" s="442"/>
      <c r="L105" s="442"/>
      <c r="M105" s="442"/>
      <c r="N105" s="457"/>
      <c r="O105" s="457"/>
      <c r="P105" s="442"/>
      <c r="Q105" s="442"/>
      <c r="R105" s="442"/>
      <c r="S105" s="442"/>
      <c r="T105" s="457"/>
      <c r="U105" s="457"/>
      <c r="V105" s="457"/>
    </row>
    <row r="106" spans="2:22" s="467" customFormat="1" x14ac:dyDescent="0.25">
      <c r="B106" s="515" t="s">
        <v>1068</v>
      </c>
      <c r="C106" s="516">
        <v>552220</v>
      </c>
      <c r="D106" s="502" t="s">
        <v>382</v>
      </c>
      <c r="E106" s="502" t="s">
        <v>905</v>
      </c>
      <c r="F106" s="502" t="s">
        <v>1053</v>
      </c>
      <c r="G106" s="499" t="s">
        <v>23</v>
      </c>
      <c r="J106" s="442"/>
      <c r="K106" s="442"/>
      <c r="L106" s="442"/>
      <c r="M106" s="442"/>
      <c r="N106" s="457"/>
      <c r="O106" s="457"/>
      <c r="P106" s="442"/>
      <c r="Q106" s="442"/>
      <c r="R106" s="442"/>
      <c r="S106" s="442"/>
      <c r="T106" s="457"/>
      <c r="U106" s="457"/>
      <c r="V106" s="457"/>
    </row>
    <row r="107" spans="2:22" s="467" customFormat="1" x14ac:dyDescent="0.25">
      <c r="B107" s="510" t="s">
        <v>1072</v>
      </c>
      <c r="C107" s="506">
        <v>552010</v>
      </c>
      <c r="D107" s="502" t="s">
        <v>382</v>
      </c>
      <c r="E107" s="502" t="s">
        <v>905</v>
      </c>
      <c r="F107" s="502" t="s">
        <v>1053</v>
      </c>
      <c r="G107" s="499" t="s">
        <v>23</v>
      </c>
      <c r="J107" s="442"/>
      <c r="K107" s="442"/>
      <c r="L107" s="442"/>
      <c r="M107" s="442"/>
      <c r="N107" s="457"/>
      <c r="O107" s="457"/>
      <c r="P107" s="442"/>
      <c r="Q107" s="442"/>
      <c r="R107" s="442"/>
      <c r="S107" s="442"/>
      <c r="T107" s="457"/>
      <c r="U107" s="457"/>
      <c r="V107" s="457"/>
    </row>
    <row r="108" spans="2:22" s="467" customFormat="1" x14ac:dyDescent="0.25">
      <c r="B108" s="510" t="s">
        <v>1078</v>
      </c>
      <c r="C108" s="506">
        <v>574010</v>
      </c>
      <c r="D108" s="502" t="s">
        <v>382</v>
      </c>
      <c r="E108" s="502" t="s">
        <v>905</v>
      </c>
      <c r="F108" s="502" t="s">
        <v>1056</v>
      </c>
      <c r="G108" s="499" t="s">
        <v>23</v>
      </c>
      <c r="J108" s="442"/>
      <c r="K108" s="442"/>
      <c r="L108" s="442"/>
      <c r="M108" s="442"/>
      <c r="N108" s="457"/>
      <c r="O108" s="457"/>
      <c r="P108" s="442"/>
      <c r="Q108" s="442"/>
      <c r="R108" s="442"/>
      <c r="S108" s="442"/>
      <c r="T108" s="457"/>
      <c r="U108" s="457"/>
      <c r="V108" s="457"/>
    </row>
    <row r="109" spans="2:22" s="467" customFormat="1" x14ac:dyDescent="0.25">
      <c r="B109" s="510" t="s">
        <v>1084</v>
      </c>
      <c r="C109" s="506">
        <v>542310</v>
      </c>
      <c r="D109" s="502" t="s">
        <v>382</v>
      </c>
      <c r="E109" s="502" t="s">
        <v>905</v>
      </c>
      <c r="F109" s="502" t="s">
        <v>1059</v>
      </c>
      <c r="G109" s="499" t="s">
        <v>23</v>
      </c>
      <c r="J109" s="442"/>
      <c r="K109" s="442"/>
      <c r="L109" s="442"/>
      <c r="M109" s="442"/>
      <c r="N109" s="457"/>
      <c r="O109" s="457"/>
      <c r="P109" s="442"/>
      <c r="Q109" s="442"/>
      <c r="R109" s="442"/>
      <c r="S109" s="442"/>
      <c r="T109" s="457"/>
      <c r="U109" s="457"/>
      <c r="V109" s="457"/>
    </row>
    <row r="110" spans="2:22" s="467" customFormat="1" ht="21" x14ac:dyDescent="0.25">
      <c r="B110" s="510" t="s">
        <v>1155</v>
      </c>
      <c r="C110" s="506">
        <v>553010</v>
      </c>
      <c r="D110" s="502" t="s">
        <v>382</v>
      </c>
      <c r="E110" s="502"/>
      <c r="F110" s="502" t="s">
        <v>1053</v>
      </c>
      <c r="G110" s="499" t="s">
        <v>23</v>
      </c>
      <c r="J110" s="442"/>
      <c r="K110" s="442"/>
      <c r="L110" s="442"/>
      <c r="M110" s="442"/>
      <c r="N110" s="457"/>
      <c r="O110" s="457"/>
      <c r="P110" s="442"/>
      <c r="Q110" s="442"/>
      <c r="R110" s="442"/>
      <c r="S110" s="442"/>
      <c r="T110" s="457"/>
      <c r="U110" s="457"/>
      <c r="V110" s="457"/>
    </row>
    <row r="111" spans="2:22" s="467" customFormat="1" ht="21" x14ac:dyDescent="0.25">
      <c r="B111" s="512" t="s">
        <v>1156</v>
      </c>
      <c r="C111" s="506">
        <v>564110</v>
      </c>
      <c r="D111" s="502" t="s">
        <v>382</v>
      </c>
      <c r="E111" s="502" t="s">
        <v>905</v>
      </c>
      <c r="F111" s="502" t="s">
        <v>1053</v>
      </c>
      <c r="G111" s="499" t="s">
        <v>23</v>
      </c>
      <c r="J111" s="442"/>
      <c r="K111" s="442"/>
      <c r="L111" s="442"/>
      <c r="M111" s="442"/>
      <c r="N111" s="457"/>
      <c r="O111" s="457"/>
      <c r="P111" s="442"/>
      <c r="Q111" s="442"/>
      <c r="R111" s="442"/>
      <c r="S111" s="442"/>
      <c r="T111" s="457"/>
      <c r="U111" s="457"/>
      <c r="V111" s="457"/>
    </row>
    <row r="112" spans="2:22" s="467" customFormat="1" x14ac:dyDescent="0.25">
      <c r="B112" s="510" t="s">
        <v>1089</v>
      </c>
      <c r="C112" s="506">
        <v>534010</v>
      </c>
      <c r="D112" s="502" t="s">
        <v>382</v>
      </c>
      <c r="E112" s="502" t="s">
        <v>905</v>
      </c>
      <c r="F112" s="502" t="s">
        <v>1053</v>
      </c>
      <c r="G112" s="499" t="s">
        <v>23</v>
      </c>
      <c r="J112" s="442"/>
      <c r="K112" s="442"/>
      <c r="L112" s="442"/>
      <c r="M112" s="442"/>
      <c r="N112" s="457"/>
      <c r="O112" s="457"/>
      <c r="P112" s="442"/>
      <c r="Q112" s="442"/>
      <c r="R112" s="442"/>
      <c r="S112" s="442"/>
      <c r="T112" s="457"/>
      <c r="U112" s="457"/>
      <c r="V112" s="457"/>
    </row>
    <row r="113" spans="2:22" s="467" customFormat="1" x14ac:dyDescent="0.25">
      <c r="B113" s="510" t="s">
        <v>1091</v>
      </c>
      <c r="C113" s="506">
        <v>542120</v>
      </c>
      <c r="D113" s="502" t="s">
        <v>382</v>
      </c>
      <c r="E113" s="502" t="s">
        <v>905</v>
      </c>
      <c r="F113" s="502" t="s">
        <v>1059</v>
      </c>
      <c r="G113" s="499" t="s">
        <v>23</v>
      </c>
      <c r="J113" s="442"/>
      <c r="K113" s="442"/>
      <c r="L113" s="442"/>
      <c r="M113" s="442"/>
      <c r="N113" s="457"/>
      <c r="O113" s="457"/>
      <c r="P113" s="442"/>
      <c r="Q113" s="442"/>
      <c r="R113" s="442"/>
      <c r="S113" s="442"/>
      <c r="T113" s="457"/>
      <c r="U113" s="457"/>
      <c r="V113" s="457"/>
    </row>
    <row r="114" spans="2:22" s="467" customFormat="1" x14ac:dyDescent="0.25">
      <c r="B114" s="512" t="s">
        <v>1096</v>
      </c>
      <c r="C114" s="506">
        <v>563010</v>
      </c>
      <c r="D114" s="502" t="s">
        <v>382</v>
      </c>
      <c r="E114" s="502" t="s">
        <v>905</v>
      </c>
      <c r="F114" s="502" t="s">
        <v>1097</v>
      </c>
      <c r="G114" s="499" t="s">
        <v>23</v>
      </c>
      <c r="J114" s="442"/>
      <c r="K114" s="442"/>
      <c r="L114" s="442"/>
      <c r="M114" s="442"/>
      <c r="N114" s="457"/>
      <c r="O114" s="457"/>
      <c r="P114" s="442"/>
      <c r="Q114" s="442"/>
      <c r="R114" s="442"/>
      <c r="S114" s="442"/>
      <c r="T114" s="457"/>
      <c r="U114" s="457"/>
      <c r="V114" s="457"/>
    </row>
    <row r="115" spans="2:22" s="467" customFormat="1" x14ac:dyDescent="0.25">
      <c r="B115" s="510" t="s">
        <v>1101</v>
      </c>
      <c r="C115" s="506">
        <v>562110</v>
      </c>
      <c r="D115" s="502" t="s">
        <v>382</v>
      </c>
      <c r="E115" s="502" t="s">
        <v>905</v>
      </c>
      <c r="F115" s="502" t="s">
        <v>1053</v>
      </c>
      <c r="G115" s="499" t="s">
        <v>23</v>
      </c>
      <c r="J115" s="442"/>
      <c r="K115" s="442"/>
      <c r="L115" s="442"/>
      <c r="M115" s="442"/>
      <c r="N115" s="457"/>
      <c r="O115" s="457"/>
      <c r="P115" s="442"/>
      <c r="Q115" s="442"/>
      <c r="R115" s="442"/>
      <c r="S115" s="442"/>
      <c r="T115" s="457"/>
      <c r="U115" s="457"/>
      <c r="V115" s="457"/>
    </row>
    <row r="116" spans="2:22" s="467" customFormat="1" x14ac:dyDescent="0.25">
      <c r="B116" s="510" t="s">
        <v>1103</v>
      </c>
      <c r="C116" s="506">
        <v>562120</v>
      </c>
      <c r="D116" s="502" t="s">
        <v>382</v>
      </c>
      <c r="E116" s="502" t="s">
        <v>905</v>
      </c>
      <c r="F116" s="502" t="s">
        <v>1053</v>
      </c>
      <c r="G116" s="499" t="s">
        <v>23</v>
      </c>
      <c r="J116" s="442"/>
      <c r="K116" s="442"/>
      <c r="L116" s="442"/>
      <c r="M116" s="442"/>
      <c r="N116" s="457"/>
      <c r="O116" s="457"/>
      <c r="P116" s="442"/>
      <c r="Q116" s="442"/>
      <c r="R116" s="442"/>
      <c r="S116" s="442"/>
      <c r="T116" s="457"/>
      <c r="U116" s="457"/>
      <c r="V116" s="457"/>
    </row>
    <row r="117" spans="2:22" s="467" customFormat="1" x14ac:dyDescent="0.25">
      <c r="B117" s="510" t="s">
        <v>1107</v>
      </c>
      <c r="C117" s="506">
        <v>532010</v>
      </c>
      <c r="D117" s="502" t="s">
        <v>382</v>
      </c>
      <c r="E117" s="502" t="s">
        <v>905</v>
      </c>
      <c r="F117" s="502" t="s">
        <v>1053</v>
      </c>
      <c r="G117" s="499" t="s">
        <v>23</v>
      </c>
      <c r="J117" s="442"/>
      <c r="K117" s="442"/>
      <c r="L117" s="442"/>
      <c r="M117" s="442"/>
      <c r="N117" s="457"/>
      <c r="O117" s="457"/>
      <c r="P117" s="442"/>
      <c r="Q117" s="442"/>
      <c r="R117" s="442"/>
      <c r="S117" s="442"/>
      <c r="T117" s="457"/>
      <c r="U117" s="457"/>
      <c r="V117" s="457"/>
    </row>
    <row r="118" spans="2:22" s="467" customFormat="1" ht="21" x14ac:dyDescent="0.25">
      <c r="B118" s="512" t="s">
        <v>1108</v>
      </c>
      <c r="C118" s="506">
        <v>562310</v>
      </c>
      <c r="D118" s="502" t="s">
        <v>382</v>
      </c>
      <c r="E118" s="502" t="s">
        <v>905</v>
      </c>
      <c r="F118" s="502" t="s">
        <v>1053</v>
      </c>
      <c r="G118" s="499" t="s">
        <v>23</v>
      </c>
      <c r="J118" s="442"/>
      <c r="K118" s="442"/>
      <c r="L118" s="442"/>
      <c r="M118" s="442"/>
      <c r="N118" s="457"/>
      <c r="O118" s="457"/>
      <c r="P118" s="442"/>
      <c r="Q118" s="442"/>
      <c r="R118" s="442"/>
      <c r="S118" s="442"/>
      <c r="T118" s="457"/>
      <c r="U118" s="457"/>
      <c r="V118" s="457"/>
    </row>
    <row r="119" spans="2:22" s="467" customFormat="1" x14ac:dyDescent="0.25">
      <c r="B119" s="510" t="s">
        <v>1110</v>
      </c>
      <c r="C119" s="506">
        <v>552110</v>
      </c>
      <c r="D119" s="502" t="s">
        <v>382</v>
      </c>
      <c r="E119" s="502" t="s">
        <v>905</v>
      </c>
      <c r="F119" s="502" t="s">
        <v>628</v>
      </c>
      <c r="G119" s="499" t="s">
        <v>23</v>
      </c>
      <c r="J119" s="442"/>
      <c r="K119" s="442"/>
      <c r="L119" s="442"/>
      <c r="M119" s="442"/>
      <c r="N119" s="457"/>
      <c r="O119" s="457"/>
      <c r="P119" s="442"/>
      <c r="Q119" s="442"/>
      <c r="R119" s="442"/>
      <c r="S119" s="442"/>
      <c r="T119" s="457"/>
      <c r="U119" s="457"/>
      <c r="V119" s="457"/>
    </row>
    <row r="120" spans="2:22" s="467" customFormat="1" x14ac:dyDescent="0.25">
      <c r="B120" s="510" t="s">
        <v>1112</v>
      </c>
      <c r="C120" s="506">
        <v>533110</v>
      </c>
      <c r="D120" s="502" t="s">
        <v>382</v>
      </c>
      <c r="E120" s="502" t="s">
        <v>905</v>
      </c>
      <c r="F120" s="502" t="s">
        <v>628</v>
      </c>
      <c r="G120" s="499" t="s">
        <v>23</v>
      </c>
      <c r="J120" s="442"/>
      <c r="K120" s="442"/>
      <c r="L120" s="442"/>
      <c r="M120" s="442"/>
      <c r="N120" s="457"/>
      <c r="O120" s="457"/>
      <c r="P120" s="442"/>
      <c r="Q120" s="442"/>
      <c r="R120" s="442"/>
      <c r="S120" s="442"/>
      <c r="T120" s="457"/>
      <c r="U120" s="457"/>
      <c r="V120" s="457"/>
    </row>
    <row r="121" spans="2:22" s="467" customFormat="1" x14ac:dyDescent="0.25">
      <c r="B121" s="510" t="s">
        <v>1114</v>
      </c>
      <c r="C121" s="506">
        <v>533420</v>
      </c>
      <c r="D121" s="502" t="s">
        <v>382</v>
      </c>
      <c r="E121" s="502" t="s">
        <v>905</v>
      </c>
      <c r="F121" s="502" t="s">
        <v>628</v>
      </c>
      <c r="G121" s="499" t="s">
        <v>23</v>
      </c>
      <c r="J121" s="442"/>
      <c r="K121" s="442"/>
      <c r="L121" s="442"/>
      <c r="M121" s="442"/>
      <c r="N121" s="457"/>
      <c r="O121" s="457"/>
      <c r="P121" s="442"/>
      <c r="Q121" s="442"/>
      <c r="R121" s="442"/>
      <c r="S121" s="442"/>
      <c r="T121" s="457"/>
      <c r="U121" s="457"/>
      <c r="V121" s="457"/>
    </row>
    <row r="122" spans="2:22" s="467" customFormat="1" x14ac:dyDescent="0.25">
      <c r="B122" s="510" t="s">
        <v>1084</v>
      </c>
      <c r="C122" s="506">
        <v>542310</v>
      </c>
      <c r="D122" s="502" t="s">
        <v>382</v>
      </c>
      <c r="E122" s="502" t="s">
        <v>905</v>
      </c>
      <c r="F122" s="502" t="s">
        <v>1059</v>
      </c>
      <c r="G122" s="499" t="s">
        <v>24</v>
      </c>
      <c r="J122" s="442"/>
      <c r="K122" s="442"/>
      <c r="L122" s="442"/>
      <c r="M122" s="442"/>
      <c r="N122" s="457"/>
      <c r="O122" s="457"/>
      <c r="P122" s="442"/>
      <c r="Q122" s="442"/>
      <c r="R122" s="442"/>
      <c r="S122" s="442"/>
      <c r="T122" s="457"/>
      <c r="U122" s="457"/>
      <c r="V122" s="457"/>
    </row>
    <row r="123" spans="2:22" s="467" customFormat="1" x14ac:dyDescent="0.25">
      <c r="B123" s="510" t="s">
        <v>1058</v>
      </c>
      <c r="C123" s="506">
        <v>552310</v>
      </c>
      <c r="D123" s="502" t="s">
        <v>382</v>
      </c>
      <c r="E123" s="502" t="s">
        <v>905</v>
      </c>
      <c r="F123" s="502" t="s">
        <v>1059</v>
      </c>
      <c r="G123" s="499" t="s">
        <v>25</v>
      </c>
      <c r="J123" s="442"/>
      <c r="K123" s="442"/>
      <c r="L123" s="442"/>
      <c r="M123" s="442"/>
      <c r="N123" s="457"/>
      <c r="O123" s="457"/>
      <c r="P123" s="442"/>
      <c r="Q123" s="442"/>
      <c r="R123" s="442"/>
      <c r="S123" s="442"/>
      <c r="T123" s="457"/>
      <c r="U123" s="457"/>
      <c r="V123" s="457"/>
    </row>
    <row r="124" spans="2:22" s="467" customFormat="1" x14ac:dyDescent="0.25">
      <c r="B124" s="510" t="s">
        <v>1063</v>
      </c>
      <c r="C124" s="506">
        <v>562130</v>
      </c>
      <c r="D124" s="502" t="s">
        <v>382</v>
      </c>
      <c r="E124" s="502" t="s">
        <v>905</v>
      </c>
      <c r="F124" s="502" t="s">
        <v>1056</v>
      </c>
      <c r="G124" s="499" t="s">
        <v>25</v>
      </c>
      <c r="J124" s="442"/>
      <c r="K124" s="442"/>
      <c r="L124" s="442"/>
      <c r="M124" s="442"/>
      <c r="N124" s="457"/>
      <c r="O124" s="457"/>
      <c r="P124" s="442"/>
      <c r="Q124" s="442"/>
      <c r="R124" s="442"/>
      <c r="S124" s="442"/>
      <c r="T124" s="457"/>
      <c r="U124" s="457"/>
      <c r="V124" s="457"/>
    </row>
    <row r="125" spans="2:22" s="467" customFormat="1" x14ac:dyDescent="0.25">
      <c r="B125" s="510" t="s">
        <v>1066</v>
      </c>
      <c r="C125" s="506">
        <v>732020</v>
      </c>
      <c r="D125" s="502" t="s">
        <v>382</v>
      </c>
      <c r="E125" s="502" t="s">
        <v>905</v>
      </c>
      <c r="F125" s="502" t="s">
        <v>1053</v>
      </c>
      <c r="G125" s="499" t="s">
        <v>25</v>
      </c>
      <c r="J125" s="442"/>
      <c r="K125" s="442"/>
      <c r="L125" s="442"/>
      <c r="M125" s="442"/>
      <c r="N125" s="457"/>
      <c r="O125" s="457"/>
      <c r="P125" s="442"/>
      <c r="Q125" s="442"/>
      <c r="R125" s="442"/>
      <c r="S125" s="442"/>
      <c r="T125" s="457"/>
      <c r="U125" s="457"/>
      <c r="V125" s="457"/>
    </row>
    <row r="126" spans="2:22" s="467" customFormat="1" x14ac:dyDescent="0.25">
      <c r="B126" s="510" t="s">
        <v>1068</v>
      </c>
      <c r="C126" s="506">
        <v>552220</v>
      </c>
      <c r="D126" s="502" t="s">
        <v>382</v>
      </c>
      <c r="E126" s="502" t="s">
        <v>905</v>
      </c>
      <c r="F126" s="502" t="s">
        <v>1053</v>
      </c>
      <c r="G126" s="499" t="s">
        <v>25</v>
      </c>
      <c r="J126" s="442"/>
      <c r="K126" s="442"/>
      <c r="L126" s="442"/>
      <c r="M126" s="442"/>
      <c r="N126" s="457"/>
      <c r="O126" s="457"/>
      <c r="P126" s="442"/>
      <c r="Q126" s="442"/>
      <c r="R126" s="442"/>
      <c r="S126" s="442"/>
      <c r="T126" s="457"/>
      <c r="U126" s="457"/>
      <c r="V126" s="457"/>
    </row>
    <row r="127" spans="2:22" s="467" customFormat="1" ht="21" x14ac:dyDescent="0.25">
      <c r="B127" s="510" t="s">
        <v>1070</v>
      </c>
      <c r="C127" s="506">
        <v>732030</v>
      </c>
      <c r="D127" s="502" t="s">
        <v>382</v>
      </c>
      <c r="E127" s="502" t="s">
        <v>905</v>
      </c>
      <c r="F127" s="502" t="s">
        <v>1053</v>
      </c>
      <c r="G127" s="499" t="s">
        <v>25</v>
      </c>
      <c r="J127" s="442"/>
      <c r="K127" s="442"/>
      <c r="L127" s="442"/>
      <c r="M127" s="442"/>
      <c r="N127" s="457"/>
      <c r="O127" s="457"/>
      <c r="P127" s="442"/>
      <c r="Q127" s="442"/>
      <c r="R127" s="442"/>
      <c r="S127" s="442"/>
      <c r="T127" s="457"/>
      <c r="U127" s="457"/>
      <c r="V127" s="457"/>
    </row>
    <row r="128" spans="2:22" s="467" customFormat="1" x14ac:dyDescent="0.25">
      <c r="B128" s="510" t="s">
        <v>1072</v>
      </c>
      <c r="C128" s="506">
        <v>552010</v>
      </c>
      <c r="D128" s="502" t="s">
        <v>382</v>
      </c>
      <c r="E128" s="502" t="s">
        <v>905</v>
      </c>
      <c r="F128" s="502" t="s">
        <v>1053</v>
      </c>
      <c r="G128" s="499" t="s">
        <v>25</v>
      </c>
      <c r="J128" s="442"/>
      <c r="K128" s="442"/>
      <c r="L128" s="442"/>
      <c r="M128" s="442"/>
      <c r="N128" s="457"/>
      <c r="O128" s="457"/>
      <c r="P128" s="442"/>
      <c r="Q128" s="442"/>
      <c r="R128" s="442"/>
      <c r="S128" s="442"/>
      <c r="T128" s="457"/>
      <c r="U128" s="457"/>
      <c r="V128" s="457"/>
    </row>
    <row r="129" spans="2:22" s="467" customFormat="1" x14ac:dyDescent="0.25">
      <c r="B129" s="510" t="s">
        <v>1078</v>
      </c>
      <c r="C129" s="506">
        <v>574010</v>
      </c>
      <c r="D129" s="502" t="s">
        <v>382</v>
      </c>
      <c r="E129" s="502" t="s">
        <v>905</v>
      </c>
      <c r="F129" s="502" t="s">
        <v>1056</v>
      </c>
      <c r="G129" s="499" t="s">
        <v>25</v>
      </c>
      <c r="J129" s="442"/>
      <c r="K129" s="442"/>
      <c r="L129" s="442"/>
      <c r="M129" s="442"/>
      <c r="N129" s="457"/>
      <c r="O129" s="457"/>
      <c r="P129" s="442"/>
      <c r="Q129" s="442"/>
      <c r="R129" s="442"/>
      <c r="S129" s="442"/>
      <c r="T129" s="457"/>
      <c r="U129" s="457"/>
      <c r="V129" s="457"/>
    </row>
    <row r="130" spans="2:22" s="467" customFormat="1" x14ac:dyDescent="0.25">
      <c r="B130" s="510" t="s">
        <v>1084</v>
      </c>
      <c r="C130" s="506">
        <v>542310</v>
      </c>
      <c r="D130" s="502" t="s">
        <v>382</v>
      </c>
      <c r="E130" s="502" t="s">
        <v>905</v>
      </c>
      <c r="F130" s="502" t="s">
        <v>1059</v>
      </c>
      <c r="G130" s="499" t="s">
        <v>25</v>
      </c>
      <c r="J130" s="442"/>
      <c r="K130" s="442"/>
      <c r="L130" s="442"/>
      <c r="M130" s="442"/>
      <c r="N130" s="457"/>
      <c r="O130" s="457"/>
      <c r="P130" s="442"/>
      <c r="Q130" s="442"/>
      <c r="R130" s="442"/>
      <c r="S130" s="442"/>
      <c r="T130" s="457"/>
      <c r="U130" s="457"/>
      <c r="V130" s="457"/>
    </row>
    <row r="131" spans="2:22" s="467" customFormat="1" ht="21" x14ac:dyDescent="0.25">
      <c r="B131" s="510" t="s">
        <v>1155</v>
      </c>
      <c r="C131" s="506">
        <v>553010</v>
      </c>
      <c r="D131" s="502" t="s">
        <v>382</v>
      </c>
      <c r="E131" s="502"/>
      <c r="F131" s="502" t="s">
        <v>1053</v>
      </c>
      <c r="G131" s="499" t="s">
        <v>25</v>
      </c>
      <c r="J131" s="442"/>
      <c r="K131" s="442"/>
      <c r="L131" s="442"/>
      <c r="M131" s="442"/>
      <c r="N131" s="457"/>
      <c r="O131" s="457"/>
      <c r="P131" s="442"/>
      <c r="Q131" s="442"/>
      <c r="R131" s="442"/>
      <c r="S131" s="442"/>
      <c r="T131" s="457"/>
      <c r="U131" s="457"/>
      <c r="V131" s="457"/>
    </row>
    <row r="132" spans="2:22" s="467" customFormat="1" ht="21" x14ac:dyDescent="0.25">
      <c r="B132" s="512" t="s">
        <v>1156</v>
      </c>
      <c r="C132" s="506">
        <v>564110</v>
      </c>
      <c r="D132" s="502" t="s">
        <v>382</v>
      </c>
      <c r="E132" s="502" t="s">
        <v>905</v>
      </c>
      <c r="F132" s="502" t="s">
        <v>1053</v>
      </c>
      <c r="G132" s="499" t="s">
        <v>25</v>
      </c>
      <c r="J132" s="442"/>
      <c r="K132" s="442"/>
      <c r="L132" s="442"/>
      <c r="M132" s="442"/>
      <c r="N132" s="457"/>
      <c r="O132" s="457"/>
      <c r="P132" s="442"/>
      <c r="Q132" s="442"/>
      <c r="R132" s="442"/>
      <c r="S132" s="442"/>
      <c r="T132" s="457"/>
      <c r="U132" s="457"/>
      <c r="V132" s="457"/>
    </row>
    <row r="133" spans="2:22" s="467" customFormat="1" x14ac:dyDescent="0.25">
      <c r="B133" s="510" t="s">
        <v>1087</v>
      </c>
      <c r="C133" s="506">
        <v>561020</v>
      </c>
      <c r="D133" s="502" t="s">
        <v>382</v>
      </c>
      <c r="E133" s="502" t="s">
        <v>905</v>
      </c>
      <c r="F133" s="502" t="s">
        <v>1053</v>
      </c>
      <c r="G133" s="499" t="s">
        <v>25</v>
      </c>
      <c r="J133" s="442"/>
      <c r="K133" s="442"/>
      <c r="L133" s="442"/>
      <c r="M133" s="442"/>
      <c r="N133" s="457"/>
      <c r="O133" s="457"/>
      <c r="P133" s="442"/>
      <c r="Q133" s="442"/>
      <c r="R133" s="442"/>
      <c r="S133" s="442"/>
      <c r="T133" s="457"/>
      <c r="U133" s="457"/>
      <c r="V133" s="457"/>
    </row>
    <row r="134" spans="2:22" s="467" customFormat="1" x14ac:dyDescent="0.25">
      <c r="B134" s="510" t="s">
        <v>1089</v>
      </c>
      <c r="C134" s="506">
        <v>534010</v>
      </c>
      <c r="D134" s="502" t="s">
        <v>382</v>
      </c>
      <c r="E134" s="502" t="s">
        <v>905</v>
      </c>
      <c r="F134" s="502" t="s">
        <v>1053</v>
      </c>
      <c r="G134" s="499" t="s">
        <v>25</v>
      </c>
      <c r="J134" s="442"/>
      <c r="K134" s="442"/>
      <c r="L134" s="442"/>
      <c r="M134" s="442"/>
      <c r="N134" s="457"/>
      <c r="O134" s="457"/>
      <c r="P134" s="442"/>
      <c r="Q134" s="442"/>
      <c r="R134" s="442"/>
      <c r="S134" s="442"/>
      <c r="T134" s="457"/>
      <c r="U134" s="457"/>
      <c r="V134" s="457"/>
    </row>
    <row r="135" spans="2:22" s="467" customFormat="1" x14ac:dyDescent="0.25">
      <c r="B135" s="510" t="s">
        <v>1091</v>
      </c>
      <c r="C135" s="506">
        <v>542120</v>
      </c>
      <c r="D135" s="502" t="s">
        <v>382</v>
      </c>
      <c r="E135" s="502" t="s">
        <v>905</v>
      </c>
      <c r="F135" s="502" t="s">
        <v>1059</v>
      </c>
      <c r="G135" s="499" t="s">
        <v>25</v>
      </c>
      <c r="J135" s="442"/>
      <c r="K135" s="442"/>
      <c r="L135" s="442"/>
      <c r="M135" s="442"/>
      <c r="N135" s="457"/>
      <c r="O135" s="457"/>
      <c r="P135" s="442"/>
      <c r="Q135" s="442"/>
      <c r="R135" s="442"/>
      <c r="S135" s="442"/>
      <c r="T135" s="457"/>
      <c r="U135" s="457"/>
      <c r="V135" s="457"/>
    </row>
    <row r="136" spans="2:22" s="467" customFormat="1" x14ac:dyDescent="0.25">
      <c r="B136" s="512" t="s">
        <v>1096</v>
      </c>
      <c r="C136" s="506">
        <v>563010</v>
      </c>
      <c r="D136" s="502" t="s">
        <v>382</v>
      </c>
      <c r="E136" s="502" t="s">
        <v>905</v>
      </c>
      <c r="F136" s="502" t="s">
        <v>1097</v>
      </c>
      <c r="G136" s="499" t="s">
        <v>25</v>
      </c>
      <c r="J136" s="442"/>
      <c r="K136" s="442"/>
      <c r="L136" s="442"/>
      <c r="M136" s="442"/>
      <c r="N136" s="457"/>
      <c r="O136" s="457"/>
      <c r="P136" s="442"/>
      <c r="Q136" s="442"/>
      <c r="R136" s="442"/>
      <c r="S136" s="442"/>
      <c r="T136" s="457"/>
      <c r="U136" s="457"/>
      <c r="V136" s="457"/>
    </row>
    <row r="137" spans="2:22" s="467" customFormat="1" x14ac:dyDescent="0.25">
      <c r="B137" s="510" t="s">
        <v>1101</v>
      </c>
      <c r="C137" s="506">
        <v>562110</v>
      </c>
      <c r="D137" s="502" t="s">
        <v>382</v>
      </c>
      <c r="E137" s="502" t="s">
        <v>905</v>
      </c>
      <c r="F137" s="502" t="s">
        <v>1053</v>
      </c>
      <c r="G137" s="499" t="s">
        <v>25</v>
      </c>
      <c r="J137" s="442"/>
      <c r="K137" s="442"/>
      <c r="L137" s="442"/>
      <c r="M137" s="442"/>
      <c r="N137" s="457"/>
      <c r="O137" s="457"/>
      <c r="P137" s="442"/>
      <c r="Q137" s="442"/>
      <c r="R137" s="442"/>
      <c r="S137" s="442"/>
      <c r="T137" s="457"/>
      <c r="U137" s="457"/>
      <c r="V137" s="457"/>
    </row>
    <row r="138" spans="2:22" s="467" customFormat="1" x14ac:dyDescent="0.25">
      <c r="B138" s="510" t="s">
        <v>1103</v>
      </c>
      <c r="C138" s="506">
        <v>562120</v>
      </c>
      <c r="D138" s="502" t="s">
        <v>382</v>
      </c>
      <c r="E138" s="502" t="s">
        <v>905</v>
      </c>
      <c r="F138" s="502" t="s">
        <v>1053</v>
      </c>
      <c r="G138" s="499" t="s">
        <v>25</v>
      </c>
      <c r="J138" s="442"/>
      <c r="K138" s="442"/>
      <c r="L138" s="442"/>
      <c r="M138" s="442"/>
      <c r="N138" s="457"/>
      <c r="O138" s="457"/>
      <c r="P138" s="442"/>
      <c r="Q138" s="442"/>
      <c r="R138" s="442"/>
      <c r="S138" s="442"/>
      <c r="T138" s="457"/>
      <c r="U138" s="457"/>
      <c r="V138" s="457"/>
    </row>
    <row r="139" spans="2:22" s="467" customFormat="1" x14ac:dyDescent="0.25">
      <c r="B139" s="510" t="s">
        <v>1105</v>
      </c>
      <c r="C139" s="506">
        <v>732040</v>
      </c>
      <c r="D139" s="502" t="s">
        <v>382</v>
      </c>
      <c r="E139" s="502" t="s">
        <v>905</v>
      </c>
      <c r="F139" s="502" t="s">
        <v>1053</v>
      </c>
      <c r="G139" s="499" t="s">
        <v>25</v>
      </c>
      <c r="J139" s="442"/>
      <c r="K139" s="442"/>
      <c r="L139" s="442"/>
      <c r="M139" s="442"/>
      <c r="N139" s="457"/>
      <c r="O139" s="457"/>
      <c r="P139" s="442"/>
      <c r="Q139" s="442"/>
      <c r="R139" s="442"/>
      <c r="S139" s="442"/>
      <c r="T139" s="457"/>
      <c r="U139" s="457"/>
      <c r="V139" s="457"/>
    </row>
    <row r="140" spans="2:22" s="467" customFormat="1" x14ac:dyDescent="0.25">
      <c r="B140" s="510" t="s">
        <v>1107</v>
      </c>
      <c r="C140" s="506">
        <v>532010</v>
      </c>
      <c r="D140" s="502" t="s">
        <v>382</v>
      </c>
      <c r="E140" s="502" t="s">
        <v>905</v>
      </c>
      <c r="F140" s="502" t="s">
        <v>1053</v>
      </c>
      <c r="G140" s="499" t="s">
        <v>25</v>
      </c>
      <c r="J140" s="442"/>
      <c r="K140" s="442"/>
      <c r="L140" s="442"/>
      <c r="M140" s="442"/>
      <c r="N140" s="457"/>
      <c r="O140" s="457"/>
      <c r="P140" s="442"/>
      <c r="Q140" s="442"/>
      <c r="R140" s="442"/>
      <c r="S140" s="442"/>
      <c r="T140" s="457"/>
      <c r="U140" s="457"/>
      <c r="V140" s="457"/>
    </row>
    <row r="141" spans="2:22" s="467" customFormat="1" ht="21" x14ac:dyDescent="0.25">
      <c r="B141" s="512" t="s">
        <v>1108</v>
      </c>
      <c r="C141" s="506">
        <v>562310</v>
      </c>
      <c r="D141" s="502" t="s">
        <v>382</v>
      </c>
      <c r="E141" s="502" t="s">
        <v>905</v>
      </c>
      <c r="F141" s="502" t="s">
        <v>1053</v>
      </c>
      <c r="G141" s="499" t="s">
        <v>25</v>
      </c>
      <c r="J141" s="442"/>
      <c r="K141" s="442"/>
      <c r="L141" s="442"/>
      <c r="M141" s="442"/>
      <c r="N141" s="457"/>
      <c r="O141" s="457"/>
      <c r="P141" s="442"/>
      <c r="Q141" s="442"/>
      <c r="R141" s="442"/>
      <c r="S141" s="442"/>
      <c r="T141" s="457"/>
      <c r="U141" s="457"/>
      <c r="V141" s="457"/>
    </row>
    <row r="142" spans="2:22" s="467" customFormat="1" x14ac:dyDescent="0.25">
      <c r="B142" s="510" t="s">
        <v>1110</v>
      </c>
      <c r="C142" s="506">
        <v>552110</v>
      </c>
      <c r="D142" s="502" t="s">
        <v>382</v>
      </c>
      <c r="E142" s="502" t="s">
        <v>905</v>
      </c>
      <c r="F142" s="502" t="s">
        <v>628</v>
      </c>
      <c r="G142" s="499" t="s">
        <v>25</v>
      </c>
      <c r="J142" s="442"/>
      <c r="K142" s="442"/>
      <c r="L142" s="442"/>
      <c r="M142" s="442"/>
      <c r="N142" s="457"/>
      <c r="O142" s="457"/>
      <c r="P142" s="442"/>
      <c r="Q142" s="442"/>
      <c r="R142" s="442"/>
      <c r="S142" s="442"/>
      <c r="T142" s="457"/>
      <c r="U142" s="457"/>
      <c r="V142" s="457"/>
    </row>
    <row r="143" spans="2:22" s="467" customFormat="1" x14ac:dyDescent="0.25">
      <c r="B143" s="510" t="s">
        <v>1112</v>
      </c>
      <c r="C143" s="506">
        <v>533110</v>
      </c>
      <c r="D143" s="502" t="s">
        <v>382</v>
      </c>
      <c r="E143" s="502" t="s">
        <v>905</v>
      </c>
      <c r="F143" s="502" t="s">
        <v>628</v>
      </c>
      <c r="G143" s="499" t="s">
        <v>25</v>
      </c>
      <c r="J143" s="442"/>
      <c r="K143" s="442"/>
      <c r="L143" s="442"/>
      <c r="M143" s="442"/>
      <c r="N143" s="457"/>
      <c r="O143" s="457"/>
      <c r="P143" s="442"/>
      <c r="Q143" s="442"/>
      <c r="R143" s="442"/>
      <c r="S143" s="442"/>
      <c r="T143" s="457"/>
      <c r="U143" s="457"/>
      <c r="V143" s="457"/>
    </row>
    <row r="144" spans="2:22" s="467" customFormat="1" x14ac:dyDescent="0.25">
      <c r="B144" s="510" t="s">
        <v>1114</v>
      </c>
      <c r="C144" s="506">
        <v>533420</v>
      </c>
      <c r="D144" s="502" t="s">
        <v>382</v>
      </c>
      <c r="E144" s="502" t="s">
        <v>905</v>
      </c>
      <c r="F144" s="502" t="s">
        <v>628</v>
      </c>
      <c r="G144" s="499" t="s">
        <v>25</v>
      </c>
      <c r="J144" s="442"/>
      <c r="K144" s="442"/>
      <c r="L144" s="442"/>
      <c r="M144" s="442"/>
      <c r="N144" s="457"/>
      <c r="O144" s="457"/>
      <c r="P144" s="442"/>
      <c r="Q144" s="442"/>
      <c r="R144" s="442"/>
      <c r="S144" s="442"/>
      <c r="T144" s="457"/>
      <c r="U144" s="457"/>
      <c r="V144" s="457"/>
    </row>
    <row r="145" spans="2:22" s="467" customFormat="1" x14ac:dyDescent="0.25">
      <c r="B145" s="510" t="s">
        <v>1066</v>
      </c>
      <c r="C145" s="506">
        <v>732020</v>
      </c>
      <c r="D145" s="502" t="s">
        <v>382</v>
      </c>
      <c r="E145" s="502" t="s">
        <v>905</v>
      </c>
      <c r="F145" s="502" t="s">
        <v>1053</v>
      </c>
      <c r="G145" s="499" t="s">
        <v>36</v>
      </c>
      <c r="J145" s="442"/>
      <c r="K145" s="442"/>
      <c r="L145" s="442"/>
      <c r="M145" s="442"/>
      <c r="N145" s="457"/>
      <c r="O145" s="457"/>
      <c r="P145" s="442"/>
      <c r="Q145" s="442"/>
      <c r="R145" s="442"/>
      <c r="S145" s="442"/>
      <c r="T145" s="457"/>
      <c r="U145" s="457"/>
      <c r="V145" s="457"/>
    </row>
    <row r="146" spans="2:22" s="467" customFormat="1" x14ac:dyDescent="0.25">
      <c r="B146" s="510" t="s">
        <v>1066</v>
      </c>
      <c r="C146" s="506">
        <v>732020</v>
      </c>
      <c r="D146" s="502" t="s">
        <v>382</v>
      </c>
      <c r="E146" s="502" t="s">
        <v>905</v>
      </c>
      <c r="F146" s="502" t="s">
        <v>1053</v>
      </c>
      <c r="G146" s="499" t="s">
        <v>37</v>
      </c>
      <c r="J146" s="442"/>
      <c r="K146" s="442"/>
      <c r="L146" s="442"/>
      <c r="M146" s="442"/>
      <c r="N146" s="457"/>
      <c r="O146" s="457"/>
      <c r="P146" s="442"/>
      <c r="Q146" s="442"/>
      <c r="R146" s="442"/>
      <c r="S146" s="442"/>
      <c r="T146" s="457"/>
      <c r="U146" s="457"/>
      <c r="V146" s="457"/>
    </row>
    <row r="147" spans="2:22" s="467" customFormat="1" x14ac:dyDescent="0.25">
      <c r="B147" s="510" t="s">
        <v>1066</v>
      </c>
      <c r="C147" s="506">
        <v>732020</v>
      </c>
      <c r="D147" s="502" t="s">
        <v>382</v>
      </c>
      <c r="E147" s="502" t="s">
        <v>905</v>
      </c>
      <c r="F147" s="502" t="s">
        <v>1053</v>
      </c>
      <c r="G147" s="499" t="s">
        <v>38</v>
      </c>
      <c r="J147" s="442"/>
      <c r="K147" s="442"/>
      <c r="L147" s="442"/>
      <c r="M147" s="442"/>
      <c r="N147" s="457"/>
      <c r="O147" s="457"/>
      <c r="P147" s="442"/>
      <c r="Q147" s="442"/>
      <c r="R147" s="442"/>
      <c r="S147" s="442"/>
      <c r="T147" s="457"/>
      <c r="U147" s="457"/>
      <c r="V147" s="457"/>
    </row>
    <row r="148" spans="2:22" s="467" customFormat="1" x14ac:dyDescent="0.25">
      <c r="B148" s="510" t="s">
        <v>1066</v>
      </c>
      <c r="C148" s="506">
        <v>732020</v>
      </c>
      <c r="D148" s="502" t="s">
        <v>382</v>
      </c>
      <c r="E148" s="502" t="s">
        <v>905</v>
      </c>
      <c r="F148" s="502" t="s">
        <v>1053</v>
      </c>
      <c r="G148" s="499" t="s">
        <v>40</v>
      </c>
      <c r="J148" s="442"/>
      <c r="K148" s="442"/>
      <c r="L148" s="442"/>
      <c r="M148" s="442"/>
      <c r="N148" s="457"/>
      <c r="O148" s="457"/>
      <c r="P148" s="442"/>
      <c r="Q148" s="442"/>
      <c r="R148" s="442"/>
      <c r="S148" s="442"/>
      <c r="T148" s="457"/>
      <c r="U148" s="457"/>
      <c r="V148" s="457"/>
    </row>
    <row r="149" spans="2:22" s="467" customFormat="1" x14ac:dyDescent="0.25">
      <c r="B149" s="510" t="s">
        <v>1105</v>
      </c>
      <c r="C149" s="506">
        <v>732040</v>
      </c>
      <c r="D149" s="502" t="s">
        <v>382</v>
      </c>
      <c r="E149" s="502" t="s">
        <v>905</v>
      </c>
      <c r="F149" s="502" t="s">
        <v>1053</v>
      </c>
      <c r="G149" s="499" t="s">
        <v>40</v>
      </c>
      <c r="J149" s="442"/>
      <c r="K149" s="442"/>
      <c r="L149" s="442"/>
      <c r="M149" s="442"/>
      <c r="N149" s="457"/>
      <c r="O149" s="457"/>
      <c r="P149" s="442"/>
      <c r="Q149" s="442"/>
      <c r="R149" s="442"/>
      <c r="S149" s="442"/>
      <c r="T149" s="457"/>
      <c r="U149" s="457"/>
      <c r="V149" s="457"/>
    </row>
    <row r="150" spans="2:22" s="467" customFormat="1" x14ac:dyDescent="0.25">
      <c r="B150" s="510" t="s">
        <v>1105</v>
      </c>
      <c r="C150" s="506">
        <v>732040</v>
      </c>
      <c r="D150" s="502" t="s">
        <v>382</v>
      </c>
      <c r="E150" s="502" t="s">
        <v>905</v>
      </c>
      <c r="F150" s="502" t="s">
        <v>1053</v>
      </c>
      <c r="G150" s="499" t="s">
        <v>41</v>
      </c>
      <c r="J150" s="442"/>
      <c r="K150" s="442"/>
      <c r="L150" s="442"/>
      <c r="M150" s="442"/>
      <c r="N150" s="457"/>
      <c r="O150" s="457"/>
      <c r="P150" s="442"/>
      <c r="Q150" s="442"/>
      <c r="R150" s="442"/>
      <c r="S150" s="442"/>
      <c r="T150" s="457"/>
      <c r="U150" s="457"/>
      <c r="V150" s="457"/>
    </row>
    <row r="151" spans="2:22" s="467" customFormat="1" x14ac:dyDescent="0.25">
      <c r="B151" s="510" t="s">
        <v>1066</v>
      </c>
      <c r="C151" s="506">
        <v>732020</v>
      </c>
      <c r="D151" s="502" t="s">
        <v>382</v>
      </c>
      <c r="E151" s="502" t="s">
        <v>905</v>
      </c>
      <c r="F151" s="502" t="s">
        <v>1053</v>
      </c>
      <c r="G151" s="499" t="s">
        <v>31</v>
      </c>
      <c r="J151" s="442"/>
      <c r="K151" s="442"/>
      <c r="L151" s="442"/>
      <c r="M151" s="442"/>
      <c r="N151" s="457"/>
      <c r="O151" s="457"/>
      <c r="P151" s="442"/>
      <c r="Q151" s="442"/>
      <c r="R151" s="442"/>
      <c r="S151" s="442"/>
      <c r="T151" s="457"/>
      <c r="U151" s="457"/>
      <c r="V151" s="457"/>
    </row>
    <row r="152" spans="2:22" s="467" customFormat="1" ht="21" x14ac:dyDescent="0.25">
      <c r="B152" s="510" t="s">
        <v>1070</v>
      </c>
      <c r="C152" s="506">
        <v>732030</v>
      </c>
      <c r="D152" s="502" t="s">
        <v>382</v>
      </c>
      <c r="E152" s="502" t="s">
        <v>905</v>
      </c>
      <c r="F152" s="502" t="s">
        <v>1053</v>
      </c>
      <c r="G152" s="499" t="s">
        <v>31</v>
      </c>
      <c r="J152" s="442"/>
      <c r="K152" s="442"/>
      <c r="L152" s="442"/>
      <c r="M152" s="442"/>
      <c r="N152" s="457"/>
      <c r="O152" s="457"/>
      <c r="P152" s="442"/>
      <c r="Q152" s="442"/>
      <c r="R152" s="442"/>
      <c r="S152" s="442"/>
      <c r="T152" s="457"/>
      <c r="U152" s="457"/>
      <c r="V152" s="457"/>
    </row>
    <row r="153" spans="2:22" s="467" customFormat="1" x14ac:dyDescent="0.25">
      <c r="B153" s="510" t="s">
        <v>1092</v>
      </c>
      <c r="C153" s="506">
        <v>732210</v>
      </c>
      <c r="D153" s="502" t="s">
        <v>382</v>
      </c>
      <c r="E153" s="502" t="s">
        <v>905</v>
      </c>
      <c r="F153" s="502" t="s">
        <v>628</v>
      </c>
      <c r="G153" s="499" t="s">
        <v>31</v>
      </c>
      <c r="J153" s="442"/>
      <c r="K153" s="442"/>
      <c r="L153" s="442"/>
      <c r="M153" s="442"/>
      <c r="N153" s="457"/>
      <c r="O153" s="457"/>
      <c r="P153" s="442"/>
      <c r="Q153" s="442"/>
      <c r="R153" s="442"/>
      <c r="S153" s="442"/>
      <c r="T153" s="457"/>
      <c r="U153" s="457"/>
      <c r="V153" s="457"/>
    </row>
    <row r="154" spans="2:22" s="467" customFormat="1" x14ac:dyDescent="0.25">
      <c r="B154" s="510" t="s">
        <v>1105</v>
      </c>
      <c r="C154" s="506">
        <v>732040</v>
      </c>
      <c r="D154" s="502" t="s">
        <v>382</v>
      </c>
      <c r="E154" s="502" t="s">
        <v>905</v>
      </c>
      <c r="F154" s="502" t="s">
        <v>1053</v>
      </c>
      <c r="G154" s="499" t="s">
        <v>31</v>
      </c>
      <c r="J154" s="442"/>
      <c r="K154" s="442"/>
      <c r="L154" s="442"/>
      <c r="M154" s="442"/>
      <c r="N154" s="457"/>
      <c r="O154" s="457"/>
      <c r="P154" s="442"/>
      <c r="Q154" s="442"/>
      <c r="R154" s="442"/>
      <c r="S154" s="442"/>
      <c r="T154" s="457"/>
      <c r="U154" s="457"/>
      <c r="V154" s="457"/>
    </row>
    <row r="155" spans="2:22" s="467" customFormat="1" x14ac:dyDescent="0.25">
      <c r="B155" s="510" t="s">
        <v>1105</v>
      </c>
      <c r="C155" s="506">
        <v>732040</v>
      </c>
      <c r="D155" s="502" t="s">
        <v>382</v>
      </c>
      <c r="E155" s="502" t="s">
        <v>905</v>
      </c>
      <c r="F155" s="502" t="s">
        <v>1053</v>
      </c>
      <c r="G155" s="499" t="s">
        <v>32</v>
      </c>
      <c r="J155" s="442"/>
      <c r="K155" s="442"/>
      <c r="L155" s="442"/>
      <c r="M155" s="442"/>
      <c r="N155" s="457"/>
      <c r="O155" s="457"/>
      <c r="P155" s="442"/>
      <c r="Q155" s="442"/>
      <c r="R155" s="442"/>
      <c r="S155" s="442"/>
      <c r="T155" s="457"/>
      <c r="U155" s="457"/>
      <c r="V155" s="457"/>
    </row>
    <row r="156" spans="2:22" s="467" customFormat="1" x14ac:dyDescent="0.25">
      <c r="B156" s="510" t="s">
        <v>1066</v>
      </c>
      <c r="C156" s="506">
        <v>732020</v>
      </c>
      <c r="D156" s="502" t="s">
        <v>382</v>
      </c>
      <c r="E156" s="502" t="s">
        <v>905</v>
      </c>
      <c r="F156" s="502" t="s">
        <v>1053</v>
      </c>
      <c r="G156" s="499" t="s">
        <v>33</v>
      </c>
      <c r="J156" s="442"/>
      <c r="K156" s="442"/>
      <c r="L156" s="442"/>
      <c r="M156" s="442"/>
      <c r="N156" s="457"/>
      <c r="O156" s="457"/>
      <c r="P156" s="442"/>
      <c r="Q156" s="442"/>
      <c r="R156" s="442"/>
      <c r="S156" s="442"/>
      <c r="T156" s="457"/>
      <c r="U156" s="457"/>
      <c r="V156" s="457"/>
    </row>
    <row r="157" spans="2:22" s="467" customFormat="1" x14ac:dyDescent="0.25">
      <c r="B157" s="510" t="s">
        <v>1066</v>
      </c>
      <c r="C157" s="506">
        <v>732020</v>
      </c>
      <c r="D157" s="502" t="s">
        <v>382</v>
      </c>
      <c r="E157" s="502" t="s">
        <v>905</v>
      </c>
      <c r="F157" s="502" t="s">
        <v>1053</v>
      </c>
      <c r="G157" s="499" t="s">
        <v>34</v>
      </c>
      <c r="J157" s="442"/>
      <c r="K157" s="442"/>
      <c r="L157" s="442"/>
      <c r="M157" s="442"/>
      <c r="N157" s="457"/>
      <c r="O157" s="457"/>
      <c r="P157" s="442"/>
      <c r="Q157" s="442"/>
      <c r="R157" s="442"/>
      <c r="S157" s="442"/>
      <c r="T157" s="457"/>
      <c r="U157" s="457"/>
      <c r="V157" s="457"/>
    </row>
    <row r="158" spans="2:22" s="467" customFormat="1" x14ac:dyDescent="0.25">
      <c r="B158" s="510" t="s">
        <v>1066</v>
      </c>
      <c r="C158" s="506">
        <v>732020</v>
      </c>
      <c r="D158" s="502" t="s">
        <v>382</v>
      </c>
      <c r="E158" s="502" t="s">
        <v>905</v>
      </c>
      <c r="F158" s="502" t="s">
        <v>1053</v>
      </c>
      <c r="G158" s="499" t="s">
        <v>35</v>
      </c>
      <c r="J158" s="442"/>
      <c r="K158" s="442"/>
      <c r="L158" s="442"/>
      <c r="M158" s="442"/>
      <c r="N158" s="457"/>
      <c r="O158" s="457"/>
      <c r="P158" s="442"/>
      <c r="Q158" s="442"/>
      <c r="R158" s="442"/>
      <c r="S158" s="442"/>
      <c r="T158" s="457"/>
      <c r="U158" s="457"/>
      <c r="V158" s="457"/>
    </row>
    <row r="159" spans="2:22" s="467" customFormat="1" x14ac:dyDescent="0.25">
      <c r="B159" s="510" t="s">
        <v>1092</v>
      </c>
      <c r="C159" s="506">
        <v>732210</v>
      </c>
      <c r="D159" s="502" t="s">
        <v>382</v>
      </c>
      <c r="E159" s="502" t="s">
        <v>905</v>
      </c>
      <c r="F159" s="502" t="s">
        <v>628</v>
      </c>
      <c r="G159" s="499" t="s">
        <v>43</v>
      </c>
      <c r="J159" s="442"/>
      <c r="K159" s="442"/>
      <c r="L159" s="442"/>
      <c r="M159" s="442"/>
      <c r="N159" s="457"/>
      <c r="O159" s="457"/>
      <c r="P159" s="442"/>
      <c r="Q159" s="442"/>
      <c r="R159" s="442"/>
      <c r="S159" s="442"/>
      <c r="T159" s="457"/>
      <c r="U159" s="457"/>
      <c r="V159" s="457"/>
    </row>
    <row r="160" spans="2:22" s="467" customFormat="1" x14ac:dyDescent="0.25">
      <c r="B160" s="510" t="s">
        <v>1092</v>
      </c>
      <c r="C160" s="506">
        <v>732210</v>
      </c>
      <c r="D160" s="502" t="s">
        <v>382</v>
      </c>
      <c r="E160" s="502" t="s">
        <v>905</v>
      </c>
      <c r="F160" s="502" t="s">
        <v>628</v>
      </c>
      <c r="G160" s="499" t="s">
        <v>45</v>
      </c>
      <c r="J160" s="442"/>
      <c r="K160" s="442"/>
      <c r="L160" s="442"/>
      <c r="M160" s="442"/>
      <c r="N160" s="457"/>
      <c r="O160" s="457"/>
      <c r="P160" s="442"/>
      <c r="Q160" s="442"/>
      <c r="R160" s="442"/>
      <c r="S160" s="442"/>
      <c r="T160" s="457"/>
      <c r="U160" s="457"/>
      <c r="V160" s="457"/>
    </row>
    <row r="161" spans="2:22" s="467" customFormat="1" x14ac:dyDescent="0.25">
      <c r="B161" s="510" t="s">
        <v>1101</v>
      </c>
      <c r="C161" s="506">
        <v>562110</v>
      </c>
      <c r="D161" s="502" t="s">
        <v>382</v>
      </c>
      <c r="E161" s="502" t="s">
        <v>905</v>
      </c>
      <c r="F161" s="502" t="s">
        <v>1053</v>
      </c>
      <c r="G161" s="499" t="s">
        <v>56</v>
      </c>
      <c r="J161" s="442"/>
      <c r="K161" s="442"/>
      <c r="L161" s="442"/>
      <c r="M161" s="442"/>
      <c r="N161" s="457"/>
      <c r="O161" s="457"/>
      <c r="P161" s="442"/>
      <c r="Q161" s="442"/>
      <c r="R161" s="442"/>
      <c r="S161" s="442"/>
      <c r="T161" s="457"/>
      <c r="U161" s="457"/>
      <c r="V161" s="457"/>
    </row>
    <row r="162" spans="2:22" s="467" customFormat="1" x14ac:dyDescent="0.25">
      <c r="B162" s="510" t="s">
        <v>1114</v>
      </c>
      <c r="C162" s="506">
        <v>533420</v>
      </c>
      <c r="D162" s="502" t="s">
        <v>382</v>
      </c>
      <c r="E162" s="502" t="s">
        <v>905</v>
      </c>
      <c r="F162" s="502" t="s">
        <v>628</v>
      </c>
      <c r="G162" s="499" t="s">
        <v>56</v>
      </c>
      <c r="J162" s="442"/>
      <c r="K162" s="442"/>
      <c r="L162" s="442"/>
      <c r="M162" s="442"/>
      <c r="N162" s="457"/>
      <c r="O162" s="457"/>
      <c r="P162" s="442"/>
      <c r="Q162" s="442"/>
      <c r="R162" s="442"/>
      <c r="S162" s="442"/>
      <c r="T162" s="457"/>
      <c r="U162" s="457"/>
      <c r="V162" s="457"/>
    </row>
    <row r="163" spans="2:22" s="467" customFormat="1" x14ac:dyDescent="0.25">
      <c r="B163" s="510" t="s">
        <v>1114</v>
      </c>
      <c r="C163" s="506">
        <v>533420</v>
      </c>
      <c r="D163" s="502" t="s">
        <v>382</v>
      </c>
      <c r="E163" s="502" t="s">
        <v>905</v>
      </c>
      <c r="F163" s="502" t="s">
        <v>628</v>
      </c>
      <c r="G163" s="499" t="s">
        <v>60</v>
      </c>
      <c r="J163" s="442"/>
      <c r="K163" s="442"/>
      <c r="L163" s="442"/>
      <c r="M163" s="442"/>
      <c r="N163" s="457"/>
      <c r="O163" s="457"/>
      <c r="P163" s="442"/>
      <c r="Q163" s="442"/>
      <c r="R163" s="442"/>
      <c r="S163" s="442"/>
      <c r="T163" s="457"/>
      <c r="U163" s="457"/>
      <c r="V163" s="457"/>
    </row>
    <row r="164" spans="2:22" s="467" customFormat="1" x14ac:dyDescent="0.25">
      <c r="B164" s="510" t="s">
        <v>1089</v>
      </c>
      <c r="C164" s="506">
        <v>534010</v>
      </c>
      <c r="D164" s="502" t="s">
        <v>382</v>
      </c>
      <c r="E164" s="502" t="s">
        <v>905</v>
      </c>
      <c r="F164" s="502" t="s">
        <v>1053</v>
      </c>
      <c r="G164" s="499" t="s">
        <v>61</v>
      </c>
      <c r="J164" s="442"/>
      <c r="K164" s="442"/>
      <c r="L164" s="442"/>
      <c r="M164" s="442"/>
      <c r="N164" s="457"/>
      <c r="O164" s="457"/>
      <c r="P164" s="442"/>
      <c r="Q164" s="442"/>
      <c r="R164" s="442"/>
      <c r="S164" s="442"/>
      <c r="T164" s="457"/>
      <c r="U164" s="457"/>
      <c r="V164" s="457"/>
    </row>
    <row r="165" spans="2:22" s="467" customFormat="1" x14ac:dyDescent="0.25">
      <c r="B165" s="510" t="s">
        <v>1101</v>
      </c>
      <c r="C165" s="506">
        <v>562110</v>
      </c>
      <c r="D165" s="502" t="s">
        <v>382</v>
      </c>
      <c r="E165" s="502" t="s">
        <v>905</v>
      </c>
      <c r="F165" s="502" t="s">
        <v>1053</v>
      </c>
      <c r="G165" s="499" t="s">
        <v>61</v>
      </c>
      <c r="J165" s="442"/>
      <c r="K165" s="442"/>
      <c r="L165" s="442"/>
      <c r="M165" s="442"/>
      <c r="N165" s="457"/>
      <c r="O165" s="457"/>
      <c r="P165" s="442"/>
      <c r="Q165" s="442"/>
      <c r="R165" s="442"/>
      <c r="S165" s="442"/>
      <c r="T165" s="457"/>
      <c r="U165" s="457"/>
      <c r="V165" s="457"/>
    </row>
    <row r="166" spans="2:22" s="467" customFormat="1" x14ac:dyDescent="0.25">
      <c r="B166" s="510" t="s">
        <v>1103</v>
      </c>
      <c r="C166" s="506">
        <v>562120</v>
      </c>
      <c r="D166" s="502" t="s">
        <v>382</v>
      </c>
      <c r="E166" s="502" t="s">
        <v>905</v>
      </c>
      <c r="F166" s="502" t="s">
        <v>1053</v>
      </c>
      <c r="G166" s="499" t="s">
        <v>61</v>
      </c>
      <c r="J166" s="442"/>
      <c r="K166" s="442"/>
      <c r="L166" s="442"/>
      <c r="M166" s="442"/>
      <c r="N166" s="457"/>
      <c r="O166" s="457"/>
      <c r="P166" s="442"/>
      <c r="Q166" s="442"/>
      <c r="R166" s="442"/>
      <c r="S166" s="442"/>
      <c r="T166" s="457"/>
      <c r="U166" s="457"/>
      <c r="V166" s="457"/>
    </row>
    <row r="167" spans="2:22" s="467" customFormat="1" x14ac:dyDescent="0.25">
      <c r="B167" s="510" t="s">
        <v>1107</v>
      </c>
      <c r="C167" s="506">
        <v>532010</v>
      </c>
      <c r="D167" s="502" t="s">
        <v>382</v>
      </c>
      <c r="E167" s="502" t="s">
        <v>905</v>
      </c>
      <c r="F167" s="502" t="s">
        <v>1053</v>
      </c>
      <c r="G167" s="499" t="s">
        <v>61</v>
      </c>
      <c r="J167" s="442"/>
      <c r="K167" s="442"/>
      <c r="L167" s="442"/>
      <c r="M167" s="442"/>
      <c r="N167" s="457"/>
      <c r="O167" s="457"/>
      <c r="P167" s="442"/>
      <c r="Q167" s="442"/>
      <c r="R167" s="442"/>
      <c r="S167" s="442"/>
      <c r="T167" s="457"/>
      <c r="U167" s="457"/>
      <c r="V167" s="457"/>
    </row>
    <row r="168" spans="2:22" s="467" customFormat="1" ht="21" x14ac:dyDescent="0.25">
      <c r="B168" s="512" t="s">
        <v>1108</v>
      </c>
      <c r="C168" s="506">
        <v>562310</v>
      </c>
      <c r="D168" s="502" t="s">
        <v>382</v>
      </c>
      <c r="E168" s="502" t="s">
        <v>905</v>
      </c>
      <c r="F168" s="502" t="s">
        <v>1053</v>
      </c>
      <c r="G168" s="499" t="s">
        <v>61</v>
      </c>
      <c r="J168" s="442"/>
      <c r="K168" s="442"/>
      <c r="L168" s="442"/>
      <c r="M168" s="442"/>
      <c r="N168" s="457"/>
      <c r="O168" s="457"/>
      <c r="P168" s="442"/>
      <c r="Q168" s="442"/>
      <c r="R168" s="442"/>
      <c r="S168" s="442"/>
      <c r="T168" s="457"/>
      <c r="U168" s="457"/>
      <c r="V168" s="457"/>
    </row>
    <row r="169" spans="2:22" s="467" customFormat="1" x14ac:dyDescent="0.25">
      <c r="B169" s="510" t="s">
        <v>1110</v>
      </c>
      <c r="C169" s="506">
        <v>552110</v>
      </c>
      <c r="D169" s="502" t="s">
        <v>382</v>
      </c>
      <c r="E169" s="502" t="s">
        <v>905</v>
      </c>
      <c r="F169" s="502" t="s">
        <v>628</v>
      </c>
      <c r="G169" s="499" t="s">
        <v>61</v>
      </c>
      <c r="J169" s="442"/>
      <c r="K169" s="442"/>
      <c r="L169" s="442"/>
      <c r="M169" s="442"/>
      <c r="N169" s="457"/>
      <c r="O169" s="457"/>
      <c r="P169" s="442"/>
      <c r="Q169" s="442"/>
      <c r="R169" s="442"/>
      <c r="S169" s="442"/>
      <c r="T169" s="457"/>
      <c r="U169" s="457"/>
      <c r="V169" s="457"/>
    </row>
    <row r="170" spans="2:22" s="467" customFormat="1" x14ac:dyDescent="0.25">
      <c r="B170" s="510" t="s">
        <v>1078</v>
      </c>
      <c r="C170" s="506">
        <v>574010</v>
      </c>
      <c r="D170" s="502" t="s">
        <v>382</v>
      </c>
      <c r="E170" s="502" t="s">
        <v>905</v>
      </c>
      <c r="F170" s="502" t="s">
        <v>1056</v>
      </c>
      <c r="G170" s="499" t="s">
        <v>63</v>
      </c>
      <c r="J170" s="442"/>
      <c r="K170" s="442"/>
      <c r="L170" s="442"/>
      <c r="M170" s="442"/>
      <c r="N170" s="457"/>
      <c r="O170" s="457"/>
      <c r="P170" s="442"/>
      <c r="Q170" s="442"/>
      <c r="R170" s="442"/>
      <c r="S170" s="442"/>
      <c r="T170" s="457"/>
      <c r="U170" s="457"/>
      <c r="V170" s="457"/>
    </row>
    <row r="171" spans="2:22" s="467" customFormat="1" x14ac:dyDescent="0.25">
      <c r="B171" s="510" t="s">
        <v>1082</v>
      </c>
      <c r="C171" s="506">
        <v>573020</v>
      </c>
      <c r="D171" s="502" t="s">
        <v>382</v>
      </c>
      <c r="E171" s="502" t="s">
        <v>905</v>
      </c>
      <c r="F171" s="502" t="s">
        <v>1056</v>
      </c>
      <c r="G171" s="499" t="s">
        <v>63</v>
      </c>
      <c r="J171" s="442"/>
      <c r="K171" s="442"/>
      <c r="L171" s="442"/>
      <c r="M171" s="442"/>
      <c r="N171" s="457"/>
      <c r="O171" s="457"/>
      <c r="P171" s="442"/>
      <c r="Q171" s="442"/>
      <c r="R171" s="442"/>
      <c r="S171" s="442"/>
      <c r="T171" s="457"/>
      <c r="U171" s="457"/>
      <c r="V171" s="457"/>
    </row>
    <row r="172" spans="2:22" s="467" customFormat="1" x14ac:dyDescent="0.25">
      <c r="B172" s="510" t="s">
        <v>1072</v>
      </c>
      <c r="C172" s="506">
        <v>552010</v>
      </c>
      <c r="D172" s="502" t="s">
        <v>382</v>
      </c>
      <c r="E172" s="502" t="s">
        <v>905</v>
      </c>
      <c r="F172" s="502" t="s">
        <v>1053</v>
      </c>
      <c r="G172" s="499" t="s">
        <v>68</v>
      </c>
      <c r="J172" s="442"/>
      <c r="K172" s="442"/>
      <c r="L172" s="442"/>
      <c r="M172" s="442"/>
      <c r="N172" s="457"/>
      <c r="O172" s="457"/>
      <c r="P172" s="442"/>
      <c r="Q172" s="442"/>
      <c r="R172" s="442"/>
      <c r="S172" s="442"/>
      <c r="T172" s="457"/>
      <c r="U172" s="457"/>
      <c r="V172" s="457"/>
    </row>
    <row r="173" spans="2:22" s="467" customFormat="1" x14ac:dyDescent="0.25">
      <c r="B173" s="510" t="s">
        <v>1063</v>
      </c>
      <c r="C173" s="506">
        <v>562130</v>
      </c>
      <c r="D173" s="502" t="s">
        <v>382</v>
      </c>
      <c r="E173" s="502" t="s">
        <v>905</v>
      </c>
      <c r="F173" s="502" t="s">
        <v>1056</v>
      </c>
      <c r="G173" s="499" t="s">
        <v>82</v>
      </c>
      <c r="J173" s="442"/>
      <c r="K173" s="442"/>
      <c r="L173" s="442"/>
      <c r="M173" s="442"/>
      <c r="N173" s="457"/>
      <c r="O173" s="457"/>
      <c r="P173" s="442"/>
      <c r="Q173" s="442"/>
      <c r="R173" s="442"/>
      <c r="S173" s="442"/>
      <c r="T173" s="457"/>
      <c r="U173" s="457"/>
      <c r="V173" s="457"/>
    </row>
    <row r="174" spans="2:22" s="467" customFormat="1" x14ac:dyDescent="0.25">
      <c r="B174" s="510" t="s">
        <v>1089</v>
      </c>
      <c r="C174" s="506">
        <v>534010</v>
      </c>
      <c r="D174" s="502" t="s">
        <v>382</v>
      </c>
      <c r="E174" s="502" t="s">
        <v>905</v>
      </c>
      <c r="F174" s="502" t="s">
        <v>1053</v>
      </c>
      <c r="G174" s="499" t="s">
        <v>82</v>
      </c>
      <c r="J174" s="442"/>
      <c r="K174" s="442"/>
      <c r="L174" s="442"/>
      <c r="M174" s="442"/>
      <c r="N174" s="457"/>
      <c r="O174" s="457"/>
      <c r="P174" s="442"/>
      <c r="Q174" s="442"/>
      <c r="R174" s="442"/>
      <c r="S174" s="442"/>
      <c r="T174" s="457"/>
      <c r="U174" s="457"/>
      <c r="V174" s="457"/>
    </row>
    <row r="175" spans="2:22" s="467" customFormat="1" x14ac:dyDescent="0.25">
      <c r="B175" s="510" t="s">
        <v>1101</v>
      </c>
      <c r="C175" s="506">
        <v>562110</v>
      </c>
      <c r="D175" s="502" t="s">
        <v>382</v>
      </c>
      <c r="E175" s="502" t="s">
        <v>905</v>
      </c>
      <c r="F175" s="502" t="s">
        <v>1053</v>
      </c>
      <c r="G175" s="499" t="s">
        <v>82</v>
      </c>
      <c r="J175" s="442"/>
      <c r="K175" s="442"/>
      <c r="L175" s="442"/>
      <c r="M175" s="442"/>
      <c r="N175" s="457"/>
      <c r="O175" s="457"/>
      <c r="P175" s="442"/>
      <c r="Q175" s="442"/>
      <c r="R175" s="442"/>
      <c r="S175" s="442"/>
      <c r="T175" s="457"/>
      <c r="U175" s="457"/>
      <c r="V175" s="457"/>
    </row>
    <row r="176" spans="2:22" s="467" customFormat="1" x14ac:dyDescent="0.25">
      <c r="B176" s="510" t="s">
        <v>1103</v>
      </c>
      <c r="C176" s="506">
        <v>562120</v>
      </c>
      <c r="D176" s="502" t="s">
        <v>382</v>
      </c>
      <c r="E176" s="502" t="s">
        <v>905</v>
      </c>
      <c r="F176" s="502" t="s">
        <v>1053</v>
      </c>
      <c r="G176" s="499" t="s">
        <v>82</v>
      </c>
      <c r="J176" s="442"/>
      <c r="K176" s="442"/>
      <c r="L176" s="442"/>
      <c r="M176" s="442"/>
      <c r="N176" s="457"/>
      <c r="O176" s="457"/>
      <c r="P176" s="442"/>
      <c r="Q176" s="442"/>
      <c r="R176" s="442"/>
      <c r="S176" s="442"/>
      <c r="T176" s="457"/>
      <c r="U176" s="457"/>
      <c r="V176" s="457"/>
    </row>
    <row r="177" spans="2:22" s="467" customFormat="1" x14ac:dyDescent="0.25">
      <c r="B177" s="510" t="s">
        <v>1107</v>
      </c>
      <c r="C177" s="506">
        <v>532010</v>
      </c>
      <c r="D177" s="502" t="s">
        <v>382</v>
      </c>
      <c r="E177" s="502" t="s">
        <v>905</v>
      </c>
      <c r="F177" s="502" t="s">
        <v>1053</v>
      </c>
      <c r="G177" s="499" t="s">
        <v>82</v>
      </c>
      <c r="J177" s="442"/>
      <c r="K177" s="442"/>
      <c r="L177" s="442"/>
      <c r="M177" s="442"/>
      <c r="N177" s="457"/>
      <c r="O177" s="457"/>
      <c r="P177" s="442"/>
      <c r="Q177" s="442"/>
      <c r="R177" s="442"/>
      <c r="S177" s="442"/>
      <c r="T177" s="457"/>
      <c r="U177" s="457"/>
      <c r="V177" s="457"/>
    </row>
    <row r="178" spans="2:22" s="467" customFormat="1" ht="21" x14ac:dyDescent="0.25">
      <c r="B178" s="512" t="s">
        <v>1108</v>
      </c>
      <c r="C178" s="506">
        <v>562310</v>
      </c>
      <c r="D178" s="502" t="s">
        <v>382</v>
      </c>
      <c r="E178" s="502" t="s">
        <v>905</v>
      </c>
      <c r="F178" s="502" t="s">
        <v>1053</v>
      </c>
      <c r="G178" s="499" t="s">
        <v>82</v>
      </c>
      <c r="J178" s="442"/>
      <c r="K178" s="442"/>
      <c r="L178" s="442"/>
      <c r="M178" s="442"/>
      <c r="N178" s="457"/>
      <c r="O178" s="457"/>
      <c r="P178" s="442"/>
      <c r="Q178" s="442"/>
      <c r="R178" s="442"/>
      <c r="S178" s="442"/>
      <c r="T178" s="457"/>
      <c r="U178" s="457"/>
      <c r="V178" s="457"/>
    </row>
    <row r="179" spans="2:22" s="467" customFormat="1" x14ac:dyDescent="0.25">
      <c r="B179" s="510" t="s">
        <v>1110</v>
      </c>
      <c r="C179" s="506">
        <v>552110</v>
      </c>
      <c r="D179" s="502" t="s">
        <v>382</v>
      </c>
      <c r="E179" s="502" t="s">
        <v>905</v>
      </c>
      <c r="F179" s="502" t="s">
        <v>628</v>
      </c>
      <c r="G179" s="499" t="s">
        <v>82</v>
      </c>
      <c r="J179" s="442"/>
      <c r="K179" s="442"/>
      <c r="L179" s="442"/>
      <c r="M179" s="442"/>
      <c r="N179" s="457"/>
      <c r="O179" s="457"/>
      <c r="P179" s="442"/>
      <c r="Q179" s="442"/>
      <c r="R179" s="442"/>
      <c r="S179" s="442"/>
      <c r="T179" s="457"/>
      <c r="U179" s="457"/>
      <c r="V179" s="457"/>
    </row>
    <row r="180" spans="2:22" s="467" customFormat="1" x14ac:dyDescent="0.25">
      <c r="B180" s="510" t="s">
        <v>1101</v>
      </c>
      <c r="C180" s="506">
        <v>562110</v>
      </c>
      <c r="D180" s="502" t="s">
        <v>382</v>
      </c>
      <c r="E180" s="502" t="s">
        <v>905</v>
      </c>
      <c r="F180" s="502" t="s">
        <v>1053</v>
      </c>
      <c r="G180" s="499" t="s">
        <v>83</v>
      </c>
      <c r="J180" s="442"/>
      <c r="K180" s="442"/>
      <c r="L180" s="442"/>
      <c r="M180" s="442"/>
      <c r="N180" s="457"/>
      <c r="O180" s="457"/>
      <c r="P180" s="442"/>
      <c r="Q180" s="442"/>
      <c r="R180" s="442"/>
      <c r="S180" s="442"/>
      <c r="T180" s="457"/>
      <c r="U180" s="457"/>
      <c r="V180" s="457"/>
    </row>
    <row r="181" spans="2:22" s="467" customFormat="1" x14ac:dyDescent="0.25">
      <c r="B181" s="510" t="s">
        <v>1103</v>
      </c>
      <c r="C181" s="506">
        <v>562120</v>
      </c>
      <c r="D181" s="502" t="s">
        <v>382</v>
      </c>
      <c r="E181" s="502" t="s">
        <v>905</v>
      </c>
      <c r="F181" s="502" t="s">
        <v>1053</v>
      </c>
      <c r="G181" s="499" t="s">
        <v>83</v>
      </c>
      <c r="J181" s="442"/>
      <c r="K181" s="442"/>
      <c r="L181" s="442"/>
      <c r="M181" s="442"/>
      <c r="N181" s="457"/>
      <c r="O181" s="457"/>
      <c r="P181" s="442"/>
      <c r="Q181" s="442"/>
      <c r="R181" s="442"/>
      <c r="S181" s="442"/>
      <c r="T181" s="457"/>
      <c r="U181" s="457"/>
      <c r="V181" s="457"/>
    </row>
    <row r="182" spans="2:22" s="467" customFormat="1" x14ac:dyDescent="0.25">
      <c r="B182" s="510" t="s">
        <v>1107</v>
      </c>
      <c r="C182" s="506">
        <v>532010</v>
      </c>
      <c r="D182" s="502" t="s">
        <v>382</v>
      </c>
      <c r="E182" s="502" t="s">
        <v>905</v>
      </c>
      <c r="F182" s="502" t="s">
        <v>1053</v>
      </c>
      <c r="G182" s="499" t="s">
        <v>83</v>
      </c>
      <c r="J182" s="442"/>
      <c r="K182" s="442"/>
      <c r="L182" s="442"/>
      <c r="M182" s="442"/>
      <c r="N182" s="457"/>
      <c r="O182" s="457"/>
      <c r="P182" s="442"/>
      <c r="Q182" s="442"/>
      <c r="R182" s="442"/>
      <c r="S182" s="442"/>
      <c r="T182" s="457"/>
      <c r="U182" s="457"/>
      <c r="V182" s="457"/>
    </row>
    <row r="183" spans="2:22" s="467" customFormat="1" x14ac:dyDescent="0.25">
      <c r="B183" s="510" t="s">
        <v>1110</v>
      </c>
      <c r="C183" s="506">
        <v>552110</v>
      </c>
      <c r="D183" s="502" t="s">
        <v>382</v>
      </c>
      <c r="E183" s="502" t="s">
        <v>905</v>
      </c>
      <c r="F183" s="502" t="s">
        <v>628</v>
      </c>
      <c r="G183" s="499" t="s">
        <v>83</v>
      </c>
      <c r="J183" s="442"/>
      <c r="K183" s="442"/>
      <c r="L183" s="442"/>
      <c r="M183" s="442"/>
      <c r="N183" s="457"/>
      <c r="O183" s="457"/>
      <c r="P183" s="442"/>
      <c r="Q183" s="442"/>
      <c r="R183" s="442"/>
      <c r="S183" s="442"/>
      <c r="T183" s="457"/>
      <c r="U183" s="457"/>
      <c r="V183" s="457"/>
    </row>
    <row r="184" spans="2:22" s="467" customFormat="1" x14ac:dyDescent="0.25">
      <c r="B184" s="510" t="s">
        <v>1061</v>
      </c>
      <c r="C184" s="506">
        <v>532030</v>
      </c>
      <c r="D184" s="502" t="s">
        <v>382</v>
      </c>
      <c r="E184" s="502" t="s">
        <v>905</v>
      </c>
      <c r="F184" s="502" t="s">
        <v>1062</v>
      </c>
      <c r="G184" s="499" t="s">
        <v>84</v>
      </c>
      <c r="J184" s="442"/>
      <c r="K184" s="442"/>
      <c r="L184" s="442"/>
      <c r="M184" s="442"/>
      <c r="N184" s="457"/>
      <c r="O184" s="457"/>
      <c r="P184" s="442"/>
      <c r="Q184" s="442"/>
      <c r="R184" s="442"/>
      <c r="S184" s="442"/>
      <c r="T184" s="457"/>
      <c r="U184" s="457"/>
      <c r="V184" s="457"/>
    </row>
    <row r="185" spans="2:22" s="467" customFormat="1" ht="21" x14ac:dyDescent="0.25">
      <c r="B185" s="510" t="s">
        <v>1155</v>
      </c>
      <c r="C185" s="506">
        <v>553010</v>
      </c>
      <c r="D185" s="502" t="s">
        <v>382</v>
      </c>
      <c r="E185" s="502"/>
      <c r="F185" s="502" t="s">
        <v>1053</v>
      </c>
      <c r="G185" s="499" t="s">
        <v>84</v>
      </c>
      <c r="J185" s="442"/>
      <c r="K185" s="442"/>
      <c r="L185" s="442"/>
      <c r="M185" s="442"/>
      <c r="N185" s="457"/>
      <c r="O185" s="457"/>
      <c r="P185" s="442"/>
      <c r="Q185" s="442"/>
      <c r="R185" s="442"/>
      <c r="S185" s="442"/>
      <c r="T185" s="457"/>
      <c r="U185" s="457"/>
      <c r="V185" s="457"/>
    </row>
    <row r="186" spans="2:22" s="467" customFormat="1" ht="21" x14ac:dyDescent="0.25">
      <c r="B186" s="512" t="s">
        <v>1156</v>
      </c>
      <c r="C186" s="506">
        <v>564110</v>
      </c>
      <c r="D186" s="502" t="s">
        <v>382</v>
      </c>
      <c r="E186" s="502" t="s">
        <v>905</v>
      </c>
      <c r="F186" s="502" t="s">
        <v>1053</v>
      </c>
      <c r="G186" s="499" t="s">
        <v>84</v>
      </c>
      <c r="J186" s="442"/>
      <c r="K186" s="442"/>
      <c r="L186" s="442"/>
      <c r="M186" s="442"/>
      <c r="N186" s="457"/>
      <c r="O186" s="457"/>
      <c r="P186" s="442"/>
      <c r="Q186" s="442"/>
      <c r="R186" s="442"/>
      <c r="S186" s="442"/>
      <c r="T186" s="457"/>
      <c r="U186" s="457"/>
      <c r="V186" s="457"/>
    </row>
    <row r="187" spans="2:22" s="467" customFormat="1" x14ac:dyDescent="0.25">
      <c r="B187" s="512" t="s">
        <v>1096</v>
      </c>
      <c r="C187" s="506">
        <v>563010</v>
      </c>
      <c r="D187" s="502" t="s">
        <v>382</v>
      </c>
      <c r="E187" s="502" t="s">
        <v>905</v>
      </c>
      <c r="F187" s="502" t="s">
        <v>1097</v>
      </c>
      <c r="G187" s="499" t="s">
        <v>84</v>
      </c>
      <c r="J187" s="442"/>
      <c r="K187" s="442"/>
      <c r="L187" s="442"/>
      <c r="M187" s="442"/>
      <c r="N187" s="457"/>
      <c r="O187" s="457"/>
      <c r="P187" s="442"/>
      <c r="Q187" s="442"/>
      <c r="R187" s="442"/>
      <c r="S187" s="442"/>
      <c r="T187" s="457"/>
      <c r="U187" s="457"/>
      <c r="V187" s="457"/>
    </row>
    <row r="188" spans="2:22" s="467" customFormat="1" ht="21" x14ac:dyDescent="0.25">
      <c r="B188" s="512" t="s">
        <v>1076</v>
      </c>
      <c r="C188" s="506">
        <v>569030</v>
      </c>
      <c r="D188" s="502" t="s">
        <v>382</v>
      </c>
      <c r="E188" s="502" t="s">
        <v>1075</v>
      </c>
      <c r="F188" s="502" t="s">
        <v>628</v>
      </c>
      <c r="G188" s="499" t="s">
        <v>1159</v>
      </c>
      <c r="J188" s="442"/>
      <c r="K188" s="442"/>
      <c r="L188" s="442"/>
      <c r="M188" s="442"/>
      <c r="N188" s="457"/>
      <c r="O188" s="457"/>
      <c r="P188" s="442"/>
      <c r="Q188" s="442"/>
      <c r="R188" s="442"/>
      <c r="S188" s="442"/>
      <c r="T188" s="457"/>
      <c r="U188" s="457"/>
      <c r="V188" s="457"/>
    </row>
    <row r="189" spans="2:22" s="467" customFormat="1" ht="21" x14ac:dyDescent="0.25">
      <c r="B189" s="510" t="s">
        <v>1154</v>
      </c>
      <c r="C189" s="506">
        <v>579040</v>
      </c>
      <c r="D189" s="502" t="s">
        <v>382</v>
      </c>
      <c r="E189" s="502" t="s">
        <v>1075</v>
      </c>
      <c r="F189" s="502" t="s">
        <v>628</v>
      </c>
      <c r="G189" s="499" t="s">
        <v>85</v>
      </c>
      <c r="J189" s="442"/>
      <c r="K189" s="442"/>
      <c r="L189" s="442"/>
      <c r="M189" s="442"/>
      <c r="N189" s="457"/>
      <c r="O189" s="457"/>
      <c r="P189" s="442"/>
      <c r="Q189" s="442"/>
      <c r="R189" s="442"/>
      <c r="S189" s="442"/>
      <c r="T189" s="457"/>
      <c r="U189" s="457"/>
      <c r="V189" s="457"/>
    </row>
    <row r="190" spans="2:22" s="467" customFormat="1" x14ac:dyDescent="0.25">
      <c r="B190" s="510" t="s">
        <v>1094</v>
      </c>
      <c r="C190" s="506">
        <v>573130</v>
      </c>
      <c r="D190" s="502" t="s">
        <v>382</v>
      </c>
      <c r="E190" s="502" t="s">
        <v>905</v>
      </c>
      <c r="F190" s="502" t="s">
        <v>628</v>
      </c>
      <c r="G190" s="499" t="s">
        <v>85</v>
      </c>
      <c r="J190" s="442"/>
      <c r="K190" s="442"/>
      <c r="L190" s="442"/>
      <c r="M190" s="442"/>
      <c r="N190" s="457"/>
      <c r="O190" s="457"/>
      <c r="P190" s="442"/>
      <c r="Q190" s="442"/>
      <c r="R190" s="442"/>
      <c r="S190" s="442"/>
      <c r="T190" s="457"/>
      <c r="U190" s="457"/>
      <c r="V190" s="457"/>
    </row>
    <row r="191" spans="2:22" s="467" customFormat="1" x14ac:dyDescent="0.25">
      <c r="B191" s="512" t="s">
        <v>1052</v>
      </c>
      <c r="C191" s="506">
        <v>568010</v>
      </c>
      <c r="D191" s="502" t="s">
        <v>382</v>
      </c>
      <c r="E191" s="502" t="s">
        <v>905</v>
      </c>
      <c r="F191" s="502" t="s">
        <v>1053</v>
      </c>
      <c r="G191" s="499" t="s">
        <v>86</v>
      </c>
      <c r="J191" s="442"/>
      <c r="K191" s="442"/>
      <c r="L191" s="442"/>
      <c r="M191" s="442"/>
      <c r="N191" s="457"/>
      <c r="O191" s="457"/>
      <c r="P191" s="442"/>
      <c r="Q191" s="442"/>
      <c r="R191" s="442"/>
      <c r="S191" s="442"/>
      <c r="T191" s="457"/>
      <c r="U191" s="457"/>
      <c r="V191" s="457"/>
    </row>
    <row r="192" spans="2:22" s="467" customFormat="1" x14ac:dyDescent="0.25">
      <c r="B192" s="512" t="s">
        <v>1096</v>
      </c>
      <c r="C192" s="506">
        <v>563010</v>
      </c>
      <c r="D192" s="502" t="s">
        <v>382</v>
      </c>
      <c r="E192" s="502" t="s">
        <v>905</v>
      </c>
      <c r="F192" s="502" t="s">
        <v>1097</v>
      </c>
      <c r="G192" s="499" t="s">
        <v>87</v>
      </c>
      <c r="J192" s="442"/>
      <c r="K192" s="442"/>
      <c r="L192" s="442"/>
      <c r="M192" s="442"/>
      <c r="N192" s="457"/>
      <c r="O192" s="457"/>
      <c r="P192" s="442"/>
      <c r="Q192" s="442"/>
      <c r="R192" s="442"/>
      <c r="S192" s="442"/>
      <c r="T192" s="457"/>
      <c r="U192" s="457"/>
      <c r="V192" s="457"/>
    </row>
    <row r="193" spans="2:22" s="467" customFormat="1" ht="21" x14ac:dyDescent="0.25">
      <c r="B193" s="512" t="s">
        <v>1076</v>
      </c>
      <c r="C193" s="506">
        <v>569030</v>
      </c>
      <c r="D193" s="502" t="s">
        <v>382</v>
      </c>
      <c r="E193" s="502" t="s">
        <v>1075</v>
      </c>
      <c r="F193" s="502" t="s">
        <v>628</v>
      </c>
      <c r="G193" s="499" t="s">
        <v>1160</v>
      </c>
      <c r="J193" s="442"/>
      <c r="K193" s="442"/>
      <c r="L193" s="442"/>
      <c r="M193" s="442"/>
      <c r="N193" s="457"/>
      <c r="O193" s="457"/>
      <c r="P193" s="442"/>
      <c r="Q193" s="442"/>
      <c r="R193" s="442"/>
      <c r="S193" s="442"/>
      <c r="T193" s="457"/>
      <c r="U193" s="457"/>
      <c r="V193" s="457"/>
    </row>
    <row r="194" spans="2:22" s="467" customFormat="1" x14ac:dyDescent="0.25">
      <c r="B194" s="510" t="s">
        <v>1063</v>
      </c>
      <c r="C194" s="506">
        <v>562130</v>
      </c>
      <c r="D194" s="502" t="s">
        <v>382</v>
      </c>
      <c r="E194" s="502" t="s">
        <v>905</v>
      </c>
      <c r="F194" s="502" t="s">
        <v>1056</v>
      </c>
      <c r="G194" s="499" t="s">
        <v>88</v>
      </c>
      <c r="J194" s="442"/>
      <c r="K194" s="442"/>
      <c r="L194" s="442"/>
      <c r="M194" s="442"/>
      <c r="N194" s="457"/>
      <c r="O194" s="457"/>
      <c r="P194" s="442"/>
      <c r="Q194" s="442"/>
      <c r="R194" s="442"/>
      <c r="S194" s="442"/>
      <c r="T194" s="457"/>
      <c r="U194" s="457"/>
      <c r="V194" s="457"/>
    </row>
    <row r="195" spans="2:22" s="467" customFormat="1" x14ac:dyDescent="0.25">
      <c r="B195" s="510" t="s">
        <v>1078</v>
      </c>
      <c r="C195" s="506">
        <v>574010</v>
      </c>
      <c r="D195" s="502" t="s">
        <v>382</v>
      </c>
      <c r="E195" s="502" t="s">
        <v>905</v>
      </c>
      <c r="F195" s="502" t="s">
        <v>1056</v>
      </c>
      <c r="G195" s="499" t="s">
        <v>1168</v>
      </c>
      <c r="J195" s="442"/>
      <c r="K195" s="442"/>
      <c r="L195" s="442"/>
      <c r="M195" s="442"/>
      <c r="N195" s="457"/>
      <c r="O195" s="457"/>
      <c r="P195" s="442"/>
      <c r="Q195" s="442"/>
      <c r="R195" s="442"/>
      <c r="S195" s="442"/>
      <c r="T195" s="457"/>
      <c r="U195" s="457"/>
      <c r="V195" s="457"/>
    </row>
    <row r="196" spans="2:22" s="467" customFormat="1" x14ac:dyDescent="0.25">
      <c r="B196" s="510" t="s">
        <v>1082</v>
      </c>
      <c r="C196" s="506">
        <v>573020</v>
      </c>
      <c r="D196" s="502" t="s">
        <v>382</v>
      </c>
      <c r="E196" s="502" t="s">
        <v>905</v>
      </c>
      <c r="F196" s="502" t="s">
        <v>1056</v>
      </c>
      <c r="G196" s="499" t="s">
        <v>1168</v>
      </c>
      <c r="J196" s="442"/>
      <c r="K196" s="442"/>
      <c r="L196" s="442"/>
      <c r="M196" s="442"/>
      <c r="N196" s="457"/>
      <c r="O196" s="457"/>
      <c r="P196" s="442"/>
      <c r="Q196" s="442"/>
      <c r="R196" s="442"/>
      <c r="S196" s="442"/>
      <c r="T196" s="457"/>
      <c r="U196" s="457"/>
      <c r="V196" s="457"/>
    </row>
    <row r="197" spans="2:22" s="467" customFormat="1" x14ac:dyDescent="0.25">
      <c r="B197" s="510" t="s">
        <v>1078</v>
      </c>
      <c r="C197" s="506">
        <v>574010</v>
      </c>
      <c r="D197" s="502" t="s">
        <v>382</v>
      </c>
      <c r="E197" s="502" t="s">
        <v>905</v>
      </c>
      <c r="F197" s="502" t="s">
        <v>1056</v>
      </c>
      <c r="G197" s="499" t="s">
        <v>1167</v>
      </c>
      <c r="J197" s="442"/>
      <c r="K197" s="442"/>
      <c r="L197" s="442"/>
      <c r="M197" s="442"/>
      <c r="N197" s="457"/>
      <c r="O197" s="457"/>
      <c r="P197" s="442"/>
      <c r="Q197" s="442"/>
      <c r="R197" s="442"/>
      <c r="S197" s="442"/>
      <c r="T197" s="457"/>
      <c r="U197" s="457"/>
      <c r="V197" s="457"/>
    </row>
    <row r="198" spans="2:22" s="467" customFormat="1" x14ac:dyDescent="0.25">
      <c r="B198" s="510" t="s">
        <v>1082</v>
      </c>
      <c r="C198" s="506">
        <v>573020</v>
      </c>
      <c r="D198" s="502" t="s">
        <v>382</v>
      </c>
      <c r="E198" s="502" t="s">
        <v>905</v>
      </c>
      <c r="F198" s="502" t="s">
        <v>1056</v>
      </c>
      <c r="G198" s="499" t="s">
        <v>1167</v>
      </c>
      <c r="J198" s="442"/>
      <c r="K198" s="442"/>
      <c r="L198" s="442"/>
      <c r="M198" s="442"/>
      <c r="N198" s="457"/>
      <c r="O198" s="457"/>
      <c r="P198" s="442"/>
      <c r="Q198" s="442"/>
      <c r="R198" s="442"/>
      <c r="S198" s="442"/>
      <c r="T198" s="457"/>
      <c r="U198" s="457"/>
      <c r="V198" s="457"/>
    </row>
    <row r="199" spans="2:22" s="467" customFormat="1" x14ac:dyDescent="0.25">
      <c r="B199" s="510" t="s">
        <v>1055</v>
      </c>
      <c r="C199" s="506">
        <v>572210</v>
      </c>
      <c r="D199" s="502" t="s">
        <v>382</v>
      </c>
      <c r="E199" s="502" t="s">
        <v>905</v>
      </c>
      <c r="F199" s="502" t="s">
        <v>1056</v>
      </c>
      <c r="G199" s="499" t="s">
        <v>1167</v>
      </c>
      <c r="J199" s="442"/>
      <c r="K199" s="442"/>
      <c r="L199" s="442"/>
      <c r="M199" s="442"/>
      <c r="N199" s="457"/>
      <c r="O199" s="457"/>
      <c r="P199" s="442"/>
      <c r="Q199" s="442"/>
      <c r="R199" s="442"/>
      <c r="S199" s="442"/>
      <c r="T199" s="457"/>
      <c r="U199" s="457"/>
      <c r="V199" s="457"/>
    </row>
    <row r="200" spans="2:22" s="467" customFormat="1" x14ac:dyDescent="0.25">
      <c r="B200" s="510" t="s">
        <v>1078</v>
      </c>
      <c r="C200" s="506">
        <v>574010</v>
      </c>
      <c r="D200" s="502" t="s">
        <v>382</v>
      </c>
      <c r="E200" s="502" t="s">
        <v>905</v>
      </c>
      <c r="F200" s="502" t="s">
        <v>1056</v>
      </c>
      <c r="G200" s="499" t="s">
        <v>91</v>
      </c>
      <c r="J200" s="442"/>
      <c r="K200" s="442"/>
      <c r="L200" s="442"/>
      <c r="M200" s="442"/>
      <c r="N200" s="457"/>
      <c r="O200" s="457"/>
      <c r="P200" s="442"/>
      <c r="Q200" s="442"/>
      <c r="R200" s="442"/>
      <c r="S200" s="442"/>
      <c r="T200" s="457"/>
      <c r="U200" s="457"/>
      <c r="V200" s="457"/>
    </row>
    <row r="201" spans="2:22" s="467" customFormat="1" x14ac:dyDescent="0.25">
      <c r="B201" s="510" t="s">
        <v>1082</v>
      </c>
      <c r="C201" s="506">
        <v>573020</v>
      </c>
      <c r="D201" s="502" t="s">
        <v>382</v>
      </c>
      <c r="E201" s="502" t="s">
        <v>905</v>
      </c>
      <c r="F201" s="502" t="s">
        <v>1056</v>
      </c>
      <c r="G201" s="499" t="s">
        <v>91</v>
      </c>
      <c r="J201" s="442"/>
      <c r="K201" s="442"/>
      <c r="L201" s="442"/>
      <c r="M201" s="442"/>
      <c r="N201" s="457"/>
      <c r="O201" s="457"/>
      <c r="P201" s="442"/>
      <c r="Q201" s="442"/>
      <c r="R201" s="442"/>
      <c r="S201" s="442"/>
      <c r="T201" s="457"/>
      <c r="U201" s="457"/>
      <c r="V201" s="457"/>
    </row>
    <row r="202" spans="2:22" s="467" customFormat="1" x14ac:dyDescent="0.25">
      <c r="B202" s="510" t="s">
        <v>1055</v>
      </c>
      <c r="C202" s="506">
        <v>572210</v>
      </c>
      <c r="D202" s="502" t="s">
        <v>382</v>
      </c>
      <c r="E202" s="502" t="s">
        <v>905</v>
      </c>
      <c r="F202" s="502" t="s">
        <v>1056</v>
      </c>
      <c r="G202" s="499" t="s">
        <v>91</v>
      </c>
      <c r="J202" s="442"/>
      <c r="K202" s="442"/>
      <c r="L202" s="442"/>
      <c r="M202" s="442"/>
      <c r="N202" s="457"/>
      <c r="O202" s="457"/>
      <c r="P202" s="442"/>
      <c r="Q202" s="442"/>
      <c r="R202" s="442"/>
      <c r="S202" s="442"/>
      <c r="T202" s="457"/>
      <c r="U202" s="457"/>
      <c r="V202" s="457"/>
    </row>
    <row r="203" spans="2:22" s="467" customFormat="1" x14ac:dyDescent="0.25">
      <c r="B203" s="510" t="s">
        <v>1078</v>
      </c>
      <c r="C203" s="506">
        <v>574010</v>
      </c>
      <c r="D203" s="502" t="s">
        <v>382</v>
      </c>
      <c r="E203" s="502" t="s">
        <v>905</v>
      </c>
      <c r="F203" s="502" t="s">
        <v>1056</v>
      </c>
      <c r="G203" s="499" t="s">
        <v>92</v>
      </c>
      <c r="J203" s="442"/>
      <c r="K203" s="442"/>
      <c r="L203" s="442"/>
      <c r="M203" s="442"/>
      <c r="N203" s="457"/>
      <c r="O203" s="457"/>
      <c r="P203" s="442"/>
      <c r="Q203" s="442"/>
      <c r="R203" s="442"/>
      <c r="S203" s="442"/>
      <c r="T203" s="457"/>
      <c r="U203" s="457"/>
      <c r="V203" s="457"/>
    </row>
    <row r="204" spans="2:22" s="467" customFormat="1" x14ac:dyDescent="0.25">
      <c r="B204" s="510" t="s">
        <v>1082</v>
      </c>
      <c r="C204" s="506">
        <v>573020</v>
      </c>
      <c r="D204" s="502" t="s">
        <v>382</v>
      </c>
      <c r="E204" s="502" t="s">
        <v>905</v>
      </c>
      <c r="F204" s="502" t="s">
        <v>1056</v>
      </c>
      <c r="G204" s="499" t="s">
        <v>92</v>
      </c>
      <c r="J204" s="442"/>
      <c r="K204" s="442"/>
      <c r="L204" s="442"/>
      <c r="M204" s="442"/>
      <c r="N204" s="457"/>
      <c r="O204" s="457"/>
      <c r="P204" s="442"/>
      <c r="Q204" s="442"/>
      <c r="R204" s="442"/>
      <c r="S204" s="442"/>
      <c r="T204" s="457"/>
      <c r="U204" s="457"/>
      <c r="V204" s="457"/>
    </row>
    <row r="205" spans="2:22" s="467" customFormat="1" x14ac:dyDescent="0.25">
      <c r="B205" s="510" t="s">
        <v>1055</v>
      </c>
      <c r="C205" s="506">
        <v>572210</v>
      </c>
      <c r="D205" s="502" t="s">
        <v>382</v>
      </c>
      <c r="E205" s="502" t="s">
        <v>905</v>
      </c>
      <c r="F205" s="502" t="s">
        <v>1056</v>
      </c>
      <c r="G205" s="499" t="s">
        <v>92</v>
      </c>
      <c r="J205" s="442"/>
      <c r="K205" s="442"/>
      <c r="L205" s="442"/>
      <c r="M205" s="442"/>
      <c r="N205" s="457"/>
      <c r="O205" s="457"/>
      <c r="P205" s="442"/>
      <c r="Q205" s="442"/>
      <c r="R205" s="442"/>
      <c r="S205" s="442"/>
      <c r="T205" s="457"/>
      <c r="U205" s="457"/>
      <c r="V205" s="457"/>
    </row>
    <row r="206" spans="2:22" s="467" customFormat="1" x14ac:dyDescent="0.25">
      <c r="B206" s="510" t="s">
        <v>1078</v>
      </c>
      <c r="C206" s="506">
        <v>574010</v>
      </c>
      <c r="D206" s="502" t="s">
        <v>382</v>
      </c>
      <c r="E206" s="502" t="s">
        <v>905</v>
      </c>
      <c r="F206" s="502" t="s">
        <v>1056</v>
      </c>
      <c r="G206" s="499" t="s">
        <v>93</v>
      </c>
      <c r="J206" s="442"/>
      <c r="K206" s="442"/>
      <c r="L206" s="442"/>
      <c r="M206" s="442"/>
      <c r="N206" s="457"/>
      <c r="O206" s="457"/>
      <c r="P206" s="442"/>
      <c r="Q206" s="442"/>
      <c r="R206" s="442"/>
      <c r="S206" s="442"/>
      <c r="T206" s="457"/>
      <c r="U206" s="457"/>
      <c r="V206" s="457"/>
    </row>
    <row r="207" spans="2:22" s="467" customFormat="1" x14ac:dyDescent="0.25">
      <c r="B207" s="510" t="s">
        <v>1082</v>
      </c>
      <c r="C207" s="506">
        <v>573020</v>
      </c>
      <c r="D207" s="502" t="s">
        <v>382</v>
      </c>
      <c r="E207" s="502" t="s">
        <v>905</v>
      </c>
      <c r="F207" s="502" t="s">
        <v>1056</v>
      </c>
      <c r="G207" s="499" t="s">
        <v>93</v>
      </c>
      <c r="J207" s="442"/>
      <c r="K207" s="442"/>
      <c r="L207" s="442"/>
      <c r="M207" s="442"/>
      <c r="N207" s="457"/>
      <c r="O207" s="457"/>
      <c r="P207" s="442"/>
      <c r="Q207" s="442"/>
      <c r="R207" s="442"/>
      <c r="S207" s="442"/>
      <c r="T207" s="457"/>
      <c r="U207" s="457"/>
      <c r="V207" s="457"/>
    </row>
    <row r="208" spans="2:22" s="467" customFormat="1" x14ac:dyDescent="0.25">
      <c r="B208" s="510" t="s">
        <v>1055</v>
      </c>
      <c r="C208" s="506">
        <v>572210</v>
      </c>
      <c r="D208" s="502" t="s">
        <v>382</v>
      </c>
      <c r="E208" s="502" t="s">
        <v>905</v>
      </c>
      <c r="F208" s="502" t="s">
        <v>1056</v>
      </c>
      <c r="G208" s="499" t="s">
        <v>93</v>
      </c>
      <c r="J208" s="442"/>
      <c r="K208" s="442"/>
      <c r="L208" s="442"/>
      <c r="M208" s="442"/>
      <c r="N208" s="457"/>
      <c r="O208" s="457"/>
      <c r="P208" s="442"/>
      <c r="Q208" s="442"/>
      <c r="R208" s="442"/>
      <c r="S208" s="442"/>
      <c r="T208" s="457"/>
      <c r="U208" s="457"/>
      <c r="V208" s="457"/>
    </row>
    <row r="209" spans="2:22" s="467" customFormat="1" x14ac:dyDescent="0.25">
      <c r="B209" s="510" t="s">
        <v>1078</v>
      </c>
      <c r="C209" s="506">
        <v>574010</v>
      </c>
      <c r="D209" s="502" t="s">
        <v>382</v>
      </c>
      <c r="E209" s="502" t="s">
        <v>905</v>
      </c>
      <c r="F209" s="502" t="s">
        <v>1056</v>
      </c>
      <c r="G209" s="499" t="s">
        <v>94</v>
      </c>
      <c r="J209" s="442"/>
      <c r="K209" s="442"/>
      <c r="L209" s="442"/>
      <c r="M209" s="442"/>
      <c r="N209" s="457"/>
      <c r="O209" s="457"/>
      <c r="P209" s="442"/>
      <c r="Q209" s="442"/>
      <c r="R209" s="442"/>
      <c r="S209" s="442"/>
      <c r="T209" s="457"/>
      <c r="U209" s="457"/>
      <c r="V209" s="457"/>
    </row>
    <row r="210" spans="2:22" s="467" customFormat="1" x14ac:dyDescent="0.25">
      <c r="B210" s="510" t="s">
        <v>1082</v>
      </c>
      <c r="C210" s="506">
        <v>573020</v>
      </c>
      <c r="D210" s="502" t="s">
        <v>382</v>
      </c>
      <c r="E210" s="502" t="s">
        <v>905</v>
      </c>
      <c r="F210" s="502" t="s">
        <v>1056</v>
      </c>
      <c r="G210" s="499" t="s">
        <v>94</v>
      </c>
      <c r="J210" s="442"/>
      <c r="K210" s="442"/>
      <c r="L210" s="442"/>
      <c r="M210" s="442"/>
      <c r="N210" s="457"/>
      <c r="O210" s="457"/>
      <c r="P210" s="442"/>
      <c r="Q210" s="442"/>
      <c r="R210" s="442"/>
      <c r="S210" s="442"/>
      <c r="T210" s="457"/>
      <c r="U210" s="457"/>
      <c r="V210" s="457"/>
    </row>
    <row r="211" spans="2:22" s="467" customFormat="1" x14ac:dyDescent="0.25">
      <c r="B211" s="510" t="s">
        <v>1055</v>
      </c>
      <c r="C211" s="506">
        <v>572210</v>
      </c>
      <c r="D211" s="502" t="s">
        <v>382</v>
      </c>
      <c r="E211" s="502" t="s">
        <v>905</v>
      </c>
      <c r="F211" s="502" t="s">
        <v>1056</v>
      </c>
      <c r="G211" s="499" t="s">
        <v>94</v>
      </c>
      <c r="J211" s="442"/>
      <c r="K211" s="442"/>
      <c r="L211" s="442"/>
      <c r="M211" s="442"/>
      <c r="N211" s="457"/>
      <c r="O211" s="457"/>
      <c r="P211" s="442"/>
      <c r="Q211" s="442"/>
      <c r="R211" s="442"/>
      <c r="S211" s="442"/>
      <c r="T211" s="457"/>
      <c r="U211" s="457"/>
      <c r="V211" s="457"/>
    </row>
    <row r="212" spans="2:22" s="467" customFormat="1" x14ac:dyDescent="0.25">
      <c r="B212" s="510" t="s">
        <v>1078</v>
      </c>
      <c r="C212" s="506">
        <v>574010</v>
      </c>
      <c r="D212" s="502" t="s">
        <v>382</v>
      </c>
      <c r="E212" s="502" t="s">
        <v>905</v>
      </c>
      <c r="F212" s="502" t="s">
        <v>1056</v>
      </c>
      <c r="G212" s="499" t="s">
        <v>95</v>
      </c>
      <c r="J212" s="442"/>
      <c r="K212" s="442"/>
      <c r="L212" s="442"/>
      <c r="M212" s="442"/>
      <c r="N212" s="457"/>
      <c r="O212" s="457"/>
      <c r="P212" s="442"/>
      <c r="Q212" s="442"/>
      <c r="R212" s="442"/>
      <c r="S212" s="442"/>
      <c r="T212" s="457"/>
      <c r="U212" s="457"/>
      <c r="V212" s="457"/>
    </row>
    <row r="213" spans="2:22" s="467" customFormat="1" x14ac:dyDescent="0.25">
      <c r="B213" s="510" t="s">
        <v>1082</v>
      </c>
      <c r="C213" s="506">
        <v>573020</v>
      </c>
      <c r="D213" s="502" t="s">
        <v>382</v>
      </c>
      <c r="E213" s="502" t="s">
        <v>905</v>
      </c>
      <c r="F213" s="502" t="s">
        <v>1056</v>
      </c>
      <c r="G213" s="499" t="s">
        <v>95</v>
      </c>
      <c r="J213" s="442"/>
      <c r="K213" s="442"/>
      <c r="L213" s="442"/>
      <c r="M213" s="442"/>
      <c r="N213" s="457"/>
      <c r="O213" s="457"/>
      <c r="P213" s="442"/>
      <c r="Q213" s="442"/>
      <c r="R213" s="442"/>
      <c r="S213" s="442"/>
      <c r="T213" s="457"/>
      <c r="U213" s="457"/>
      <c r="V213" s="457"/>
    </row>
    <row r="214" spans="2:22" s="467" customFormat="1" x14ac:dyDescent="0.25">
      <c r="B214" s="510" t="s">
        <v>1055</v>
      </c>
      <c r="C214" s="506">
        <v>572210</v>
      </c>
      <c r="D214" s="502" t="s">
        <v>382</v>
      </c>
      <c r="E214" s="502" t="s">
        <v>905</v>
      </c>
      <c r="F214" s="502" t="s">
        <v>1056</v>
      </c>
      <c r="G214" s="499" t="s">
        <v>95</v>
      </c>
      <c r="J214" s="442"/>
      <c r="K214" s="442"/>
      <c r="L214" s="442"/>
      <c r="M214" s="442"/>
      <c r="N214" s="457"/>
      <c r="O214" s="457"/>
      <c r="P214" s="442"/>
      <c r="Q214" s="442"/>
      <c r="R214" s="442"/>
      <c r="S214" s="442"/>
      <c r="T214" s="457"/>
      <c r="U214" s="457"/>
      <c r="V214" s="457"/>
    </row>
    <row r="215" spans="2:22" s="467" customFormat="1" ht="21" x14ac:dyDescent="0.25">
      <c r="B215" s="510" t="s">
        <v>1153</v>
      </c>
      <c r="C215" s="506">
        <v>531010</v>
      </c>
      <c r="D215" s="502" t="s">
        <v>382</v>
      </c>
      <c r="E215" s="502" t="s">
        <v>905</v>
      </c>
      <c r="F215" s="502" t="s">
        <v>1075</v>
      </c>
      <c r="G215" s="499" t="s">
        <v>96</v>
      </c>
      <c r="J215" s="442"/>
      <c r="K215" s="442"/>
      <c r="L215" s="442"/>
      <c r="M215" s="442"/>
      <c r="N215" s="457"/>
      <c r="O215" s="457"/>
      <c r="P215" s="442"/>
      <c r="Q215" s="442"/>
      <c r="R215" s="442"/>
      <c r="S215" s="442"/>
      <c r="T215" s="457"/>
      <c r="U215" s="457"/>
      <c r="V215" s="457"/>
    </row>
    <row r="216" spans="2:22" s="467" customFormat="1" x14ac:dyDescent="0.25">
      <c r="B216" s="510" t="s">
        <v>1065</v>
      </c>
      <c r="C216" s="506">
        <v>741020</v>
      </c>
      <c r="D216" s="502" t="s">
        <v>382</v>
      </c>
      <c r="E216" s="502" t="s">
        <v>905</v>
      </c>
      <c r="F216" s="502" t="s">
        <v>905</v>
      </c>
      <c r="G216" s="499" t="s">
        <v>97</v>
      </c>
      <c r="J216" s="442"/>
      <c r="K216" s="442"/>
      <c r="L216" s="442"/>
      <c r="M216" s="442"/>
      <c r="N216" s="457"/>
      <c r="O216" s="457"/>
      <c r="P216" s="442"/>
      <c r="Q216" s="442"/>
      <c r="R216" s="442"/>
      <c r="S216" s="442"/>
      <c r="T216" s="457"/>
      <c r="U216" s="457"/>
      <c r="V216" s="457"/>
    </row>
    <row r="217" spans="2:22" s="467" customFormat="1" x14ac:dyDescent="0.25">
      <c r="B217" s="510" t="s">
        <v>1089</v>
      </c>
      <c r="C217" s="512">
        <v>534010</v>
      </c>
      <c r="D217" s="502" t="s">
        <v>382</v>
      </c>
      <c r="E217" s="502" t="s">
        <v>905</v>
      </c>
      <c r="F217" s="502" t="s">
        <v>1053</v>
      </c>
      <c r="G217" s="499" t="s">
        <v>98</v>
      </c>
      <c r="J217" s="442"/>
      <c r="K217" s="442"/>
      <c r="L217" s="442"/>
      <c r="M217" s="442"/>
      <c r="N217" s="457"/>
      <c r="O217" s="457"/>
      <c r="P217" s="442"/>
      <c r="Q217" s="442"/>
      <c r="R217" s="442"/>
      <c r="S217" s="442"/>
      <c r="T217" s="457"/>
      <c r="U217" s="457"/>
      <c r="V217" s="457"/>
    </row>
    <row r="218" spans="2:22" s="467" customFormat="1" x14ac:dyDescent="0.25">
      <c r="B218" s="512" t="s">
        <v>1099</v>
      </c>
      <c r="C218" s="512">
        <v>532110</v>
      </c>
      <c r="D218" s="502" t="s">
        <v>382</v>
      </c>
      <c r="E218" s="502" t="s">
        <v>905</v>
      </c>
      <c r="F218" s="502" t="s">
        <v>1062</v>
      </c>
      <c r="G218" s="499" t="s">
        <v>98</v>
      </c>
      <c r="J218" s="442"/>
      <c r="K218" s="442"/>
      <c r="L218" s="442"/>
      <c r="M218" s="442"/>
      <c r="N218" s="457"/>
      <c r="O218" s="457"/>
      <c r="P218" s="442"/>
      <c r="Q218" s="442"/>
      <c r="R218" s="442"/>
      <c r="S218" s="442"/>
      <c r="T218" s="457"/>
      <c r="U218" s="457"/>
      <c r="V218" s="457"/>
    </row>
    <row r="219" spans="2:22" s="467" customFormat="1" x14ac:dyDescent="0.25">
      <c r="B219" s="512" t="s">
        <v>1100</v>
      </c>
      <c r="C219" s="512">
        <v>532310</v>
      </c>
      <c r="D219" s="502" t="s">
        <v>382</v>
      </c>
      <c r="E219" s="502" t="s">
        <v>905</v>
      </c>
      <c r="F219" s="502" t="s">
        <v>1053</v>
      </c>
      <c r="G219" s="499" t="s">
        <v>98</v>
      </c>
      <c r="J219" s="442"/>
      <c r="K219" s="442"/>
      <c r="L219" s="442"/>
      <c r="M219" s="442"/>
      <c r="N219" s="457"/>
      <c r="O219" s="457"/>
      <c r="P219" s="442"/>
      <c r="Q219" s="442"/>
      <c r="R219" s="442"/>
      <c r="S219" s="442"/>
      <c r="T219" s="457"/>
      <c r="U219" s="457"/>
      <c r="V219" s="457"/>
    </row>
    <row r="220" spans="2:22" s="467" customFormat="1" x14ac:dyDescent="0.25">
      <c r="B220" s="517" t="s">
        <v>1101</v>
      </c>
      <c r="C220" s="513">
        <v>562110</v>
      </c>
      <c r="D220" s="518" t="s">
        <v>382</v>
      </c>
      <c r="E220" s="518" t="s">
        <v>905</v>
      </c>
      <c r="F220" s="518" t="s">
        <v>1053</v>
      </c>
      <c r="G220" s="519" t="s">
        <v>98</v>
      </c>
      <c r="J220" s="442"/>
      <c r="K220" s="442"/>
      <c r="L220" s="442"/>
      <c r="M220" s="442"/>
      <c r="N220" s="457"/>
      <c r="O220" s="457"/>
      <c r="P220" s="442"/>
      <c r="Q220" s="442"/>
      <c r="R220" s="442"/>
      <c r="S220" s="442"/>
      <c r="T220" s="457"/>
      <c r="U220" s="457"/>
      <c r="V220" s="457"/>
    </row>
    <row r="221" spans="2:22" s="467" customFormat="1" x14ac:dyDescent="0.25">
      <c r="B221" s="517" t="s">
        <v>1103</v>
      </c>
      <c r="C221" s="513">
        <v>562120</v>
      </c>
      <c r="D221" s="518" t="s">
        <v>382</v>
      </c>
      <c r="E221" s="518" t="s">
        <v>905</v>
      </c>
      <c r="F221" s="518" t="s">
        <v>1053</v>
      </c>
      <c r="G221" s="519" t="s">
        <v>98</v>
      </c>
      <c r="J221" s="442"/>
      <c r="K221" s="442"/>
      <c r="L221" s="442"/>
      <c r="M221" s="442"/>
      <c r="N221" s="457"/>
      <c r="O221" s="457"/>
      <c r="P221" s="442"/>
      <c r="Q221" s="442"/>
      <c r="R221" s="442"/>
      <c r="S221" s="442"/>
      <c r="T221" s="457"/>
      <c r="U221" s="457"/>
      <c r="V221" s="457"/>
    </row>
    <row r="222" spans="2:22" x14ac:dyDescent="0.25">
      <c r="B222" s="517" t="s">
        <v>1107</v>
      </c>
      <c r="C222" s="513">
        <v>532010</v>
      </c>
      <c r="D222" s="518" t="s">
        <v>382</v>
      </c>
      <c r="E222" s="518" t="s">
        <v>905</v>
      </c>
      <c r="F222" s="518" t="s">
        <v>1053</v>
      </c>
      <c r="G222" s="519" t="s">
        <v>98</v>
      </c>
    </row>
    <row r="223" spans="2:22" ht="21" x14ac:dyDescent="0.25">
      <c r="B223" s="513" t="s">
        <v>1108</v>
      </c>
      <c r="C223" s="513">
        <v>562310</v>
      </c>
      <c r="D223" s="518" t="s">
        <v>382</v>
      </c>
      <c r="E223" s="518" t="s">
        <v>905</v>
      </c>
      <c r="F223" s="518" t="s">
        <v>1053</v>
      </c>
      <c r="G223" s="519" t="s">
        <v>98</v>
      </c>
    </row>
    <row r="224" spans="2:22" x14ac:dyDescent="0.25">
      <c r="B224" s="489" t="s">
        <v>358</v>
      </c>
      <c r="C224" s="485"/>
      <c r="D224" s="481"/>
      <c r="E224" s="481"/>
      <c r="F224" s="481"/>
      <c r="G224" s="478" t="s">
        <v>776</v>
      </c>
    </row>
  </sheetData>
  <pageMargins left="0.7" right="0.7" top="0.75" bottom="0.75" header="0.3" footer="0.3"/>
  <tableParts count="3">
    <tablePart r:id="rId1"/>
    <tablePart r:id="rId2"/>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4A206-A00E-44D1-8C84-43879D274AE7}">
  <sheetPr codeName="Blad2"/>
  <dimension ref="A2:J552"/>
  <sheetViews>
    <sheetView workbookViewId="0">
      <pane ySplit="2" topLeftCell="A6" activePane="bottomLeft" state="frozen"/>
      <selection pane="bottomLeft" activeCell="C10" sqref="C10"/>
    </sheetView>
  </sheetViews>
  <sheetFormatPr defaultRowHeight="15" x14ac:dyDescent="0.25"/>
  <cols>
    <col min="1" max="1" width="9.42578125" bestFit="1" customWidth="1"/>
    <col min="2" max="2" width="19.140625" customWidth="1"/>
    <col min="3" max="3" width="91.5703125" customWidth="1"/>
    <col min="7" max="7" width="16.5703125" bestFit="1" customWidth="1"/>
    <col min="8" max="8" width="42.5703125" bestFit="1" customWidth="1"/>
    <col min="9" max="9" width="10.5703125" bestFit="1" customWidth="1"/>
    <col min="10" max="10" width="14" bestFit="1" customWidth="1"/>
  </cols>
  <sheetData>
    <row r="2" spans="2:3" x14ac:dyDescent="0.25">
      <c r="B2" t="s">
        <v>398</v>
      </c>
      <c r="C2" t="s">
        <v>385</v>
      </c>
    </row>
    <row r="3" spans="2:3" x14ac:dyDescent="0.25">
      <c r="C3" t="s">
        <v>1179</v>
      </c>
    </row>
    <row r="4" spans="2:3" x14ac:dyDescent="0.25">
      <c r="C4" t="s">
        <v>1180</v>
      </c>
    </row>
    <row r="5" spans="2:3" x14ac:dyDescent="0.25">
      <c r="C5" t="s">
        <v>1181</v>
      </c>
    </row>
    <row r="6" spans="2:3" x14ac:dyDescent="0.25">
      <c r="C6" t="s">
        <v>1182</v>
      </c>
    </row>
    <row r="7" spans="2:3" x14ac:dyDescent="0.25">
      <c r="C7" t="s">
        <v>1183</v>
      </c>
    </row>
    <row r="8" spans="2:3" x14ac:dyDescent="0.25">
      <c r="C8" t="s">
        <v>1184</v>
      </c>
    </row>
    <row r="9" spans="2:3" x14ac:dyDescent="0.25">
      <c r="C9" t="s">
        <v>1185</v>
      </c>
    </row>
    <row r="11" spans="2:3" x14ac:dyDescent="0.25">
      <c r="B11" t="s">
        <v>7</v>
      </c>
      <c r="C11" t="s">
        <v>386</v>
      </c>
    </row>
    <row r="12" spans="2:3" x14ac:dyDescent="0.25">
      <c r="C12" t="s">
        <v>388</v>
      </c>
    </row>
    <row r="13" spans="2:3" x14ac:dyDescent="0.25">
      <c r="C13" t="s">
        <v>406</v>
      </c>
    </row>
    <row r="14" spans="2:3" x14ac:dyDescent="0.25">
      <c r="C14" t="s">
        <v>391</v>
      </c>
    </row>
    <row r="16" spans="2:3" x14ac:dyDescent="0.25">
      <c r="B16" t="s">
        <v>8</v>
      </c>
      <c r="C16" t="s">
        <v>386</v>
      </c>
    </row>
    <row r="17" spans="2:3" x14ac:dyDescent="0.25">
      <c r="C17" t="s">
        <v>388</v>
      </c>
    </row>
    <row r="18" spans="2:3" x14ac:dyDescent="0.25">
      <c r="C18" t="s">
        <v>405</v>
      </c>
    </row>
    <row r="19" spans="2:3" ht="16.5" x14ac:dyDescent="0.25">
      <c r="C19" t="s">
        <v>399</v>
      </c>
    </row>
    <row r="20" spans="2:3" x14ac:dyDescent="0.25">
      <c r="C20" t="s">
        <v>401</v>
      </c>
    </row>
    <row r="21" spans="2:3" x14ac:dyDescent="0.25">
      <c r="C21" t="s">
        <v>391</v>
      </c>
    </row>
    <row r="23" spans="2:3" x14ac:dyDescent="0.25">
      <c r="B23" t="s">
        <v>9</v>
      </c>
      <c r="C23" t="s">
        <v>386</v>
      </c>
    </row>
    <row r="24" spans="2:3" x14ac:dyDescent="0.25">
      <c r="C24" t="s">
        <v>388</v>
      </c>
    </row>
    <row r="25" spans="2:3" x14ac:dyDescent="0.25">
      <c r="C25" t="s">
        <v>403</v>
      </c>
    </row>
    <row r="26" spans="2:3" x14ac:dyDescent="0.25">
      <c r="C26" t="s">
        <v>404</v>
      </c>
    </row>
    <row r="27" spans="2:3" x14ac:dyDescent="0.25">
      <c r="C27" t="s">
        <v>400</v>
      </c>
    </row>
    <row r="28" spans="2:3" x14ac:dyDescent="0.25">
      <c r="C28" t="s">
        <v>402</v>
      </c>
    </row>
    <row r="29" spans="2:3" x14ac:dyDescent="0.25">
      <c r="C29" t="s">
        <v>391</v>
      </c>
    </row>
    <row r="31" spans="2:3" x14ac:dyDescent="0.25">
      <c r="B31" t="s">
        <v>14</v>
      </c>
      <c r="C31" t="s">
        <v>386</v>
      </c>
    </row>
    <row r="32" spans="2:3" x14ac:dyDescent="0.25">
      <c r="C32" t="s">
        <v>388</v>
      </c>
    </row>
    <row r="33" spans="1:3" x14ac:dyDescent="0.25">
      <c r="C33" t="s">
        <v>407</v>
      </c>
    </row>
    <row r="34" spans="1:3" x14ac:dyDescent="0.25">
      <c r="C34" t="s">
        <v>408</v>
      </c>
    </row>
    <row r="35" spans="1:3" x14ac:dyDescent="0.25">
      <c r="C35" t="s">
        <v>410</v>
      </c>
    </row>
    <row r="36" spans="1:3" x14ac:dyDescent="0.25">
      <c r="C36" t="s">
        <v>411</v>
      </c>
    </row>
    <row r="37" spans="1:3" x14ac:dyDescent="0.25">
      <c r="C37" t="s">
        <v>412</v>
      </c>
    </row>
    <row r="38" spans="1:3" x14ac:dyDescent="0.25">
      <c r="C38" t="s">
        <v>413</v>
      </c>
    </row>
    <row r="39" spans="1:3" x14ac:dyDescent="0.25">
      <c r="C39" t="s">
        <v>409</v>
      </c>
    </row>
    <row r="40" spans="1:3" x14ac:dyDescent="0.25">
      <c r="C40" t="s">
        <v>391</v>
      </c>
    </row>
    <row r="42" spans="1:3" x14ac:dyDescent="0.25">
      <c r="B42" t="s">
        <v>15</v>
      </c>
      <c r="C42" t="s">
        <v>386</v>
      </c>
    </row>
    <row r="43" spans="1:3" x14ac:dyDescent="0.25">
      <c r="C43" t="s">
        <v>388</v>
      </c>
    </row>
    <row r="44" spans="1:3" x14ac:dyDescent="0.25">
      <c r="C44" t="s">
        <v>409</v>
      </c>
    </row>
    <row r="45" spans="1:3" x14ac:dyDescent="0.25">
      <c r="A45" t="s">
        <v>654</v>
      </c>
      <c r="C45" t="s">
        <v>655</v>
      </c>
    </row>
    <row r="46" spans="1:3" x14ac:dyDescent="0.25">
      <c r="C46" t="s">
        <v>391</v>
      </c>
    </row>
    <row r="48" spans="1:3" x14ac:dyDescent="0.25">
      <c r="B48" t="s">
        <v>16</v>
      </c>
      <c r="C48" t="s">
        <v>386</v>
      </c>
    </row>
    <row r="49" spans="1:3" x14ac:dyDescent="0.25">
      <c r="C49" t="s">
        <v>388</v>
      </c>
    </row>
    <row r="50" spans="1:3" x14ac:dyDescent="0.25">
      <c r="C50" t="s">
        <v>414</v>
      </c>
    </row>
    <row r="51" spans="1:3" x14ac:dyDescent="0.25">
      <c r="C51" t="s">
        <v>415</v>
      </c>
    </row>
    <row r="52" spans="1:3" x14ac:dyDescent="0.25">
      <c r="C52" t="s">
        <v>416</v>
      </c>
    </row>
    <row r="53" spans="1:3" x14ac:dyDescent="0.25">
      <c r="C53" t="s">
        <v>417</v>
      </c>
    </row>
    <row r="54" spans="1:3" x14ac:dyDescent="0.25">
      <c r="A54" t="s">
        <v>654</v>
      </c>
      <c r="C54" t="s">
        <v>655</v>
      </c>
    </row>
    <row r="55" spans="1:3" x14ac:dyDescent="0.25">
      <c r="C55" t="s">
        <v>391</v>
      </c>
    </row>
    <row r="57" spans="1:3" x14ac:dyDescent="0.25">
      <c r="B57" t="s">
        <v>17</v>
      </c>
      <c r="C57" t="s">
        <v>418</v>
      </c>
    </row>
    <row r="58" spans="1:3" x14ac:dyDescent="0.25">
      <c r="C58" t="s">
        <v>388</v>
      </c>
    </row>
    <row r="59" spans="1:3" x14ac:dyDescent="0.25">
      <c r="C59" t="s">
        <v>419</v>
      </c>
    </row>
    <row r="60" spans="1:3" x14ac:dyDescent="0.25">
      <c r="C60" t="s">
        <v>420</v>
      </c>
    </row>
    <row r="61" spans="1:3" x14ac:dyDescent="0.25">
      <c r="C61" t="s">
        <v>421</v>
      </c>
    </row>
    <row r="62" spans="1:3" x14ac:dyDescent="0.25">
      <c r="C62" t="s">
        <v>422</v>
      </c>
    </row>
    <row r="63" spans="1:3" x14ac:dyDescent="0.25">
      <c r="C63" t="s">
        <v>390</v>
      </c>
    </row>
    <row r="64" spans="1:3" x14ac:dyDescent="0.25">
      <c r="C64" t="s">
        <v>391</v>
      </c>
    </row>
    <row r="66" spans="2:3" x14ac:dyDescent="0.25">
      <c r="B66" t="s">
        <v>423</v>
      </c>
      <c r="C66" t="s">
        <v>386</v>
      </c>
    </row>
    <row r="67" spans="2:3" x14ac:dyDescent="0.25">
      <c r="C67" t="s">
        <v>388</v>
      </c>
    </row>
    <row r="68" spans="2:3" x14ac:dyDescent="0.25">
      <c r="C68" t="s">
        <v>390</v>
      </c>
    </row>
    <row r="69" spans="2:3" x14ac:dyDescent="0.25">
      <c r="C69" t="s">
        <v>391</v>
      </c>
    </row>
    <row r="71" spans="2:3" x14ac:dyDescent="0.25">
      <c r="B71" t="s">
        <v>20</v>
      </c>
      <c r="C71" t="s">
        <v>386</v>
      </c>
    </row>
    <row r="72" spans="2:3" x14ac:dyDescent="0.25">
      <c r="C72" t="s">
        <v>388</v>
      </c>
    </row>
    <row r="73" spans="2:3" x14ac:dyDescent="0.25">
      <c r="C73" t="s">
        <v>424</v>
      </c>
    </row>
    <row r="74" spans="2:3" x14ac:dyDescent="0.25">
      <c r="C74" t="s">
        <v>425</v>
      </c>
    </row>
    <row r="75" spans="2:3" x14ac:dyDescent="0.25">
      <c r="C75" t="s">
        <v>391</v>
      </c>
    </row>
    <row r="77" spans="2:3" x14ac:dyDescent="0.25">
      <c r="B77" t="s">
        <v>21</v>
      </c>
      <c r="C77" t="s">
        <v>386</v>
      </c>
    </row>
    <row r="78" spans="2:3" x14ac:dyDescent="0.25">
      <c r="C78" t="s">
        <v>388</v>
      </c>
    </row>
    <row r="79" spans="2:3" ht="16.5" x14ac:dyDescent="0.25">
      <c r="C79" t="s">
        <v>426</v>
      </c>
    </row>
    <row r="80" spans="2:3" x14ac:dyDescent="0.25">
      <c r="C80" t="s">
        <v>427</v>
      </c>
    </row>
    <row r="81" spans="1:3" x14ac:dyDescent="0.25">
      <c r="C81" t="s">
        <v>391</v>
      </c>
    </row>
    <row r="84" spans="1:3" x14ac:dyDescent="0.25">
      <c r="B84" t="s">
        <v>23</v>
      </c>
      <c r="C84" t="s">
        <v>386</v>
      </c>
    </row>
    <row r="85" spans="1:3" x14ac:dyDescent="0.25">
      <c r="C85" t="s">
        <v>388</v>
      </c>
    </row>
    <row r="86" spans="1:3" x14ac:dyDescent="0.25">
      <c r="C86" t="s">
        <v>428</v>
      </c>
    </row>
    <row r="87" spans="1:3" x14ac:dyDescent="0.25">
      <c r="C87" t="s">
        <v>429</v>
      </c>
    </row>
    <row r="88" spans="1:3" x14ac:dyDescent="0.25">
      <c r="C88" t="s">
        <v>430</v>
      </c>
    </row>
    <row r="89" spans="1:3" x14ac:dyDescent="0.25">
      <c r="C89" t="s">
        <v>431</v>
      </c>
    </row>
    <row r="90" spans="1:3" x14ac:dyDescent="0.25">
      <c r="A90" t="s">
        <v>654</v>
      </c>
      <c r="C90" t="s">
        <v>658</v>
      </c>
    </row>
    <row r="91" spans="1:3" x14ac:dyDescent="0.25">
      <c r="C91" t="s">
        <v>391</v>
      </c>
    </row>
    <row r="93" spans="1:3" x14ac:dyDescent="0.25">
      <c r="B93" t="s">
        <v>24</v>
      </c>
      <c r="C93" t="s">
        <v>386</v>
      </c>
    </row>
    <row r="94" spans="1:3" x14ac:dyDescent="0.25">
      <c r="C94" t="s">
        <v>388</v>
      </c>
    </row>
    <row r="95" spans="1:3" x14ac:dyDescent="0.25">
      <c r="C95" t="s">
        <v>432</v>
      </c>
    </row>
    <row r="96" spans="1:3" x14ac:dyDescent="0.25">
      <c r="C96" t="s">
        <v>429</v>
      </c>
    </row>
    <row r="97" spans="1:3" x14ac:dyDescent="0.25">
      <c r="C97" t="s">
        <v>430</v>
      </c>
    </row>
    <row r="98" spans="1:3" x14ac:dyDescent="0.25">
      <c r="C98" t="s">
        <v>433</v>
      </c>
    </row>
    <row r="99" spans="1:3" x14ac:dyDescent="0.25">
      <c r="A99" t="s">
        <v>654</v>
      </c>
      <c r="C99" t="s">
        <v>658</v>
      </c>
    </row>
    <row r="100" spans="1:3" x14ac:dyDescent="0.25">
      <c r="C100" t="s">
        <v>391</v>
      </c>
    </row>
    <row r="102" spans="1:3" x14ac:dyDescent="0.25">
      <c r="B102" t="s">
        <v>25</v>
      </c>
      <c r="C102" t="s">
        <v>386</v>
      </c>
    </row>
    <row r="103" spans="1:3" x14ac:dyDescent="0.25">
      <c r="C103" t="s">
        <v>388</v>
      </c>
    </row>
    <row r="104" spans="1:3" x14ac:dyDescent="0.25">
      <c r="C104" t="s">
        <v>434</v>
      </c>
    </row>
    <row r="105" spans="1:3" x14ac:dyDescent="0.25">
      <c r="C105" t="s">
        <v>435</v>
      </c>
    </row>
    <row r="106" spans="1:3" x14ac:dyDescent="0.25">
      <c r="C106" t="s">
        <v>391</v>
      </c>
    </row>
    <row r="108" spans="1:3" x14ac:dyDescent="0.25">
      <c r="B108" t="s">
        <v>31</v>
      </c>
      <c r="C108" t="s">
        <v>386</v>
      </c>
    </row>
    <row r="109" spans="1:3" x14ac:dyDescent="0.25">
      <c r="C109" t="s">
        <v>388</v>
      </c>
    </row>
    <row r="110" spans="1:3" x14ac:dyDescent="0.25">
      <c r="C110" t="s">
        <v>391</v>
      </c>
    </row>
    <row r="112" spans="1:3" x14ac:dyDescent="0.25">
      <c r="B112" t="s">
        <v>32</v>
      </c>
      <c r="C112" t="s">
        <v>386</v>
      </c>
    </row>
    <row r="113" spans="1:3" x14ac:dyDescent="0.25">
      <c r="C113" t="s">
        <v>388</v>
      </c>
    </row>
    <row r="114" spans="1:3" x14ac:dyDescent="0.25">
      <c r="C114" t="s">
        <v>436</v>
      </c>
    </row>
    <row r="115" spans="1:3" x14ac:dyDescent="0.25">
      <c r="C115" t="s">
        <v>437</v>
      </c>
    </row>
    <row r="116" spans="1:3" x14ac:dyDescent="0.25">
      <c r="A116" t="s">
        <v>654</v>
      </c>
      <c r="C116" t="s">
        <v>657</v>
      </c>
    </row>
    <row r="117" spans="1:3" x14ac:dyDescent="0.25">
      <c r="C117" t="s">
        <v>391</v>
      </c>
    </row>
    <row r="119" spans="1:3" x14ac:dyDescent="0.25">
      <c r="B119" t="s">
        <v>33</v>
      </c>
      <c r="C119" t="s">
        <v>386</v>
      </c>
    </row>
    <row r="120" spans="1:3" x14ac:dyDescent="0.25">
      <c r="C120" t="s">
        <v>388</v>
      </c>
    </row>
    <row r="121" spans="1:3" ht="16.5" x14ac:dyDescent="0.25">
      <c r="C121" t="s">
        <v>438</v>
      </c>
    </row>
    <row r="122" spans="1:3" x14ac:dyDescent="0.25">
      <c r="C122" t="s">
        <v>391</v>
      </c>
    </row>
    <row r="124" spans="1:3" x14ac:dyDescent="0.25">
      <c r="B124" t="s">
        <v>34</v>
      </c>
      <c r="C124" t="s">
        <v>386</v>
      </c>
    </row>
    <row r="125" spans="1:3" x14ac:dyDescent="0.25">
      <c r="C125" t="s">
        <v>388</v>
      </c>
    </row>
    <row r="126" spans="1:3" x14ac:dyDescent="0.25">
      <c r="C126" t="s">
        <v>439</v>
      </c>
    </row>
    <row r="127" spans="1:3" ht="16.5" x14ac:dyDescent="0.25">
      <c r="C127" t="s">
        <v>440</v>
      </c>
    </row>
    <row r="128" spans="1:3" x14ac:dyDescent="0.25">
      <c r="C128" t="s">
        <v>441</v>
      </c>
    </row>
    <row r="129" spans="1:3" x14ac:dyDescent="0.25">
      <c r="C129" t="s">
        <v>442</v>
      </c>
    </row>
    <row r="130" spans="1:3" x14ac:dyDescent="0.25">
      <c r="C130" t="s">
        <v>391</v>
      </c>
    </row>
    <row r="132" spans="1:3" x14ac:dyDescent="0.25">
      <c r="B132" t="s">
        <v>35</v>
      </c>
      <c r="C132" t="s">
        <v>386</v>
      </c>
    </row>
    <row r="133" spans="1:3" x14ac:dyDescent="0.25">
      <c r="C133" t="s">
        <v>388</v>
      </c>
    </row>
    <row r="134" spans="1:3" x14ac:dyDescent="0.25">
      <c r="C134" t="s">
        <v>443</v>
      </c>
    </row>
    <row r="135" spans="1:3" x14ac:dyDescent="0.25">
      <c r="C135" t="s">
        <v>444</v>
      </c>
    </row>
    <row r="136" spans="1:3" x14ac:dyDescent="0.25">
      <c r="C136" t="s">
        <v>445</v>
      </c>
    </row>
    <row r="137" spans="1:3" x14ac:dyDescent="0.25">
      <c r="C137" t="s">
        <v>391</v>
      </c>
    </row>
    <row r="139" spans="1:3" x14ac:dyDescent="0.25">
      <c r="B139" t="s">
        <v>36</v>
      </c>
      <c r="C139" t="s">
        <v>386</v>
      </c>
    </row>
    <row r="140" spans="1:3" x14ac:dyDescent="0.25">
      <c r="C140" t="s">
        <v>388</v>
      </c>
    </row>
    <row r="141" spans="1:3" x14ac:dyDescent="0.25">
      <c r="C141" t="s">
        <v>446</v>
      </c>
    </row>
    <row r="142" spans="1:3" x14ac:dyDescent="0.25">
      <c r="C142" t="s">
        <v>447</v>
      </c>
    </row>
    <row r="143" spans="1:3" x14ac:dyDescent="0.25">
      <c r="C143" t="s">
        <v>448</v>
      </c>
    </row>
    <row r="144" spans="1:3" x14ac:dyDescent="0.25">
      <c r="A144" t="s">
        <v>654</v>
      </c>
      <c r="C144" t="s">
        <v>656</v>
      </c>
    </row>
    <row r="145" spans="2:3" x14ac:dyDescent="0.25">
      <c r="C145" t="s">
        <v>391</v>
      </c>
    </row>
    <row r="147" spans="2:3" x14ac:dyDescent="0.25">
      <c r="B147" t="s">
        <v>37</v>
      </c>
      <c r="C147" t="s">
        <v>386</v>
      </c>
    </row>
    <row r="148" spans="2:3" x14ac:dyDescent="0.25">
      <c r="C148" t="s">
        <v>388</v>
      </c>
    </row>
    <row r="149" spans="2:3" x14ac:dyDescent="0.25">
      <c r="C149" t="s">
        <v>449</v>
      </c>
    </row>
    <row r="150" spans="2:3" x14ac:dyDescent="0.25">
      <c r="C150" t="s">
        <v>450</v>
      </c>
    </row>
    <row r="151" spans="2:3" x14ac:dyDescent="0.25">
      <c r="C151" t="s">
        <v>451</v>
      </c>
    </row>
    <row r="152" spans="2:3" x14ac:dyDescent="0.25">
      <c r="C152" t="s">
        <v>452</v>
      </c>
    </row>
    <row r="153" spans="2:3" x14ac:dyDescent="0.25">
      <c r="C153" t="s">
        <v>391</v>
      </c>
    </row>
    <row r="155" spans="2:3" x14ac:dyDescent="0.25">
      <c r="B155" t="s">
        <v>38</v>
      </c>
      <c r="C155" t="s">
        <v>386</v>
      </c>
    </row>
    <row r="156" spans="2:3" x14ac:dyDescent="0.25">
      <c r="C156" t="s">
        <v>388</v>
      </c>
    </row>
    <row r="157" spans="2:3" x14ac:dyDescent="0.25">
      <c r="C157" s="123" t="s">
        <v>453</v>
      </c>
    </row>
    <row r="158" spans="2:3" x14ac:dyDescent="0.25">
      <c r="C158" t="s">
        <v>456</v>
      </c>
    </row>
    <row r="159" spans="2:3" x14ac:dyDescent="0.25">
      <c r="C159" t="s">
        <v>454</v>
      </c>
    </row>
    <row r="160" spans="2:3" x14ac:dyDescent="0.25">
      <c r="C160" t="s">
        <v>391</v>
      </c>
    </row>
    <row r="162" spans="2:3" x14ac:dyDescent="0.25">
      <c r="B162" t="s">
        <v>40</v>
      </c>
      <c r="C162" t="s">
        <v>386</v>
      </c>
    </row>
    <row r="163" spans="2:3" x14ac:dyDescent="0.25">
      <c r="C163" t="s">
        <v>388</v>
      </c>
    </row>
    <row r="164" spans="2:3" x14ac:dyDescent="0.25">
      <c r="C164" t="s">
        <v>434</v>
      </c>
    </row>
    <row r="165" spans="2:3" x14ac:dyDescent="0.25">
      <c r="C165" t="s">
        <v>455</v>
      </c>
    </row>
    <row r="166" spans="2:3" x14ac:dyDescent="0.25">
      <c r="C166" t="s">
        <v>391</v>
      </c>
    </row>
    <row r="168" spans="2:3" x14ac:dyDescent="0.25">
      <c r="B168" t="s">
        <v>41</v>
      </c>
      <c r="C168" t="s">
        <v>386</v>
      </c>
    </row>
    <row r="169" spans="2:3" x14ac:dyDescent="0.25">
      <c r="C169" t="s">
        <v>388</v>
      </c>
    </row>
    <row r="170" spans="2:3" x14ac:dyDescent="0.25">
      <c r="C170" t="s">
        <v>434</v>
      </c>
    </row>
    <row r="171" spans="2:3" x14ac:dyDescent="0.25">
      <c r="C171" t="s">
        <v>391</v>
      </c>
    </row>
    <row r="173" spans="2:3" x14ac:dyDescent="0.25">
      <c r="B173" t="s">
        <v>43</v>
      </c>
      <c r="C173" t="s">
        <v>386</v>
      </c>
    </row>
    <row r="174" spans="2:3" x14ac:dyDescent="0.25">
      <c r="C174" t="s">
        <v>388</v>
      </c>
    </row>
    <row r="175" spans="2:3" x14ac:dyDescent="0.25">
      <c r="C175" t="s">
        <v>457</v>
      </c>
    </row>
    <row r="176" spans="2:3" x14ac:dyDescent="0.25">
      <c r="C176" t="s">
        <v>458</v>
      </c>
    </row>
    <row r="177" spans="1:3" x14ac:dyDescent="0.25">
      <c r="A177" t="s">
        <v>654</v>
      </c>
      <c r="C177" t="s">
        <v>659</v>
      </c>
    </row>
    <row r="178" spans="1:3" x14ac:dyDescent="0.25">
      <c r="C178" t="s">
        <v>391</v>
      </c>
    </row>
    <row r="180" spans="1:3" x14ac:dyDescent="0.25">
      <c r="B180" t="s">
        <v>45</v>
      </c>
      <c r="C180" t="s">
        <v>386</v>
      </c>
    </row>
    <row r="181" spans="1:3" x14ac:dyDescent="0.25">
      <c r="C181" t="s">
        <v>388</v>
      </c>
    </row>
    <row r="182" spans="1:3" x14ac:dyDescent="0.25">
      <c r="C182" t="s">
        <v>434</v>
      </c>
    </row>
    <row r="183" spans="1:3" x14ac:dyDescent="0.25">
      <c r="C183" t="s">
        <v>459</v>
      </c>
    </row>
    <row r="184" spans="1:3" x14ac:dyDescent="0.25">
      <c r="C184" t="s">
        <v>391</v>
      </c>
    </row>
    <row r="186" spans="1:3" x14ac:dyDescent="0.25">
      <c r="B186" t="s">
        <v>50</v>
      </c>
      <c r="C186" t="s">
        <v>386</v>
      </c>
    </row>
    <row r="187" spans="1:3" x14ac:dyDescent="0.25">
      <c r="C187" t="s">
        <v>388</v>
      </c>
    </row>
    <row r="188" spans="1:3" x14ac:dyDescent="0.25">
      <c r="C188" t="s">
        <v>460</v>
      </c>
    </row>
    <row r="189" spans="1:3" x14ac:dyDescent="0.25">
      <c r="C189" t="s">
        <v>391</v>
      </c>
    </row>
    <row r="191" spans="1:3" x14ac:dyDescent="0.25">
      <c r="B191" t="s">
        <v>51</v>
      </c>
      <c r="C191" t="s">
        <v>386</v>
      </c>
    </row>
    <row r="192" spans="1:3" x14ac:dyDescent="0.25">
      <c r="C192" t="s">
        <v>388</v>
      </c>
    </row>
    <row r="193" spans="1:3" x14ac:dyDescent="0.25">
      <c r="C193" t="s">
        <v>460</v>
      </c>
    </row>
    <row r="194" spans="1:3" x14ac:dyDescent="0.25">
      <c r="C194" t="s">
        <v>461</v>
      </c>
    </row>
    <row r="195" spans="1:3" x14ac:dyDescent="0.25">
      <c r="C195" t="s">
        <v>391</v>
      </c>
    </row>
    <row r="197" spans="1:3" x14ac:dyDescent="0.25">
      <c r="B197" t="s">
        <v>52</v>
      </c>
      <c r="C197" t="s">
        <v>386</v>
      </c>
    </row>
    <row r="198" spans="1:3" x14ac:dyDescent="0.25">
      <c r="C198" t="s">
        <v>388</v>
      </c>
    </row>
    <row r="199" spans="1:3" x14ac:dyDescent="0.25">
      <c r="C199" t="s">
        <v>462</v>
      </c>
    </row>
    <row r="200" spans="1:3" x14ac:dyDescent="0.25">
      <c r="C200" t="s">
        <v>463</v>
      </c>
    </row>
    <row r="201" spans="1:3" x14ac:dyDescent="0.25">
      <c r="C201" t="s">
        <v>464</v>
      </c>
    </row>
    <row r="202" spans="1:3" x14ac:dyDescent="0.25">
      <c r="A202" t="s">
        <v>654</v>
      </c>
      <c r="C202" t="s">
        <v>660</v>
      </c>
    </row>
    <row r="203" spans="1:3" x14ac:dyDescent="0.25">
      <c r="C203" t="s">
        <v>391</v>
      </c>
    </row>
    <row r="205" spans="1:3" x14ac:dyDescent="0.25">
      <c r="B205" t="s">
        <v>53</v>
      </c>
      <c r="C205" t="s">
        <v>386</v>
      </c>
    </row>
    <row r="206" spans="1:3" x14ac:dyDescent="0.25">
      <c r="C206" t="s">
        <v>388</v>
      </c>
    </row>
    <row r="207" spans="1:3" x14ac:dyDescent="0.25">
      <c r="C207" t="s">
        <v>434</v>
      </c>
    </row>
    <row r="208" spans="1:3" x14ac:dyDescent="0.25">
      <c r="C208" t="s">
        <v>465</v>
      </c>
    </row>
    <row r="209" spans="2:3" x14ac:dyDescent="0.25">
      <c r="C209" t="s">
        <v>466</v>
      </c>
    </row>
    <row r="210" spans="2:3" x14ac:dyDescent="0.25">
      <c r="C210" t="s">
        <v>391</v>
      </c>
    </row>
    <row r="212" spans="2:3" x14ac:dyDescent="0.25">
      <c r="B212" t="s">
        <v>54</v>
      </c>
      <c r="C212" t="s">
        <v>386</v>
      </c>
    </row>
    <row r="213" spans="2:3" x14ac:dyDescent="0.25">
      <c r="C213" t="s">
        <v>388</v>
      </c>
    </row>
    <row r="214" spans="2:3" x14ac:dyDescent="0.25">
      <c r="C214" t="s">
        <v>434</v>
      </c>
    </row>
    <row r="215" spans="2:3" x14ac:dyDescent="0.25">
      <c r="C215" t="s">
        <v>391</v>
      </c>
    </row>
    <row r="217" spans="2:3" x14ac:dyDescent="0.25">
      <c r="B217" t="s">
        <v>55</v>
      </c>
      <c r="C217" t="s">
        <v>386</v>
      </c>
    </row>
    <row r="218" spans="2:3" x14ac:dyDescent="0.25">
      <c r="C218" t="s">
        <v>388</v>
      </c>
    </row>
    <row r="219" spans="2:3" x14ac:dyDescent="0.25">
      <c r="C219" t="s">
        <v>467</v>
      </c>
    </row>
    <row r="220" spans="2:3" x14ac:dyDescent="0.25">
      <c r="C220" t="s">
        <v>468</v>
      </c>
    </row>
    <row r="221" spans="2:3" x14ac:dyDescent="0.25">
      <c r="C221" t="s">
        <v>391</v>
      </c>
    </row>
    <row r="223" spans="2:3" x14ac:dyDescent="0.25">
      <c r="B223" t="s">
        <v>56</v>
      </c>
      <c r="C223" t="s">
        <v>386</v>
      </c>
    </row>
    <row r="224" spans="2:3" x14ac:dyDescent="0.25">
      <c r="C224" t="s">
        <v>388</v>
      </c>
    </row>
    <row r="225" spans="2:3" x14ac:dyDescent="0.25">
      <c r="C225" t="s">
        <v>469</v>
      </c>
    </row>
    <row r="226" spans="2:3" x14ac:dyDescent="0.25">
      <c r="C226" t="s">
        <v>391</v>
      </c>
    </row>
    <row r="228" spans="2:3" x14ac:dyDescent="0.25">
      <c r="B228" t="s">
        <v>59</v>
      </c>
      <c r="C228" t="s">
        <v>386</v>
      </c>
    </row>
    <row r="229" spans="2:3" x14ac:dyDescent="0.25">
      <c r="C229" t="s">
        <v>388</v>
      </c>
    </row>
    <row r="230" spans="2:3" x14ac:dyDescent="0.25">
      <c r="C230" t="s">
        <v>470</v>
      </c>
    </row>
    <row r="231" spans="2:3" x14ac:dyDescent="0.25">
      <c r="C231" t="s">
        <v>391</v>
      </c>
    </row>
    <row r="233" spans="2:3" x14ac:dyDescent="0.25">
      <c r="B233" t="s">
        <v>60</v>
      </c>
      <c r="C233" t="s">
        <v>386</v>
      </c>
    </row>
    <row r="234" spans="2:3" x14ac:dyDescent="0.25">
      <c r="C234" t="s">
        <v>388</v>
      </c>
    </row>
    <row r="235" spans="2:3" x14ac:dyDescent="0.25">
      <c r="C235" t="s">
        <v>471</v>
      </c>
    </row>
    <row r="236" spans="2:3" ht="16.5" x14ac:dyDescent="0.25">
      <c r="C236" t="s">
        <v>472</v>
      </c>
    </row>
    <row r="237" spans="2:3" x14ac:dyDescent="0.25">
      <c r="C237" t="s">
        <v>391</v>
      </c>
    </row>
    <row r="239" spans="2:3" x14ac:dyDescent="0.25">
      <c r="B239" t="s">
        <v>61</v>
      </c>
      <c r="C239" t="s">
        <v>386</v>
      </c>
    </row>
    <row r="240" spans="2:3" x14ac:dyDescent="0.25">
      <c r="C240" t="s">
        <v>388</v>
      </c>
    </row>
    <row r="241" spans="1:10" x14ac:dyDescent="0.25">
      <c r="C241" t="s">
        <v>473</v>
      </c>
    </row>
    <row r="242" spans="1:10" x14ac:dyDescent="0.25">
      <c r="A242" t="s">
        <v>654</v>
      </c>
      <c r="C242" t="s">
        <v>661</v>
      </c>
    </row>
    <row r="243" spans="1:10" x14ac:dyDescent="0.25">
      <c r="C243" t="s">
        <v>391</v>
      </c>
    </row>
    <row r="245" spans="1:10" x14ac:dyDescent="0.25">
      <c r="B245" t="s">
        <v>62</v>
      </c>
      <c r="C245" t="s">
        <v>386</v>
      </c>
    </row>
    <row r="246" spans="1:10" x14ac:dyDescent="0.25">
      <c r="C246" t="s">
        <v>388</v>
      </c>
    </row>
    <row r="247" spans="1:10" ht="16.5" x14ac:dyDescent="0.25">
      <c r="C247" t="s">
        <v>474</v>
      </c>
    </row>
    <row r="248" spans="1:10" x14ac:dyDescent="0.25">
      <c r="C248" t="s">
        <v>391</v>
      </c>
      <c r="G248" s="428" t="s">
        <v>612</v>
      </c>
      <c r="H248" s="429" t="s">
        <v>812</v>
      </c>
      <c r="I248" s="430" t="s">
        <v>813</v>
      </c>
      <c r="J248" s="431" t="s">
        <v>615</v>
      </c>
    </row>
    <row r="249" spans="1:10" ht="21" x14ac:dyDescent="0.25">
      <c r="G249" s="432" t="s">
        <v>814</v>
      </c>
      <c r="H249" s="433" t="s">
        <v>815</v>
      </c>
      <c r="I249" s="434" t="s">
        <v>816</v>
      </c>
      <c r="J249" s="435" t="s">
        <v>817</v>
      </c>
    </row>
    <row r="250" spans="1:10" x14ac:dyDescent="0.25">
      <c r="B250" t="s">
        <v>63</v>
      </c>
      <c r="C250" t="s">
        <v>386</v>
      </c>
      <c r="G250" s="432" t="s">
        <v>818</v>
      </c>
      <c r="H250" s="433" t="s">
        <v>819</v>
      </c>
      <c r="I250" s="434" t="s">
        <v>820</v>
      </c>
      <c r="J250" s="435" t="s">
        <v>821</v>
      </c>
    </row>
    <row r="251" spans="1:10" x14ac:dyDescent="0.25">
      <c r="C251" t="s">
        <v>388</v>
      </c>
      <c r="G251" s="432" t="s">
        <v>822</v>
      </c>
      <c r="H251" s="433" t="s">
        <v>823</v>
      </c>
      <c r="I251" s="434" t="s">
        <v>824</v>
      </c>
      <c r="J251" s="435" t="s">
        <v>817</v>
      </c>
    </row>
    <row r="252" spans="1:10" x14ac:dyDescent="0.25">
      <c r="C252" t="s">
        <v>475</v>
      </c>
      <c r="G252" s="432" t="s">
        <v>825</v>
      </c>
      <c r="H252" s="433" t="s">
        <v>826</v>
      </c>
      <c r="I252" s="434" t="s">
        <v>824</v>
      </c>
      <c r="J252" s="435" t="s">
        <v>821</v>
      </c>
    </row>
    <row r="253" spans="1:10" x14ac:dyDescent="0.25">
      <c r="C253" t="s">
        <v>476</v>
      </c>
      <c r="G253" s="432" t="s">
        <v>827</v>
      </c>
      <c r="H253" s="433" t="s">
        <v>828</v>
      </c>
      <c r="I253" s="434" t="s">
        <v>824</v>
      </c>
      <c r="J253" s="435" t="s">
        <v>829</v>
      </c>
    </row>
    <row r="254" spans="1:10" x14ac:dyDescent="0.25">
      <c r="A254" t="s">
        <v>654</v>
      </c>
      <c r="C254" t="s">
        <v>662</v>
      </c>
      <c r="G254" s="432" t="s">
        <v>830</v>
      </c>
      <c r="H254" s="433" t="s">
        <v>831</v>
      </c>
      <c r="I254" s="434" t="s">
        <v>824</v>
      </c>
      <c r="J254" s="435" t="s">
        <v>829</v>
      </c>
    </row>
    <row r="255" spans="1:10" x14ac:dyDescent="0.25">
      <c r="C255" t="s">
        <v>391</v>
      </c>
      <c r="G255" s="432" t="s">
        <v>832</v>
      </c>
      <c r="H255" s="433" t="s">
        <v>833</v>
      </c>
      <c r="I255" s="434" t="s">
        <v>834</v>
      </c>
      <c r="J255" s="435" t="s">
        <v>817</v>
      </c>
    </row>
    <row r="257" spans="1:8" x14ac:dyDescent="0.25">
      <c r="B257" t="s">
        <v>68</v>
      </c>
      <c r="C257" t="s">
        <v>386</v>
      </c>
    </row>
    <row r="258" spans="1:8" x14ac:dyDescent="0.25">
      <c r="C258" t="s">
        <v>388</v>
      </c>
    </row>
    <row r="259" spans="1:8" x14ac:dyDescent="0.25">
      <c r="C259" t="s">
        <v>477</v>
      </c>
      <c r="G259" s="436"/>
      <c r="H259" s="436" t="s">
        <v>835</v>
      </c>
    </row>
    <row r="260" spans="1:8" x14ac:dyDescent="0.25">
      <c r="C260" t="s">
        <v>478</v>
      </c>
      <c r="G260" s="436">
        <v>1</v>
      </c>
      <c r="H260" s="437" t="s">
        <v>836</v>
      </c>
    </row>
    <row r="261" spans="1:8" x14ac:dyDescent="0.25">
      <c r="A261" t="s">
        <v>654</v>
      </c>
      <c r="C261" t="s">
        <v>663</v>
      </c>
      <c r="G261" s="436">
        <v>2</v>
      </c>
      <c r="H261" s="437" t="s">
        <v>837</v>
      </c>
    </row>
    <row r="262" spans="1:8" x14ac:dyDescent="0.25">
      <c r="C262" t="s">
        <v>391</v>
      </c>
      <c r="G262" s="436">
        <v>3</v>
      </c>
      <c r="H262" s="437" t="s">
        <v>838</v>
      </c>
    </row>
    <row r="263" spans="1:8" x14ac:dyDescent="0.25">
      <c r="G263" s="436">
        <v>4</v>
      </c>
      <c r="H263" s="437" t="s">
        <v>839</v>
      </c>
    </row>
    <row r="264" spans="1:8" x14ac:dyDescent="0.25">
      <c r="B264" t="s">
        <v>70</v>
      </c>
      <c r="C264" t="s">
        <v>386</v>
      </c>
      <c r="G264" s="436">
        <v>5</v>
      </c>
      <c r="H264" s="437" t="s">
        <v>628</v>
      </c>
    </row>
    <row r="265" spans="1:8" x14ac:dyDescent="0.25">
      <c r="C265" t="s">
        <v>388</v>
      </c>
      <c r="G265" s="436"/>
      <c r="H265" s="436"/>
    </row>
    <row r="266" spans="1:8" x14ac:dyDescent="0.25">
      <c r="C266" t="s">
        <v>479</v>
      </c>
      <c r="G266" s="436"/>
      <c r="H266" s="436" t="s">
        <v>840</v>
      </c>
    </row>
    <row r="267" spans="1:8" x14ac:dyDescent="0.25">
      <c r="C267" t="s">
        <v>480</v>
      </c>
      <c r="G267" s="436"/>
      <c r="H267" s="438" t="s">
        <v>677</v>
      </c>
    </row>
    <row r="268" spans="1:8" x14ac:dyDescent="0.25">
      <c r="C268" t="s">
        <v>391</v>
      </c>
      <c r="G268" s="436"/>
      <c r="H268" s="438" t="s">
        <v>709</v>
      </c>
    </row>
    <row r="269" spans="1:8" x14ac:dyDescent="0.25">
      <c r="G269" s="436"/>
      <c r="H269" s="436"/>
    </row>
    <row r="270" spans="1:8" x14ac:dyDescent="0.25">
      <c r="B270" t="s">
        <v>389</v>
      </c>
      <c r="C270" t="s">
        <v>388</v>
      </c>
      <c r="G270" s="436"/>
      <c r="H270" s="436" t="s">
        <v>841</v>
      </c>
    </row>
    <row r="271" spans="1:8" ht="16.5" x14ac:dyDescent="0.25">
      <c r="C271" t="s">
        <v>392</v>
      </c>
      <c r="G271" s="436"/>
      <c r="H271" s="438" t="s">
        <v>842</v>
      </c>
    </row>
    <row r="272" spans="1:8" x14ac:dyDescent="0.25">
      <c r="C272" t="s">
        <v>393</v>
      </c>
      <c r="G272" s="436"/>
      <c r="H272" s="438" t="s">
        <v>843</v>
      </c>
    </row>
    <row r="273" spans="1:8" x14ac:dyDescent="0.25">
      <c r="C273" t="s">
        <v>394</v>
      </c>
      <c r="G273" s="436"/>
      <c r="H273" s="436"/>
    </row>
    <row r="274" spans="1:8" x14ac:dyDescent="0.25">
      <c r="C274" t="s">
        <v>390</v>
      </c>
      <c r="G274" s="436"/>
      <c r="H274" s="436" t="s">
        <v>595</v>
      </c>
    </row>
    <row r="275" spans="1:8" x14ac:dyDescent="0.25">
      <c r="C275" t="s">
        <v>391</v>
      </c>
      <c r="G275" s="436"/>
      <c r="H275" s="438" t="s">
        <v>628</v>
      </c>
    </row>
    <row r="276" spans="1:8" x14ac:dyDescent="0.25">
      <c r="G276" s="436"/>
      <c r="H276" s="438" t="s">
        <v>844</v>
      </c>
    </row>
    <row r="277" spans="1:8" x14ac:dyDescent="0.25">
      <c r="B277" t="s">
        <v>72</v>
      </c>
      <c r="C277" t="s">
        <v>386</v>
      </c>
      <c r="G277" s="436"/>
      <c r="H277" s="438" t="s">
        <v>845</v>
      </c>
    </row>
    <row r="278" spans="1:8" x14ac:dyDescent="0.25">
      <c r="C278" t="s">
        <v>388</v>
      </c>
      <c r="G278" s="436"/>
      <c r="H278" s="438" t="s">
        <v>846</v>
      </c>
    </row>
    <row r="279" spans="1:8" x14ac:dyDescent="0.25">
      <c r="A279" t="s">
        <v>654</v>
      </c>
      <c r="C279" t="s">
        <v>664</v>
      </c>
      <c r="G279" s="436"/>
      <c r="H279" s="438" t="s">
        <v>847</v>
      </c>
    </row>
    <row r="280" spans="1:8" x14ac:dyDescent="0.25">
      <c r="C280" t="s">
        <v>391</v>
      </c>
      <c r="G280" s="436"/>
      <c r="H280" s="436"/>
    </row>
    <row r="281" spans="1:8" x14ac:dyDescent="0.25">
      <c r="G281" s="436"/>
      <c r="H281" s="436" t="s">
        <v>848</v>
      </c>
    </row>
    <row r="282" spans="1:8" x14ac:dyDescent="0.25">
      <c r="B282" t="s">
        <v>73</v>
      </c>
      <c r="C282" t="s">
        <v>388</v>
      </c>
      <c r="G282" s="436"/>
      <c r="H282" s="438" t="s">
        <v>677</v>
      </c>
    </row>
    <row r="283" spans="1:8" x14ac:dyDescent="0.25">
      <c r="C283" t="s">
        <v>481</v>
      </c>
      <c r="G283" s="436"/>
      <c r="H283" s="438" t="s">
        <v>709</v>
      </c>
    </row>
    <row r="284" spans="1:8" x14ac:dyDescent="0.25">
      <c r="C284" t="s">
        <v>542</v>
      </c>
      <c r="G284" s="436"/>
      <c r="H284" s="438" t="s">
        <v>849</v>
      </c>
    </row>
    <row r="285" spans="1:8" x14ac:dyDescent="0.25">
      <c r="C285" t="s">
        <v>482</v>
      </c>
      <c r="G285" s="436"/>
      <c r="H285" s="436"/>
    </row>
    <row r="286" spans="1:8" x14ac:dyDescent="0.25">
      <c r="C286" t="s">
        <v>483</v>
      </c>
      <c r="G286" s="436"/>
      <c r="H286" s="436" t="s">
        <v>850</v>
      </c>
    </row>
    <row r="287" spans="1:8" x14ac:dyDescent="0.25">
      <c r="C287" t="s">
        <v>484</v>
      </c>
      <c r="G287" s="436"/>
      <c r="H287" s="438" t="s">
        <v>677</v>
      </c>
    </row>
    <row r="288" spans="1:8" x14ac:dyDescent="0.25">
      <c r="C288" t="s">
        <v>485</v>
      </c>
      <c r="G288" s="436"/>
      <c r="H288" s="438" t="s">
        <v>709</v>
      </c>
    </row>
    <row r="289" spans="1:8" ht="16.5" x14ac:dyDescent="0.25">
      <c r="C289" t="s">
        <v>486</v>
      </c>
      <c r="G289" s="436"/>
      <c r="H289" s="438" t="s">
        <v>851</v>
      </c>
    </row>
    <row r="290" spans="1:8" x14ac:dyDescent="0.25">
      <c r="A290" t="s">
        <v>654</v>
      </c>
      <c r="C290" t="s">
        <v>665</v>
      </c>
      <c r="G290" s="436"/>
      <c r="H290" s="436"/>
    </row>
    <row r="291" spans="1:8" x14ac:dyDescent="0.25">
      <c r="C291" t="s">
        <v>391</v>
      </c>
      <c r="G291" s="436"/>
      <c r="H291" s="436" t="s">
        <v>605</v>
      </c>
    </row>
    <row r="292" spans="1:8" x14ac:dyDescent="0.25">
      <c r="G292" s="436"/>
      <c r="H292" s="169" t="s">
        <v>852</v>
      </c>
    </row>
    <row r="293" spans="1:8" x14ac:dyDescent="0.25">
      <c r="B293" t="s">
        <v>74</v>
      </c>
      <c r="C293" t="s">
        <v>386</v>
      </c>
      <c r="G293" s="436"/>
      <c r="H293" s="169" t="s">
        <v>853</v>
      </c>
    </row>
    <row r="294" spans="1:8" x14ac:dyDescent="0.25">
      <c r="C294" t="s">
        <v>388</v>
      </c>
      <c r="G294" s="436"/>
      <c r="H294" s="169" t="s">
        <v>854</v>
      </c>
    </row>
    <row r="295" spans="1:8" x14ac:dyDescent="0.25">
      <c r="C295" t="s">
        <v>542</v>
      </c>
      <c r="G295" s="436"/>
      <c r="H295" s="169" t="s">
        <v>851</v>
      </c>
    </row>
    <row r="296" spans="1:8" x14ac:dyDescent="0.25">
      <c r="C296" t="s">
        <v>487</v>
      </c>
      <c r="G296" s="436"/>
      <c r="H296" s="436"/>
    </row>
    <row r="297" spans="1:8" x14ac:dyDescent="0.25">
      <c r="C297" t="s">
        <v>488</v>
      </c>
      <c r="G297" s="436"/>
      <c r="H297" s="436" t="s">
        <v>855</v>
      </c>
    </row>
    <row r="298" spans="1:8" x14ac:dyDescent="0.25">
      <c r="C298" t="s">
        <v>485</v>
      </c>
      <c r="G298" s="436"/>
      <c r="H298" s="438" t="s">
        <v>677</v>
      </c>
    </row>
    <row r="299" spans="1:8" ht="16.5" x14ac:dyDescent="0.25">
      <c r="C299" t="s">
        <v>486</v>
      </c>
      <c r="G299" s="436"/>
      <c r="H299" s="438" t="s">
        <v>709</v>
      </c>
    </row>
    <row r="300" spans="1:8" x14ac:dyDescent="0.25">
      <c r="A300" t="s">
        <v>654</v>
      </c>
      <c r="C300" t="s">
        <v>667</v>
      </c>
      <c r="G300" s="436"/>
      <c r="H300" s="438" t="s">
        <v>851</v>
      </c>
    </row>
    <row r="301" spans="1:8" x14ac:dyDescent="0.25">
      <c r="C301" t="s">
        <v>391</v>
      </c>
    </row>
    <row r="302" spans="1:8" x14ac:dyDescent="0.25">
      <c r="H302" s="436" t="s">
        <v>858</v>
      </c>
    </row>
    <row r="303" spans="1:8" x14ac:dyDescent="0.25">
      <c r="B303" t="s">
        <v>75</v>
      </c>
      <c r="C303" t="s">
        <v>386</v>
      </c>
      <c r="H303" s="169" t="s">
        <v>380</v>
      </c>
    </row>
    <row r="304" spans="1:8" x14ac:dyDescent="0.25">
      <c r="C304" t="s">
        <v>388</v>
      </c>
      <c r="H304" s="169" t="s">
        <v>160</v>
      </c>
    </row>
    <row r="305" spans="1:8" x14ac:dyDescent="0.25">
      <c r="C305" t="s">
        <v>543</v>
      </c>
      <c r="H305" s="169" t="s">
        <v>381</v>
      </c>
    </row>
    <row r="306" spans="1:8" x14ac:dyDescent="0.25">
      <c r="C306" t="s">
        <v>489</v>
      </c>
      <c r="H306" s="169" t="s">
        <v>859</v>
      </c>
    </row>
    <row r="307" spans="1:8" x14ac:dyDescent="0.25">
      <c r="C307" t="s">
        <v>391</v>
      </c>
    </row>
    <row r="308" spans="1:8" x14ac:dyDescent="0.25">
      <c r="H308" s="436" t="s">
        <v>1149</v>
      </c>
    </row>
    <row r="309" spans="1:8" x14ac:dyDescent="0.25">
      <c r="B309" t="s">
        <v>76</v>
      </c>
      <c r="C309" t="s">
        <v>386</v>
      </c>
      <c r="H309" s="169" t="s">
        <v>1150</v>
      </c>
    </row>
    <row r="310" spans="1:8" x14ac:dyDescent="0.25">
      <c r="C310" t="s">
        <v>388</v>
      </c>
      <c r="H310" s="169" t="s">
        <v>1151</v>
      </c>
    </row>
    <row r="311" spans="1:8" x14ac:dyDescent="0.25">
      <c r="C311" t="s">
        <v>542</v>
      </c>
    </row>
    <row r="312" spans="1:8" x14ac:dyDescent="0.25">
      <c r="C312" t="s">
        <v>487</v>
      </c>
    </row>
    <row r="313" spans="1:8" x14ac:dyDescent="0.25">
      <c r="C313" t="s">
        <v>485</v>
      </c>
    </row>
    <row r="314" spans="1:8" x14ac:dyDescent="0.25">
      <c r="C314" t="s">
        <v>434</v>
      </c>
    </row>
    <row r="315" spans="1:8" x14ac:dyDescent="0.25">
      <c r="A315" t="s">
        <v>654</v>
      </c>
      <c r="C315" t="s">
        <v>666</v>
      </c>
    </row>
    <row r="316" spans="1:8" x14ac:dyDescent="0.25">
      <c r="C316" t="s">
        <v>391</v>
      </c>
    </row>
    <row r="318" spans="1:8" x14ac:dyDescent="0.25">
      <c r="B318" t="s">
        <v>77</v>
      </c>
      <c r="C318" t="s">
        <v>386</v>
      </c>
    </row>
    <row r="319" spans="1:8" x14ac:dyDescent="0.25">
      <c r="C319" t="s">
        <v>388</v>
      </c>
    </row>
    <row r="320" spans="1:8" x14ac:dyDescent="0.25">
      <c r="C320" t="s">
        <v>543</v>
      </c>
    </row>
    <row r="321" spans="1:3" x14ac:dyDescent="0.25">
      <c r="C321" t="s">
        <v>467</v>
      </c>
    </row>
    <row r="322" spans="1:3" x14ac:dyDescent="0.25">
      <c r="C322" t="s">
        <v>468</v>
      </c>
    </row>
    <row r="323" spans="1:3" x14ac:dyDescent="0.25">
      <c r="C323" t="s">
        <v>490</v>
      </c>
    </row>
    <row r="324" spans="1:3" x14ac:dyDescent="0.25">
      <c r="C324" t="s">
        <v>434</v>
      </c>
    </row>
    <row r="325" spans="1:3" x14ac:dyDescent="0.25">
      <c r="A325" t="s">
        <v>654</v>
      </c>
      <c r="C325" t="s">
        <v>668</v>
      </c>
    </row>
    <row r="326" spans="1:3" x14ac:dyDescent="0.25">
      <c r="C326" t="s">
        <v>391</v>
      </c>
    </row>
    <row r="328" spans="1:3" x14ac:dyDescent="0.25">
      <c r="B328" t="s">
        <v>78</v>
      </c>
      <c r="C328" t="s">
        <v>386</v>
      </c>
    </row>
    <row r="329" spans="1:3" x14ac:dyDescent="0.25">
      <c r="C329" t="s">
        <v>388</v>
      </c>
    </row>
    <row r="330" spans="1:3" x14ac:dyDescent="0.25">
      <c r="C330" t="s">
        <v>491</v>
      </c>
    </row>
    <row r="331" spans="1:3" x14ac:dyDescent="0.25">
      <c r="C331" t="s">
        <v>542</v>
      </c>
    </row>
    <row r="332" spans="1:3" x14ac:dyDescent="0.25">
      <c r="C332" t="s">
        <v>468</v>
      </c>
    </row>
    <row r="333" spans="1:3" x14ac:dyDescent="0.25">
      <c r="C333" t="s">
        <v>490</v>
      </c>
    </row>
    <row r="334" spans="1:3" ht="16.5" x14ac:dyDescent="0.25">
      <c r="C334" t="s">
        <v>486</v>
      </c>
    </row>
    <row r="335" spans="1:3" x14ac:dyDescent="0.25">
      <c r="C335" t="s">
        <v>434</v>
      </c>
    </row>
    <row r="336" spans="1:3" x14ac:dyDescent="0.25">
      <c r="A336" t="s">
        <v>654</v>
      </c>
      <c r="C336" t="s">
        <v>668</v>
      </c>
    </row>
    <row r="337" spans="1:3" x14ac:dyDescent="0.25">
      <c r="C337" t="s">
        <v>391</v>
      </c>
    </row>
    <row r="339" spans="1:3" x14ac:dyDescent="0.25">
      <c r="B339" t="s">
        <v>79</v>
      </c>
      <c r="C339" t="s">
        <v>386</v>
      </c>
    </row>
    <row r="340" spans="1:3" x14ac:dyDescent="0.25">
      <c r="C340" t="s">
        <v>388</v>
      </c>
    </row>
    <row r="341" spans="1:3" x14ac:dyDescent="0.25">
      <c r="C341" t="s">
        <v>543</v>
      </c>
    </row>
    <row r="342" spans="1:3" x14ac:dyDescent="0.25">
      <c r="C342" t="s">
        <v>492</v>
      </c>
    </row>
    <row r="343" spans="1:3" x14ac:dyDescent="0.25">
      <c r="C343" t="s">
        <v>493</v>
      </c>
    </row>
    <row r="344" spans="1:3" x14ac:dyDescent="0.25">
      <c r="C344" t="s">
        <v>434</v>
      </c>
    </row>
    <row r="345" spans="1:3" x14ac:dyDescent="0.25">
      <c r="C345" t="s">
        <v>391</v>
      </c>
    </row>
    <row r="347" spans="1:3" x14ac:dyDescent="0.25">
      <c r="B347" t="s">
        <v>80</v>
      </c>
      <c r="C347" t="s">
        <v>386</v>
      </c>
    </row>
    <row r="348" spans="1:3" x14ac:dyDescent="0.25">
      <c r="C348" t="s">
        <v>388</v>
      </c>
    </row>
    <row r="349" spans="1:3" x14ac:dyDescent="0.25">
      <c r="C349" t="s">
        <v>543</v>
      </c>
    </row>
    <row r="350" spans="1:3" x14ac:dyDescent="0.25">
      <c r="C350" t="s">
        <v>494</v>
      </c>
    </row>
    <row r="351" spans="1:3" x14ac:dyDescent="0.25">
      <c r="C351" t="s">
        <v>434</v>
      </c>
    </row>
    <row r="352" spans="1:3" x14ac:dyDescent="0.25">
      <c r="A352" t="s">
        <v>654</v>
      </c>
      <c r="C352" t="s">
        <v>669</v>
      </c>
    </row>
    <row r="353" spans="1:3" x14ac:dyDescent="0.25">
      <c r="C353" t="s">
        <v>391</v>
      </c>
    </row>
    <row r="355" spans="1:3" x14ac:dyDescent="0.25">
      <c r="B355" t="s">
        <v>81</v>
      </c>
      <c r="C355" t="s">
        <v>386</v>
      </c>
    </row>
    <row r="356" spans="1:3" x14ac:dyDescent="0.25">
      <c r="C356" t="s">
        <v>388</v>
      </c>
    </row>
    <row r="357" spans="1:3" x14ac:dyDescent="0.25">
      <c r="C357" t="s">
        <v>544</v>
      </c>
    </row>
    <row r="358" spans="1:3" x14ac:dyDescent="0.25">
      <c r="A358" t="s">
        <v>654</v>
      </c>
      <c r="C358" t="s">
        <v>670</v>
      </c>
    </row>
    <row r="359" spans="1:3" x14ac:dyDescent="0.25">
      <c r="C359" t="s">
        <v>391</v>
      </c>
    </row>
    <row r="361" spans="1:3" x14ac:dyDescent="0.25">
      <c r="B361" t="s">
        <v>82</v>
      </c>
      <c r="C361" t="s">
        <v>386</v>
      </c>
    </row>
    <row r="362" spans="1:3" x14ac:dyDescent="0.25">
      <c r="C362" t="s">
        <v>388</v>
      </c>
    </row>
    <row r="363" spans="1:3" x14ac:dyDescent="0.25">
      <c r="C363" t="s">
        <v>545</v>
      </c>
    </row>
    <row r="364" spans="1:3" x14ac:dyDescent="0.25">
      <c r="C364" t="s">
        <v>495</v>
      </c>
    </row>
    <row r="365" spans="1:3" x14ac:dyDescent="0.25">
      <c r="C365" t="s">
        <v>496</v>
      </c>
    </row>
    <row r="366" spans="1:3" ht="18" x14ac:dyDescent="0.35">
      <c r="C366" t="s">
        <v>497</v>
      </c>
    </row>
    <row r="367" spans="1:3" x14ac:dyDescent="0.25">
      <c r="C367" t="s">
        <v>498</v>
      </c>
    </row>
    <row r="368" spans="1:3" x14ac:dyDescent="0.25">
      <c r="C368" t="s">
        <v>499</v>
      </c>
    </row>
    <row r="369" spans="1:3" x14ac:dyDescent="0.25">
      <c r="C369" t="s">
        <v>500</v>
      </c>
    </row>
    <row r="370" spans="1:3" x14ac:dyDescent="0.25">
      <c r="C370" t="s">
        <v>501</v>
      </c>
    </row>
    <row r="371" spans="1:3" ht="16.5" x14ac:dyDescent="0.25">
      <c r="C371" t="s">
        <v>486</v>
      </c>
    </row>
    <row r="372" spans="1:3" x14ac:dyDescent="0.25">
      <c r="A372" t="s">
        <v>654</v>
      </c>
      <c r="C372" t="s">
        <v>671</v>
      </c>
    </row>
    <row r="373" spans="1:3" x14ac:dyDescent="0.25">
      <c r="C373" t="s">
        <v>391</v>
      </c>
    </row>
    <row r="375" spans="1:3" x14ac:dyDescent="0.25">
      <c r="B375" t="s">
        <v>83</v>
      </c>
      <c r="C375" t="s">
        <v>386</v>
      </c>
    </row>
    <row r="376" spans="1:3" x14ac:dyDescent="0.25">
      <c r="C376" t="s">
        <v>388</v>
      </c>
    </row>
    <row r="377" spans="1:3" x14ac:dyDescent="0.25">
      <c r="C377" t="s">
        <v>545</v>
      </c>
    </row>
    <row r="378" spans="1:3" x14ac:dyDescent="0.25">
      <c r="C378" t="s">
        <v>502</v>
      </c>
    </row>
    <row r="379" spans="1:3" x14ac:dyDescent="0.25">
      <c r="A379" t="s">
        <v>654</v>
      </c>
      <c r="C379" t="s">
        <v>670</v>
      </c>
    </row>
    <row r="380" spans="1:3" x14ac:dyDescent="0.25">
      <c r="C380" t="s">
        <v>391</v>
      </c>
    </row>
    <row r="382" spans="1:3" x14ac:dyDescent="0.25">
      <c r="B382" t="s">
        <v>84</v>
      </c>
      <c r="C382" t="s">
        <v>386</v>
      </c>
    </row>
    <row r="383" spans="1:3" x14ac:dyDescent="0.25">
      <c r="C383" t="s">
        <v>388</v>
      </c>
    </row>
    <row r="384" spans="1:3" x14ac:dyDescent="0.25">
      <c r="C384" t="s">
        <v>544</v>
      </c>
    </row>
    <row r="385" spans="2:3" x14ac:dyDescent="0.25">
      <c r="C385" t="s">
        <v>391</v>
      </c>
    </row>
    <row r="387" spans="2:3" x14ac:dyDescent="0.25">
      <c r="B387" t="s">
        <v>85</v>
      </c>
      <c r="C387" t="s">
        <v>386</v>
      </c>
    </row>
    <row r="388" spans="2:3" x14ac:dyDescent="0.25">
      <c r="C388" t="s">
        <v>388</v>
      </c>
    </row>
    <row r="389" spans="2:3" x14ac:dyDescent="0.25">
      <c r="C389" t="s">
        <v>388</v>
      </c>
    </row>
    <row r="390" spans="2:3" x14ac:dyDescent="0.25">
      <c r="C390" t="s">
        <v>503</v>
      </c>
    </row>
    <row r="391" spans="2:3" x14ac:dyDescent="0.25">
      <c r="C391" t="s">
        <v>391</v>
      </c>
    </row>
    <row r="393" spans="2:3" x14ac:dyDescent="0.25">
      <c r="B393" t="s">
        <v>86</v>
      </c>
      <c r="C393" t="s">
        <v>386</v>
      </c>
    </row>
    <row r="394" spans="2:3" x14ac:dyDescent="0.25">
      <c r="C394" t="s">
        <v>388</v>
      </c>
    </row>
    <row r="395" spans="2:3" x14ac:dyDescent="0.25">
      <c r="C395" t="s">
        <v>504</v>
      </c>
    </row>
    <row r="396" spans="2:3" x14ac:dyDescent="0.25">
      <c r="C396" t="s">
        <v>434</v>
      </c>
    </row>
    <row r="397" spans="2:3" x14ac:dyDescent="0.25">
      <c r="C397" t="s">
        <v>391</v>
      </c>
    </row>
    <row r="399" spans="2:3" x14ac:dyDescent="0.25">
      <c r="B399" t="s">
        <v>87</v>
      </c>
      <c r="C399" t="s">
        <v>386</v>
      </c>
    </row>
    <row r="400" spans="2:3" x14ac:dyDescent="0.25">
      <c r="C400" t="s">
        <v>388</v>
      </c>
    </row>
    <row r="401" spans="1:3" x14ac:dyDescent="0.25">
      <c r="C401" t="s">
        <v>544</v>
      </c>
    </row>
    <row r="402" spans="1:3" x14ac:dyDescent="0.25">
      <c r="C402" t="s">
        <v>505</v>
      </c>
    </row>
    <row r="403" spans="1:3" x14ac:dyDescent="0.25">
      <c r="C403" t="s">
        <v>434</v>
      </c>
    </row>
    <row r="404" spans="1:3" x14ac:dyDescent="0.25">
      <c r="C404" t="s">
        <v>391</v>
      </c>
    </row>
    <row r="406" spans="1:3" x14ac:dyDescent="0.25">
      <c r="B406" t="s">
        <v>88</v>
      </c>
      <c r="C406" t="s">
        <v>386</v>
      </c>
    </row>
    <row r="407" spans="1:3" x14ac:dyDescent="0.25">
      <c r="C407" t="s">
        <v>388</v>
      </c>
    </row>
    <row r="408" spans="1:3" x14ac:dyDescent="0.25">
      <c r="C408" t="s">
        <v>546</v>
      </c>
    </row>
    <row r="409" spans="1:3" x14ac:dyDescent="0.25">
      <c r="C409" t="s">
        <v>506</v>
      </c>
    </row>
    <row r="410" spans="1:3" ht="16.5" x14ac:dyDescent="0.25">
      <c r="C410" t="s">
        <v>507</v>
      </c>
    </row>
    <row r="411" spans="1:3" x14ac:dyDescent="0.25">
      <c r="C411" t="s">
        <v>434</v>
      </c>
    </row>
    <row r="412" spans="1:3" x14ac:dyDescent="0.25">
      <c r="A412" t="s">
        <v>654</v>
      </c>
      <c r="C412" t="s">
        <v>672</v>
      </c>
    </row>
    <row r="413" spans="1:3" x14ac:dyDescent="0.25">
      <c r="C413" t="s">
        <v>391</v>
      </c>
    </row>
    <row r="415" spans="1:3" x14ac:dyDescent="0.25">
      <c r="B415" t="s">
        <v>89</v>
      </c>
      <c r="C415" t="s">
        <v>386</v>
      </c>
    </row>
    <row r="416" spans="1:3" x14ac:dyDescent="0.25">
      <c r="C416" t="s">
        <v>653</v>
      </c>
    </row>
    <row r="417" spans="1:3" x14ac:dyDescent="0.25">
      <c r="C417" t="s">
        <v>388</v>
      </c>
    </row>
    <row r="418" spans="1:3" ht="18" x14ac:dyDescent="0.35">
      <c r="A418" t="s">
        <v>654</v>
      </c>
      <c r="C418" t="s">
        <v>673</v>
      </c>
    </row>
    <row r="419" spans="1:3" x14ac:dyDescent="0.25">
      <c r="C419" t="s">
        <v>391</v>
      </c>
    </row>
    <row r="421" spans="1:3" x14ac:dyDescent="0.25">
      <c r="B421" t="s">
        <v>90</v>
      </c>
      <c r="C421" t="s">
        <v>386</v>
      </c>
    </row>
    <row r="422" spans="1:3" x14ac:dyDescent="0.25">
      <c r="C422" t="s">
        <v>388</v>
      </c>
    </row>
    <row r="423" spans="1:3" x14ac:dyDescent="0.25">
      <c r="C423" t="s">
        <v>508</v>
      </c>
    </row>
    <row r="424" spans="1:3" x14ac:dyDescent="0.25">
      <c r="C424" t="s">
        <v>509</v>
      </c>
    </row>
    <row r="425" spans="1:3" x14ac:dyDescent="0.25">
      <c r="C425" t="s">
        <v>391</v>
      </c>
    </row>
    <row r="427" spans="1:3" x14ac:dyDescent="0.25">
      <c r="B427" t="s">
        <v>91</v>
      </c>
      <c r="C427" t="s">
        <v>386</v>
      </c>
    </row>
    <row r="428" spans="1:3" x14ac:dyDescent="0.25">
      <c r="C428" t="s">
        <v>388</v>
      </c>
    </row>
    <row r="429" spans="1:3" x14ac:dyDescent="0.25">
      <c r="C429" t="s">
        <v>510</v>
      </c>
    </row>
    <row r="430" spans="1:3" x14ac:dyDescent="0.25">
      <c r="C430" t="s">
        <v>511</v>
      </c>
    </row>
    <row r="431" spans="1:3" x14ac:dyDescent="0.25">
      <c r="C431" t="s">
        <v>391</v>
      </c>
    </row>
    <row r="433" spans="2:3" x14ac:dyDescent="0.25">
      <c r="B433" t="s">
        <v>92</v>
      </c>
      <c r="C433" t="s">
        <v>386</v>
      </c>
    </row>
    <row r="434" spans="2:3" x14ac:dyDescent="0.25">
      <c r="C434" t="s">
        <v>388</v>
      </c>
    </row>
    <row r="435" spans="2:3" x14ac:dyDescent="0.25">
      <c r="C435" t="s">
        <v>510</v>
      </c>
    </row>
    <row r="436" spans="2:3" x14ac:dyDescent="0.25">
      <c r="C436" t="s">
        <v>512</v>
      </c>
    </row>
    <row r="437" spans="2:3" x14ac:dyDescent="0.25">
      <c r="C437" t="s">
        <v>391</v>
      </c>
    </row>
    <row r="439" spans="2:3" x14ac:dyDescent="0.25">
      <c r="B439" t="s">
        <v>93</v>
      </c>
      <c r="C439" t="s">
        <v>386</v>
      </c>
    </row>
    <row r="440" spans="2:3" x14ac:dyDescent="0.25">
      <c r="C440" t="s">
        <v>388</v>
      </c>
    </row>
    <row r="441" spans="2:3" x14ac:dyDescent="0.25">
      <c r="C441" t="s">
        <v>510</v>
      </c>
    </row>
    <row r="442" spans="2:3" x14ac:dyDescent="0.25">
      <c r="C442" t="s">
        <v>513</v>
      </c>
    </row>
    <row r="443" spans="2:3" x14ac:dyDescent="0.25">
      <c r="C443" t="s">
        <v>391</v>
      </c>
    </row>
    <row r="445" spans="2:3" x14ac:dyDescent="0.25">
      <c r="B445" t="s">
        <v>94</v>
      </c>
      <c r="C445" t="s">
        <v>386</v>
      </c>
    </row>
    <row r="446" spans="2:3" x14ac:dyDescent="0.25">
      <c r="C446" t="s">
        <v>388</v>
      </c>
    </row>
    <row r="447" spans="2:3" x14ac:dyDescent="0.25">
      <c r="C447" t="s">
        <v>510</v>
      </c>
    </row>
    <row r="448" spans="2:3" x14ac:dyDescent="0.25">
      <c r="C448" t="s">
        <v>514</v>
      </c>
    </row>
    <row r="449" spans="2:3" x14ac:dyDescent="0.25">
      <c r="C449" t="s">
        <v>391</v>
      </c>
    </row>
    <row r="451" spans="2:3" x14ac:dyDescent="0.25">
      <c r="B451" t="s">
        <v>95</v>
      </c>
      <c r="C451" t="s">
        <v>386</v>
      </c>
    </row>
    <row r="452" spans="2:3" x14ac:dyDescent="0.25">
      <c r="C452" t="s">
        <v>388</v>
      </c>
    </row>
    <row r="453" spans="2:3" x14ac:dyDescent="0.25">
      <c r="C453" t="s">
        <v>515</v>
      </c>
    </row>
    <row r="454" spans="2:3" x14ac:dyDescent="0.25">
      <c r="C454" t="s">
        <v>434</v>
      </c>
    </row>
    <row r="455" spans="2:3" x14ac:dyDescent="0.25">
      <c r="C455" t="s">
        <v>391</v>
      </c>
    </row>
    <row r="457" spans="2:3" x14ac:dyDescent="0.25">
      <c r="B457" t="s">
        <v>96</v>
      </c>
      <c r="C457" t="s">
        <v>386</v>
      </c>
    </row>
    <row r="458" spans="2:3" x14ac:dyDescent="0.25">
      <c r="C458" t="s">
        <v>388</v>
      </c>
    </row>
    <row r="459" spans="2:3" x14ac:dyDescent="0.25">
      <c r="C459" t="s">
        <v>516</v>
      </c>
    </row>
    <row r="460" spans="2:3" x14ac:dyDescent="0.25">
      <c r="C460" t="s">
        <v>391</v>
      </c>
    </row>
    <row r="462" spans="2:3" x14ac:dyDescent="0.25">
      <c r="B462" t="s">
        <v>97</v>
      </c>
      <c r="C462" t="s">
        <v>386</v>
      </c>
    </row>
    <row r="463" spans="2:3" x14ac:dyDescent="0.25">
      <c r="C463" t="s">
        <v>388</v>
      </c>
    </row>
    <row r="464" spans="2:3" x14ac:dyDescent="0.25">
      <c r="C464" t="s">
        <v>517</v>
      </c>
    </row>
    <row r="465" spans="1:3" x14ac:dyDescent="0.25">
      <c r="C465" t="s">
        <v>518</v>
      </c>
    </row>
    <row r="466" spans="1:3" x14ac:dyDescent="0.25">
      <c r="A466" t="s">
        <v>654</v>
      </c>
      <c r="C466" t="s">
        <v>674</v>
      </c>
    </row>
    <row r="467" spans="1:3" x14ac:dyDescent="0.25">
      <c r="C467" t="s">
        <v>391</v>
      </c>
    </row>
    <row r="469" spans="1:3" x14ac:dyDescent="0.25">
      <c r="B469" t="s">
        <v>98</v>
      </c>
      <c r="C469" t="s">
        <v>386</v>
      </c>
    </row>
    <row r="470" spans="1:3" x14ac:dyDescent="0.25">
      <c r="C470" t="s">
        <v>388</v>
      </c>
    </row>
    <row r="471" spans="1:3" x14ac:dyDescent="0.25">
      <c r="C471" t="s">
        <v>519</v>
      </c>
    </row>
    <row r="472" spans="1:3" x14ac:dyDescent="0.25">
      <c r="C472" t="s">
        <v>520</v>
      </c>
    </row>
    <row r="473" spans="1:3" x14ac:dyDescent="0.25">
      <c r="C473" t="s">
        <v>434</v>
      </c>
    </row>
    <row r="474" spans="1:3" x14ac:dyDescent="0.25">
      <c r="A474" t="s">
        <v>654</v>
      </c>
      <c r="C474" t="s">
        <v>675</v>
      </c>
    </row>
    <row r="475" spans="1:3" x14ac:dyDescent="0.25">
      <c r="C475" t="s">
        <v>391</v>
      </c>
    </row>
    <row r="477" spans="1:3" x14ac:dyDescent="0.25">
      <c r="B477" t="s">
        <v>99</v>
      </c>
      <c r="C477" t="s">
        <v>386</v>
      </c>
    </row>
    <row r="478" spans="1:3" x14ac:dyDescent="0.25">
      <c r="C478" t="s">
        <v>388</v>
      </c>
    </row>
    <row r="479" spans="1:3" x14ac:dyDescent="0.25">
      <c r="C479" t="s">
        <v>521</v>
      </c>
    </row>
    <row r="480" spans="1:3" x14ac:dyDescent="0.25">
      <c r="C480" t="s">
        <v>391</v>
      </c>
    </row>
    <row r="482" spans="2:3" x14ac:dyDescent="0.25">
      <c r="B482" t="s">
        <v>100</v>
      </c>
      <c r="C482" t="s">
        <v>386</v>
      </c>
    </row>
    <row r="483" spans="2:3" x14ac:dyDescent="0.25">
      <c r="C483" t="s">
        <v>388</v>
      </c>
    </row>
    <row r="484" spans="2:3" x14ac:dyDescent="0.25">
      <c r="C484" t="s">
        <v>522</v>
      </c>
    </row>
    <row r="485" spans="2:3" x14ac:dyDescent="0.25">
      <c r="C485" t="s">
        <v>523</v>
      </c>
    </row>
    <row r="486" spans="2:3" x14ac:dyDescent="0.25">
      <c r="C486" t="s">
        <v>391</v>
      </c>
    </row>
    <row r="488" spans="2:3" x14ac:dyDescent="0.25">
      <c r="B488" t="s">
        <v>101</v>
      </c>
      <c r="C488" t="s">
        <v>386</v>
      </c>
    </row>
    <row r="489" spans="2:3" x14ac:dyDescent="0.25">
      <c r="C489" t="s">
        <v>388</v>
      </c>
    </row>
    <row r="490" spans="2:3" x14ac:dyDescent="0.25">
      <c r="C490" t="s">
        <v>522</v>
      </c>
    </row>
    <row r="491" spans="2:3" x14ac:dyDescent="0.25">
      <c r="C491" t="s">
        <v>524</v>
      </c>
    </row>
    <row r="492" spans="2:3" x14ac:dyDescent="0.25">
      <c r="C492" t="s">
        <v>391</v>
      </c>
    </row>
    <row r="494" spans="2:3" x14ac:dyDescent="0.25">
      <c r="B494" t="s">
        <v>102</v>
      </c>
      <c r="C494" t="s">
        <v>386</v>
      </c>
    </row>
    <row r="495" spans="2:3" x14ac:dyDescent="0.25">
      <c r="C495" t="s">
        <v>388</v>
      </c>
    </row>
    <row r="496" spans="2:3" x14ac:dyDescent="0.25">
      <c r="C496" t="s">
        <v>525</v>
      </c>
    </row>
    <row r="497" spans="2:3" x14ac:dyDescent="0.25">
      <c r="C497" t="s">
        <v>526</v>
      </c>
    </row>
    <row r="498" spans="2:3" x14ac:dyDescent="0.25">
      <c r="C498" t="s">
        <v>391</v>
      </c>
    </row>
    <row r="500" spans="2:3" x14ac:dyDescent="0.25">
      <c r="B500" t="s">
        <v>103</v>
      </c>
      <c r="C500" t="s">
        <v>386</v>
      </c>
    </row>
    <row r="501" spans="2:3" x14ac:dyDescent="0.25">
      <c r="C501" t="s">
        <v>388</v>
      </c>
    </row>
    <row r="502" spans="2:3" x14ac:dyDescent="0.25">
      <c r="C502" t="s">
        <v>525</v>
      </c>
    </row>
    <row r="503" spans="2:3" x14ac:dyDescent="0.25">
      <c r="C503" t="s">
        <v>527</v>
      </c>
    </row>
    <row r="504" spans="2:3" x14ac:dyDescent="0.25">
      <c r="C504" t="s">
        <v>391</v>
      </c>
    </row>
    <row r="506" spans="2:3" x14ac:dyDescent="0.25">
      <c r="B506" t="s">
        <v>104</v>
      </c>
      <c r="C506" t="s">
        <v>386</v>
      </c>
    </row>
    <row r="507" spans="2:3" x14ac:dyDescent="0.25">
      <c r="C507" t="s">
        <v>388</v>
      </c>
    </row>
    <row r="508" spans="2:3" x14ac:dyDescent="0.25">
      <c r="C508" t="s">
        <v>528</v>
      </c>
    </row>
    <row r="509" spans="2:3" x14ac:dyDescent="0.25">
      <c r="C509" t="s">
        <v>391</v>
      </c>
    </row>
    <row r="511" spans="2:3" x14ac:dyDescent="0.25">
      <c r="B511" t="s">
        <v>105</v>
      </c>
      <c r="C511" t="s">
        <v>386</v>
      </c>
    </row>
    <row r="512" spans="2:3" x14ac:dyDescent="0.25">
      <c r="C512" t="s">
        <v>388</v>
      </c>
    </row>
    <row r="513" spans="2:3" x14ac:dyDescent="0.25">
      <c r="C513" t="s">
        <v>529</v>
      </c>
    </row>
    <row r="514" spans="2:3" x14ac:dyDescent="0.25">
      <c r="C514" t="s">
        <v>391</v>
      </c>
    </row>
    <row r="516" spans="2:3" x14ac:dyDescent="0.25">
      <c r="B516" t="s">
        <v>106</v>
      </c>
      <c r="C516" t="s">
        <v>386</v>
      </c>
    </row>
    <row r="517" spans="2:3" x14ac:dyDescent="0.25">
      <c r="C517" t="s">
        <v>388</v>
      </c>
    </row>
    <row r="518" spans="2:3" x14ac:dyDescent="0.25">
      <c r="C518" t="s">
        <v>530</v>
      </c>
    </row>
    <row r="519" spans="2:3" x14ac:dyDescent="0.25">
      <c r="C519" t="s">
        <v>391</v>
      </c>
    </row>
    <row r="521" spans="2:3" x14ac:dyDescent="0.25">
      <c r="B521" t="s">
        <v>107</v>
      </c>
      <c r="C521" t="s">
        <v>386</v>
      </c>
    </row>
    <row r="522" spans="2:3" x14ac:dyDescent="0.25">
      <c r="C522" t="s">
        <v>388</v>
      </c>
    </row>
    <row r="523" spans="2:3" x14ac:dyDescent="0.25">
      <c r="C523" t="s">
        <v>531</v>
      </c>
    </row>
    <row r="524" spans="2:3" x14ac:dyDescent="0.25">
      <c r="C524" t="s">
        <v>391</v>
      </c>
    </row>
    <row r="526" spans="2:3" x14ac:dyDescent="0.25">
      <c r="B526" t="s">
        <v>108</v>
      </c>
      <c r="C526" t="s">
        <v>386</v>
      </c>
    </row>
    <row r="527" spans="2:3" x14ac:dyDescent="0.25">
      <c r="C527" t="s">
        <v>388</v>
      </c>
    </row>
    <row r="528" spans="2:3" x14ac:dyDescent="0.25">
      <c r="C528" t="s">
        <v>532</v>
      </c>
    </row>
    <row r="529" spans="2:3" x14ac:dyDescent="0.25">
      <c r="C529" t="s">
        <v>391</v>
      </c>
    </row>
    <row r="531" spans="2:3" x14ac:dyDescent="0.25">
      <c r="B531" t="s">
        <v>109</v>
      </c>
      <c r="C531" t="s">
        <v>386</v>
      </c>
    </row>
    <row r="532" spans="2:3" x14ac:dyDescent="0.25">
      <c r="C532" t="s">
        <v>388</v>
      </c>
    </row>
    <row r="533" spans="2:3" x14ac:dyDescent="0.25">
      <c r="C533" t="s">
        <v>534</v>
      </c>
    </row>
    <row r="534" spans="2:3" x14ac:dyDescent="0.25">
      <c r="C534" t="s">
        <v>533</v>
      </c>
    </row>
    <row r="535" spans="2:3" x14ac:dyDescent="0.25">
      <c r="C535" t="s">
        <v>391</v>
      </c>
    </row>
    <row r="537" spans="2:3" x14ac:dyDescent="0.25">
      <c r="B537" t="s">
        <v>110</v>
      </c>
      <c r="C537" t="s">
        <v>386</v>
      </c>
    </row>
    <row r="538" spans="2:3" x14ac:dyDescent="0.25">
      <c r="C538" t="s">
        <v>388</v>
      </c>
    </row>
    <row r="539" spans="2:3" x14ac:dyDescent="0.25">
      <c r="C539" t="s">
        <v>535</v>
      </c>
    </row>
    <row r="540" spans="2:3" x14ac:dyDescent="0.25">
      <c r="C540" t="s">
        <v>533</v>
      </c>
    </row>
    <row r="541" spans="2:3" x14ac:dyDescent="0.25">
      <c r="C541" t="s">
        <v>391</v>
      </c>
    </row>
    <row r="543" spans="2:3" x14ac:dyDescent="0.25">
      <c r="B543" t="s">
        <v>536</v>
      </c>
      <c r="C543" t="s">
        <v>386</v>
      </c>
    </row>
    <row r="544" spans="2:3" x14ac:dyDescent="0.25">
      <c r="C544" t="s">
        <v>388</v>
      </c>
    </row>
    <row r="545" spans="2:3" x14ac:dyDescent="0.25">
      <c r="C545" t="s">
        <v>434</v>
      </c>
    </row>
    <row r="546" spans="2:3" x14ac:dyDescent="0.25">
      <c r="C546" t="s">
        <v>391</v>
      </c>
    </row>
    <row r="549" spans="2:3" x14ac:dyDescent="0.25">
      <c r="B549" t="s">
        <v>537</v>
      </c>
      <c r="C549" t="s">
        <v>386</v>
      </c>
    </row>
    <row r="550" spans="2:3" x14ac:dyDescent="0.25">
      <c r="C550" t="s">
        <v>388</v>
      </c>
    </row>
    <row r="551" spans="2:3" x14ac:dyDescent="0.25">
      <c r="C551" t="s">
        <v>434</v>
      </c>
    </row>
    <row r="552" spans="2:3" x14ac:dyDescent="0.25">
      <c r="C552" t="s">
        <v>391</v>
      </c>
    </row>
  </sheetData>
  <phoneticPr fontId="7" type="noConversion"/>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91D70-1DCD-4ABB-BA41-EF1B08196499}">
  <dimension ref="A1:AA36"/>
  <sheetViews>
    <sheetView showFormulas="1" topLeftCell="E1" zoomScale="85" zoomScaleNormal="85" workbookViewId="0">
      <selection activeCell="L21" sqref="L21"/>
    </sheetView>
  </sheetViews>
  <sheetFormatPr defaultColWidth="9.140625" defaultRowHeight="15" x14ac:dyDescent="0.25"/>
  <cols>
    <col min="1" max="1" width="12.140625" customWidth="1"/>
    <col min="2" max="2" width="13.140625" customWidth="1"/>
    <col min="3" max="3" width="11.140625" customWidth="1"/>
    <col min="4" max="4" width="11.42578125" customWidth="1"/>
    <col min="5" max="5" width="67.140625" bestFit="1" customWidth="1"/>
    <col min="6" max="6" width="11.140625" bestFit="1" customWidth="1"/>
    <col min="7" max="7" width="13.42578125" bestFit="1" customWidth="1"/>
    <col min="8" max="8" width="12.140625" customWidth="1"/>
    <col min="9" max="9" width="18" customWidth="1"/>
    <col min="10" max="10" width="22.85546875" customWidth="1"/>
    <col min="11" max="11" width="15.5703125" style="632" customWidth="1"/>
    <col min="12" max="12" width="50.85546875" customWidth="1"/>
    <col min="13" max="14" width="8.5703125" customWidth="1"/>
    <col min="15" max="15" width="10.85546875" customWidth="1"/>
    <col min="16" max="16" width="7.42578125" bestFit="1" customWidth="1"/>
    <col min="17" max="17" width="11.42578125" bestFit="1" customWidth="1"/>
    <col min="18" max="22" width="12.42578125" bestFit="1" customWidth="1"/>
    <col min="23" max="24" width="9.42578125" bestFit="1" customWidth="1"/>
    <col min="25" max="25" width="12.42578125" bestFit="1" customWidth="1"/>
    <col min="26" max="26" width="10.42578125" bestFit="1" customWidth="1"/>
    <col min="27" max="27" width="35.42578125" bestFit="1" customWidth="1"/>
  </cols>
  <sheetData>
    <row r="1" spans="1:27" x14ac:dyDescent="0.25">
      <c r="A1" t="s">
        <v>1721</v>
      </c>
      <c r="C1" t="s">
        <v>1722</v>
      </c>
      <c r="D1" s="496">
        <v>46247</v>
      </c>
    </row>
    <row r="2" spans="1:27" ht="33.75" x14ac:dyDescent="0.25">
      <c r="A2" s="665" t="s">
        <v>580</v>
      </c>
      <c r="B2" s="666" t="s">
        <v>1118</v>
      </c>
      <c r="C2" s="666" t="s">
        <v>726</v>
      </c>
      <c r="D2" s="666" t="s">
        <v>601</v>
      </c>
      <c r="E2" s="666" t="s">
        <v>1723</v>
      </c>
      <c r="F2" s="666" t="s">
        <v>1724</v>
      </c>
      <c r="G2" s="666" t="s">
        <v>1725</v>
      </c>
      <c r="H2" s="666" t="s">
        <v>1726</v>
      </c>
      <c r="I2" s="666" t="s">
        <v>1727</v>
      </c>
      <c r="J2" s="666" t="s">
        <v>1728</v>
      </c>
      <c r="K2" s="666" t="s">
        <v>1729</v>
      </c>
      <c r="L2" s="666" t="s">
        <v>1730</v>
      </c>
      <c r="M2" s="667"/>
      <c r="N2" s="667"/>
      <c r="O2" s="668" t="s">
        <v>1731</v>
      </c>
      <c r="P2" s="668" t="s">
        <v>348</v>
      </c>
      <c r="Q2" s="669" t="s">
        <v>1732</v>
      </c>
      <c r="R2" s="670" t="s">
        <v>1733</v>
      </c>
      <c r="S2" s="670" t="s">
        <v>1734</v>
      </c>
      <c r="T2" s="670" t="s">
        <v>1735</v>
      </c>
      <c r="U2" s="670" t="s">
        <v>1736</v>
      </c>
      <c r="V2" s="670" t="s">
        <v>1737</v>
      </c>
      <c r="W2" s="670" t="s">
        <v>1738</v>
      </c>
      <c r="X2" s="670" t="s">
        <v>1739</v>
      </c>
      <c r="Y2" s="670" t="s">
        <v>1740</v>
      </c>
      <c r="Z2" s="670" t="s">
        <v>1741</v>
      </c>
      <c r="AA2" s="671" t="s">
        <v>1742</v>
      </c>
    </row>
    <row r="3" spans="1:27" x14ac:dyDescent="0.25">
      <c r="A3" s="672" t="s">
        <v>380</v>
      </c>
      <c r="B3" s="673" t="s">
        <v>1138</v>
      </c>
      <c r="C3" s="674" t="s">
        <v>1271</v>
      </c>
      <c r="D3" s="675" t="s">
        <v>1139</v>
      </c>
      <c r="E3" s="676" t="s">
        <v>1272</v>
      </c>
      <c r="F3" s="677" t="s">
        <v>1743</v>
      </c>
      <c r="G3" s="678">
        <v>46146</v>
      </c>
      <c r="H3" s="678">
        <v>46134</v>
      </c>
      <c r="I3" s="679" t="s">
        <v>677</v>
      </c>
      <c r="J3" s="680" t="s">
        <v>1744</v>
      </c>
      <c r="K3" s="681" t="s">
        <v>1745</v>
      </c>
      <c r="L3" s="682"/>
      <c r="M3" s="683"/>
      <c r="N3" s="683"/>
      <c r="O3" s="684"/>
      <c r="P3" s="685"/>
      <c r="Q3" s="686"/>
      <c r="R3" s="686"/>
      <c r="S3" s="686"/>
      <c r="T3" s="686"/>
      <c r="U3" s="686"/>
      <c r="V3" s="686"/>
      <c r="W3" s="686"/>
      <c r="X3" s="686"/>
      <c r="Y3" s="686"/>
      <c r="Z3" s="686"/>
      <c r="AA3" s="687"/>
    </row>
    <row r="4" spans="1:27" x14ac:dyDescent="0.25">
      <c r="A4" s="672" t="s">
        <v>380</v>
      </c>
      <c r="B4" s="673" t="s">
        <v>1269</v>
      </c>
      <c r="C4" s="674" t="s">
        <v>73</v>
      </c>
      <c r="D4" s="675" t="s">
        <v>1139</v>
      </c>
      <c r="E4" s="676" t="s">
        <v>1270</v>
      </c>
      <c r="F4" s="677" t="s">
        <v>1746</v>
      </c>
      <c r="G4" s="678">
        <v>46141</v>
      </c>
      <c r="H4" s="678">
        <v>46111</v>
      </c>
      <c r="I4" s="679" t="s">
        <v>677</v>
      </c>
      <c r="J4" s="680" t="s">
        <v>1744</v>
      </c>
      <c r="K4" s="681"/>
      <c r="L4" s="682"/>
      <c r="M4" s="683"/>
      <c r="N4" s="683"/>
      <c r="O4" s="684"/>
      <c r="P4" s="685"/>
      <c r="Q4" s="686"/>
      <c r="R4" s="686"/>
      <c r="S4" s="686"/>
      <c r="T4" s="686"/>
      <c r="U4" s="686"/>
      <c r="V4" s="686"/>
      <c r="W4" s="686"/>
      <c r="X4" s="686"/>
      <c r="Y4" s="686"/>
      <c r="Z4" s="686"/>
      <c r="AA4" s="687"/>
    </row>
    <row r="5" spans="1:27" s="457" customFormat="1" x14ac:dyDescent="0.25">
      <c r="A5" s="688" t="s">
        <v>380</v>
      </c>
      <c r="B5" s="673" t="s">
        <v>1141</v>
      </c>
      <c r="C5" s="674" t="s">
        <v>74</v>
      </c>
      <c r="D5" s="673" t="s">
        <v>1139</v>
      </c>
      <c r="E5" s="673" t="s">
        <v>1142</v>
      </c>
      <c r="F5" s="689" t="s">
        <v>1746</v>
      </c>
      <c r="G5" s="690"/>
      <c r="H5" s="690">
        <v>46111</v>
      </c>
      <c r="I5" s="679" t="s">
        <v>677</v>
      </c>
      <c r="J5" s="680" t="s">
        <v>1744</v>
      </c>
      <c r="K5" s="681"/>
      <c r="L5"/>
    </row>
    <row r="6" spans="1:27" x14ac:dyDescent="0.25">
      <c r="A6" s="688" t="s">
        <v>380</v>
      </c>
      <c r="B6" s="679" t="s">
        <v>1143</v>
      </c>
      <c r="C6" s="673" t="s">
        <v>76</v>
      </c>
      <c r="D6" s="673" t="s">
        <v>1139</v>
      </c>
      <c r="E6" s="673" t="s">
        <v>1144</v>
      </c>
      <c r="F6" s="689" t="s">
        <v>1747</v>
      </c>
      <c r="G6" s="690"/>
      <c r="H6" s="690">
        <v>46111</v>
      </c>
      <c r="I6" s="679" t="s">
        <v>677</v>
      </c>
      <c r="J6" s="680" t="s">
        <v>1744</v>
      </c>
      <c r="K6" s="681"/>
      <c r="L6" s="691"/>
    </row>
    <row r="7" spans="1:27" x14ac:dyDescent="0.25">
      <c r="A7" s="688" t="s">
        <v>380</v>
      </c>
      <c r="B7" s="692" t="s">
        <v>1140</v>
      </c>
      <c r="C7" s="692" t="s">
        <v>1748</v>
      </c>
      <c r="D7" s="692" t="s">
        <v>1139</v>
      </c>
      <c r="E7" s="692" t="s">
        <v>1273</v>
      </c>
      <c r="F7" s="689" t="s">
        <v>1749</v>
      </c>
      <c r="G7" s="690">
        <v>46141</v>
      </c>
      <c r="H7" s="690">
        <v>46113</v>
      </c>
      <c r="I7" s="679" t="s">
        <v>677</v>
      </c>
      <c r="J7" s="680" t="s">
        <v>1744</v>
      </c>
      <c r="K7" s="681"/>
      <c r="L7" s="691"/>
    </row>
    <row r="8" spans="1:27" x14ac:dyDescent="0.25">
      <c r="A8" s="693" t="s">
        <v>1119</v>
      </c>
      <c r="B8" s="694" t="s">
        <v>1120</v>
      </c>
      <c r="C8" s="695" t="s">
        <v>96</v>
      </c>
      <c r="D8" s="694" t="s">
        <v>1121</v>
      </c>
      <c r="E8" s="695" t="s">
        <v>1122</v>
      </c>
      <c r="F8" s="677" t="s">
        <v>1750</v>
      </c>
      <c r="G8" s="696"/>
      <c r="H8" s="697">
        <v>46099</v>
      </c>
      <c r="I8" s="698" t="s">
        <v>709</v>
      </c>
      <c r="J8" s="699" t="s">
        <v>1744</v>
      </c>
      <c r="K8" s="700"/>
      <c r="L8" s="457"/>
    </row>
    <row r="9" spans="1:27" x14ac:dyDescent="0.25">
      <c r="A9" s="701" t="s">
        <v>1119</v>
      </c>
      <c r="B9" s="702" t="s">
        <v>1123</v>
      </c>
      <c r="C9" s="703" t="s">
        <v>98</v>
      </c>
      <c r="D9" s="702" t="s">
        <v>1121</v>
      </c>
      <c r="E9" s="703" t="s">
        <v>1124</v>
      </c>
      <c r="F9" s="677" t="s">
        <v>1750</v>
      </c>
      <c r="G9" s="704"/>
      <c r="H9" s="705">
        <v>46099</v>
      </c>
      <c r="I9" s="698" t="s">
        <v>677</v>
      </c>
      <c r="J9" s="111" t="s">
        <v>1744</v>
      </c>
      <c r="K9" s="561"/>
    </row>
    <row r="10" spans="1:27" x14ac:dyDescent="0.25">
      <c r="A10" s="672" t="s">
        <v>1119</v>
      </c>
      <c r="B10" s="675" t="s">
        <v>1123</v>
      </c>
      <c r="C10" s="676"/>
      <c r="D10" s="675" t="s">
        <v>1121</v>
      </c>
      <c r="E10" s="676" t="s">
        <v>1274</v>
      </c>
      <c r="F10" s="677" t="s">
        <v>1750</v>
      </c>
      <c r="G10" s="678"/>
      <c r="H10" s="678">
        <v>46099</v>
      </c>
      <c r="I10" s="698" t="s">
        <v>677</v>
      </c>
      <c r="J10" s="111" t="s">
        <v>1744</v>
      </c>
    </row>
    <row r="11" spans="1:27" ht="14.45" customHeight="1" x14ac:dyDescent="0.25">
      <c r="A11" s="672" t="s">
        <v>1119</v>
      </c>
      <c r="B11" s="675" t="s">
        <v>1125</v>
      </c>
      <c r="C11" s="676" t="s">
        <v>82</v>
      </c>
      <c r="D11" s="675" t="s">
        <v>1121</v>
      </c>
      <c r="E11" s="676" t="s">
        <v>1126</v>
      </c>
      <c r="F11" s="677" t="s">
        <v>1750</v>
      </c>
      <c r="G11" s="678"/>
      <c r="H11" s="678">
        <v>46099</v>
      </c>
      <c r="I11" s="698" t="s">
        <v>677</v>
      </c>
      <c r="J11" s="111" t="s">
        <v>1744</v>
      </c>
    </row>
    <row r="12" spans="1:27" x14ac:dyDescent="0.25">
      <c r="A12" s="672" t="s">
        <v>1119</v>
      </c>
      <c r="B12" s="675" t="s">
        <v>1129</v>
      </c>
      <c r="C12" s="676"/>
      <c r="D12" s="675" t="s">
        <v>1121</v>
      </c>
      <c r="E12" s="675" t="s">
        <v>1130</v>
      </c>
      <c r="F12" s="677" t="s">
        <v>1750</v>
      </c>
      <c r="G12" s="678"/>
      <c r="H12" s="678">
        <v>46098</v>
      </c>
      <c r="I12" s="698" t="s">
        <v>677</v>
      </c>
      <c r="J12" s="680" t="s">
        <v>1744</v>
      </c>
      <c r="K12" s="681"/>
    </row>
    <row r="13" spans="1:27" x14ac:dyDescent="0.25">
      <c r="A13" s="672" t="s">
        <v>1119</v>
      </c>
      <c r="B13" s="675" t="s">
        <v>1131</v>
      </c>
      <c r="C13" s="676" t="s">
        <v>1276</v>
      </c>
      <c r="D13" s="675" t="s">
        <v>1121</v>
      </c>
      <c r="E13" s="675" t="s">
        <v>1132</v>
      </c>
      <c r="F13" s="677" t="s">
        <v>1750</v>
      </c>
      <c r="G13" s="678"/>
      <c r="H13" s="678">
        <v>46098</v>
      </c>
      <c r="I13" s="698"/>
      <c r="J13" s="680" t="s">
        <v>1744</v>
      </c>
      <c r="K13" s="681"/>
    </row>
    <row r="14" spans="1:27" ht="14.45" customHeight="1" x14ac:dyDescent="0.25">
      <c r="A14" s="672" t="s">
        <v>1119</v>
      </c>
      <c r="B14" s="675" t="s">
        <v>1133</v>
      </c>
      <c r="C14" s="676" t="s">
        <v>1751</v>
      </c>
      <c r="D14" s="675" t="s">
        <v>1121</v>
      </c>
      <c r="E14" s="676" t="s">
        <v>1134</v>
      </c>
      <c r="F14" s="677" t="s">
        <v>1750</v>
      </c>
      <c r="G14" s="678"/>
      <c r="H14" s="678">
        <v>46099</v>
      </c>
      <c r="I14" s="698"/>
      <c r="J14" s="111" t="s">
        <v>1744</v>
      </c>
      <c r="K14" s="706"/>
      <c r="L14" s="691"/>
    </row>
    <row r="15" spans="1:27" x14ac:dyDescent="0.25">
      <c r="A15" s="672" t="s">
        <v>1119</v>
      </c>
      <c r="B15" s="675" t="s">
        <v>1133</v>
      </c>
      <c r="C15" s="676" t="s">
        <v>90</v>
      </c>
      <c r="D15" s="675" t="s">
        <v>1121</v>
      </c>
      <c r="E15" s="675" t="s">
        <v>1135</v>
      </c>
      <c r="F15" s="677" t="s">
        <v>1750</v>
      </c>
      <c r="G15" s="678"/>
      <c r="H15" s="678">
        <v>46099</v>
      </c>
      <c r="I15" s="698" t="s">
        <v>677</v>
      </c>
      <c r="J15" s="680" t="s">
        <v>1744</v>
      </c>
      <c r="K15" s="681"/>
    </row>
    <row r="16" spans="1:27" ht="24" x14ac:dyDescent="0.25">
      <c r="A16" s="672" t="s">
        <v>1119</v>
      </c>
      <c r="B16" s="675" t="s">
        <v>1136</v>
      </c>
      <c r="C16" s="676"/>
      <c r="D16" s="675" t="s">
        <v>1121</v>
      </c>
      <c r="E16" s="676" t="s">
        <v>1137</v>
      </c>
      <c r="F16" s="677" t="s">
        <v>1750</v>
      </c>
      <c r="G16" s="678"/>
      <c r="H16" s="678">
        <v>46099</v>
      </c>
      <c r="I16" s="698" t="s">
        <v>677</v>
      </c>
      <c r="J16" s="111" t="s">
        <v>1744</v>
      </c>
      <c r="K16" s="706"/>
      <c r="L16" s="691"/>
    </row>
    <row r="17" spans="1:12" x14ac:dyDescent="0.25">
      <c r="A17" s="672" t="s">
        <v>1119</v>
      </c>
      <c r="B17" s="550" t="s">
        <v>1275</v>
      </c>
      <c r="C17" s="675" t="s">
        <v>87</v>
      </c>
      <c r="D17" s="675" t="s">
        <v>1127</v>
      </c>
      <c r="E17" s="550" t="s">
        <v>1128</v>
      </c>
      <c r="F17" s="677" t="s">
        <v>1750</v>
      </c>
      <c r="G17" s="678"/>
      <c r="H17" s="678">
        <v>46109</v>
      </c>
      <c r="I17" s="698" t="s">
        <v>709</v>
      </c>
      <c r="J17" s="672" t="s">
        <v>1744</v>
      </c>
      <c r="K17" s="681"/>
    </row>
    <row r="18" spans="1:12" ht="14.45" customHeight="1" x14ac:dyDescent="0.25">
      <c r="A18" s="672" t="s">
        <v>381</v>
      </c>
      <c r="B18" s="702" t="s">
        <v>1145</v>
      </c>
      <c r="C18" s="703" t="s">
        <v>1752</v>
      </c>
      <c r="D18" s="675" t="s">
        <v>1146</v>
      </c>
      <c r="E18" s="676" t="s">
        <v>1147</v>
      </c>
      <c r="F18" s="677" t="s">
        <v>1753</v>
      </c>
      <c r="G18" s="678">
        <v>46219</v>
      </c>
      <c r="H18" s="678">
        <v>46091</v>
      </c>
      <c r="I18" s="672" t="s">
        <v>677</v>
      </c>
      <c r="J18" s="111" t="s">
        <v>1744</v>
      </c>
      <c r="K18" s="706" t="s">
        <v>1754</v>
      </c>
      <c r="L18" s="707" t="s">
        <v>1755</v>
      </c>
    </row>
    <row r="19" spans="1:12" ht="14.45" customHeight="1" x14ac:dyDescent="0.25">
      <c r="A19" s="691" t="s">
        <v>381</v>
      </c>
      <c r="B19" s="691" t="s">
        <v>1277</v>
      </c>
      <c r="C19" s="691" t="s">
        <v>1756</v>
      </c>
      <c r="D19" s="691"/>
      <c r="E19" s="676" t="s">
        <v>1278</v>
      </c>
      <c r="F19" s="708" t="s">
        <v>1750</v>
      </c>
      <c r="G19" s="496">
        <v>46183</v>
      </c>
      <c r="H19" s="496">
        <v>46183</v>
      </c>
      <c r="I19" s="691" t="s">
        <v>1757</v>
      </c>
      <c r="J19" s="672" t="s">
        <v>1744</v>
      </c>
      <c r="K19" s="709" t="s">
        <v>1745</v>
      </c>
      <c r="L19" s="672"/>
    </row>
    <row r="20" spans="1:12" x14ac:dyDescent="0.25">
      <c r="A20" s="672" t="s">
        <v>1758</v>
      </c>
      <c r="B20" s="672" t="s">
        <v>1758</v>
      </c>
      <c r="C20" s="672" t="s">
        <v>1758</v>
      </c>
      <c r="D20" s="672" t="s">
        <v>1758</v>
      </c>
      <c r="E20" s="709" t="s">
        <v>1425</v>
      </c>
      <c r="F20" s="677" t="s">
        <v>1758</v>
      </c>
      <c r="G20" s="678" t="s">
        <v>1758</v>
      </c>
      <c r="H20" s="678" t="s">
        <v>1758</v>
      </c>
      <c r="I20" s="672" t="s">
        <v>1758</v>
      </c>
      <c r="J20" s="672" t="s">
        <v>1758</v>
      </c>
      <c r="K20" s="709" t="s">
        <v>1758</v>
      </c>
      <c r="L20" s="672" t="s">
        <v>1758</v>
      </c>
    </row>
    <row r="21" spans="1:12" x14ac:dyDescent="0.25">
      <c r="A21" s="672"/>
      <c r="B21" s="672"/>
      <c r="C21" s="672"/>
      <c r="D21" s="672"/>
      <c r="E21" s="709"/>
      <c r="F21" s="677"/>
      <c r="G21" s="678"/>
      <c r="H21" s="678"/>
      <c r="I21" s="672"/>
      <c r="J21" s="672"/>
      <c r="K21" s="709"/>
      <c r="L21" s="672"/>
    </row>
    <row r="22" spans="1:12" x14ac:dyDescent="0.25">
      <c r="A22" s="672"/>
      <c r="B22" s="672"/>
      <c r="C22" s="672"/>
      <c r="D22" s="672"/>
      <c r="E22" s="709"/>
      <c r="F22" s="677"/>
      <c r="G22" s="678"/>
      <c r="H22" s="678"/>
      <c r="I22" s="672"/>
      <c r="J22" s="672"/>
      <c r="K22" s="709"/>
      <c r="L22" s="672"/>
    </row>
    <row r="23" spans="1:12" x14ac:dyDescent="0.25">
      <c r="A23" s="672"/>
      <c r="B23" s="672"/>
      <c r="C23" s="672"/>
      <c r="D23" s="672"/>
      <c r="E23" s="709"/>
      <c r="F23" s="677"/>
      <c r="G23" s="678"/>
      <c r="H23" s="678"/>
      <c r="I23" s="672"/>
      <c r="J23" s="672"/>
      <c r="K23" s="709"/>
      <c r="L23" s="672"/>
    </row>
    <row r="24" spans="1:12" x14ac:dyDescent="0.25">
      <c r="A24" s="672"/>
      <c r="B24" s="672"/>
      <c r="C24" s="672"/>
      <c r="D24" s="672"/>
      <c r="E24" s="709"/>
      <c r="F24" s="677"/>
      <c r="G24" s="678"/>
      <c r="H24" s="678"/>
      <c r="I24" s="672"/>
      <c r="J24" s="672"/>
      <c r="K24" s="709"/>
      <c r="L24" s="672"/>
    </row>
    <row r="25" spans="1:12" x14ac:dyDescent="0.25">
      <c r="A25" s="691"/>
      <c r="B25" s="691"/>
      <c r="C25" s="691"/>
      <c r="D25" s="691"/>
      <c r="E25" s="706"/>
      <c r="F25" s="708"/>
      <c r="G25" s="496"/>
      <c r="H25" s="496"/>
      <c r="I25" s="691"/>
      <c r="J25" s="691"/>
      <c r="K25" s="706"/>
      <c r="L25" s="691"/>
    </row>
    <row r="26" spans="1:12" x14ac:dyDescent="0.25">
      <c r="A26" s="691"/>
      <c r="B26" s="691"/>
      <c r="C26" s="672"/>
      <c r="D26" s="691"/>
      <c r="E26" s="706"/>
      <c r="F26" s="708"/>
      <c r="H26" s="496"/>
      <c r="I26" s="691"/>
      <c r="J26" s="691"/>
      <c r="K26" s="706"/>
      <c r="L26" s="691"/>
    </row>
    <row r="27" spans="1:12" x14ac:dyDescent="0.25">
      <c r="A27" s="691"/>
      <c r="B27" s="691"/>
      <c r="C27" s="672"/>
      <c r="D27" s="691"/>
      <c r="E27" s="706"/>
      <c r="F27" s="708"/>
      <c r="H27" s="496"/>
      <c r="I27" s="691"/>
      <c r="J27" s="691"/>
      <c r="K27" s="706"/>
      <c r="L27" s="691"/>
    </row>
    <row r="28" spans="1:12" x14ac:dyDescent="0.25">
      <c r="A28" s="691"/>
      <c r="B28" s="691"/>
      <c r="C28" s="672"/>
      <c r="D28" s="691"/>
      <c r="E28" s="706"/>
      <c r="F28" s="708"/>
      <c r="H28" s="496"/>
      <c r="I28" s="691"/>
      <c r="J28" s="691"/>
      <c r="K28" s="706"/>
      <c r="L28" s="691"/>
    </row>
    <row r="29" spans="1:12" x14ac:dyDescent="0.25">
      <c r="A29" s="691"/>
      <c r="B29" s="691"/>
      <c r="C29" s="672"/>
      <c r="D29" s="691"/>
      <c r="E29" s="706"/>
      <c r="F29" s="708"/>
      <c r="H29" s="496"/>
      <c r="I29" s="691"/>
      <c r="J29" s="691"/>
      <c r="K29" s="706"/>
      <c r="L29" s="691"/>
    </row>
    <row r="30" spans="1:12" x14ac:dyDescent="0.25">
      <c r="A30" s="691"/>
      <c r="B30" s="691"/>
      <c r="C30" s="672"/>
      <c r="D30" s="691"/>
      <c r="E30" s="706"/>
      <c r="F30" s="691"/>
      <c r="H30" s="496"/>
      <c r="I30" s="691"/>
      <c r="J30" s="691"/>
      <c r="K30" s="706"/>
      <c r="L30" s="691"/>
    </row>
    <row r="31" spans="1:12" ht="14.45" customHeight="1" x14ac:dyDescent="0.25"/>
    <row r="32" spans="1:12" ht="14.45" customHeight="1" x14ac:dyDescent="0.25"/>
    <row r="33" ht="14.45" customHeight="1" x14ac:dyDescent="0.25"/>
    <row r="34" ht="14.45" customHeight="1" x14ac:dyDescent="0.25"/>
    <row r="35" ht="14.45" customHeight="1" x14ac:dyDescent="0.25"/>
    <row r="36" ht="14.45" customHeight="1" x14ac:dyDescent="0.25"/>
  </sheetData>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8DC2F-1A27-4EF1-BA89-81808A382E48}">
  <dimension ref="B2:G85"/>
  <sheetViews>
    <sheetView workbookViewId="0">
      <selection activeCell="L20" sqref="L20"/>
    </sheetView>
  </sheetViews>
  <sheetFormatPr defaultColWidth="9.140625" defaultRowHeight="15" x14ac:dyDescent="0.25"/>
  <cols>
    <col min="1" max="1" width="2.85546875" customWidth="1"/>
    <col min="3" max="3" width="86" customWidth="1"/>
    <col min="4" max="4" width="18.85546875" customWidth="1"/>
    <col min="5" max="5" width="16" bestFit="1" customWidth="1"/>
    <col min="6" max="6" width="2.85546875" customWidth="1"/>
  </cols>
  <sheetData>
    <row r="2" spans="2:7" ht="16.350000000000001" customHeight="1" x14ac:dyDescent="0.25">
      <c r="B2" s="652" t="s">
        <v>360</v>
      </c>
      <c r="C2" s="62"/>
    </row>
    <row r="3" spans="2:7" ht="16.350000000000001" customHeight="1" x14ac:dyDescent="0.25">
      <c r="B3" s="653" t="s">
        <v>168</v>
      </c>
      <c r="C3" s="62" t="s">
        <v>1666</v>
      </c>
      <c r="D3" s="62" t="s">
        <v>1152</v>
      </c>
      <c r="E3" s="62" t="s">
        <v>1667</v>
      </c>
    </row>
    <row r="4" spans="2:7" ht="16.350000000000001" customHeight="1" x14ac:dyDescent="0.25">
      <c r="B4" s="320"/>
      <c r="C4" s="65" t="s">
        <v>333</v>
      </c>
      <c r="D4" s="65"/>
      <c r="E4" s="65"/>
    </row>
    <row r="5" spans="2:7" ht="16.350000000000001" customHeight="1" x14ac:dyDescent="0.25">
      <c r="B5" s="329" t="s">
        <v>72</v>
      </c>
      <c r="C5" s="654" t="s">
        <v>237</v>
      </c>
      <c r="D5" s="655" t="s">
        <v>1668</v>
      </c>
    </row>
    <row r="6" spans="2:7" ht="16.350000000000001" customHeight="1" x14ac:dyDescent="0.25">
      <c r="B6" s="65"/>
      <c r="C6" s="65" t="s">
        <v>334</v>
      </c>
      <c r="D6" s="65"/>
      <c r="E6" s="65"/>
    </row>
    <row r="7" spans="2:7" ht="16.350000000000001" customHeight="1" x14ac:dyDescent="0.25">
      <c r="B7" s="325" t="s">
        <v>73</v>
      </c>
      <c r="C7" s="656" t="s">
        <v>238</v>
      </c>
      <c r="D7" s="657" t="s">
        <v>1270</v>
      </c>
      <c r="E7" t="s">
        <v>1669</v>
      </c>
      <c r="G7">
        <v>1</v>
      </c>
    </row>
    <row r="8" spans="2:7" ht="16.350000000000001" customHeight="1" x14ac:dyDescent="0.25">
      <c r="B8" s="325"/>
      <c r="C8" s="656"/>
      <c r="D8" s="656" t="s">
        <v>1670</v>
      </c>
      <c r="E8" t="s">
        <v>813</v>
      </c>
      <c r="G8">
        <v>4</v>
      </c>
    </row>
    <row r="9" spans="2:7" ht="16.350000000000001" customHeight="1" x14ac:dyDescent="0.25">
      <c r="B9" s="329" t="s">
        <v>74</v>
      </c>
      <c r="C9" s="658" t="s">
        <v>239</v>
      </c>
      <c r="D9" s="658" t="s">
        <v>1142</v>
      </c>
      <c r="E9" t="s">
        <v>1671</v>
      </c>
      <c r="G9">
        <v>2</v>
      </c>
    </row>
    <row r="10" spans="2:7" ht="16.350000000000001" customHeight="1" x14ac:dyDescent="0.25">
      <c r="B10" s="325" t="s">
        <v>75</v>
      </c>
      <c r="C10" s="656" t="s">
        <v>240</v>
      </c>
      <c r="D10" s="656"/>
      <c r="E10" t="s">
        <v>1671</v>
      </c>
      <c r="G10">
        <v>2</v>
      </c>
    </row>
    <row r="11" spans="2:7" ht="16.350000000000001" customHeight="1" x14ac:dyDescent="0.25">
      <c r="B11" s="329" t="s">
        <v>76</v>
      </c>
      <c r="C11" s="658" t="s">
        <v>241</v>
      </c>
      <c r="D11" s="658" t="s">
        <v>1144</v>
      </c>
      <c r="E11" t="s">
        <v>1671</v>
      </c>
      <c r="G11">
        <v>2</v>
      </c>
    </row>
    <row r="12" spans="2:7" ht="16.350000000000001" customHeight="1" x14ac:dyDescent="0.25">
      <c r="B12" s="325" t="s">
        <v>77</v>
      </c>
      <c r="C12" s="656" t="s">
        <v>242</v>
      </c>
      <c r="D12" s="656" t="s">
        <v>1273</v>
      </c>
      <c r="E12" t="s">
        <v>1672</v>
      </c>
      <c r="G12">
        <v>3</v>
      </c>
    </row>
    <row r="13" spans="2:7" ht="16.350000000000001" customHeight="1" x14ac:dyDescent="0.25">
      <c r="B13" s="329" t="s">
        <v>78</v>
      </c>
      <c r="C13" s="658" t="s">
        <v>243</v>
      </c>
      <c r="D13" s="658" t="s">
        <v>1273</v>
      </c>
      <c r="E13" t="s">
        <v>1672</v>
      </c>
      <c r="G13">
        <v>3</v>
      </c>
    </row>
    <row r="14" spans="2:7" ht="16.350000000000001" customHeight="1" x14ac:dyDescent="0.25">
      <c r="B14" s="325" t="s">
        <v>79</v>
      </c>
      <c r="C14" s="656" t="s">
        <v>244</v>
      </c>
      <c r="D14" s="656"/>
      <c r="E14" t="s">
        <v>1671</v>
      </c>
      <c r="G14">
        <v>2</v>
      </c>
    </row>
    <row r="15" spans="2:7" ht="16.350000000000001" customHeight="1" x14ac:dyDescent="0.25">
      <c r="B15" s="329" t="s">
        <v>80</v>
      </c>
      <c r="C15" s="658" t="s">
        <v>245</v>
      </c>
      <c r="D15" s="658"/>
      <c r="E15" t="s">
        <v>1671</v>
      </c>
      <c r="G15">
        <v>2</v>
      </c>
    </row>
    <row r="16" spans="2:7" ht="16.350000000000001" customHeight="1" x14ac:dyDescent="0.25">
      <c r="B16" s="65"/>
      <c r="C16" s="65" t="s">
        <v>335</v>
      </c>
      <c r="D16" s="65"/>
      <c r="E16" s="65"/>
    </row>
    <row r="17" spans="2:7" ht="16.350000000000001" customHeight="1" x14ac:dyDescent="0.25">
      <c r="B17" s="325" t="s">
        <v>81</v>
      </c>
      <c r="C17" s="656" t="s">
        <v>246</v>
      </c>
      <c r="D17" s="656" t="s">
        <v>1673</v>
      </c>
      <c r="E17" t="s">
        <v>1669</v>
      </c>
      <c r="G17">
        <v>1</v>
      </c>
    </row>
    <row r="18" spans="2:7" ht="16.350000000000001" customHeight="1" x14ac:dyDescent="0.25">
      <c r="B18" s="329" t="s">
        <v>82</v>
      </c>
      <c r="C18" s="658" t="s">
        <v>247</v>
      </c>
      <c r="D18" s="658" t="s">
        <v>1126</v>
      </c>
      <c r="E18" t="s">
        <v>813</v>
      </c>
      <c r="G18">
        <v>4</v>
      </c>
    </row>
    <row r="19" spans="2:7" ht="16.350000000000001" customHeight="1" x14ac:dyDescent="0.25">
      <c r="B19" s="325" t="s">
        <v>83</v>
      </c>
      <c r="C19" s="656" t="s">
        <v>248</v>
      </c>
      <c r="D19" s="656" t="s">
        <v>1673</v>
      </c>
      <c r="E19" t="s">
        <v>1669</v>
      </c>
      <c r="G19">
        <v>1</v>
      </c>
    </row>
    <row r="20" spans="2:7" ht="16.350000000000001" customHeight="1" x14ac:dyDescent="0.25">
      <c r="B20" s="329" t="s">
        <v>84</v>
      </c>
      <c r="C20" s="658" t="s">
        <v>249</v>
      </c>
      <c r="D20" s="658" t="s">
        <v>1132</v>
      </c>
      <c r="E20" t="s">
        <v>1669</v>
      </c>
      <c r="G20">
        <v>1</v>
      </c>
    </row>
    <row r="21" spans="2:7" ht="16.350000000000001" customHeight="1" x14ac:dyDescent="0.25">
      <c r="B21" s="325" t="s">
        <v>85</v>
      </c>
      <c r="C21" s="656" t="s">
        <v>250</v>
      </c>
      <c r="D21" s="656"/>
      <c r="E21" t="s">
        <v>1669</v>
      </c>
      <c r="G21">
        <v>1</v>
      </c>
    </row>
    <row r="22" spans="2:7" ht="16.350000000000001" customHeight="1" x14ac:dyDescent="0.25">
      <c r="B22" s="329" t="s">
        <v>86</v>
      </c>
      <c r="C22" s="658" t="s">
        <v>251</v>
      </c>
      <c r="D22" s="658"/>
      <c r="E22" t="s">
        <v>1669</v>
      </c>
      <c r="G22">
        <v>1</v>
      </c>
    </row>
    <row r="23" spans="2:7" ht="16.350000000000001" customHeight="1" x14ac:dyDescent="0.25">
      <c r="B23" s="325" t="s">
        <v>87</v>
      </c>
      <c r="C23" s="656" t="s">
        <v>252</v>
      </c>
      <c r="D23" s="656" t="s">
        <v>1128</v>
      </c>
      <c r="E23" t="s">
        <v>1669</v>
      </c>
      <c r="G23">
        <v>1</v>
      </c>
    </row>
    <row r="24" spans="2:7" ht="16.350000000000001" customHeight="1" x14ac:dyDescent="0.25">
      <c r="B24" s="329" t="s">
        <v>88</v>
      </c>
      <c r="C24" s="658" t="s">
        <v>253</v>
      </c>
      <c r="D24" s="658"/>
      <c r="E24" t="s">
        <v>1672</v>
      </c>
      <c r="G24">
        <v>3</v>
      </c>
    </row>
    <row r="25" spans="2:7" ht="16.350000000000001" customHeight="1" x14ac:dyDescent="0.25">
      <c r="B25" s="65"/>
      <c r="C25" s="65" t="s">
        <v>336</v>
      </c>
      <c r="D25" s="65"/>
      <c r="E25" s="65"/>
    </row>
    <row r="26" spans="2:7" ht="16.350000000000001" customHeight="1" x14ac:dyDescent="0.25">
      <c r="B26" s="325" t="s">
        <v>89</v>
      </c>
      <c r="C26" s="656" t="s">
        <v>254</v>
      </c>
      <c r="D26" s="656" t="s">
        <v>1673</v>
      </c>
      <c r="E26" t="s">
        <v>1669</v>
      </c>
      <c r="G26">
        <v>1</v>
      </c>
    </row>
    <row r="27" spans="2:7" ht="16.350000000000001" customHeight="1" x14ac:dyDescent="0.25">
      <c r="B27" s="329" t="s">
        <v>90</v>
      </c>
      <c r="C27" s="658" t="s">
        <v>255</v>
      </c>
      <c r="D27" s="658" t="s">
        <v>1135</v>
      </c>
      <c r="E27" t="s">
        <v>813</v>
      </c>
      <c r="G27">
        <v>4</v>
      </c>
    </row>
    <row r="28" spans="2:7" ht="16.350000000000001" customHeight="1" x14ac:dyDescent="0.25">
      <c r="B28" s="325" t="s">
        <v>91</v>
      </c>
      <c r="C28" s="656" t="s">
        <v>256</v>
      </c>
      <c r="D28" s="656"/>
      <c r="E28" t="s">
        <v>813</v>
      </c>
      <c r="G28">
        <v>4</v>
      </c>
    </row>
    <row r="29" spans="2:7" ht="16.350000000000001" customHeight="1" x14ac:dyDescent="0.25">
      <c r="B29" s="329" t="s">
        <v>92</v>
      </c>
      <c r="C29" s="658" t="s">
        <v>257</v>
      </c>
      <c r="D29" s="658" t="s">
        <v>1134</v>
      </c>
      <c r="E29" t="s">
        <v>813</v>
      </c>
      <c r="G29">
        <v>4</v>
      </c>
    </row>
    <row r="30" spans="2:7" ht="16.350000000000001" customHeight="1" x14ac:dyDescent="0.25">
      <c r="B30" s="325" t="s">
        <v>93</v>
      </c>
      <c r="C30" s="656" t="s">
        <v>258</v>
      </c>
      <c r="D30" s="656" t="s">
        <v>1134</v>
      </c>
      <c r="E30" t="s">
        <v>813</v>
      </c>
      <c r="G30">
        <v>4</v>
      </c>
    </row>
    <row r="31" spans="2:7" ht="16.350000000000001" customHeight="1" x14ac:dyDescent="0.25">
      <c r="B31" s="329" t="s">
        <v>94</v>
      </c>
      <c r="C31" s="658" t="s">
        <v>259</v>
      </c>
      <c r="D31" s="658" t="s">
        <v>1134</v>
      </c>
      <c r="E31" t="s">
        <v>813</v>
      </c>
      <c r="G31">
        <v>4</v>
      </c>
    </row>
    <row r="32" spans="2:7" ht="16.350000000000001" customHeight="1" x14ac:dyDescent="0.25">
      <c r="B32" s="325" t="s">
        <v>95</v>
      </c>
      <c r="C32" s="656" t="s">
        <v>260</v>
      </c>
      <c r="D32" s="656" t="s">
        <v>1134</v>
      </c>
      <c r="E32" t="s">
        <v>813</v>
      </c>
      <c r="G32">
        <v>4</v>
      </c>
    </row>
    <row r="33" spans="2:7" ht="16.350000000000001" customHeight="1" x14ac:dyDescent="0.25">
      <c r="B33" s="65"/>
      <c r="C33" s="65" t="s">
        <v>337</v>
      </c>
      <c r="D33" s="65"/>
      <c r="E33" s="65"/>
    </row>
    <row r="34" spans="2:7" ht="16.350000000000001" customHeight="1" x14ac:dyDescent="0.25">
      <c r="B34" s="329" t="s">
        <v>96</v>
      </c>
      <c r="C34" s="658" t="s">
        <v>261</v>
      </c>
      <c r="D34" s="658" t="s">
        <v>1122</v>
      </c>
      <c r="E34" t="s">
        <v>1669</v>
      </c>
      <c r="G34">
        <v>1</v>
      </c>
    </row>
    <row r="35" spans="2:7" ht="16.350000000000001" customHeight="1" x14ac:dyDescent="0.25">
      <c r="B35" s="325" t="s">
        <v>97</v>
      </c>
      <c r="C35" s="656" t="s">
        <v>262</v>
      </c>
      <c r="D35" s="656"/>
      <c r="E35" t="s">
        <v>1671</v>
      </c>
      <c r="G35">
        <v>2</v>
      </c>
    </row>
    <row r="36" spans="2:7" ht="16.350000000000001" customHeight="1" x14ac:dyDescent="0.25">
      <c r="B36" s="329" t="s">
        <v>98</v>
      </c>
      <c r="C36" s="658" t="s">
        <v>263</v>
      </c>
      <c r="D36" s="658" t="s">
        <v>1124</v>
      </c>
      <c r="E36" t="s">
        <v>813</v>
      </c>
      <c r="G36">
        <v>4</v>
      </c>
    </row>
    <row r="37" spans="2:7" ht="16.350000000000001" customHeight="1" x14ac:dyDescent="0.25">
      <c r="B37" s="65"/>
      <c r="C37" s="65" t="s">
        <v>338</v>
      </c>
      <c r="D37" s="65"/>
      <c r="E37" s="65"/>
    </row>
    <row r="38" spans="2:7" ht="16.350000000000001" customHeight="1" x14ac:dyDescent="0.25">
      <c r="B38" s="325" t="s">
        <v>99</v>
      </c>
      <c r="C38" s="656" t="s">
        <v>264</v>
      </c>
      <c r="D38" s="656" t="s">
        <v>1147</v>
      </c>
      <c r="E38" t="s">
        <v>813</v>
      </c>
      <c r="G38">
        <v>4</v>
      </c>
    </row>
    <row r="39" spans="2:7" ht="16.350000000000001" customHeight="1" x14ac:dyDescent="0.25">
      <c r="B39" s="329" t="s">
        <v>100</v>
      </c>
      <c r="C39" s="658" t="s">
        <v>265</v>
      </c>
      <c r="D39" s="658" t="s">
        <v>1147</v>
      </c>
      <c r="E39" t="s">
        <v>813</v>
      </c>
      <c r="G39">
        <v>4</v>
      </c>
    </row>
    <row r="40" spans="2:7" ht="16.350000000000001" customHeight="1" x14ac:dyDescent="0.25">
      <c r="B40" s="325" t="s">
        <v>101</v>
      </c>
      <c r="C40" s="656" t="s">
        <v>266</v>
      </c>
      <c r="D40" s="656" t="s">
        <v>1147</v>
      </c>
      <c r="E40" t="s">
        <v>813</v>
      </c>
      <c r="G40">
        <v>4</v>
      </c>
    </row>
    <row r="41" spans="2:7" ht="16.350000000000001" customHeight="1" x14ac:dyDescent="0.25">
      <c r="B41" s="329" t="s">
        <v>102</v>
      </c>
      <c r="C41" s="658" t="s">
        <v>267</v>
      </c>
      <c r="D41" s="658" t="s">
        <v>1147</v>
      </c>
      <c r="E41" t="s">
        <v>813</v>
      </c>
      <c r="G41">
        <v>4</v>
      </c>
    </row>
    <row r="42" spans="2:7" ht="16.350000000000001" customHeight="1" x14ac:dyDescent="0.25">
      <c r="B42" s="325" t="s">
        <v>103</v>
      </c>
      <c r="C42" s="656" t="s">
        <v>268</v>
      </c>
      <c r="D42" s="656" t="s">
        <v>1147</v>
      </c>
      <c r="E42" t="s">
        <v>813</v>
      </c>
      <c r="G42">
        <v>4</v>
      </c>
    </row>
    <row r="43" spans="2:7" ht="16.350000000000001" customHeight="1" x14ac:dyDescent="0.25">
      <c r="B43" s="329" t="s">
        <v>104</v>
      </c>
      <c r="C43" s="658" t="s">
        <v>269</v>
      </c>
      <c r="D43" s="658" t="s">
        <v>1147</v>
      </c>
      <c r="E43" t="s">
        <v>813</v>
      </c>
      <c r="G43">
        <v>4</v>
      </c>
    </row>
    <row r="44" spans="2:7" ht="16.350000000000001" customHeight="1" x14ac:dyDescent="0.25">
      <c r="B44" s="325" t="s">
        <v>105</v>
      </c>
      <c r="C44" s="656" t="s">
        <v>270</v>
      </c>
      <c r="D44" s="656" t="s">
        <v>1147</v>
      </c>
      <c r="E44" t="s">
        <v>813</v>
      </c>
      <c r="G44">
        <v>4</v>
      </c>
    </row>
    <row r="45" spans="2:7" ht="16.350000000000001" customHeight="1" x14ac:dyDescent="0.25">
      <c r="B45" s="329" t="s">
        <v>106</v>
      </c>
      <c r="C45" s="658" t="s">
        <v>271</v>
      </c>
      <c r="D45" s="658" t="s">
        <v>1147</v>
      </c>
      <c r="E45" t="s">
        <v>813</v>
      </c>
      <c r="G45">
        <v>4</v>
      </c>
    </row>
    <row r="46" spans="2:7" ht="16.350000000000001" customHeight="1" x14ac:dyDescent="0.25">
      <c r="B46" s="325" t="s">
        <v>107</v>
      </c>
      <c r="C46" s="656" t="s">
        <v>272</v>
      </c>
      <c r="D46" s="656" t="s">
        <v>1147</v>
      </c>
      <c r="E46" t="s">
        <v>813</v>
      </c>
      <c r="G46">
        <v>4</v>
      </c>
    </row>
    <row r="47" spans="2:7" ht="16.350000000000001" customHeight="1" x14ac:dyDescent="0.25">
      <c r="B47" s="329" t="s">
        <v>108</v>
      </c>
      <c r="C47" s="658" t="s">
        <v>273</v>
      </c>
      <c r="D47" s="658" t="s">
        <v>1147</v>
      </c>
      <c r="E47" t="s">
        <v>813</v>
      </c>
      <c r="G47">
        <v>4</v>
      </c>
    </row>
    <row r="48" spans="2:7" ht="16.350000000000001" customHeight="1" x14ac:dyDescent="0.25">
      <c r="B48" s="325" t="s">
        <v>109</v>
      </c>
      <c r="C48" s="656" t="s">
        <v>274</v>
      </c>
      <c r="D48" s="656" t="s">
        <v>1147</v>
      </c>
      <c r="E48" t="s">
        <v>813</v>
      </c>
      <c r="G48">
        <v>4</v>
      </c>
    </row>
    <row r="49" spans="2:7" ht="16.350000000000001" customHeight="1" x14ac:dyDescent="0.25">
      <c r="B49" s="329" t="s">
        <v>110</v>
      </c>
      <c r="C49" s="658" t="s">
        <v>275</v>
      </c>
      <c r="D49" s="658" t="s">
        <v>1147</v>
      </c>
      <c r="E49" t="s">
        <v>813</v>
      </c>
      <c r="G49">
        <v>4</v>
      </c>
    </row>
    <row r="50" spans="2:7" ht="16.350000000000001" customHeight="1" x14ac:dyDescent="0.25">
      <c r="B50" s="325" t="s">
        <v>111</v>
      </c>
      <c r="C50" s="656" t="s">
        <v>276</v>
      </c>
      <c r="D50" s="656" t="s">
        <v>1147</v>
      </c>
      <c r="E50" t="s">
        <v>813</v>
      </c>
      <c r="G50">
        <v>4</v>
      </c>
    </row>
    <row r="51" spans="2:7" ht="16.350000000000001" customHeight="1" x14ac:dyDescent="0.25">
      <c r="B51" s="329" t="s">
        <v>112</v>
      </c>
      <c r="C51" s="658" t="s">
        <v>277</v>
      </c>
      <c r="D51" s="658" t="s">
        <v>1147</v>
      </c>
      <c r="E51" t="s">
        <v>813</v>
      </c>
      <c r="G51">
        <v>4</v>
      </c>
    </row>
    <row r="52" spans="2:7" ht="16.350000000000001" customHeight="1" x14ac:dyDescent="0.25">
      <c r="B52" s="325" t="s">
        <v>113</v>
      </c>
      <c r="C52" s="656" t="s">
        <v>278</v>
      </c>
      <c r="D52" s="656" t="s">
        <v>1147</v>
      </c>
      <c r="E52" t="s">
        <v>813</v>
      </c>
      <c r="G52">
        <v>4</v>
      </c>
    </row>
    <row r="53" spans="2:7" ht="16.350000000000001" customHeight="1" x14ac:dyDescent="0.25">
      <c r="B53" s="65"/>
      <c r="C53" s="65" t="s">
        <v>339</v>
      </c>
      <c r="D53" s="65"/>
      <c r="E53" s="65"/>
    </row>
    <row r="54" spans="2:7" ht="16.350000000000001" customHeight="1" x14ac:dyDescent="0.25">
      <c r="B54" s="325" t="s">
        <v>114</v>
      </c>
      <c r="C54" s="656" t="s">
        <v>279</v>
      </c>
      <c r="D54" s="656" t="s">
        <v>1278</v>
      </c>
      <c r="E54" t="s">
        <v>1669</v>
      </c>
      <c r="G54">
        <v>1</v>
      </c>
    </row>
    <row r="55" spans="2:7" ht="16.350000000000001" customHeight="1" x14ac:dyDescent="0.25">
      <c r="B55" s="329" t="s">
        <v>115</v>
      </c>
      <c r="C55" s="658" t="s">
        <v>280</v>
      </c>
      <c r="D55" s="658" t="s">
        <v>1278</v>
      </c>
      <c r="E55" t="s">
        <v>1669</v>
      </c>
      <c r="G55">
        <v>1</v>
      </c>
    </row>
    <row r="56" spans="2:7" ht="16.350000000000001" customHeight="1" x14ac:dyDescent="0.25">
      <c r="B56" s="325" t="s">
        <v>116</v>
      </c>
      <c r="C56" s="656" t="s">
        <v>281</v>
      </c>
      <c r="D56" s="656" t="s">
        <v>1278</v>
      </c>
      <c r="E56" t="s">
        <v>1669</v>
      </c>
      <c r="G56">
        <v>1</v>
      </c>
    </row>
    <row r="57" spans="2:7" ht="16.350000000000001" customHeight="1" x14ac:dyDescent="0.25">
      <c r="B57" s="329" t="s">
        <v>117</v>
      </c>
      <c r="C57" s="658" t="s">
        <v>282</v>
      </c>
      <c r="D57" s="658" t="s">
        <v>1278</v>
      </c>
      <c r="E57" t="s">
        <v>1669</v>
      </c>
      <c r="G57">
        <v>1</v>
      </c>
    </row>
    <row r="58" spans="2:7" ht="16.350000000000001" customHeight="1" x14ac:dyDescent="0.25">
      <c r="B58" s="65"/>
      <c r="C58" s="65" t="s">
        <v>332</v>
      </c>
      <c r="D58" s="65"/>
      <c r="E58" s="65"/>
    </row>
    <row r="59" spans="2:7" ht="16.350000000000001" customHeight="1" x14ac:dyDescent="0.25">
      <c r="B59" s="659" t="s">
        <v>118</v>
      </c>
      <c r="C59" s="660" t="s">
        <v>236</v>
      </c>
      <c r="D59" s="660" t="s">
        <v>1674</v>
      </c>
      <c r="E59" t="s">
        <v>1671</v>
      </c>
      <c r="G59">
        <v>2</v>
      </c>
    </row>
    <row r="60" spans="2:7" x14ac:dyDescent="0.25">
      <c r="B60" s="661" t="s">
        <v>334</v>
      </c>
      <c r="D60" s="65"/>
    </row>
    <row r="61" spans="2:7" x14ac:dyDescent="0.25">
      <c r="B61" s="325" t="s">
        <v>1675</v>
      </c>
      <c r="C61" s="656" t="s">
        <v>1676</v>
      </c>
      <c r="D61" s="325" t="s">
        <v>1272</v>
      </c>
      <c r="E61" t="s">
        <v>1669</v>
      </c>
      <c r="G61">
        <v>1</v>
      </c>
    </row>
    <row r="62" spans="2:7" x14ac:dyDescent="0.25">
      <c r="B62" s="329" t="s">
        <v>1677</v>
      </c>
      <c r="C62" s="658" t="s">
        <v>1678</v>
      </c>
      <c r="D62" s="329" t="s">
        <v>1272</v>
      </c>
      <c r="E62" t="s">
        <v>1669</v>
      </c>
      <c r="G62">
        <v>1</v>
      </c>
    </row>
    <row r="63" spans="2:7" x14ac:dyDescent="0.25">
      <c r="B63" s="325" t="s">
        <v>1679</v>
      </c>
      <c r="C63" s="656" t="s">
        <v>1680</v>
      </c>
      <c r="D63" s="325" t="s">
        <v>1272</v>
      </c>
      <c r="E63" t="s">
        <v>1669</v>
      </c>
      <c r="G63">
        <v>1</v>
      </c>
    </row>
    <row r="64" spans="2:7" ht="15" customHeight="1" x14ac:dyDescent="0.25">
      <c r="B64" s="329" t="s">
        <v>1681</v>
      </c>
      <c r="C64" s="658" t="s">
        <v>1682</v>
      </c>
      <c r="D64" s="658" t="s">
        <v>1144</v>
      </c>
      <c r="E64" t="s">
        <v>1671</v>
      </c>
      <c r="G64">
        <v>2</v>
      </c>
    </row>
    <row r="65" spans="2:7" ht="15" customHeight="1" x14ac:dyDescent="0.25">
      <c r="B65" s="325" t="s">
        <v>1683</v>
      </c>
      <c r="C65" s="656" t="s">
        <v>1684</v>
      </c>
      <c r="D65" s="656" t="s">
        <v>1144</v>
      </c>
      <c r="E65" t="s">
        <v>1671</v>
      </c>
      <c r="G65">
        <v>2</v>
      </c>
    </row>
    <row r="66" spans="2:7" ht="15" customHeight="1" x14ac:dyDescent="0.25">
      <c r="B66" s="329" t="s">
        <v>1685</v>
      </c>
      <c r="C66" s="658" t="s">
        <v>1686</v>
      </c>
      <c r="D66" s="658" t="s">
        <v>1687</v>
      </c>
      <c r="E66" t="s">
        <v>1671</v>
      </c>
      <c r="G66">
        <v>2</v>
      </c>
    </row>
    <row r="67" spans="2:7" ht="15" customHeight="1" x14ac:dyDescent="0.25">
      <c r="B67" s="325" t="s">
        <v>1688</v>
      </c>
      <c r="C67" s="656" t="s">
        <v>1689</v>
      </c>
      <c r="D67" s="656" t="s">
        <v>1687</v>
      </c>
      <c r="E67" t="s">
        <v>1671</v>
      </c>
      <c r="G67">
        <v>2</v>
      </c>
    </row>
    <row r="68" spans="2:7" ht="15" customHeight="1" x14ac:dyDescent="0.25">
      <c r="B68" s="329" t="s">
        <v>1690</v>
      </c>
      <c r="C68" s="658" t="s">
        <v>1691</v>
      </c>
      <c r="D68" s="658" t="s">
        <v>1687</v>
      </c>
      <c r="E68" t="s">
        <v>1671</v>
      </c>
      <c r="G68">
        <v>2</v>
      </c>
    </row>
    <row r="69" spans="2:7" ht="15" customHeight="1" x14ac:dyDescent="0.25">
      <c r="B69" s="325" t="s">
        <v>1692</v>
      </c>
      <c r="C69" s="656" t="s">
        <v>1693</v>
      </c>
      <c r="D69" s="656" t="s">
        <v>1144</v>
      </c>
      <c r="E69" t="s">
        <v>1671</v>
      </c>
      <c r="G69">
        <v>2</v>
      </c>
    </row>
    <row r="70" spans="2:7" ht="15" customHeight="1" x14ac:dyDescent="0.25">
      <c r="B70" s="329" t="s">
        <v>1694</v>
      </c>
      <c r="C70" s="658" t="s">
        <v>1695</v>
      </c>
      <c r="D70" s="658"/>
    </row>
    <row r="71" spans="2:7" ht="15" customHeight="1" x14ac:dyDescent="0.25">
      <c r="B71" s="325" t="s">
        <v>1696</v>
      </c>
      <c r="C71" s="656" t="s">
        <v>1697</v>
      </c>
      <c r="D71" s="656"/>
    </row>
    <row r="72" spans="2:7" ht="15" customHeight="1" x14ac:dyDescent="0.25">
      <c r="B72" s="329" t="s">
        <v>1698</v>
      </c>
      <c r="C72" s="662" t="s">
        <v>1699</v>
      </c>
      <c r="D72" s="656" t="s">
        <v>1273</v>
      </c>
      <c r="E72" t="s">
        <v>1672</v>
      </c>
      <c r="G72">
        <v>3</v>
      </c>
    </row>
    <row r="73" spans="2:7" ht="15" customHeight="1" x14ac:dyDescent="0.25">
      <c r="B73" s="325" t="s">
        <v>1700</v>
      </c>
      <c r="C73" s="663" t="s">
        <v>1701</v>
      </c>
      <c r="D73" s="656" t="s">
        <v>1273</v>
      </c>
      <c r="E73" t="s">
        <v>1672</v>
      </c>
      <c r="G73">
        <v>3</v>
      </c>
    </row>
    <row r="74" spans="2:7" ht="15" customHeight="1" x14ac:dyDescent="0.25">
      <c r="B74" s="329" t="s">
        <v>1702</v>
      </c>
      <c r="C74" s="662" t="s">
        <v>1703</v>
      </c>
      <c r="D74" s="658"/>
    </row>
    <row r="75" spans="2:7" ht="15" customHeight="1" x14ac:dyDescent="0.25">
      <c r="B75" s="661" t="s">
        <v>335</v>
      </c>
      <c r="C75" s="664"/>
      <c r="D75" s="656"/>
    </row>
    <row r="76" spans="2:7" ht="15" customHeight="1" x14ac:dyDescent="0.25">
      <c r="B76" s="329" t="s">
        <v>1704</v>
      </c>
      <c r="C76" s="662" t="s">
        <v>1705</v>
      </c>
      <c r="D76" s="658" t="s">
        <v>1126</v>
      </c>
      <c r="E76" t="s">
        <v>813</v>
      </c>
      <c r="G76">
        <v>4</v>
      </c>
    </row>
    <row r="77" spans="2:7" ht="15" customHeight="1" x14ac:dyDescent="0.25">
      <c r="B77" s="325" t="s">
        <v>1706</v>
      </c>
      <c r="C77" s="663" t="s">
        <v>1707</v>
      </c>
      <c r="D77" s="656" t="s">
        <v>1126</v>
      </c>
      <c r="E77" t="s">
        <v>813</v>
      </c>
      <c r="G77">
        <v>4</v>
      </c>
    </row>
    <row r="78" spans="2:7" ht="15" customHeight="1" x14ac:dyDescent="0.25">
      <c r="B78" s="329" t="s">
        <v>1708</v>
      </c>
      <c r="C78" s="662" t="s">
        <v>1709</v>
      </c>
      <c r="D78" s="658"/>
    </row>
    <row r="79" spans="2:7" ht="15" customHeight="1" x14ac:dyDescent="0.25">
      <c r="B79" s="325" t="s">
        <v>1710</v>
      </c>
      <c r="C79" s="656" t="s">
        <v>1711</v>
      </c>
      <c r="D79" s="656"/>
    </row>
    <row r="80" spans="2:7" ht="15" customHeight="1" x14ac:dyDescent="0.25">
      <c r="B80" s="661" t="s">
        <v>337</v>
      </c>
      <c r="C80" s="664"/>
      <c r="D80" s="658"/>
    </row>
    <row r="81" spans="2:7" ht="15" customHeight="1" x14ac:dyDescent="0.25">
      <c r="B81" s="325" t="s">
        <v>1712</v>
      </c>
      <c r="C81" s="663" t="s">
        <v>1713</v>
      </c>
      <c r="D81" s="656" t="s">
        <v>1274</v>
      </c>
      <c r="E81" t="s">
        <v>813</v>
      </c>
      <c r="G81">
        <v>4</v>
      </c>
    </row>
    <row r="82" spans="2:7" ht="15" customHeight="1" x14ac:dyDescent="0.25">
      <c r="B82" s="329" t="s">
        <v>1714</v>
      </c>
      <c r="C82" s="662" t="s">
        <v>1715</v>
      </c>
      <c r="D82" s="658" t="s">
        <v>1274</v>
      </c>
      <c r="E82" t="s">
        <v>813</v>
      </c>
      <c r="G82">
        <v>4</v>
      </c>
    </row>
    <row r="83" spans="2:7" ht="15" customHeight="1" x14ac:dyDescent="0.25">
      <c r="B83" s="661" t="s">
        <v>336</v>
      </c>
      <c r="C83" s="664"/>
      <c r="D83" s="656"/>
    </row>
    <row r="84" spans="2:7" ht="15" customHeight="1" x14ac:dyDescent="0.25">
      <c r="B84" s="329" t="s">
        <v>1716</v>
      </c>
      <c r="C84" s="662" t="s">
        <v>1717</v>
      </c>
      <c r="D84" s="658"/>
    </row>
    <row r="85" spans="2:7" ht="15" customHeight="1" x14ac:dyDescent="0.25">
      <c r="B85" s="325" t="s">
        <v>1718</v>
      </c>
      <c r="C85" s="663" t="s">
        <v>1719</v>
      </c>
      <c r="D85" s="656" t="s">
        <v>1137</v>
      </c>
      <c r="E85" t="s">
        <v>1720</v>
      </c>
      <c r="G85">
        <v>5</v>
      </c>
    </row>
  </sheetData>
  <conditionalFormatting sqref="E5 E7:E15 E17:E24 E26:E32 E34:E36 E38:E52 E54:E57 E59 E61:E69 E81:E82 E85">
    <cfRule type="cellIs" dxfId="38" priority="11" operator="equal">
      <formula>"Niet bruikbaar"</formula>
    </cfRule>
    <cfRule type="cellIs" dxfId="37" priority="12" operator="equal">
      <formula>"Ernstig"</formula>
    </cfRule>
    <cfRule type="cellIs" dxfId="36" priority="13" operator="equal">
      <formula>"Merkbaar"</formula>
    </cfRule>
    <cfRule type="cellIs" dxfId="35" priority="14" operator="equal">
      <formula>"Beperkt"</formula>
    </cfRule>
    <cfRule type="cellIs" dxfId="34" priority="15" operator="equal">
      <formula>"Verwaarloosbaar"</formula>
    </cfRule>
  </conditionalFormatting>
  <conditionalFormatting sqref="E72:E73">
    <cfRule type="cellIs" dxfId="33" priority="6" operator="equal">
      <formula>"Niet bruikbaar"</formula>
    </cfRule>
    <cfRule type="cellIs" dxfId="32" priority="7" operator="equal">
      <formula>"Ernstig"</formula>
    </cfRule>
    <cfRule type="cellIs" dxfId="31" priority="8" operator="equal">
      <formula>"Merkbaar"</formula>
    </cfRule>
    <cfRule type="cellIs" dxfId="30" priority="9" operator="equal">
      <formula>"Beperkt"</formula>
    </cfRule>
    <cfRule type="cellIs" dxfId="29" priority="10" operator="equal">
      <formula>"Verwaarloosbaar"</formula>
    </cfRule>
  </conditionalFormatting>
  <conditionalFormatting sqref="E76:E77">
    <cfRule type="cellIs" dxfId="28" priority="1" operator="equal">
      <formula>"Niet bruikbaar"</formula>
    </cfRule>
    <cfRule type="cellIs" dxfId="27" priority="2" operator="equal">
      <formula>"Ernstig"</formula>
    </cfRule>
    <cfRule type="cellIs" dxfId="26" priority="3" operator="equal">
      <formula>"Merkbaar"</formula>
    </cfRule>
    <cfRule type="cellIs" dxfId="25" priority="4" operator="equal">
      <formula>"Beperkt"</formula>
    </cfRule>
    <cfRule type="cellIs" dxfId="24" priority="5" operator="equal">
      <formula>"Verwaarloosbaar"</formula>
    </cfRule>
  </conditionalFormatting>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75E42-0B9D-48AD-AC23-32447AD69D55}">
  <dimension ref="B3:G98"/>
  <sheetViews>
    <sheetView workbookViewId="0">
      <selection activeCell="D6" sqref="D6"/>
    </sheetView>
  </sheetViews>
  <sheetFormatPr defaultColWidth="8.7109375" defaultRowHeight="15" x14ac:dyDescent="0.25"/>
  <cols>
    <col min="1" max="1" width="8.7109375" style="457"/>
    <col min="2" max="2" width="9.42578125" style="457" customWidth="1"/>
    <col min="3" max="3" width="12.140625" style="457" customWidth="1"/>
    <col min="4" max="4" width="17.85546875" style="457" customWidth="1"/>
    <col min="5" max="5" width="10.42578125" style="457" customWidth="1"/>
    <col min="6" max="6" width="45.5703125" style="457" customWidth="1"/>
    <col min="7" max="16384" width="8.7109375" style="457"/>
  </cols>
  <sheetData>
    <row r="3" spans="2:7" x14ac:dyDescent="0.25">
      <c r="B3" s="458" t="s">
        <v>916</v>
      </c>
      <c r="C3" s="459" t="s">
        <v>917</v>
      </c>
      <c r="D3" s="460" t="s">
        <v>918</v>
      </c>
      <c r="E3" s="458" t="s">
        <v>919</v>
      </c>
      <c r="F3" s="458" t="s">
        <v>812</v>
      </c>
      <c r="G3" s="458" t="s">
        <v>920</v>
      </c>
    </row>
    <row r="4" spans="2:7" x14ac:dyDescent="0.25">
      <c r="B4" s="461" t="str">
        <f t="shared" ref="B4:B67" si="0">CONCATENATE(E4,G4)</f>
        <v>E-WP5</v>
      </c>
      <c r="C4" s="462">
        <v>4</v>
      </c>
      <c r="D4" s="463" t="s">
        <v>921</v>
      </c>
      <c r="E4" s="461" t="s">
        <v>922</v>
      </c>
      <c r="F4" s="464" t="s">
        <v>923</v>
      </c>
      <c r="G4" s="461">
        <v>5</v>
      </c>
    </row>
    <row r="5" spans="2:7" x14ac:dyDescent="0.25">
      <c r="B5" s="461" t="str">
        <f t="shared" si="0"/>
        <v>E-CP5</v>
      </c>
      <c r="C5" s="462">
        <v>4</v>
      </c>
      <c r="D5" s="463" t="s">
        <v>924</v>
      </c>
      <c r="E5" s="461" t="s">
        <v>925</v>
      </c>
      <c r="F5" s="464" t="s">
        <v>926</v>
      </c>
      <c r="G5" s="461">
        <v>5</v>
      </c>
    </row>
    <row r="6" spans="2:7" x14ac:dyDescent="0.25">
      <c r="B6" s="461" t="str">
        <f t="shared" si="0"/>
        <v>E-MI5</v>
      </c>
      <c r="C6" s="462">
        <v>4</v>
      </c>
      <c r="D6" s="463" t="s">
        <v>927</v>
      </c>
      <c r="E6" s="461" t="s">
        <v>928</v>
      </c>
      <c r="F6" s="464" t="s">
        <v>929</v>
      </c>
      <c r="G6" s="461">
        <v>5</v>
      </c>
    </row>
    <row r="7" spans="2:7" x14ac:dyDescent="0.25">
      <c r="B7" s="461" t="str">
        <f t="shared" si="0"/>
        <v>E-BK5</v>
      </c>
      <c r="C7" s="462">
        <v>4</v>
      </c>
      <c r="D7" s="463" t="s">
        <v>930</v>
      </c>
      <c r="E7" s="461" t="s">
        <v>931</v>
      </c>
      <c r="F7" s="464" t="s">
        <v>932</v>
      </c>
      <c r="G7" s="461">
        <v>5</v>
      </c>
    </row>
    <row r="8" spans="2:7" x14ac:dyDescent="0.25">
      <c r="B8" s="461" t="str">
        <f t="shared" si="0"/>
        <v>S-WS5</v>
      </c>
      <c r="C8" s="462">
        <v>4</v>
      </c>
      <c r="D8" s="463" t="s">
        <v>933</v>
      </c>
      <c r="E8" s="461" t="s">
        <v>934</v>
      </c>
      <c r="F8" s="464" t="s">
        <v>935</v>
      </c>
      <c r="G8" s="461">
        <v>5</v>
      </c>
    </row>
    <row r="9" spans="2:7" x14ac:dyDescent="0.25">
      <c r="B9" s="461" t="str">
        <f t="shared" si="0"/>
        <v>S-CS5</v>
      </c>
      <c r="C9" s="462">
        <v>4</v>
      </c>
      <c r="D9" s="463" t="s">
        <v>936</v>
      </c>
      <c r="E9" s="461" t="s">
        <v>937</v>
      </c>
      <c r="F9" s="464" t="s">
        <v>938</v>
      </c>
      <c r="G9" s="461">
        <v>5</v>
      </c>
    </row>
    <row r="10" spans="2:7" x14ac:dyDescent="0.25">
      <c r="B10" s="461" t="str">
        <f t="shared" si="0"/>
        <v>S-MO5</v>
      </c>
      <c r="C10" s="462">
        <v>4</v>
      </c>
      <c r="D10" s="463" t="s">
        <v>939</v>
      </c>
      <c r="E10" s="461" t="s">
        <v>940</v>
      </c>
      <c r="F10" s="464" t="s">
        <v>941</v>
      </c>
      <c r="G10" s="461">
        <v>5</v>
      </c>
    </row>
    <row r="11" spans="2:7" x14ac:dyDescent="0.25">
      <c r="B11" s="461" t="str">
        <f t="shared" si="0"/>
        <v>S-BK5</v>
      </c>
      <c r="C11" s="462">
        <v>6</v>
      </c>
      <c r="D11" s="463" t="s">
        <v>942</v>
      </c>
      <c r="E11" s="461" t="s">
        <v>943</v>
      </c>
      <c r="F11" s="464" t="s">
        <v>944</v>
      </c>
      <c r="G11" s="461">
        <v>5</v>
      </c>
    </row>
    <row r="12" spans="2:7" x14ac:dyDescent="0.25">
      <c r="B12" s="461" t="str">
        <f t="shared" si="0"/>
        <v>W-BK5</v>
      </c>
      <c r="C12" s="462">
        <v>4</v>
      </c>
      <c r="D12" s="463" t="s">
        <v>945</v>
      </c>
      <c r="E12" s="461" t="s">
        <v>814</v>
      </c>
      <c r="F12" s="464" t="s">
        <v>946</v>
      </c>
      <c r="G12" s="461">
        <v>5</v>
      </c>
    </row>
    <row r="13" spans="2:7" x14ac:dyDescent="0.25">
      <c r="B13" s="461" t="str">
        <f t="shared" si="0"/>
        <v>W-PK5</v>
      </c>
      <c r="C13" s="462">
        <v>4</v>
      </c>
      <c r="D13" s="463" t="s">
        <v>947</v>
      </c>
      <c r="E13" s="461" t="s">
        <v>948</v>
      </c>
      <c r="F13" s="464" t="s">
        <v>949</v>
      </c>
      <c r="G13" s="461">
        <v>5</v>
      </c>
    </row>
    <row r="14" spans="2:7" x14ac:dyDescent="0.25">
      <c r="B14" s="461" t="str">
        <f t="shared" si="0"/>
        <v>G-PO5</v>
      </c>
      <c r="C14" s="462">
        <v>4</v>
      </c>
      <c r="D14" s="463" t="s">
        <v>950</v>
      </c>
      <c r="E14" s="461" t="s">
        <v>818</v>
      </c>
      <c r="F14" s="464" t="s">
        <v>951</v>
      </c>
      <c r="G14" s="461">
        <v>5</v>
      </c>
    </row>
    <row r="15" spans="2:7" x14ac:dyDescent="0.25">
      <c r="B15" s="461" t="str">
        <f t="shared" si="0"/>
        <v>G-AF5</v>
      </c>
      <c r="C15" s="462">
        <v>6</v>
      </c>
      <c r="D15" s="463" t="s">
        <v>952</v>
      </c>
      <c r="E15" s="461" t="s">
        <v>953</v>
      </c>
      <c r="F15" s="464" t="s">
        <v>954</v>
      </c>
      <c r="G15" s="461">
        <v>5</v>
      </c>
    </row>
    <row r="16" spans="2:7" ht="21" x14ac:dyDescent="0.25">
      <c r="B16" s="461" t="str">
        <f t="shared" si="0"/>
        <v>G-BK5</v>
      </c>
      <c r="C16" s="462">
        <v>6</v>
      </c>
      <c r="D16" s="463" t="s">
        <v>955</v>
      </c>
      <c r="E16" s="461" t="s">
        <v>956</v>
      </c>
      <c r="F16" s="464" t="s">
        <v>957</v>
      </c>
      <c r="G16" s="461">
        <v>5</v>
      </c>
    </row>
    <row r="17" spans="2:7" x14ac:dyDescent="0.25">
      <c r="B17" s="461" t="str">
        <f t="shared" si="0"/>
        <v>T-87,55</v>
      </c>
      <c r="C17" s="462">
        <v>8</v>
      </c>
      <c r="D17" s="463" t="s">
        <v>958</v>
      </c>
      <c r="E17" s="461" t="s">
        <v>822</v>
      </c>
      <c r="F17" s="464" t="s">
        <v>959</v>
      </c>
      <c r="G17" s="461">
        <v>5</v>
      </c>
    </row>
    <row r="18" spans="2:7" x14ac:dyDescent="0.25">
      <c r="B18" s="461" t="str">
        <f t="shared" si="0"/>
        <v>T-755</v>
      </c>
      <c r="C18" s="462">
        <v>9</v>
      </c>
      <c r="D18" s="463" t="s">
        <v>960</v>
      </c>
      <c r="E18" s="461" t="s">
        <v>825</v>
      </c>
      <c r="F18" s="464" t="s">
        <v>961</v>
      </c>
      <c r="G18" s="461">
        <v>5</v>
      </c>
    </row>
    <row r="19" spans="2:7" x14ac:dyDescent="0.25">
      <c r="B19" s="461" t="str">
        <f t="shared" si="0"/>
        <v>T-505</v>
      </c>
      <c r="C19" s="462">
        <v>9</v>
      </c>
      <c r="D19" s="463" t="s">
        <v>962</v>
      </c>
      <c r="E19" s="461" t="s">
        <v>827</v>
      </c>
      <c r="F19" s="464" t="s">
        <v>963</v>
      </c>
      <c r="G19" s="461">
        <v>5</v>
      </c>
    </row>
    <row r="20" spans="2:7" x14ac:dyDescent="0.25">
      <c r="B20" s="461" t="s">
        <v>964</v>
      </c>
      <c r="C20" s="462">
        <v>9</v>
      </c>
      <c r="D20" s="463" t="s">
        <v>965</v>
      </c>
      <c r="E20" s="461" t="s">
        <v>830</v>
      </c>
      <c r="F20" s="464" t="s">
        <v>966</v>
      </c>
      <c r="G20" s="461">
        <v>5</v>
      </c>
    </row>
    <row r="21" spans="2:7" x14ac:dyDescent="0.25">
      <c r="B21" s="461" t="s">
        <v>967</v>
      </c>
      <c r="C21" s="462">
        <v>0</v>
      </c>
      <c r="D21" s="463" t="s">
        <v>968</v>
      </c>
      <c r="E21" s="461" t="s">
        <v>832</v>
      </c>
      <c r="F21" s="464" t="s">
        <v>969</v>
      </c>
      <c r="G21" s="461">
        <v>5</v>
      </c>
    </row>
    <row r="22" spans="2:7" x14ac:dyDescent="0.25">
      <c r="B22" s="461" t="str">
        <f t="shared" si="0"/>
        <v>?5</v>
      </c>
      <c r="C22" s="462">
        <v>0</v>
      </c>
      <c r="D22" s="463" t="s">
        <v>965</v>
      </c>
      <c r="E22" s="461" t="s">
        <v>384</v>
      </c>
      <c r="F22" s="464" t="s">
        <v>970</v>
      </c>
      <c r="G22" s="461">
        <v>5</v>
      </c>
    </row>
    <row r="23" spans="2:7" x14ac:dyDescent="0.25">
      <c r="B23" s="461" t="str">
        <f t="shared" si="0"/>
        <v>E-WP4</v>
      </c>
      <c r="C23" s="462">
        <v>4</v>
      </c>
      <c r="D23" s="463" t="s">
        <v>971</v>
      </c>
      <c r="E23" s="461" t="s">
        <v>922</v>
      </c>
      <c r="F23" s="464" t="s">
        <v>923</v>
      </c>
      <c r="G23" s="461">
        <v>4</v>
      </c>
    </row>
    <row r="24" spans="2:7" x14ac:dyDescent="0.25">
      <c r="B24" s="461" t="str">
        <f t="shared" si="0"/>
        <v>E-CP4</v>
      </c>
      <c r="C24" s="462">
        <v>4</v>
      </c>
      <c r="D24" s="463" t="s">
        <v>972</v>
      </c>
      <c r="E24" s="461" t="s">
        <v>925</v>
      </c>
      <c r="F24" s="464" t="s">
        <v>926</v>
      </c>
      <c r="G24" s="461">
        <v>4</v>
      </c>
    </row>
    <row r="25" spans="2:7" x14ac:dyDescent="0.25">
      <c r="B25" s="461" t="str">
        <f t="shared" si="0"/>
        <v>E-MI4</v>
      </c>
      <c r="C25" s="462">
        <v>4</v>
      </c>
      <c r="D25" s="463" t="s">
        <v>973</v>
      </c>
      <c r="E25" s="461" t="s">
        <v>928</v>
      </c>
      <c r="F25" s="464" t="s">
        <v>929</v>
      </c>
      <c r="G25" s="461">
        <v>4</v>
      </c>
    </row>
    <row r="26" spans="2:7" x14ac:dyDescent="0.25">
      <c r="B26" s="461" t="str">
        <f t="shared" si="0"/>
        <v>E-BK4</v>
      </c>
      <c r="C26" s="462">
        <v>6</v>
      </c>
      <c r="D26" s="463" t="s">
        <v>974</v>
      </c>
      <c r="E26" s="461" t="s">
        <v>931</v>
      </c>
      <c r="F26" s="464" t="s">
        <v>932</v>
      </c>
      <c r="G26" s="461">
        <v>4</v>
      </c>
    </row>
    <row r="27" spans="2:7" x14ac:dyDescent="0.25">
      <c r="B27" s="461" t="str">
        <f t="shared" si="0"/>
        <v>S-WS4</v>
      </c>
      <c r="C27" s="462">
        <v>4</v>
      </c>
      <c r="D27" s="463" t="s">
        <v>975</v>
      </c>
      <c r="E27" s="461" t="s">
        <v>934</v>
      </c>
      <c r="F27" s="464" t="s">
        <v>935</v>
      </c>
      <c r="G27" s="461">
        <v>4</v>
      </c>
    </row>
    <row r="28" spans="2:7" x14ac:dyDescent="0.25">
      <c r="B28" s="461" t="str">
        <f t="shared" si="0"/>
        <v>S-CS4</v>
      </c>
      <c r="C28" s="462">
        <v>4</v>
      </c>
      <c r="D28" s="463" t="s">
        <v>976</v>
      </c>
      <c r="E28" s="461" t="s">
        <v>937</v>
      </c>
      <c r="F28" s="464" t="s">
        <v>938</v>
      </c>
      <c r="G28" s="461">
        <v>4</v>
      </c>
    </row>
    <row r="29" spans="2:7" x14ac:dyDescent="0.25">
      <c r="B29" s="461" t="str">
        <f t="shared" si="0"/>
        <v>S-MO4</v>
      </c>
      <c r="C29" s="462">
        <v>6</v>
      </c>
      <c r="D29" s="463" t="s">
        <v>977</v>
      </c>
      <c r="E29" s="461" t="s">
        <v>940</v>
      </c>
      <c r="F29" s="464" t="s">
        <v>941</v>
      </c>
      <c r="G29" s="461">
        <v>4</v>
      </c>
    </row>
    <row r="30" spans="2:7" x14ac:dyDescent="0.25">
      <c r="B30" s="461" t="str">
        <f t="shared" si="0"/>
        <v>S-BK4</v>
      </c>
      <c r="C30" s="462">
        <v>6</v>
      </c>
      <c r="D30" s="463" t="s">
        <v>978</v>
      </c>
      <c r="E30" s="461" t="s">
        <v>943</v>
      </c>
      <c r="F30" s="464" t="s">
        <v>944</v>
      </c>
      <c r="G30" s="461">
        <v>4</v>
      </c>
    </row>
    <row r="31" spans="2:7" x14ac:dyDescent="0.25">
      <c r="B31" s="461" t="str">
        <f t="shared" si="0"/>
        <v>W-BK4</v>
      </c>
      <c r="C31" s="462">
        <v>4</v>
      </c>
      <c r="D31" s="463" t="s">
        <v>979</v>
      </c>
      <c r="E31" s="461" t="s">
        <v>814</v>
      </c>
      <c r="F31" s="464" t="s">
        <v>946</v>
      </c>
      <c r="G31" s="461">
        <v>4</v>
      </c>
    </row>
    <row r="32" spans="2:7" x14ac:dyDescent="0.25">
      <c r="B32" s="461" t="str">
        <f t="shared" si="0"/>
        <v>W-PK4</v>
      </c>
      <c r="C32" s="462">
        <v>4</v>
      </c>
      <c r="D32" s="463" t="s">
        <v>980</v>
      </c>
      <c r="E32" s="461" t="s">
        <v>948</v>
      </c>
      <c r="F32" s="464" t="s">
        <v>949</v>
      </c>
      <c r="G32" s="461">
        <v>4</v>
      </c>
    </row>
    <row r="33" spans="2:7" x14ac:dyDescent="0.25">
      <c r="B33" s="461" t="str">
        <f t="shared" si="0"/>
        <v>G-PO4</v>
      </c>
      <c r="C33" s="462">
        <v>4</v>
      </c>
      <c r="D33" s="463" t="s">
        <v>981</v>
      </c>
      <c r="E33" s="461" t="s">
        <v>818</v>
      </c>
      <c r="F33" s="464" t="s">
        <v>951</v>
      </c>
      <c r="G33" s="461">
        <v>4</v>
      </c>
    </row>
    <row r="34" spans="2:7" x14ac:dyDescent="0.25">
      <c r="B34" s="461" t="str">
        <f t="shared" si="0"/>
        <v>G-AF4</v>
      </c>
      <c r="C34" s="462">
        <v>6</v>
      </c>
      <c r="D34" s="463" t="s">
        <v>982</v>
      </c>
      <c r="E34" s="461" t="s">
        <v>953</v>
      </c>
      <c r="F34" s="464" t="s">
        <v>954</v>
      </c>
      <c r="G34" s="461">
        <v>4</v>
      </c>
    </row>
    <row r="35" spans="2:7" ht="21" x14ac:dyDescent="0.25">
      <c r="B35" s="461" t="str">
        <f t="shared" si="0"/>
        <v>G-BK4</v>
      </c>
      <c r="C35" s="462">
        <v>6</v>
      </c>
      <c r="D35" s="463" t="s">
        <v>983</v>
      </c>
      <c r="E35" s="461" t="s">
        <v>956</v>
      </c>
      <c r="F35" s="464" t="s">
        <v>957</v>
      </c>
      <c r="G35" s="461">
        <v>4</v>
      </c>
    </row>
    <row r="36" spans="2:7" x14ac:dyDescent="0.25">
      <c r="B36" s="461" t="str">
        <f t="shared" si="0"/>
        <v>T-87,54</v>
      </c>
      <c r="C36" s="462">
        <v>8</v>
      </c>
      <c r="D36" s="463" t="s">
        <v>984</v>
      </c>
      <c r="E36" s="461" t="s">
        <v>822</v>
      </c>
      <c r="F36" s="464" t="s">
        <v>959</v>
      </c>
      <c r="G36" s="461">
        <v>4</v>
      </c>
    </row>
    <row r="37" spans="2:7" x14ac:dyDescent="0.25">
      <c r="B37" s="461" t="str">
        <f t="shared" si="0"/>
        <v>T-754</v>
      </c>
      <c r="C37" s="462">
        <v>9</v>
      </c>
      <c r="D37" s="463" t="s">
        <v>985</v>
      </c>
      <c r="E37" s="461" t="s">
        <v>825</v>
      </c>
      <c r="F37" s="464" t="s">
        <v>961</v>
      </c>
      <c r="G37" s="461">
        <v>4</v>
      </c>
    </row>
    <row r="38" spans="2:7" x14ac:dyDescent="0.25">
      <c r="B38" s="461" t="str">
        <f t="shared" si="0"/>
        <v>T-504</v>
      </c>
      <c r="C38" s="462">
        <v>9</v>
      </c>
      <c r="D38" s="463" t="s">
        <v>986</v>
      </c>
      <c r="E38" s="461" t="s">
        <v>827</v>
      </c>
      <c r="F38" s="464" t="s">
        <v>963</v>
      </c>
      <c r="G38" s="461">
        <v>4</v>
      </c>
    </row>
    <row r="39" spans="2:7" x14ac:dyDescent="0.25">
      <c r="B39" s="461" t="s">
        <v>987</v>
      </c>
      <c r="C39" s="462">
        <v>9</v>
      </c>
      <c r="D39" s="463" t="s">
        <v>988</v>
      </c>
      <c r="E39" s="461" t="s">
        <v>830</v>
      </c>
      <c r="F39" s="464" t="s">
        <v>966</v>
      </c>
      <c r="G39" s="461">
        <v>4</v>
      </c>
    </row>
    <row r="40" spans="2:7" x14ac:dyDescent="0.25">
      <c r="B40" s="461" t="s">
        <v>117</v>
      </c>
      <c r="C40" s="462">
        <v>0</v>
      </c>
      <c r="D40" s="463" t="s">
        <v>989</v>
      </c>
      <c r="E40" s="461" t="s">
        <v>832</v>
      </c>
      <c r="F40" s="464" t="s">
        <v>969</v>
      </c>
      <c r="G40" s="461">
        <v>4</v>
      </c>
    </row>
    <row r="41" spans="2:7" x14ac:dyDescent="0.25">
      <c r="B41" s="461" t="str">
        <f t="shared" si="0"/>
        <v>?4</v>
      </c>
      <c r="C41" s="462">
        <v>0</v>
      </c>
      <c r="D41" s="463" t="s">
        <v>990</v>
      </c>
      <c r="E41" s="461" t="s">
        <v>384</v>
      </c>
      <c r="F41" s="461" t="s">
        <v>970</v>
      </c>
      <c r="G41" s="461">
        <v>4</v>
      </c>
    </row>
    <row r="42" spans="2:7" x14ac:dyDescent="0.25">
      <c r="B42" s="461" t="str">
        <f t="shared" si="0"/>
        <v>E-WP3</v>
      </c>
      <c r="C42" s="462">
        <v>4</v>
      </c>
      <c r="D42" s="463" t="s">
        <v>991</v>
      </c>
      <c r="E42" s="461" t="s">
        <v>922</v>
      </c>
      <c r="F42" s="464" t="s">
        <v>923</v>
      </c>
      <c r="G42" s="461">
        <v>3</v>
      </c>
    </row>
    <row r="43" spans="2:7" x14ac:dyDescent="0.25">
      <c r="B43" s="461" t="str">
        <f t="shared" si="0"/>
        <v>E-CP3</v>
      </c>
      <c r="C43" s="462">
        <v>4</v>
      </c>
      <c r="D43" s="463" t="s">
        <v>992</v>
      </c>
      <c r="E43" s="461" t="s">
        <v>925</v>
      </c>
      <c r="F43" s="464" t="s">
        <v>926</v>
      </c>
      <c r="G43" s="461">
        <v>3</v>
      </c>
    </row>
    <row r="44" spans="2:7" x14ac:dyDescent="0.25">
      <c r="B44" s="461" t="str">
        <f t="shared" si="0"/>
        <v>E-MI3</v>
      </c>
      <c r="C44" s="462">
        <v>6</v>
      </c>
      <c r="D44" s="463" t="s">
        <v>993</v>
      </c>
      <c r="E44" s="461" t="s">
        <v>928</v>
      </c>
      <c r="F44" s="464" t="s">
        <v>929</v>
      </c>
      <c r="G44" s="461">
        <v>3</v>
      </c>
    </row>
    <row r="45" spans="2:7" x14ac:dyDescent="0.25">
      <c r="B45" s="461" t="str">
        <f t="shared" si="0"/>
        <v>E-BK3</v>
      </c>
      <c r="C45" s="462">
        <v>6</v>
      </c>
      <c r="D45" s="463" t="s">
        <v>994</v>
      </c>
      <c r="E45" s="461" t="s">
        <v>931</v>
      </c>
      <c r="F45" s="464" t="s">
        <v>932</v>
      </c>
      <c r="G45" s="461">
        <v>3</v>
      </c>
    </row>
    <row r="46" spans="2:7" x14ac:dyDescent="0.25">
      <c r="B46" s="461" t="str">
        <f t="shared" si="0"/>
        <v>S-WS3</v>
      </c>
      <c r="C46" s="462">
        <v>6</v>
      </c>
      <c r="D46" s="463" t="s">
        <v>995</v>
      </c>
      <c r="E46" s="461" t="s">
        <v>934</v>
      </c>
      <c r="F46" s="464" t="s">
        <v>935</v>
      </c>
      <c r="G46" s="461">
        <v>3</v>
      </c>
    </row>
    <row r="47" spans="2:7" x14ac:dyDescent="0.25">
      <c r="B47" s="461" t="str">
        <f t="shared" si="0"/>
        <v>S-CS3</v>
      </c>
      <c r="C47" s="462">
        <v>6</v>
      </c>
      <c r="D47" s="463" t="s">
        <v>996</v>
      </c>
      <c r="E47" s="461" t="s">
        <v>937</v>
      </c>
      <c r="F47" s="464" t="s">
        <v>938</v>
      </c>
      <c r="G47" s="461">
        <v>3</v>
      </c>
    </row>
    <row r="48" spans="2:7" x14ac:dyDescent="0.25">
      <c r="B48" s="461" t="str">
        <f t="shared" si="0"/>
        <v>S-MO3</v>
      </c>
      <c r="C48" s="462">
        <v>6</v>
      </c>
      <c r="D48" s="463" t="s">
        <v>997</v>
      </c>
      <c r="E48" s="461" t="s">
        <v>940</v>
      </c>
      <c r="F48" s="464" t="s">
        <v>941</v>
      </c>
      <c r="G48" s="461">
        <v>3</v>
      </c>
    </row>
    <row r="49" spans="2:7" x14ac:dyDescent="0.25">
      <c r="B49" s="461" t="str">
        <f t="shared" si="0"/>
        <v>S-BK3</v>
      </c>
      <c r="C49" s="462">
        <v>6</v>
      </c>
      <c r="D49" s="463" t="s">
        <v>998</v>
      </c>
      <c r="E49" s="461" t="s">
        <v>943</v>
      </c>
      <c r="F49" s="464" t="s">
        <v>944</v>
      </c>
      <c r="G49" s="461">
        <v>3</v>
      </c>
    </row>
    <row r="50" spans="2:7" x14ac:dyDescent="0.25">
      <c r="B50" s="461" t="str">
        <f t="shared" si="0"/>
        <v>W-BK3</v>
      </c>
      <c r="C50" s="462">
        <v>4</v>
      </c>
      <c r="D50" s="463" t="s">
        <v>999</v>
      </c>
      <c r="E50" s="461" t="s">
        <v>814</v>
      </c>
      <c r="F50" s="464" t="s">
        <v>946</v>
      </c>
      <c r="G50" s="461">
        <v>3</v>
      </c>
    </row>
    <row r="51" spans="2:7" x14ac:dyDescent="0.25">
      <c r="B51" s="461" t="str">
        <f t="shared" si="0"/>
        <v>W-PK3</v>
      </c>
      <c r="C51" s="462">
        <v>4</v>
      </c>
      <c r="D51" s="463" t="s">
        <v>1000</v>
      </c>
      <c r="E51" s="461" t="s">
        <v>948</v>
      </c>
      <c r="F51" s="464" t="s">
        <v>949</v>
      </c>
      <c r="G51" s="461">
        <v>3</v>
      </c>
    </row>
    <row r="52" spans="2:7" x14ac:dyDescent="0.25">
      <c r="B52" s="461" t="str">
        <f t="shared" si="0"/>
        <v>G-PO3</v>
      </c>
      <c r="C52" s="462">
        <v>4</v>
      </c>
      <c r="D52" s="463" t="s">
        <v>1001</v>
      </c>
      <c r="E52" s="461" t="s">
        <v>818</v>
      </c>
      <c r="F52" s="464" t="s">
        <v>951</v>
      </c>
      <c r="G52" s="461">
        <v>3</v>
      </c>
    </row>
    <row r="53" spans="2:7" x14ac:dyDescent="0.25">
      <c r="B53" s="461" t="str">
        <f t="shared" si="0"/>
        <v>G-AF3</v>
      </c>
      <c r="C53" s="462">
        <v>6</v>
      </c>
      <c r="D53" s="463" t="s">
        <v>1002</v>
      </c>
      <c r="E53" s="461" t="s">
        <v>953</v>
      </c>
      <c r="F53" s="464" t="s">
        <v>954</v>
      </c>
      <c r="G53" s="461">
        <v>3</v>
      </c>
    </row>
    <row r="54" spans="2:7" ht="21" x14ac:dyDescent="0.25">
      <c r="B54" s="461" t="str">
        <f t="shared" si="0"/>
        <v>G-BK3</v>
      </c>
      <c r="C54" s="462">
        <v>6</v>
      </c>
      <c r="D54" s="463" t="s">
        <v>1003</v>
      </c>
      <c r="E54" s="461" t="s">
        <v>956</v>
      </c>
      <c r="F54" s="464" t="s">
        <v>957</v>
      </c>
      <c r="G54" s="461">
        <v>3</v>
      </c>
    </row>
    <row r="55" spans="2:7" x14ac:dyDescent="0.25">
      <c r="B55" s="461" t="str">
        <f t="shared" si="0"/>
        <v>T-87,53</v>
      </c>
      <c r="C55" s="462">
        <v>8</v>
      </c>
      <c r="D55" s="463" t="s">
        <v>1004</v>
      </c>
      <c r="E55" s="461" t="s">
        <v>822</v>
      </c>
      <c r="F55" s="464" t="s">
        <v>959</v>
      </c>
      <c r="G55" s="461">
        <v>3</v>
      </c>
    </row>
    <row r="56" spans="2:7" x14ac:dyDescent="0.25">
      <c r="B56" s="461" t="str">
        <f t="shared" si="0"/>
        <v>T-753</v>
      </c>
      <c r="C56" s="462">
        <v>9</v>
      </c>
      <c r="D56" s="463" t="s">
        <v>1005</v>
      </c>
      <c r="E56" s="461" t="s">
        <v>825</v>
      </c>
      <c r="F56" s="464" t="s">
        <v>961</v>
      </c>
      <c r="G56" s="461">
        <v>3</v>
      </c>
    </row>
    <row r="57" spans="2:7" x14ac:dyDescent="0.25">
      <c r="B57" s="461" t="str">
        <f t="shared" si="0"/>
        <v>T-503</v>
      </c>
      <c r="C57" s="462">
        <v>9</v>
      </c>
      <c r="D57" s="463" t="s">
        <v>1006</v>
      </c>
      <c r="E57" s="461" t="s">
        <v>827</v>
      </c>
      <c r="F57" s="464" t="s">
        <v>963</v>
      </c>
      <c r="G57" s="461">
        <v>3</v>
      </c>
    </row>
    <row r="58" spans="2:7" x14ac:dyDescent="0.25">
      <c r="B58" s="461" t="s">
        <v>1007</v>
      </c>
      <c r="C58" s="462">
        <v>9</v>
      </c>
      <c r="D58" s="463" t="s">
        <v>1008</v>
      </c>
      <c r="E58" s="461" t="s">
        <v>830</v>
      </c>
      <c r="F58" s="464" t="s">
        <v>966</v>
      </c>
      <c r="G58" s="461">
        <v>3</v>
      </c>
    </row>
    <row r="59" spans="2:7" x14ac:dyDescent="0.25">
      <c r="B59" s="461" t="s">
        <v>116</v>
      </c>
      <c r="C59" s="462">
        <v>0</v>
      </c>
      <c r="D59" s="463" t="s">
        <v>1009</v>
      </c>
      <c r="E59" s="461" t="s">
        <v>832</v>
      </c>
      <c r="F59" s="464" t="s">
        <v>969</v>
      </c>
      <c r="G59" s="461">
        <v>3</v>
      </c>
    </row>
    <row r="60" spans="2:7" x14ac:dyDescent="0.25">
      <c r="B60" s="461" t="str">
        <f t="shared" si="0"/>
        <v>?3</v>
      </c>
      <c r="C60" s="462">
        <v>0</v>
      </c>
      <c r="D60" s="463" t="s">
        <v>1010</v>
      </c>
      <c r="E60" s="461" t="s">
        <v>384</v>
      </c>
      <c r="F60" s="461" t="s">
        <v>970</v>
      </c>
      <c r="G60" s="461">
        <v>3</v>
      </c>
    </row>
    <row r="61" spans="2:7" x14ac:dyDescent="0.25">
      <c r="B61" s="461" t="str">
        <f t="shared" si="0"/>
        <v>E-WP2</v>
      </c>
      <c r="C61" s="462">
        <v>6</v>
      </c>
      <c r="D61" s="463" t="s">
        <v>1011</v>
      </c>
      <c r="E61" s="461" t="s">
        <v>922</v>
      </c>
      <c r="F61" s="464" t="s">
        <v>923</v>
      </c>
      <c r="G61" s="461">
        <v>2</v>
      </c>
    </row>
    <row r="62" spans="2:7" x14ac:dyDescent="0.25">
      <c r="B62" s="461" t="str">
        <f t="shared" si="0"/>
        <v>E-CP2</v>
      </c>
      <c r="C62" s="462">
        <v>6</v>
      </c>
      <c r="D62" s="463" t="s">
        <v>1012</v>
      </c>
      <c r="E62" s="461" t="s">
        <v>925</v>
      </c>
      <c r="F62" s="464" t="s">
        <v>926</v>
      </c>
      <c r="G62" s="461">
        <v>2</v>
      </c>
    </row>
    <row r="63" spans="2:7" x14ac:dyDescent="0.25">
      <c r="B63" s="461" t="str">
        <f t="shared" si="0"/>
        <v>E-MI2</v>
      </c>
      <c r="C63" s="462">
        <v>6</v>
      </c>
      <c r="D63" s="463" t="s">
        <v>1013</v>
      </c>
      <c r="E63" s="461" t="s">
        <v>928</v>
      </c>
      <c r="F63" s="464" t="s">
        <v>929</v>
      </c>
      <c r="G63" s="461">
        <v>2</v>
      </c>
    </row>
    <row r="64" spans="2:7" x14ac:dyDescent="0.25">
      <c r="B64" s="461" t="str">
        <f t="shared" si="0"/>
        <v>E-BK2</v>
      </c>
      <c r="C64" s="462">
        <v>7</v>
      </c>
      <c r="D64" s="463" t="s">
        <v>1014</v>
      </c>
      <c r="E64" s="461" t="s">
        <v>931</v>
      </c>
      <c r="F64" s="464" t="s">
        <v>932</v>
      </c>
      <c r="G64" s="461">
        <v>2</v>
      </c>
    </row>
    <row r="65" spans="2:7" x14ac:dyDescent="0.25">
      <c r="B65" s="461" t="str">
        <f t="shared" si="0"/>
        <v>S-WS2</v>
      </c>
      <c r="C65" s="462">
        <v>6</v>
      </c>
      <c r="D65" s="463" t="s">
        <v>1015</v>
      </c>
      <c r="E65" s="461" t="s">
        <v>934</v>
      </c>
      <c r="F65" s="464" t="s">
        <v>935</v>
      </c>
      <c r="G65" s="461">
        <v>2</v>
      </c>
    </row>
    <row r="66" spans="2:7" x14ac:dyDescent="0.25">
      <c r="B66" s="461" t="str">
        <f t="shared" si="0"/>
        <v>S-CS2</v>
      </c>
      <c r="C66" s="462">
        <v>6</v>
      </c>
      <c r="D66" s="463" t="s">
        <v>1016</v>
      </c>
      <c r="E66" s="461" t="s">
        <v>937</v>
      </c>
      <c r="F66" s="464" t="s">
        <v>938</v>
      </c>
      <c r="G66" s="461">
        <v>2</v>
      </c>
    </row>
    <row r="67" spans="2:7" x14ac:dyDescent="0.25">
      <c r="B67" s="461" t="str">
        <f t="shared" si="0"/>
        <v>S-MO2</v>
      </c>
      <c r="C67" s="462">
        <v>7</v>
      </c>
      <c r="D67" s="463" t="s">
        <v>1017</v>
      </c>
      <c r="E67" s="461" t="s">
        <v>940</v>
      </c>
      <c r="F67" s="464" t="s">
        <v>941</v>
      </c>
      <c r="G67" s="461">
        <v>2</v>
      </c>
    </row>
    <row r="68" spans="2:7" x14ac:dyDescent="0.25">
      <c r="B68" s="461" t="str">
        <f t="shared" ref="B68:B98" si="1">CONCATENATE(E68,G68)</f>
        <v>S-BK2</v>
      </c>
      <c r="C68" s="462">
        <v>7</v>
      </c>
      <c r="D68" s="463" t="s">
        <v>1018</v>
      </c>
      <c r="E68" s="461" t="s">
        <v>943</v>
      </c>
      <c r="F68" s="464" t="s">
        <v>944</v>
      </c>
      <c r="G68" s="461">
        <v>2</v>
      </c>
    </row>
    <row r="69" spans="2:7" x14ac:dyDescent="0.25">
      <c r="B69" s="461" t="str">
        <f t="shared" si="1"/>
        <v>W-BK2</v>
      </c>
      <c r="C69" s="462">
        <v>4</v>
      </c>
      <c r="D69" s="463" t="s">
        <v>1019</v>
      </c>
      <c r="E69" s="461" t="s">
        <v>814</v>
      </c>
      <c r="F69" s="464" t="s">
        <v>946</v>
      </c>
      <c r="G69" s="461">
        <v>2</v>
      </c>
    </row>
    <row r="70" spans="2:7" x14ac:dyDescent="0.25">
      <c r="B70" s="461" t="str">
        <f t="shared" si="1"/>
        <v>W-PK2</v>
      </c>
      <c r="C70" s="462">
        <v>4</v>
      </c>
      <c r="D70" s="463" t="s">
        <v>1020</v>
      </c>
      <c r="E70" s="461" t="s">
        <v>948</v>
      </c>
      <c r="F70" s="464" t="s">
        <v>949</v>
      </c>
      <c r="G70" s="461">
        <v>2</v>
      </c>
    </row>
    <row r="71" spans="2:7" x14ac:dyDescent="0.25">
      <c r="B71" s="461" t="str">
        <f t="shared" si="1"/>
        <v>G-PO2</v>
      </c>
      <c r="C71" s="462">
        <v>4</v>
      </c>
      <c r="D71" s="463" t="s">
        <v>1021</v>
      </c>
      <c r="E71" s="461" t="s">
        <v>818</v>
      </c>
      <c r="F71" s="464" t="s">
        <v>951</v>
      </c>
      <c r="G71" s="461">
        <v>2</v>
      </c>
    </row>
    <row r="72" spans="2:7" x14ac:dyDescent="0.25">
      <c r="B72" s="461" t="str">
        <f t="shared" si="1"/>
        <v>G-AF2</v>
      </c>
      <c r="C72" s="462">
        <v>7</v>
      </c>
      <c r="D72" s="463" t="s">
        <v>1022</v>
      </c>
      <c r="E72" s="461" t="s">
        <v>953</v>
      </c>
      <c r="F72" s="464" t="s">
        <v>954</v>
      </c>
      <c r="G72" s="461">
        <v>2</v>
      </c>
    </row>
    <row r="73" spans="2:7" ht="21" x14ac:dyDescent="0.25">
      <c r="B73" s="461" t="str">
        <f t="shared" si="1"/>
        <v>G-BK2</v>
      </c>
      <c r="C73" s="462">
        <v>7</v>
      </c>
      <c r="D73" s="463" t="s">
        <v>1023</v>
      </c>
      <c r="E73" s="461" t="s">
        <v>956</v>
      </c>
      <c r="F73" s="464" t="s">
        <v>957</v>
      </c>
      <c r="G73" s="461">
        <v>2</v>
      </c>
    </row>
    <row r="74" spans="2:7" x14ac:dyDescent="0.25">
      <c r="B74" s="461" t="str">
        <f t="shared" si="1"/>
        <v>T-87,52</v>
      </c>
      <c r="C74" s="462">
        <v>9</v>
      </c>
      <c r="D74" s="463" t="s">
        <v>1024</v>
      </c>
      <c r="E74" s="461" t="s">
        <v>822</v>
      </c>
      <c r="F74" s="464" t="s">
        <v>959</v>
      </c>
      <c r="G74" s="461">
        <v>2</v>
      </c>
    </row>
    <row r="75" spans="2:7" x14ac:dyDescent="0.25">
      <c r="B75" s="461" t="str">
        <f t="shared" si="1"/>
        <v>T-752</v>
      </c>
      <c r="C75" s="462">
        <v>9</v>
      </c>
      <c r="D75" s="463" t="s">
        <v>1025</v>
      </c>
      <c r="E75" s="461" t="s">
        <v>825</v>
      </c>
      <c r="F75" s="464" t="s">
        <v>961</v>
      </c>
      <c r="G75" s="461">
        <v>2</v>
      </c>
    </row>
    <row r="76" spans="2:7" x14ac:dyDescent="0.25">
      <c r="B76" s="461" t="str">
        <f t="shared" si="1"/>
        <v>T-502</v>
      </c>
      <c r="C76" s="462">
        <v>9</v>
      </c>
      <c r="D76" s="463" t="s">
        <v>1026</v>
      </c>
      <c r="E76" s="461" t="s">
        <v>827</v>
      </c>
      <c r="F76" s="464" t="s">
        <v>963</v>
      </c>
      <c r="G76" s="461">
        <v>2</v>
      </c>
    </row>
    <row r="77" spans="2:7" x14ac:dyDescent="0.25">
      <c r="B77" s="461" t="s">
        <v>1027</v>
      </c>
      <c r="C77" s="462">
        <v>9</v>
      </c>
      <c r="D77" s="463" t="s">
        <v>1028</v>
      </c>
      <c r="E77" s="461" t="s">
        <v>830</v>
      </c>
      <c r="F77" s="464" t="s">
        <v>966</v>
      </c>
      <c r="G77" s="461">
        <v>2</v>
      </c>
    </row>
    <row r="78" spans="2:7" x14ac:dyDescent="0.25">
      <c r="B78" s="461" t="s">
        <v>115</v>
      </c>
      <c r="C78" s="462">
        <v>0</v>
      </c>
      <c r="D78" s="463" t="s">
        <v>1029</v>
      </c>
      <c r="E78" s="461" t="s">
        <v>832</v>
      </c>
      <c r="F78" s="464" t="s">
        <v>969</v>
      </c>
      <c r="G78" s="461">
        <v>2</v>
      </c>
    </row>
    <row r="79" spans="2:7" x14ac:dyDescent="0.25">
      <c r="B79" s="461" t="str">
        <f t="shared" si="1"/>
        <v>?2</v>
      </c>
      <c r="C79" s="462">
        <v>0</v>
      </c>
      <c r="D79" s="463" t="s">
        <v>1030</v>
      </c>
      <c r="E79" s="461" t="s">
        <v>384</v>
      </c>
      <c r="F79" s="461" t="s">
        <v>970</v>
      </c>
      <c r="G79" s="461">
        <v>2</v>
      </c>
    </row>
    <row r="80" spans="2:7" x14ac:dyDescent="0.25">
      <c r="B80" s="461" t="str">
        <f t="shared" si="1"/>
        <v>E-WP1</v>
      </c>
      <c r="C80" s="462">
        <v>6</v>
      </c>
      <c r="D80" s="463" t="s">
        <v>1031</v>
      </c>
      <c r="E80" s="461" t="s">
        <v>922</v>
      </c>
      <c r="F80" s="464" t="s">
        <v>923</v>
      </c>
      <c r="G80" s="461">
        <v>1</v>
      </c>
    </row>
    <row r="81" spans="2:7" x14ac:dyDescent="0.25">
      <c r="B81" s="461" t="str">
        <f t="shared" si="1"/>
        <v>E-CP1</v>
      </c>
      <c r="C81" s="462">
        <v>7</v>
      </c>
      <c r="D81" s="463" t="s">
        <v>1032</v>
      </c>
      <c r="E81" s="461" t="s">
        <v>925</v>
      </c>
      <c r="F81" s="464" t="s">
        <v>926</v>
      </c>
      <c r="G81" s="461">
        <v>1</v>
      </c>
    </row>
    <row r="82" spans="2:7" x14ac:dyDescent="0.25">
      <c r="B82" s="461" t="str">
        <f t="shared" si="1"/>
        <v>E-MI1</v>
      </c>
      <c r="C82" s="462">
        <v>7</v>
      </c>
      <c r="D82" s="463" t="s">
        <v>1033</v>
      </c>
      <c r="E82" s="461" t="s">
        <v>928</v>
      </c>
      <c r="F82" s="464" t="s">
        <v>929</v>
      </c>
      <c r="G82" s="461">
        <v>1</v>
      </c>
    </row>
    <row r="83" spans="2:7" x14ac:dyDescent="0.25">
      <c r="B83" s="461" t="str">
        <f t="shared" si="1"/>
        <v>E-BK1</v>
      </c>
      <c r="C83" s="462">
        <v>7</v>
      </c>
      <c r="D83" s="463" t="s">
        <v>1034</v>
      </c>
      <c r="E83" s="461" t="s">
        <v>931</v>
      </c>
      <c r="F83" s="464" t="s">
        <v>932</v>
      </c>
      <c r="G83" s="461">
        <v>1</v>
      </c>
    </row>
    <row r="84" spans="2:7" x14ac:dyDescent="0.25">
      <c r="B84" s="461" t="str">
        <f t="shared" si="1"/>
        <v>S-WS1</v>
      </c>
      <c r="C84" s="462">
        <v>6</v>
      </c>
      <c r="D84" s="463" t="s">
        <v>1035</v>
      </c>
      <c r="E84" s="461" t="s">
        <v>934</v>
      </c>
      <c r="F84" s="464" t="s">
        <v>935</v>
      </c>
      <c r="G84" s="461">
        <v>1</v>
      </c>
    </row>
    <row r="85" spans="2:7" x14ac:dyDescent="0.25">
      <c r="B85" s="461" t="str">
        <f t="shared" si="1"/>
        <v>S-CS1</v>
      </c>
      <c r="C85" s="462">
        <v>7</v>
      </c>
      <c r="D85" s="463" t="s">
        <v>1036</v>
      </c>
      <c r="E85" s="461" t="s">
        <v>937</v>
      </c>
      <c r="F85" s="464" t="s">
        <v>938</v>
      </c>
      <c r="G85" s="461">
        <v>1</v>
      </c>
    </row>
    <row r="86" spans="2:7" x14ac:dyDescent="0.25">
      <c r="B86" s="461" t="str">
        <f t="shared" si="1"/>
        <v>S-MO1</v>
      </c>
      <c r="C86" s="462">
        <v>7</v>
      </c>
      <c r="D86" s="463" t="s">
        <v>1037</v>
      </c>
      <c r="E86" s="461" t="s">
        <v>940</v>
      </c>
      <c r="F86" s="464" t="s">
        <v>941</v>
      </c>
      <c r="G86" s="461">
        <v>1</v>
      </c>
    </row>
    <row r="87" spans="2:7" x14ac:dyDescent="0.25">
      <c r="B87" s="461" t="str">
        <f t="shared" si="1"/>
        <v>S-BK1</v>
      </c>
      <c r="C87" s="462">
        <v>7</v>
      </c>
      <c r="D87" s="463" t="s">
        <v>1038</v>
      </c>
      <c r="E87" s="461" t="s">
        <v>943</v>
      </c>
      <c r="F87" s="464" t="s">
        <v>944</v>
      </c>
      <c r="G87" s="461">
        <v>1</v>
      </c>
    </row>
    <row r="88" spans="2:7" x14ac:dyDescent="0.25">
      <c r="B88" s="461" t="str">
        <f t="shared" si="1"/>
        <v>W-BK1</v>
      </c>
      <c r="C88" s="462">
        <v>4</v>
      </c>
      <c r="D88" s="463" t="s">
        <v>1039</v>
      </c>
      <c r="E88" s="461" t="s">
        <v>814</v>
      </c>
      <c r="F88" s="464" t="s">
        <v>946</v>
      </c>
      <c r="G88" s="461">
        <v>1</v>
      </c>
    </row>
    <row r="89" spans="2:7" x14ac:dyDescent="0.25">
      <c r="B89" s="461" t="str">
        <f t="shared" si="1"/>
        <v>W-PK1</v>
      </c>
      <c r="C89" s="462">
        <v>4</v>
      </c>
      <c r="D89" s="463" t="s">
        <v>1040</v>
      </c>
      <c r="E89" s="461" t="s">
        <v>948</v>
      </c>
      <c r="F89" s="464" t="s">
        <v>949</v>
      </c>
      <c r="G89" s="461">
        <v>1</v>
      </c>
    </row>
    <row r="90" spans="2:7" x14ac:dyDescent="0.25">
      <c r="B90" s="461" t="str">
        <f t="shared" si="1"/>
        <v>G-PO1</v>
      </c>
      <c r="C90" s="462">
        <v>4</v>
      </c>
      <c r="D90" s="463" t="s">
        <v>1041</v>
      </c>
      <c r="E90" s="461" t="s">
        <v>818</v>
      </c>
      <c r="F90" s="464" t="s">
        <v>951</v>
      </c>
      <c r="G90" s="461">
        <v>1</v>
      </c>
    </row>
    <row r="91" spans="2:7" x14ac:dyDescent="0.25">
      <c r="B91" s="461" t="str">
        <f t="shared" si="1"/>
        <v>G-AF1</v>
      </c>
      <c r="C91" s="462">
        <v>7</v>
      </c>
      <c r="D91" s="463" t="s">
        <v>1042</v>
      </c>
      <c r="E91" s="461" t="s">
        <v>953</v>
      </c>
      <c r="F91" s="464" t="s">
        <v>954</v>
      </c>
      <c r="G91" s="461">
        <v>1</v>
      </c>
    </row>
    <row r="92" spans="2:7" ht="21" x14ac:dyDescent="0.25">
      <c r="B92" s="461" t="str">
        <f t="shared" si="1"/>
        <v>G-BK1</v>
      </c>
      <c r="C92" s="462">
        <v>7</v>
      </c>
      <c r="D92" s="463" t="s">
        <v>1043</v>
      </c>
      <c r="E92" s="461" t="s">
        <v>956</v>
      </c>
      <c r="F92" s="464" t="s">
        <v>957</v>
      </c>
      <c r="G92" s="461">
        <v>1</v>
      </c>
    </row>
    <row r="93" spans="2:7" x14ac:dyDescent="0.25">
      <c r="B93" s="461" t="str">
        <f t="shared" si="1"/>
        <v>T-87,51</v>
      </c>
      <c r="C93" s="462">
        <v>9</v>
      </c>
      <c r="D93" s="463" t="s">
        <v>1044</v>
      </c>
      <c r="E93" s="461" t="s">
        <v>822</v>
      </c>
      <c r="F93" s="464" t="s">
        <v>959</v>
      </c>
      <c r="G93" s="461">
        <v>1</v>
      </c>
    </row>
    <row r="94" spans="2:7" x14ac:dyDescent="0.25">
      <c r="B94" s="461" t="str">
        <f t="shared" si="1"/>
        <v>T-751</v>
      </c>
      <c r="C94" s="462">
        <v>9</v>
      </c>
      <c r="D94" s="463" t="s">
        <v>1045</v>
      </c>
      <c r="E94" s="461" t="s">
        <v>825</v>
      </c>
      <c r="F94" s="464" t="s">
        <v>961</v>
      </c>
      <c r="G94" s="461">
        <v>1</v>
      </c>
    </row>
    <row r="95" spans="2:7" x14ac:dyDescent="0.25">
      <c r="B95" s="461" t="str">
        <f t="shared" si="1"/>
        <v>T-501</v>
      </c>
      <c r="C95" s="462">
        <v>9</v>
      </c>
      <c r="D95" s="463" t="s">
        <v>1046</v>
      </c>
      <c r="E95" s="461" t="s">
        <v>827</v>
      </c>
      <c r="F95" s="464" t="s">
        <v>963</v>
      </c>
      <c r="G95" s="461">
        <v>1</v>
      </c>
    </row>
    <row r="96" spans="2:7" x14ac:dyDescent="0.25">
      <c r="B96" s="461" t="s">
        <v>1047</v>
      </c>
      <c r="C96" s="462">
        <v>9</v>
      </c>
      <c r="D96" s="463" t="s">
        <v>1048</v>
      </c>
      <c r="E96" s="461" t="s">
        <v>830</v>
      </c>
      <c r="F96" s="464" t="s">
        <v>966</v>
      </c>
      <c r="G96" s="461">
        <v>1</v>
      </c>
    </row>
    <row r="97" spans="2:7" x14ac:dyDescent="0.25">
      <c r="B97" s="461" t="s">
        <v>114</v>
      </c>
      <c r="C97" s="462">
        <v>0</v>
      </c>
      <c r="D97" s="463" t="s">
        <v>1049</v>
      </c>
      <c r="E97" s="461" t="s">
        <v>832</v>
      </c>
      <c r="F97" s="464" t="s">
        <v>969</v>
      </c>
      <c r="G97" s="461">
        <v>1</v>
      </c>
    </row>
    <row r="98" spans="2:7" x14ac:dyDescent="0.25">
      <c r="B98" s="465" t="str">
        <f t="shared" si="1"/>
        <v>?1</v>
      </c>
      <c r="C98" s="466">
        <v>0</v>
      </c>
      <c r="D98" s="463" t="s">
        <v>1050</v>
      </c>
      <c r="E98" s="465" t="s">
        <v>384</v>
      </c>
      <c r="F98" s="465" t="s">
        <v>970</v>
      </c>
      <c r="G98" s="465">
        <v>1</v>
      </c>
    </row>
  </sheetData>
  <pageMargins left="0.7" right="0.7" top="0.75" bottom="0.75" header="0.3" footer="0.3"/>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84F4D-0CBC-4FBB-888E-A7651142D98D}">
  <dimension ref="D4:P20"/>
  <sheetViews>
    <sheetView workbookViewId="0">
      <selection activeCell="F13" sqref="F13"/>
    </sheetView>
  </sheetViews>
  <sheetFormatPr defaultColWidth="9.140625" defaultRowHeight="14.25" x14ac:dyDescent="0.2"/>
  <cols>
    <col min="1" max="3" width="9.140625" style="442"/>
    <col min="4" max="4" width="11.5703125" style="442" customWidth="1"/>
    <col min="5" max="5" width="30.5703125" style="443" customWidth="1"/>
    <col min="6" max="6" width="75.5703125" style="442" customWidth="1"/>
    <col min="7" max="16384" width="9.140625" style="442"/>
  </cols>
  <sheetData>
    <row r="4" spans="4:16" ht="15" thickBot="1" x14ac:dyDescent="0.25"/>
    <row r="5" spans="4:16" ht="73.5" thickTop="1" x14ac:dyDescent="0.2">
      <c r="D5" s="444" t="s">
        <v>860</v>
      </c>
      <c r="E5" s="445" t="s">
        <v>861</v>
      </c>
      <c r="F5" s="446" t="s">
        <v>862</v>
      </c>
      <c r="G5" s="440" t="s">
        <v>863</v>
      </c>
      <c r="H5" s="440" t="s">
        <v>864</v>
      </c>
      <c r="I5" s="440" t="s">
        <v>865</v>
      </c>
      <c r="J5" s="440" t="s">
        <v>866</v>
      </c>
      <c r="K5" s="440" t="s">
        <v>867</v>
      </c>
      <c r="L5" s="440" t="s">
        <v>868</v>
      </c>
      <c r="M5" s="440" t="s">
        <v>869</v>
      </c>
      <c r="N5" s="440" t="s">
        <v>870</v>
      </c>
      <c r="O5" s="440" t="s">
        <v>871</v>
      </c>
      <c r="P5" s="441" t="s">
        <v>872</v>
      </c>
    </row>
    <row r="6" spans="4:16" x14ac:dyDescent="0.2">
      <c r="D6" s="447" t="s">
        <v>384</v>
      </c>
      <c r="E6" s="448" t="s">
        <v>873</v>
      </c>
      <c r="F6" s="449"/>
      <c r="G6" s="450"/>
      <c r="H6" s="450"/>
      <c r="I6" s="450"/>
      <c r="J6" s="450"/>
      <c r="K6" s="450"/>
      <c r="L6" s="450"/>
      <c r="M6" s="450"/>
      <c r="N6" s="450"/>
      <c r="O6" s="450"/>
      <c r="P6" s="451"/>
    </row>
    <row r="7" spans="4:16" x14ac:dyDescent="0.2">
      <c r="D7" s="447">
        <v>0</v>
      </c>
      <c r="E7" s="448" t="s">
        <v>358</v>
      </c>
      <c r="F7" s="449"/>
      <c r="G7" s="450"/>
      <c r="H7" s="450"/>
      <c r="I7" s="450"/>
      <c r="J7" s="450"/>
      <c r="K7" s="450"/>
      <c r="L7" s="450"/>
      <c r="M7" s="450"/>
      <c r="N7" s="450"/>
      <c r="O7" s="450"/>
      <c r="P7" s="451"/>
    </row>
    <row r="8" spans="4:16" ht="63" x14ac:dyDescent="0.2">
      <c r="D8" s="447">
        <v>1</v>
      </c>
      <c r="E8" s="448" t="s">
        <v>874</v>
      </c>
      <c r="F8" s="449" t="s">
        <v>875</v>
      </c>
      <c r="G8" s="450"/>
      <c r="H8" s="450"/>
      <c r="I8" s="450" t="s">
        <v>368</v>
      </c>
      <c r="J8" s="450"/>
      <c r="K8" s="450" t="s">
        <v>368</v>
      </c>
      <c r="L8" s="450"/>
      <c r="M8" s="450"/>
      <c r="N8" s="450"/>
      <c r="O8" s="450"/>
      <c r="P8" s="451"/>
    </row>
    <row r="9" spans="4:16" ht="25.5" x14ac:dyDescent="0.2">
      <c r="D9" s="447">
        <v>2</v>
      </c>
      <c r="E9" s="448" t="s">
        <v>876</v>
      </c>
      <c r="F9" s="449" t="s">
        <v>877</v>
      </c>
      <c r="G9" s="450"/>
      <c r="H9" s="450"/>
      <c r="I9" s="450"/>
      <c r="J9" s="450"/>
      <c r="K9" s="450" t="s">
        <v>368</v>
      </c>
      <c r="L9" s="450"/>
      <c r="M9" s="450"/>
      <c r="N9" s="450"/>
      <c r="O9" s="450"/>
      <c r="P9" s="451"/>
    </row>
    <row r="10" spans="4:16" ht="31.5" x14ac:dyDescent="0.2">
      <c r="D10" s="447" t="s">
        <v>878</v>
      </c>
      <c r="E10" s="448" t="s">
        <v>879</v>
      </c>
      <c r="F10" s="449" t="s">
        <v>880</v>
      </c>
      <c r="G10" s="450"/>
      <c r="H10" s="450"/>
      <c r="I10" s="450"/>
      <c r="J10" s="450"/>
      <c r="K10" s="450" t="s">
        <v>368</v>
      </c>
      <c r="L10" s="450" t="s">
        <v>368</v>
      </c>
      <c r="M10" s="450"/>
      <c r="N10" s="450"/>
      <c r="O10" s="450"/>
      <c r="P10" s="451"/>
    </row>
    <row r="11" spans="4:16" ht="31.5" x14ac:dyDescent="0.2">
      <c r="D11" s="447" t="s">
        <v>881</v>
      </c>
      <c r="E11" s="448" t="s">
        <v>882</v>
      </c>
      <c r="F11" s="449" t="s">
        <v>883</v>
      </c>
      <c r="G11" s="450"/>
      <c r="H11" s="450"/>
      <c r="I11" s="450"/>
      <c r="J11" s="450" t="s">
        <v>368</v>
      </c>
      <c r="K11" s="450" t="s">
        <v>368</v>
      </c>
      <c r="L11" s="450" t="s">
        <v>368</v>
      </c>
      <c r="M11" s="450"/>
      <c r="N11" s="450"/>
      <c r="O11" s="450"/>
      <c r="P11" s="451"/>
    </row>
    <row r="12" spans="4:16" ht="52.5" x14ac:dyDescent="0.2">
      <c r="D12" s="447">
        <v>4</v>
      </c>
      <c r="E12" s="448" t="s">
        <v>884</v>
      </c>
      <c r="F12" s="449" t="s">
        <v>885</v>
      </c>
      <c r="G12" s="450"/>
      <c r="H12" s="450"/>
      <c r="I12" s="450"/>
      <c r="J12" s="450" t="s">
        <v>368</v>
      </c>
      <c r="K12" s="450" t="s">
        <v>368</v>
      </c>
      <c r="L12" s="450" t="s">
        <v>368</v>
      </c>
      <c r="M12" s="450"/>
      <c r="N12" s="450"/>
      <c r="O12" s="450"/>
      <c r="P12" s="451"/>
    </row>
    <row r="13" spans="4:16" ht="63" x14ac:dyDescent="0.2">
      <c r="D13" s="447" t="s">
        <v>886</v>
      </c>
      <c r="E13" s="448" t="s">
        <v>887</v>
      </c>
      <c r="F13" s="449" t="s">
        <v>888</v>
      </c>
      <c r="G13" s="450"/>
      <c r="H13" s="450" t="s">
        <v>368</v>
      </c>
      <c r="I13" s="450" t="s">
        <v>368</v>
      </c>
      <c r="J13" s="450" t="s">
        <v>368</v>
      </c>
      <c r="K13" s="450" t="s">
        <v>368</v>
      </c>
      <c r="L13" s="450" t="s">
        <v>368</v>
      </c>
      <c r="M13" s="450"/>
      <c r="N13" s="450"/>
      <c r="O13" s="450"/>
      <c r="P13" s="451"/>
    </row>
    <row r="14" spans="4:16" ht="52.5" x14ac:dyDescent="0.2">
      <c r="D14" s="447" t="s">
        <v>889</v>
      </c>
      <c r="E14" s="448" t="s">
        <v>890</v>
      </c>
      <c r="F14" s="449" t="s">
        <v>891</v>
      </c>
      <c r="G14" s="450" t="s">
        <v>368</v>
      </c>
      <c r="H14" s="450" t="s">
        <v>368</v>
      </c>
      <c r="I14" s="450"/>
      <c r="J14" s="450" t="s">
        <v>368</v>
      </c>
      <c r="K14" s="450"/>
      <c r="L14" s="450" t="s">
        <v>368</v>
      </c>
      <c r="M14" s="450" t="s">
        <v>368</v>
      </c>
      <c r="N14" s="450"/>
      <c r="O14" s="450"/>
      <c r="P14" s="451"/>
    </row>
    <row r="15" spans="4:16" ht="73.5" x14ac:dyDescent="0.2">
      <c r="D15" s="447" t="s">
        <v>892</v>
      </c>
      <c r="E15" s="448" t="s">
        <v>893</v>
      </c>
      <c r="F15" s="449" t="s">
        <v>894</v>
      </c>
      <c r="G15" s="450" t="s">
        <v>368</v>
      </c>
      <c r="H15" s="450" t="s">
        <v>368</v>
      </c>
      <c r="I15" s="450" t="s">
        <v>368</v>
      </c>
      <c r="J15" s="450" t="s">
        <v>368</v>
      </c>
      <c r="K15" s="450"/>
      <c r="L15" s="450"/>
      <c r="M15" s="450"/>
      <c r="N15" s="450"/>
      <c r="O15" s="450"/>
      <c r="P15" s="451"/>
    </row>
    <row r="16" spans="4:16" ht="31.5" x14ac:dyDescent="0.2">
      <c r="D16" s="447">
        <v>6</v>
      </c>
      <c r="E16" s="448" t="s">
        <v>895</v>
      </c>
      <c r="F16" s="449" t="s">
        <v>896</v>
      </c>
      <c r="G16" s="450" t="s">
        <v>368</v>
      </c>
      <c r="H16" s="450" t="s">
        <v>368</v>
      </c>
      <c r="I16" s="450" t="s">
        <v>368</v>
      </c>
      <c r="J16" s="450" t="s">
        <v>368</v>
      </c>
      <c r="K16" s="450" t="s">
        <v>368</v>
      </c>
      <c r="L16" s="450" t="s">
        <v>368</v>
      </c>
      <c r="M16" s="450" t="s">
        <v>368</v>
      </c>
      <c r="N16" s="450" t="s">
        <v>368</v>
      </c>
      <c r="O16" s="450" t="s">
        <v>368</v>
      </c>
      <c r="P16" s="451" t="s">
        <v>368</v>
      </c>
    </row>
    <row r="17" spans="4:16" ht="42" x14ac:dyDescent="0.2">
      <c r="D17" s="447">
        <v>7</v>
      </c>
      <c r="E17" s="448" t="s">
        <v>897</v>
      </c>
      <c r="F17" s="449" t="s">
        <v>898</v>
      </c>
      <c r="G17" s="450" t="s">
        <v>368</v>
      </c>
      <c r="H17" s="450" t="s">
        <v>368</v>
      </c>
      <c r="I17" s="450" t="s">
        <v>368</v>
      </c>
      <c r="J17" s="450"/>
      <c r="K17" s="450"/>
      <c r="L17" s="450"/>
      <c r="M17" s="450" t="s">
        <v>368</v>
      </c>
      <c r="N17" s="450"/>
      <c r="O17" s="450"/>
      <c r="P17" s="451"/>
    </row>
    <row r="18" spans="4:16" ht="21" x14ac:dyDescent="0.2">
      <c r="D18" s="447">
        <v>8</v>
      </c>
      <c r="E18" s="448" t="s">
        <v>899</v>
      </c>
      <c r="F18" s="449" t="s">
        <v>900</v>
      </c>
      <c r="G18" s="450"/>
      <c r="H18" s="450"/>
      <c r="I18" s="450"/>
      <c r="J18" s="450" t="s">
        <v>368</v>
      </c>
      <c r="K18" s="450"/>
      <c r="L18" s="450"/>
      <c r="M18" s="450" t="s">
        <v>368</v>
      </c>
      <c r="N18" s="450" t="s">
        <v>368</v>
      </c>
      <c r="O18" s="450" t="s">
        <v>368</v>
      </c>
      <c r="P18" s="451" t="s">
        <v>368</v>
      </c>
    </row>
    <row r="19" spans="4:16" ht="32.25" thickBot="1" x14ac:dyDescent="0.25">
      <c r="D19" s="452" t="s">
        <v>381</v>
      </c>
      <c r="E19" s="453" t="s">
        <v>901</v>
      </c>
      <c r="F19" s="454" t="s">
        <v>902</v>
      </c>
      <c r="G19" s="455"/>
      <c r="H19" s="455"/>
      <c r="I19" s="455"/>
      <c r="J19" s="455"/>
      <c r="K19" s="455"/>
      <c r="L19" s="455"/>
      <c r="M19" s="455"/>
      <c r="N19" s="455"/>
      <c r="O19" s="455"/>
      <c r="P19" s="456"/>
    </row>
    <row r="20" spans="4:16" ht="15" thickTop="1" x14ac:dyDescent="0.2"/>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8C8ED-1A37-47EA-BC88-229F05ECFFD8}">
  <dimension ref="A1:J69"/>
  <sheetViews>
    <sheetView workbookViewId="0">
      <selection activeCell="G5" sqref="G5"/>
    </sheetView>
  </sheetViews>
  <sheetFormatPr defaultRowHeight="15" x14ac:dyDescent="0.25"/>
  <cols>
    <col min="2" max="2" width="16.140625" bestFit="1" customWidth="1"/>
    <col min="5" max="5" width="10.140625" bestFit="1" customWidth="1"/>
  </cols>
  <sheetData>
    <row r="1" spans="1:8" x14ac:dyDescent="0.25">
      <c r="A1" s="308" t="s">
        <v>679</v>
      </c>
      <c r="B1" s="308"/>
    </row>
    <row r="2" spans="1:8" x14ac:dyDescent="0.25">
      <c r="A2" s="308"/>
      <c r="B2" s="308"/>
      <c r="F2" t="s">
        <v>680</v>
      </c>
      <c r="H2" t="s">
        <v>681</v>
      </c>
    </row>
    <row r="3" spans="1:8" x14ac:dyDescent="0.25">
      <c r="A3" s="309" t="s">
        <v>682</v>
      </c>
      <c r="B3" s="310">
        <v>1</v>
      </c>
      <c r="F3" t="s">
        <v>683</v>
      </c>
      <c r="G3" t="s">
        <v>684</v>
      </c>
      <c r="H3" t="s">
        <v>395</v>
      </c>
    </row>
    <row r="4" spans="1:8" x14ac:dyDescent="0.25">
      <c r="A4" s="309" t="s">
        <v>685</v>
      </c>
      <c r="B4" s="311">
        <v>9.7694444444444439</v>
      </c>
      <c r="F4" t="s">
        <v>686</v>
      </c>
      <c r="G4" t="s">
        <v>687</v>
      </c>
      <c r="H4" t="s">
        <v>372</v>
      </c>
    </row>
    <row r="5" spans="1:8" x14ac:dyDescent="0.25">
      <c r="A5" s="309" t="s">
        <v>688</v>
      </c>
      <c r="B5" s="312">
        <v>91.666666666666671</v>
      </c>
    </row>
    <row r="6" spans="1:8" x14ac:dyDescent="0.25">
      <c r="A6" s="309" t="s">
        <v>689</v>
      </c>
      <c r="B6" s="313">
        <v>2.9E-4</v>
      </c>
    </row>
    <row r="7" spans="1:8" x14ac:dyDescent="0.25">
      <c r="A7" s="309" t="s">
        <v>690</v>
      </c>
      <c r="B7" s="314">
        <v>1.7849999999999999E-3</v>
      </c>
    </row>
    <row r="8" spans="1:8" x14ac:dyDescent="0.25">
      <c r="A8" s="309" t="s">
        <v>691</v>
      </c>
      <c r="B8" s="315">
        <v>2.6839999999999999E-2</v>
      </c>
    </row>
    <row r="11" spans="1:8" x14ac:dyDescent="0.25">
      <c r="A11" s="316" t="s">
        <v>692</v>
      </c>
      <c r="B11" s="317">
        <v>3500</v>
      </c>
      <c r="C11" t="s">
        <v>693</v>
      </c>
      <c r="E11" t="str">
        <f>IF(SUM(SCHOUW!K125,SCHOUW!K126,SCHOUW!K127,SCHOUW!K128,SCHOUW!K129,SCHOUW!K130,SCHOUW!K131,SCHOUW!K132,SCHOUW!K143,SCHOUW!K144,SCHOUW!K145,SCHOUW!K146,SCHOUW!K147,SCHOUW!K148,SCHOUW!K149,SCHOUW!K171,SCHOUW!K172,SCHOUW!K173,SCHOUW!K174,SCHOUW!K176)&gt;0,"JA","NEE")</f>
        <v>JA</v>
      </c>
    </row>
    <row r="12" spans="1:8" x14ac:dyDescent="0.25">
      <c r="A12" s="316" t="s">
        <v>694</v>
      </c>
      <c r="B12" s="317">
        <v>5000</v>
      </c>
      <c r="C12" t="s">
        <v>695</v>
      </c>
      <c r="E12" t="e">
        <f>IF(OR(Advies!B28&lt;=Advies!B37,Advies!B28&lt;=EDATE(Advies!B37,6),Advies!B27="Niet beschikbaar"),"JA","n.v.t.")</f>
        <v>#VALUE!</v>
      </c>
    </row>
    <row r="13" spans="1:8" x14ac:dyDescent="0.25">
      <c r="A13" s="316" t="s">
        <v>696</v>
      </c>
      <c r="B13" s="317">
        <v>5000</v>
      </c>
    </row>
    <row r="14" spans="1:8" x14ac:dyDescent="0.25">
      <c r="A14" s="316" t="s">
        <v>697</v>
      </c>
      <c r="B14" s="317">
        <v>1000</v>
      </c>
      <c r="F14" t="s">
        <v>1173</v>
      </c>
    </row>
    <row r="15" spans="1:8" x14ac:dyDescent="0.25">
      <c r="A15" s="316" t="s">
        <v>698</v>
      </c>
      <c r="B15" s="317">
        <v>35000</v>
      </c>
      <c r="C15" t="s">
        <v>699</v>
      </c>
      <c r="E15" t="str">
        <f>IF(SUM(SCHOUW!K144,SCHOUW!K145,SCHOUW!K146,SCHOUW!K147,SCHOUW!K148,SCHOUW!K149,SCHOUW!K135,SCHOUW!K136,SCHOUW!K140,SCHOUW!K141)&gt;0,"JA","NEE")</f>
        <v>JA</v>
      </c>
    </row>
    <row r="16" spans="1:8" x14ac:dyDescent="0.25">
      <c r="A16" s="316"/>
      <c r="B16" s="317"/>
    </row>
    <row r="18" spans="1:6" x14ac:dyDescent="0.25">
      <c r="A18" t="s">
        <v>168</v>
      </c>
      <c r="B18" t="s">
        <v>700</v>
      </c>
      <c r="C18" t="s">
        <v>169</v>
      </c>
      <c r="D18" t="s">
        <v>701</v>
      </c>
      <c r="E18" t="s">
        <v>702</v>
      </c>
      <c r="F18" t="s">
        <v>170</v>
      </c>
    </row>
    <row r="19" spans="1:6" x14ac:dyDescent="0.25">
      <c r="A19" t="s">
        <v>73</v>
      </c>
      <c r="B19" t="s">
        <v>166</v>
      </c>
      <c r="C19" t="s">
        <v>334</v>
      </c>
      <c r="D19" t="s">
        <v>238</v>
      </c>
      <c r="E19" t="s">
        <v>677</v>
      </c>
      <c r="F19" s="318" t="s">
        <v>703</v>
      </c>
    </row>
    <row r="20" spans="1:6" x14ac:dyDescent="0.25">
      <c r="A20" t="s">
        <v>74</v>
      </c>
      <c r="B20" t="s">
        <v>166</v>
      </c>
      <c r="C20" t="s">
        <v>334</v>
      </c>
      <c r="D20" t="s">
        <v>239</v>
      </c>
      <c r="E20" t="s">
        <v>677</v>
      </c>
      <c r="F20" s="318" t="s">
        <v>704</v>
      </c>
    </row>
    <row r="21" spans="1:6" x14ac:dyDescent="0.25">
      <c r="A21" t="s">
        <v>76</v>
      </c>
      <c r="B21" t="s">
        <v>166</v>
      </c>
      <c r="C21" t="s">
        <v>334</v>
      </c>
      <c r="D21" t="s">
        <v>241</v>
      </c>
      <c r="E21" t="s">
        <v>677</v>
      </c>
      <c r="F21" s="318" t="s">
        <v>705</v>
      </c>
    </row>
    <row r="22" spans="1:6" x14ac:dyDescent="0.25">
      <c r="A22" t="s">
        <v>77</v>
      </c>
      <c r="B22" t="s">
        <v>166</v>
      </c>
      <c r="C22" t="s">
        <v>334</v>
      </c>
      <c r="D22" t="s">
        <v>242</v>
      </c>
      <c r="E22" t="s">
        <v>677</v>
      </c>
      <c r="F22" s="318" t="s">
        <v>706</v>
      </c>
    </row>
    <row r="23" spans="1:6" x14ac:dyDescent="0.25">
      <c r="A23" t="s">
        <v>78</v>
      </c>
      <c r="B23" t="s">
        <v>166</v>
      </c>
      <c r="C23" t="s">
        <v>334</v>
      </c>
      <c r="D23" t="s">
        <v>243</v>
      </c>
      <c r="E23" t="s">
        <v>677</v>
      </c>
      <c r="F23" s="318" t="s">
        <v>706</v>
      </c>
    </row>
    <row r="24" spans="1:6" x14ac:dyDescent="0.25">
      <c r="A24" t="s">
        <v>82</v>
      </c>
      <c r="B24" t="s">
        <v>166</v>
      </c>
      <c r="C24" t="s">
        <v>335</v>
      </c>
      <c r="D24" t="s">
        <v>247</v>
      </c>
      <c r="E24" t="s">
        <v>677</v>
      </c>
      <c r="F24" t="s">
        <v>707</v>
      </c>
    </row>
    <row r="25" spans="1:6" x14ac:dyDescent="0.25">
      <c r="A25" t="s">
        <v>84</v>
      </c>
      <c r="B25" t="s">
        <v>166</v>
      </c>
      <c r="C25" t="s">
        <v>335</v>
      </c>
      <c r="D25" t="s">
        <v>708</v>
      </c>
      <c r="E25" t="s">
        <v>709</v>
      </c>
      <c r="F25" s="318" t="s">
        <v>710</v>
      </c>
    </row>
    <row r="26" spans="1:6" x14ac:dyDescent="0.25">
      <c r="A26" t="s">
        <v>85</v>
      </c>
      <c r="B26" t="s">
        <v>166</v>
      </c>
      <c r="C26" t="s">
        <v>335</v>
      </c>
      <c r="D26" t="s">
        <v>250</v>
      </c>
      <c r="E26" t="s">
        <v>677</v>
      </c>
      <c r="F26" s="318" t="s">
        <v>711</v>
      </c>
    </row>
    <row r="27" spans="1:6" x14ac:dyDescent="0.25">
      <c r="A27" t="s">
        <v>86</v>
      </c>
      <c r="B27" t="s">
        <v>166</v>
      </c>
      <c r="C27" t="s">
        <v>335</v>
      </c>
      <c r="D27" t="s">
        <v>251</v>
      </c>
      <c r="E27" t="s">
        <v>677</v>
      </c>
      <c r="F27" s="318" t="s">
        <v>712</v>
      </c>
    </row>
    <row r="28" spans="1:6" x14ac:dyDescent="0.25">
      <c r="A28" t="s">
        <v>90</v>
      </c>
      <c r="B28" t="s">
        <v>166</v>
      </c>
      <c r="C28" t="s">
        <v>336</v>
      </c>
      <c r="D28" t="s">
        <v>255</v>
      </c>
      <c r="E28" t="s">
        <v>677</v>
      </c>
      <c r="F28" t="s">
        <v>713</v>
      </c>
    </row>
    <row r="29" spans="1:6" x14ac:dyDescent="0.25">
      <c r="A29" t="s">
        <v>91</v>
      </c>
      <c r="B29" t="s">
        <v>166</v>
      </c>
      <c r="C29" t="s">
        <v>336</v>
      </c>
      <c r="D29" t="s">
        <v>256</v>
      </c>
      <c r="E29" t="s">
        <v>677</v>
      </c>
      <c r="F29" t="s">
        <v>714</v>
      </c>
    </row>
    <row r="30" spans="1:6" x14ac:dyDescent="0.25">
      <c r="A30" t="s">
        <v>92</v>
      </c>
      <c r="B30" t="s">
        <v>166</v>
      </c>
      <c r="C30" t="s">
        <v>336</v>
      </c>
      <c r="D30" t="s">
        <v>715</v>
      </c>
      <c r="E30" t="s">
        <v>677</v>
      </c>
      <c r="F30" t="s">
        <v>714</v>
      </c>
    </row>
    <row r="31" spans="1:6" x14ac:dyDescent="0.25">
      <c r="A31" t="s">
        <v>93</v>
      </c>
      <c r="B31" t="s">
        <v>166</v>
      </c>
      <c r="C31" t="s">
        <v>336</v>
      </c>
      <c r="D31" t="s">
        <v>258</v>
      </c>
      <c r="E31" t="s">
        <v>677</v>
      </c>
      <c r="F31" t="s">
        <v>714</v>
      </c>
    </row>
    <row r="32" spans="1:6" x14ac:dyDescent="0.25">
      <c r="A32" t="s">
        <v>94</v>
      </c>
      <c r="B32" t="s">
        <v>166</v>
      </c>
      <c r="C32" t="s">
        <v>336</v>
      </c>
      <c r="D32" t="s">
        <v>259</v>
      </c>
      <c r="E32" t="s">
        <v>677</v>
      </c>
      <c r="F32" t="s">
        <v>714</v>
      </c>
    </row>
    <row r="33" spans="1:6" x14ac:dyDescent="0.25">
      <c r="A33" t="s">
        <v>96</v>
      </c>
      <c r="B33" t="s">
        <v>166</v>
      </c>
      <c r="C33" t="s">
        <v>337</v>
      </c>
      <c r="D33" t="s">
        <v>261</v>
      </c>
      <c r="E33" t="s">
        <v>709</v>
      </c>
      <c r="F33" t="s">
        <v>716</v>
      </c>
    </row>
    <row r="34" spans="1:6" x14ac:dyDescent="0.25">
      <c r="A34" t="s">
        <v>98</v>
      </c>
      <c r="B34" t="s">
        <v>166</v>
      </c>
      <c r="C34" t="s">
        <v>337</v>
      </c>
      <c r="D34" t="s">
        <v>263</v>
      </c>
      <c r="E34" t="s">
        <v>677</v>
      </c>
      <c r="F34" t="s">
        <v>717</v>
      </c>
    </row>
    <row r="35" spans="1:6" x14ac:dyDescent="0.25">
      <c r="A35" t="s">
        <v>99</v>
      </c>
      <c r="B35" t="s">
        <v>166</v>
      </c>
      <c r="C35" t="s">
        <v>338</v>
      </c>
      <c r="D35" t="s">
        <v>264</v>
      </c>
      <c r="E35" t="s">
        <v>677</v>
      </c>
      <c r="F35" t="s">
        <v>718</v>
      </c>
    </row>
    <row r="36" spans="1:6" x14ac:dyDescent="0.25">
      <c r="A36" t="s">
        <v>100</v>
      </c>
      <c r="B36" t="s">
        <v>166</v>
      </c>
      <c r="C36" t="s">
        <v>338</v>
      </c>
      <c r="D36" t="s">
        <v>265</v>
      </c>
      <c r="E36" t="s">
        <v>677</v>
      </c>
      <c r="F36" t="s">
        <v>719</v>
      </c>
    </row>
    <row r="37" spans="1:6" x14ac:dyDescent="0.25">
      <c r="A37" t="s">
        <v>101</v>
      </c>
      <c r="B37" t="s">
        <v>166</v>
      </c>
      <c r="C37" t="s">
        <v>338</v>
      </c>
      <c r="D37" t="s">
        <v>720</v>
      </c>
      <c r="E37" t="s">
        <v>677</v>
      </c>
      <c r="F37" t="s">
        <v>719</v>
      </c>
    </row>
    <row r="38" spans="1:6" x14ac:dyDescent="0.25">
      <c r="A38" t="s">
        <v>102</v>
      </c>
      <c r="B38" t="s">
        <v>166</v>
      </c>
      <c r="C38" t="s">
        <v>338</v>
      </c>
      <c r="D38" t="s">
        <v>267</v>
      </c>
      <c r="E38" t="s">
        <v>677</v>
      </c>
      <c r="F38" t="s">
        <v>719</v>
      </c>
    </row>
    <row r="39" spans="1:6" x14ac:dyDescent="0.25">
      <c r="A39" t="s">
        <v>103</v>
      </c>
      <c r="B39" t="s">
        <v>166</v>
      </c>
      <c r="C39" t="s">
        <v>338</v>
      </c>
      <c r="D39" t="s">
        <v>268</v>
      </c>
      <c r="E39" t="s">
        <v>677</v>
      </c>
      <c r="F39" t="s">
        <v>719</v>
      </c>
    </row>
    <row r="40" spans="1:6" x14ac:dyDescent="0.25">
      <c r="A40" t="s">
        <v>104</v>
      </c>
      <c r="B40" t="s">
        <v>166</v>
      </c>
      <c r="C40" t="s">
        <v>338</v>
      </c>
      <c r="D40" t="s">
        <v>269</v>
      </c>
      <c r="E40" t="s">
        <v>677</v>
      </c>
      <c r="F40" t="s">
        <v>719</v>
      </c>
    </row>
    <row r="41" spans="1:6" x14ac:dyDescent="0.25">
      <c r="A41" t="s">
        <v>105</v>
      </c>
      <c r="B41" t="s">
        <v>166</v>
      </c>
      <c r="C41" t="s">
        <v>338</v>
      </c>
      <c r="D41" t="s">
        <v>270</v>
      </c>
      <c r="E41" t="s">
        <v>677</v>
      </c>
      <c r="F41" t="s">
        <v>719</v>
      </c>
    </row>
    <row r="42" spans="1:6" x14ac:dyDescent="0.25">
      <c r="A42" t="s">
        <v>106</v>
      </c>
      <c r="B42" t="s">
        <v>166</v>
      </c>
      <c r="C42" t="s">
        <v>338</v>
      </c>
      <c r="D42" t="s">
        <v>271</v>
      </c>
      <c r="E42" t="s">
        <v>677</v>
      </c>
      <c r="F42" t="s">
        <v>719</v>
      </c>
    </row>
    <row r="43" spans="1:6" x14ac:dyDescent="0.25">
      <c r="A43" t="s">
        <v>107</v>
      </c>
      <c r="B43" t="s">
        <v>166</v>
      </c>
      <c r="C43" t="s">
        <v>338</v>
      </c>
      <c r="D43" t="s">
        <v>272</v>
      </c>
      <c r="E43" t="s">
        <v>677</v>
      </c>
      <c r="F43" t="s">
        <v>719</v>
      </c>
    </row>
    <row r="44" spans="1:6" x14ac:dyDescent="0.25">
      <c r="A44" t="s">
        <v>108</v>
      </c>
      <c r="B44" t="s">
        <v>166</v>
      </c>
      <c r="C44" t="s">
        <v>338</v>
      </c>
      <c r="D44" t="s">
        <v>273</v>
      </c>
      <c r="E44" t="s">
        <v>677</v>
      </c>
      <c r="F44" t="s">
        <v>719</v>
      </c>
    </row>
    <row r="45" spans="1:6" x14ac:dyDescent="0.25">
      <c r="A45" t="s">
        <v>109</v>
      </c>
      <c r="B45" t="s">
        <v>166</v>
      </c>
      <c r="C45" t="s">
        <v>338</v>
      </c>
      <c r="D45" t="s">
        <v>274</v>
      </c>
      <c r="E45" t="s">
        <v>677</v>
      </c>
      <c r="F45" t="s">
        <v>719</v>
      </c>
    </row>
    <row r="46" spans="1:6" x14ac:dyDescent="0.25">
      <c r="A46" t="s">
        <v>110</v>
      </c>
      <c r="B46" t="s">
        <v>166</v>
      </c>
      <c r="C46" t="s">
        <v>338</v>
      </c>
      <c r="D46" t="s">
        <v>275</v>
      </c>
      <c r="E46" t="s">
        <v>677</v>
      </c>
      <c r="F46" t="s">
        <v>719</v>
      </c>
    </row>
    <row r="47" spans="1:6" x14ac:dyDescent="0.25">
      <c r="A47" t="s">
        <v>111</v>
      </c>
      <c r="B47" t="s">
        <v>166</v>
      </c>
      <c r="C47" t="s">
        <v>338</v>
      </c>
      <c r="D47" t="s">
        <v>276</v>
      </c>
      <c r="E47" t="s">
        <v>677</v>
      </c>
      <c r="F47" t="s">
        <v>719</v>
      </c>
    </row>
    <row r="48" spans="1:6" x14ac:dyDescent="0.25">
      <c r="A48" t="s">
        <v>112</v>
      </c>
      <c r="B48" t="s">
        <v>166</v>
      </c>
      <c r="C48" t="s">
        <v>338</v>
      </c>
      <c r="D48" t="s">
        <v>277</v>
      </c>
      <c r="E48" t="s">
        <v>677</v>
      </c>
      <c r="F48" t="s">
        <v>719</v>
      </c>
    </row>
    <row r="49" spans="1:10" x14ac:dyDescent="0.25">
      <c r="A49" t="s">
        <v>118</v>
      </c>
      <c r="B49" t="s">
        <v>166</v>
      </c>
      <c r="C49" t="s">
        <v>332</v>
      </c>
      <c r="D49" t="s">
        <v>236</v>
      </c>
      <c r="E49" t="s">
        <v>677</v>
      </c>
      <c r="F49" t="s">
        <v>721</v>
      </c>
    </row>
    <row r="53" spans="1:10" x14ac:dyDescent="0.25">
      <c r="A53" t="s">
        <v>168</v>
      </c>
      <c r="G53" t="s">
        <v>722</v>
      </c>
    </row>
    <row r="54" spans="1:10" x14ac:dyDescent="0.25">
      <c r="A54" s="319"/>
      <c r="B54" s="320"/>
      <c r="C54" s="65" t="str">
        <f>C55</f>
        <v>Ruimteverwarming</v>
      </c>
      <c r="D54" s="66"/>
      <c r="G54" s="321"/>
      <c r="H54" s="117"/>
      <c r="I54" s="322"/>
      <c r="J54" s="323"/>
    </row>
    <row r="55" spans="1:10" x14ac:dyDescent="0.25">
      <c r="A55" s="324" t="s">
        <v>166</v>
      </c>
      <c r="B55" s="325" t="s">
        <v>81</v>
      </c>
      <c r="C55" s="325" t="s">
        <v>335</v>
      </c>
      <c r="D55" s="325" t="s">
        <v>246</v>
      </c>
      <c r="G55" s="326" t="s">
        <v>395</v>
      </c>
      <c r="H55" s="117"/>
      <c r="I55" s="14"/>
      <c r="J55" s="327"/>
    </row>
    <row r="56" spans="1:10" x14ac:dyDescent="0.25">
      <c r="A56" s="328" t="s">
        <v>166</v>
      </c>
      <c r="B56" s="329" t="s">
        <v>82</v>
      </c>
      <c r="C56" s="329" t="s">
        <v>335</v>
      </c>
      <c r="D56" s="329" t="s">
        <v>247</v>
      </c>
      <c r="G56" s="321" t="s">
        <v>395</v>
      </c>
      <c r="H56" s="117"/>
      <c r="I56" s="14"/>
      <c r="J56" s="327"/>
    </row>
    <row r="57" spans="1:10" x14ac:dyDescent="0.25">
      <c r="A57" s="324" t="s">
        <v>166</v>
      </c>
      <c r="B57" s="325" t="s">
        <v>83</v>
      </c>
      <c r="C57" s="325" t="s">
        <v>335</v>
      </c>
      <c r="D57" s="325" t="s">
        <v>248</v>
      </c>
      <c r="G57" s="326" t="s">
        <v>395</v>
      </c>
      <c r="H57" s="117"/>
      <c r="I57" s="14"/>
      <c r="J57" s="327"/>
    </row>
    <row r="58" spans="1:10" x14ac:dyDescent="0.25">
      <c r="A58" s="324" t="s">
        <v>166</v>
      </c>
      <c r="B58" s="325" t="s">
        <v>87</v>
      </c>
      <c r="C58" s="325" t="s">
        <v>335</v>
      </c>
      <c r="D58" s="325" t="s">
        <v>252</v>
      </c>
      <c r="G58" s="326" t="s">
        <v>372</v>
      </c>
      <c r="H58" s="117" t="s">
        <v>372</v>
      </c>
      <c r="I58" s="14"/>
      <c r="J58" s="327"/>
    </row>
    <row r="59" spans="1:10" x14ac:dyDescent="0.25">
      <c r="A59" s="328" t="s">
        <v>166</v>
      </c>
      <c r="B59" s="329" t="s">
        <v>88</v>
      </c>
      <c r="C59" s="330" t="s">
        <v>335</v>
      </c>
      <c r="D59" s="330" t="s">
        <v>253</v>
      </c>
      <c r="G59" s="321" t="s">
        <v>372</v>
      </c>
      <c r="H59" s="117"/>
      <c r="I59" s="14"/>
      <c r="J59" s="327"/>
    </row>
    <row r="60" spans="1:10" ht="15.75" thickBot="1" x14ac:dyDescent="0.3">
      <c r="A60" s="319"/>
      <c r="B60" s="320"/>
      <c r="C60" s="65" t="str">
        <f>C61</f>
        <v>Ruimteventilatie</v>
      </c>
      <c r="D60" s="65"/>
      <c r="G60" s="326"/>
      <c r="I60" s="322"/>
      <c r="J60" s="323"/>
    </row>
    <row r="61" spans="1:10" ht="16.5" thickTop="1" thickBot="1" x14ac:dyDescent="0.3">
      <c r="A61" s="328" t="s">
        <v>166</v>
      </c>
      <c r="B61" s="329" t="s">
        <v>89</v>
      </c>
      <c r="C61" s="329" t="s">
        <v>336</v>
      </c>
      <c r="D61" s="329" t="s">
        <v>254</v>
      </c>
      <c r="G61" s="331" t="s">
        <v>395</v>
      </c>
      <c r="I61" s="14"/>
      <c r="J61" s="323"/>
    </row>
    <row r="62" spans="1:10" ht="16.5" thickTop="1" thickBot="1" x14ac:dyDescent="0.3">
      <c r="A62" s="324" t="s">
        <v>166</v>
      </c>
      <c r="B62" s="325" t="s">
        <v>90</v>
      </c>
      <c r="C62" s="325" t="s">
        <v>336</v>
      </c>
      <c r="D62" s="325" t="s">
        <v>255</v>
      </c>
      <c r="G62" s="331" t="s">
        <v>395</v>
      </c>
      <c r="I62" s="14"/>
      <c r="J62" s="323"/>
    </row>
    <row r="63" spans="1:10" ht="16.5" thickTop="1" thickBot="1" x14ac:dyDescent="0.3">
      <c r="A63" s="328" t="s">
        <v>166</v>
      </c>
      <c r="B63" s="329" t="s">
        <v>91</v>
      </c>
      <c r="C63" s="329" t="s">
        <v>336</v>
      </c>
      <c r="D63" s="329" t="s">
        <v>256</v>
      </c>
      <c r="G63" s="331" t="s">
        <v>395</v>
      </c>
      <c r="I63" s="14"/>
      <c r="J63" s="323"/>
    </row>
    <row r="64" spans="1:10" ht="16.5" thickTop="1" thickBot="1" x14ac:dyDescent="0.3">
      <c r="A64" s="324" t="s">
        <v>166</v>
      </c>
      <c r="B64" s="325" t="s">
        <v>92</v>
      </c>
      <c r="C64" s="325" t="s">
        <v>336</v>
      </c>
      <c r="D64" s="325" t="s">
        <v>257</v>
      </c>
      <c r="G64" s="331" t="s">
        <v>395</v>
      </c>
      <c r="I64" s="14"/>
      <c r="J64" s="323"/>
    </row>
    <row r="65" spans="1:10" ht="16.5" thickTop="1" thickBot="1" x14ac:dyDescent="0.3">
      <c r="A65" s="328" t="s">
        <v>166</v>
      </c>
      <c r="B65" s="329" t="s">
        <v>93</v>
      </c>
      <c r="C65" s="329" t="s">
        <v>336</v>
      </c>
      <c r="D65" s="329" t="s">
        <v>258</v>
      </c>
      <c r="G65" s="331" t="s">
        <v>395</v>
      </c>
      <c r="I65" s="14"/>
      <c r="J65" s="323"/>
    </row>
    <row r="66" spans="1:10" ht="16.5" thickTop="1" thickBot="1" x14ac:dyDescent="0.3">
      <c r="A66" s="324" t="s">
        <v>166</v>
      </c>
      <c r="B66" s="325" t="s">
        <v>94</v>
      </c>
      <c r="C66" s="325" t="s">
        <v>336</v>
      </c>
      <c r="D66" s="325" t="s">
        <v>259</v>
      </c>
      <c r="G66" s="331" t="s">
        <v>395</v>
      </c>
      <c r="I66" s="14"/>
      <c r="J66" s="323"/>
    </row>
    <row r="67" spans="1:10" ht="16.5" thickTop="1" thickBot="1" x14ac:dyDescent="0.3">
      <c r="A67" s="328" t="s">
        <v>166</v>
      </c>
      <c r="B67" s="329" t="s">
        <v>95</v>
      </c>
      <c r="C67" s="330" t="s">
        <v>336</v>
      </c>
      <c r="D67" s="330" t="s">
        <v>260</v>
      </c>
      <c r="G67" s="331" t="s">
        <v>372</v>
      </c>
      <c r="I67" s="14"/>
      <c r="J67" s="323"/>
    </row>
    <row r="68" spans="1:10" ht="15.75" thickTop="1" x14ac:dyDescent="0.25">
      <c r="A68" s="319"/>
      <c r="B68" s="320"/>
      <c r="C68" s="65" t="str">
        <f>C69</f>
        <v>Warm tapwater</v>
      </c>
      <c r="D68" s="65"/>
      <c r="G68" s="326"/>
      <c r="I68" s="322"/>
      <c r="J68" s="323"/>
    </row>
    <row r="69" spans="1:10" x14ac:dyDescent="0.25">
      <c r="A69" s="328" t="s">
        <v>166</v>
      </c>
      <c r="B69" s="329" t="s">
        <v>98</v>
      </c>
      <c r="C69" s="330" t="s">
        <v>337</v>
      </c>
      <c r="D69" s="330" t="s">
        <v>263</v>
      </c>
      <c r="G69" s="321" t="s">
        <v>372</v>
      </c>
      <c r="I69" s="14"/>
      <c r="J69" s="323"/>
    </row>
  </sheetData>
  <pageMargins left="0.7" right="0.7" top="0.75" bottom="0.75" header="0.3" footer="0.3"/>
  <drawing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34172CEED8F90B4795F38E9C7428A42E" ma:contentTypeVersion="9" ma:contentTypeDescription="Een nieuw document maken." ma:contentTypeScope="" ma:versionID="3902742b12c4e729b2aee7597db8ef81">
  <xsd:schema xmlns:xsd="http://www.w3.org/2001/XMLSchema" xmlns:xs="http://www.w3.org/2001/XMLSchema" xmlns:p="http://schemas.microsoft.com/office/2006/metadata/properties" xmlns:ns2="dd897848-768c-4c3c-849b-486c776e096a" xmlns:ns3="2b88a84c-eed3-4777-bbe4-e9c0c180694b" xmlns:ns4="3ea731cc-0394-4d09-b5d3-44c6ee7de4dc" xmlns:ns5="371ea551-ac4f-4260-8555-176c58b8ea03" targetNamespace="http://schemas.microsoft.com/office/2006/metadata/properties" ma:root="true" ma:fieldsID="e5a0d5649a67f56151f92dc22081d676" ns2:_="" ns3:_="" ns4:_="" ns5:_="">
    <xsd:import namespace="dd897848-768c-4c3c-849b-486c776e096a"/>
    <xsd:import namespace="2b88a84c-eed3-4777-bbe4-e9c0c180694b"/>
    <xsd:import namespace="3ea731cc-0394-4d09-b5d3-44c6ee7de4dc"/>
    <xsd:import namespace="371ea551-ac4f-4260-8555-176c58b8ea03"/>
    <xsd:element name="properties">
      <xsd:complexType>
        <xsd:sequence>
          <xsd:element name="documentManagement">
            <xsd:complexType>
              <xsd:all>
                <xsd:element ref="ns2:ProjectStatus" minOccurs="0"/>
                <xsd:element ref="ns2:CTBGenuineID" minOccurs="0"/>
                <xsd:element ref="ns3:Disciplines" minOccurs="0"/>
                <xsd:element ref="ns4:MediaServiceMetadata" minOccurs="0"/>
                <xsd:element ref="ns4:MediaServiceFastMetadata" minOccurs="0"/>
                <xsd:element ref="ns4:MediaServiceSearchProperties" minOccurs="0"/>
                <xsd:element ref="ns4:MediaServiceObjectDetectorVersions" minOccurs="0"/>
                <xsd:element ref="ns5:SharedWithUsers" minOccurs="0"/>
                <xsd:element ref="ns5: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897848-768c-4c3c-849b-486c776e096a" elementFormDefault="qualified">
    <xsd:import namespace="http://schemas.microsoft.com/office/2006/documentManagement/types"/>
    <xsd:import namespace="http://schemas.microsoft.com/office/infopath/2007/PartnerControls"/>
    <xsd:element name="ProjectStatus" ma:index="8" nillable="true" ma:displayName="Projectstatus" ma:default="Actief" ma:format="Dropdown" ma:internalName="ProjectStatus">
      <xsd:simpleType>
        <xsd:restriction base="dms:Choice">
          <xsd:enumeration value="Actief"/>
          <xsd:enumeration value="Gesloten"/>
        </xsd:restriction>
      </xsd:simpleType>
    </xsd:element>
    <xsd:element name="CTBGenuineID" ma:index="9" nillable="true" ma:displayName="CTBGenuineID" ma:internalName="CTBGenuineID"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b88a84c-eed3-4777-bbe4-e9c0c180694b" elementFormDefault="qualified">
    <xsd:import namespace="http://schemas.microsoft.com/office/2006/documentManagement/types"/>
    <xsd:import namespace="http://schemas.microsoft.com/office/infopath/2007/PartnerControls"/>
    <xsd:element name="Disciplines" ma:index="10" nillable="true" ma:displayName="Disciplines" ma:list="32a62da4-f0fe-40b4-aff8-5e1647bcffb3" ma:internalName="Disciplines" ma:showField="Titl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ea731cc-0394-4d09-b5d3-44c6ee7de4d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71ea551-ac4f-4260-8555-176c58b8ea03"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rojectStatus xmlns="dd897848-768c-4c3c-849b-486c776e096a">Actief</ProjectStatus>
    <Disciplines xmlns="2b88a84c-eed3-4777-bbe4-e9c0c180694b" xsi:nil="true"/>
  </documentManagement>
</p:properties>
</file>

<file path=customXml/itemProps1.xml><?xml version="1.0" encoding="utf-8"?>
<ds:datastoreItem xmlns:ds="http://schemas.openxmlformats.org/officeDocument/2006/customXml" ds:itemID="{AB91B3B7-432A-4158-96D7-184E34FEC893}">
  <ds:schemaRefs>
    <ds:schemaRef ds:uri="http://schemas.microsoft.com/DataMashup"/>
  </ds:schemaRefs>
</ds:datastoreItem>
</file>

<file path=customXml/itemProps2.xml><?xml version="1.0" encoding="utf-8"?>
<ds:datastoreItem xmlns:ds="http://schemas.openxmlformats.org/officeDocument/2006/customXml" ds:itemID="{249CE55F-52A5-4201-BE90-C92D457C12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897848-768c-4c3c-849b-486c776e096a"/>
    <ds:schemaRef ds:uri="2b88a84c-eed3-4777-bbe4-e9c0c180694b"/>
    <ds:schemaRef ds:uri="3ea731cc-0394-4d09-b5d3-44c6ee7de4dc"/>
    <ds:schemaRef ds:uri="371ea551-ac4f-4260-8555-176c58b8ea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C123608-2E4B-48E5-B731-396020EEEABA}">
  <ds:schemaRefs>
    <ds:schemaRef ds:uri="http://schemas.microsoft.com/sharepoint/v3/contenttype/forms"/>
  </ds:schemaRefs>
</ds:datastoreItem>
</file>

<file path=customXml/itemProps4.xml><?xml version="1.0" encoding="utf-8"?>
<ds:datastoreItem xmlns:ds="http://schemas.openxmlformats.org/officeDocument/2006/customXml" ds:itemID="{79EC7FCC-9076-4D10-9DEB-7D0BDEAD01EF}">
  <ds:schemaRefs>
    <ds:schemaRef ds:uri="http://schemas.microsoft.com/office/2006/metadata/properties"/>
    <ds:schemaRef ds:uri="http://schemas.microsoft.com/office/infopath/2007/PartnerControls"/>
    <ds:schemaRef ds:uri="dd897848-768c-4c3c-849b-486c776e096a"/>
    <ds:schemaRef ds:uri="2b88a84c-eed3-4777-bbe4-e9c0c180694b"/>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21</vt:i4>
      </vt:variant>
      <vt:variant>
        <vt:lpstr>Benoemde bereiken</vt:lpstr>
      </vt:variant>
      <vt:variant>
        <vt:i4>2</vt:i4>
      </vt:variant>
    </vt:vector>
  </HeadingPairs>
  <TitlesOfParts>
    <vt:vector size="23" baseType="lpstr">
      <vt:lpstr>Advies</vt:lpstr>
      <vt:lpstr>SCHOUW</vt:lpstr>
      <vt:lpstr>Inventarisatie (reserve)</vt:lpstr>
      <vt:lpstr>Beoordeling</vt:lpstr>
      <vt:lpstr>Inventarisatie Totaal</vt:lpstr>
      <vt:lpstr>Inspectie Totaal</vt:lpstr>
      <vt:lpstr>Inspectie (reserve)</vt:lpstr>
      <vt:lpstr>Inventarisatie B</vt:lpstr>
      <vt:lpstr>Inspectie B</vt:lpstr>
      <vt:lpstr>Inventarisatie E</vt:lpstr>
      <vt:lpstr>Inspectie E</vt:lpstr>
      <vt:lpstr>Inventarisatie W</vt:lpstr>
      <vt:lpstr>Inspectie W</vt:lpstr>
      <vt:lpstr>SBL-2024</vt:lpstr>
      <vt:lpstr>SBL-2024 (formules)</vt:lpstr>
      <vt:lpstr>Menu's</vt:lpstr>
      <vt:lpstr>FUTP's</vt:lpstr>
      <vt:lpstr>Overlast</vt:lpstr>
      <vt:lpstr>Prio</vt:lpstr>
      <vt:lpstr>Herstelmaatregelen</vt:lpstr>
      <vt:lpstr>Rekenblad</vt:lpstr>
      <vt:lpstr>Bouwjaar</vt:lpstr>
      <vt:lpstr>Discipline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Bas Muijsson</dc:creator>
  <cp:lastModifiedBy>Rust, Margreeth</cp:lastModifiedBy>
  <dcterms:created xsi:type="dcterms:W3CDTF">2024-11-15T12:25:15Z</dcterms:created>
  <dcterms:modified xsi:type="dcterms:W3CDTF">2026-09-22T10:54:44Z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tbFolderMD7">
    <vt:lpwstr/>
  </property>
  <property fmtid="{D5CDD505-2E9C-101B-9397-08002B2CF9AE}" pid="3" name="ctbFolderMD2">
    <vt:lpwstr>2024</vt:lpwstr>
  </property>
  <property fmtid="{D5CDD505-2E9C-101B-9397-08002B2CF9AE}" pid="4" name="ctbFolderMD8">
    <vt:lpwstr/>
  </property>
  <property fmtid="{D5CDD505-2E9C-101B-9397-08002B2CF9AE}" pid="5" name="ContentTypeId">
    <vt:lpwstr>0x01010034172CEED8F90B4795F38E9C7428A42E</vt:lpwstr>
  </property>
  <property fmtid="{D5CDD505-2E9C-101B-9397-08002B2CF9AE}" pid="6" name="ctbFolderMD3">
    <vt:lpwstr>Modellen</vt:lpwstr>
  </property>
  <property fmtid="{D5CDD505-2E9C-101B-9397-08002B2CF9AE}" pid="7" name="ctbFolderMD6">
    <vt:lpwstr/>
  </property>
  <property fmtid="{D5CDD505-2E9C-101B-9397-08002B2CF9AE}" pid="8" name="ctbFolderMD1">
    <vt:lpwstr>General</vt:lpwstr>
  </property>
  <property fmtid="{D5CDD505-2E9C-101B-9397-08002B2CF9AE}" pid="9" name="ctbFolderMD4">
    <vt:lpwstr/>
  </property>
  <property fmtid="{D5CDD505-2E9C-101B-9397-08002B2CF9AE}" pid="10" name="ctbFolderMD5">
    <vt:lpwstr/>
  </property>
  <property fmtid="{D5CDD505-2E9C-101B-9397-08002B2CF9AE}" pid="11" name="ctbFolderMD0">
    <vt:lpwstr>Gedeelde documenten</vt:lpwstr>
  </property>
</Properties>
</file>