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questionmarkgroup.sharepoint.com/sites/GemeenteLansingerland/Gedeelde documenten/Gemeente Lansingerland/4. documenten/"/>
    </mc:Choice>
  </mc:AlternateContent>
  <xr:revisionPtr revIDLastSave="626" documentId="13_ncr:1_{2C049126-374A-458F-9C1B-44EC03D66932}" xr6:coauthVersionLast="47" xr6:coauthVersionMax="47" xr10:uidLastSave="{DFFE6CCB-C3B5-436A-8945-DFF4B9F397AE}"/>
  <bookViews>
    <workbookView xWindow="-28920" yWindow="-810" windowWidth="29040" windowHeight="15720" tabRatio="946" activeTab="1"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Vloeronderhoud" sheetId="39" r:id="rId10"/>
    <sheet name="11-Sanitaire voorzieningen" sheetId="42" r:id="rId11"/>
    <sheet name="12-Machinekosten" sheetId="40" r:id="rId12"/>
  </sheets>
  <externalReferences>
    <externalReference r:id="rId13"/>
    <externalReference r:id="rId14"/>
    <externalReference r:id="rId15"/>
    <externalReference r:id="rId16"/>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0" hidden="1">'[2]#REF'!#REF!</definedName>
    <definedName name="_Fill" localSheetId="1" hidden="1">'[3]#REF'!#REF!</definedName>
    <definedName name="_Fill" hidden="1">'[3]#REF'!#REF!</definedName>
    <definedName name="_filll" hidden="1">'[4]#REF'!#REF!</definedName>
    <definedName name="_xlnm._FilterDatabase" localSheetId="9" hidden="1">'10-Vloeronderhoud'!$A$12:$AA$46</definedName>
    <definedName name="_xlnm._FilterDatabase" localSheetId="10" hidden="1">'11-Sanitaire voorzieningen'!$A$10:$X$54</definedName>
    <definedName name="_xlnm._FilterDatabase" localSheetId="1" hidden="1">'2-Kosten per locatie'!$A$14:$J$20</definedName>
    <definedName name="_xlnm._FilterDatabase" localSheetId="3" hidden="1">'4-Basis ruimtestaat'!$B$9:$R$370</definedName>
    <definedName name="_Hlk39130726" localSheetId="0">'1-Uitgangspunten'!$A$16</definedName>
    <definedName name="_Key1" localSheetId="9" hidden="1">'[2]#REF'!#REF!</definedName>
    <definedName name="_Key1" localSheetId="10"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locatie'!$A$3:$AB$19</definedName>
    <definedName name="_xlnm.Print_Area" localSheetId="3">'4-Basis ruimtestaat'!$B$3:$R$370</definedName>
    <definedName name="_xlnm.Print_Area" localSheetId="4">'5-Premies en opslagen'!$A$3:$E$55</definedName>
    <definedName name="_xlnm.Print_Area" localSheetId="5">'6-Opbouw uurtarief productie'!$A$1:$R$65</definedName>
    <definedName name="_xlnm.Print_Area" localSheetId="8">'9-Afroepprijs'!$A$3:$F$50</definedName>
    <definedName name="_xlnm.Print_Titles" localSheetId="9">'10-Vloeronderhoud'!$12:$12</definedName>
    <definedName name="_xlnm.Print_Titles" localSheetId="10">'11-Sanitaire voorzieningen'!$10:$10</definedName>
    <definedName name="_xlnm.Print_Titles" localSheetId="1">'2-Kosten per locatie'!$14:$14</definedName>
    <definedName name="_xlnm.Print_Titles" localSheetId="3">'4-Basis ruimtestaat'!$9:$9</definedName>
    <definedName name="_xlnm.Print_Titles" localSheetId="5">'6-Opbouw uurtarief productie'!$A:$C</definedName>
    <definedName name="_xlnm.Print_Titles" localSheetId="8">'9-Afroepprijs'!$6:$10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'[3]#REF'!#REF!</definedName>
    <definedName name="einde" localSheetId="1">'2-Kosten per locatie'!einde</definedName>
    <definedName name="einde">'2-Kosten per locatie'!einde</definedName>
    <definedName name="fghf" hidden="1">'[3]#REF'!#REF!</definedName>
    <definedName name="Gan_R" localSheetId="1">'2-Kosten per locatie'!Gan_R</definedName>
    <definedName name="Gan_R">'2-Kosten per locatie'!Gan_R</definedName>
    <definedName name="gs" hidden="1">'[3]#REF'!#REF!</definedName>
    <definedName name="han" localSheetId="9" hidden="1">'[2]#REF'!#REF!</definedName>
    <definedName name="han" localSheetId="10" hidden="1">'[2]#REF'!#REF!</definedName>
    <definedName name="han" localSheetId="1" hidden="1">'[3]#REF'!#REF!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'[3]#REF'!#REF!</definedName>
    <definedName name="Mutatiederdekwartaal" localSheetId="1" hidden="1">{"'ma_vr'!$A$1:$AA$42"}</definedName>
    <definedName name="Mutatiederdekwartaal" hidden="1">{"'ma_vr'!$A$1:$AA$42"}</definedName>
    <definedName name="NvB" hidden="1">'[4]#REF'!#REF!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0" i="42" l="1"/>
  <c r="K49" i="42"/>
  <c r="K48" i="42"/>
  <c r="K47" i="42"/>
  <c r="K46" i="42"/>
  <c r="K45" i="42"/>
  <c r="K44" i="42"/>
  <c r="K43" i="42"/>
  <c r="K42" i="42"/>
  <c r="K41" i="42"/>
  <c r="K40" i="42"/>
  <c r="K39" i="42"/>
  <c r="K37" i="42"/>
  <c r="K36" i="42"/>
  <c r="M36" i="42" s="1"/>
  <c r="K35" i="42"/>
  <c r="M35" i="42" s="1"/>
  <c r="K15" i="42"/>
  <c r="K16" i="42"/>
  <c r="K17" i="42"/>
  <c r="K18" i="42"/>
  <c r="K19" i="42"/>
  <c r="K20" i="42"/>
  <c r="K21" i="42"/>
  <c r="K22" i="42"/>
  <c r="K23" i="42"/>
  <c r="K24" i="42"/>
  <c r="K25" i="42"/>
  <c r="M25" i="42" s="1"/>
  <c r="K26" i="42"/>
  <c r="M26" i="42" s="1"/>
  <c r="K27" i="42"/>
  <c r="K28" i="42"/>
  <c r="K29" i="42"/>
  <c r="K30" i="42"/>
  <c r="K31" i="42"/>
  <c r="K32" i="42"/>
  <c r="K33" i="42"/>
  <c r="K14" i="42"/>
  <c r="K11" i="42"/>
  <c r="K12" i="42"/>
  <c r="K13" i="42"/>
  <c r="F42" i="42"/>
  <c r="F41" i="42"/>
  <c r="L53" i="42"/>
  <c r="M53" i="42" s="1"/>
  <c r="L54" i="42"/>
  <c r="M54" i="42" s="1"/>
  <c r="L52" i="42"/>
  <c r="M52" i="42" s="1"/>
  <c r="M37" i="42"/>
  <c r="M14" i="42" l="1"/>
  <c r="M15" i="42"/>
  <c r="M16" i="42"/>
  <c r="M17" i="42"/>
  <c r="M39" i="42"/>
  <c r="M40" i="42"/>
  <c r="M41" i="42"/>
  <c r="M42" i="42"/>
  <c r="M18" i="42"/>
  <c r="M19" i="42"/>
  <c r="M20" i="42"/>
  <c r="M21" i="42"/>
  <c r="M22" i="42"/>
  <c r="M23" i="42"/>
  <c r="M24" i="42"/>
  <c r="M43" i="42"/>
  <c r="M44" i="42"/>
  <c r="M45" i="42"/>
  <c r="M46" i="42"/>
  <c r="M27" i="42"/>
  <c r="M28" i="42"/>
  <c r="M29" i="42"/>
  <c r="M30" i="42"/>
  <c r="M31" i="42"/>
  <c r="M32" i="42"/>
  <c r="M33" i="42"/>
  <c r="M47" i="42"/>
  <c r="M48" i="42"/>
  <c r="M49" i="42"/>
  <c r="M50" i="42"/>
  <c r="M11" i="42"/>
  <c r="M12" i="42"/>
  <c r="M13" i="42"/>
  <c r="D12" i="31" l="1"/>
  <c r="C11" i="31"/>
  <c r="F16" i="39"/>
  <c r="F17" i="39"/>
  <c r="F18" i="39"/>
  <c r="F19" i="39"/>
  <c r="F20" i="39"/>
  <c r="E16" i="39"/>
  <c r="E17" i="39"/>
  <c r="E18" i="39"/>
  <c r="E19" i="39"/>
  <c r="E20" i="39"/>
  <c r="G19" i="39" l="1"/>
  <c r="I19" i="39" s="1"/>
  <c r="G18" i="39"/>
  <c r="I18" i="39" s="1"/>
  <c r="G17" i="39"/>
  <c r="I17" i="39" s="1"/>
  <c r="G16" i="39"/>
  <c r="I16" i="39" s="1"/>
  <c r="G20" i="39"/>
  <c r="I20" i="39" s="1"/>
  <c r="K349" i="2" l="1"/>
  <c r="R349" i="2" s="1"/>
  <c r="K350" i="2"/>
  <c r="R350" i="2" s="1"/>
  <c r="K351" i="2"/>
  <c r="R351" i="2" s="1"/>
  <c r="K352" i="2"/>
  <c r="R352" i="2" s="1"/>
  <c r="K353" i="2"/>
  <c r="R353" i="2" s="1"/>
  <c r="K354" i="2"/>
  <c r="R354" i="2" s="1"/>
  <c r="K355" i="2"/>
  <c r="R355" i="2" s="1"/>
  <c r="K356" i="2"/>
  <c r="R356" i="2" s="1"/>
  <c r="K357" i="2"/>
  <c r="R357" i="2" s="1"/>
  <c r="K358" i="2"/>
  <c r="R358" i="2" s="1"/>
  <c r="K359" i="2"/>
  <c r="R359" i="2" s="1"/>
  <c r="K360" i="2"/>
  <c r="R360" i="2" s="1"/>
  <c r="K361" i="2"/>
  <c r="R361" i="2" s="1"/>
  <c r="K362" i="2"/>
  <c r="R362" i="2" s="1"/>
  <c r="K363" i="2"/>
  <c r="R363" i="2" s="1"/>
  <c r="K364" i="2"/>
  <c r="R364" i="2" s="1"/>
  <c r="K365" i="2"/>
  <c r="R365" i="2" s="1"/>
  <c r="K366" i="2"/>
  <c r="R366" i="2" s="1"/>
  <c r="K367" i="2"/>
  <c r="R367" i="2" s="1"/>
  <c r="K368" i="2"/>
  <c r="R368" i="2" s="1"/>
  <c r="K369" i="2"/>
  <c r="R369" i="2" s="1"/>
  <c r="K370" i="2"/>
  <c r="R370" i="2" s="1"/>
  <c r="M359" i="2"/>
  <c r="N359" i="2"/>
  <c r="M360" i="2"/>
  <c r="N360" i="2"/>
  <c r="M362" i="2"/>
  <c r="N362" i="2"/>
  <c r="K348" i="2"/>
  <c r="R348" i="2" s="1"/>
  <c r="K331" i="2"/>
  <c r="R331" i="2" s="1"/>
  <c r="K332" i="2"/>
  <c r="R332" i="2" s="1"/>
  <c r="K333" i="2"/>
  <c r="R333" i="2" s="1"/>
  <c r="K334" i="2"/>
  <c r="R334" i="2" s="1"/>
  <c r="K335" i="2"/>
  <c r="R335" i="2" s="1"/>
  <c r="K336" i="2"/>
  <c r="R336" i="2" s="1"/>
  <c r="K337" i="2"/>
  <c r="R337" i="2" s="1"/>
  <c r="K338" i="2"/>
  <c r="R338" i="2" s="1"/>
  <c r="K339" i="2"/>
  <c r="R339" i="2" s="1"/>
  <c r="K340" i="2"/>
  <c r="R340" i="2" s="1"/>
  <c r="K341" i="2"/>
  <c r="R341" i="2" s="1"/>
  <c r="K342" i="2"/>
  <c r="R342" i="2" s="1"/>
  <c r="K343" i="2"/>
  <c r="R343" i="2" s="1"/>
  <c r="K344" i="2"/>
  <c r="R344" i="2" s="1"/>
  <c r="K345" i="2"/>
  <c r="R345" i="2" s="1"/>
  <c r="K346" i="2"/>
  <c r="R346" i="2" s="1"/>
  <c r="K347" i="2"/>
  <c r="R347" i="2" s="1"/>
  <c r="K330" i="2"/>
  <c r="R330" i="2" s="1"/>
  <c r="K18" i="2" l="1"/>
  <c r="B4" i="37" l="1"/>
  <c r="N40" i="18" l="1"/>
  <c r="N39" i="18"/>
  <c r="L39" i="18"/>
  <c r="L38" i="18"/>
  <c r="J38" i="18"/>
  <c r="J37" i="18"/>
  <c r="N36" i="18"/>
  <c r="N35" i="18"/>
  <c r="L35" i="18"/>
  <c r="L34" i="18"/>
  <c r="K34" i="18"/>
  <c r="J34" i="18"/>
  <c r="I34" i="18"/>
  <c r="M34" i="18"/>
  <c r="N34" i="18"/>
  <c r="I35" i="18"/>
  <c r="J35" i="18"/>
  <c r="K35" i="18"/>
  <c r="M35" i="18"/>
  <c r="I36" i="18"/>
  <c r="J36" i="18"/>
  <c r="K36" i="18"/>
  <c r="L36" i="18"/>
  <c r="M36" i="18"/>
  <c r="I37" i="18"/>
  <c r="K37" i="18"/>
  <c r="L37" i="18"/>
  <c r="M37" i="18"/>
  <c r="N37" i="18"/>
  <c r="I38" i="18"/>
  <c r="K38" i="18"/>
  <c r="M38" i="18"/>
  <c r="N38" i="18"/>
  <c r="I39" i="18"/>
  <c r="J39" i="18"/>
  <c r="K39" i="18"/>
  <c r="M39" i="18"/>
  <c r="I40" i="18"/>
  <c r="J40" i="18"/>
  <c r="K40" i="18"/>
  <c r="L40" i="18"/>
  <c r="M40" i="18"/>
  <c r="K26" i="2" l="1"/>
  <c r="R26" i="2" s="1"/>
  <c r="K27" i="2"/>
  <c r="R27" i="2" s="1"/>
  <c r="K28" i="2"/>
  <c r="R28" i="2" s="1"/>
  <c r="K29" i="2"/>
  <c r="R29" i="2" s="1"/>
  <c r="K30" i="2"/>
  <c r="R30" i="2" s="1"/>
  <c r="K31" i="2"/>
  <c r="R31" i="2" s="1"/>
  <c r="K32" i="2"/>
  <c r="R32" i="2" s="1"/>
  <c r="K33" i="2"/>
  <c r="R33" i="2" s="1"/>
  <c r="K34" i="2"/>
  <c r="R34" i="2" s="1"/>
  <c r="K35" i="2"/>
  <c r="K36" i="2"/>
  <c r="R36" i="2" s="1"/>
  <c r="K37" i="2"/>
  <c r="R37" i="2" s="1"/>
  <c r="K38" i="2"/>
  <c r="R38" i="2" s="1"/>
  <c r="K39" i="2"/>
  <c r="R39" i="2" s="1"/>
  <c r="K40" i="2"/>
  <c r="R40" i="2" s="1"/>
  <c r="K41" i="2"/>
  <c r="R41" i="2" s="1"/>
  <c r="K42" i="2"/>
  <c r="K43" i="2"/>
  <c r="R43" i="2" s="1"/>
  <c r="K44" i="2"/>
  <c r="R44" i="2" s="1"/>
  <c r="K45" i="2"/>
  <c r="R45" i="2" s="1"/>
  <c r="K46" i="2"/>
  <c r="R46" i="2" s="1"/>
  <c r="K47" i="2"/>
  <c r="R47" i="2" s="1"/>
  <c r="K48" i="2"/>
  <c r="R48" i="2" s="1"/>
  <c r="K49" i="2"/>
  <c r="R49" i="2" s="1"/>
  <c r="K50" i="2"/>
  <c r="R50" i="2" s="1"/>
  <c r="K51" i="2"/>
  <c r="K52" i="2"/>
  <c r="R52" i="2" s="1"/>
  <c r="K53" i="2"/>
  <c r="R53" i="2" s="1"/>
  <c r="K54" i="2"/>
  <c r="R54" i="2" s="1"/>
  <c r="K55" i="2"/>
  <c r="R55" i="2" s="1"/>
  <c r="K56" i="2"/>
  <c r="R56" i="2" s="1"/>
  <c r="K57" i="2"/>
  <c r="R57" i="2" s="1"/>
  <c r="K58" i="2"/>
  <c r="K59" i="2"/>
  <c r="K60" i="2"/>
  <c r="K61" i="2"/>
  <c r="R61" i="2" s="1"/>
  <c r="K62" i="2"/>
  <c r="R62" i="2" s="1"/>
  <c r="K63" i="2"/>
  <c r="R63" i="2" s="1"/>
  <c r="K64" i="2"/>
  <c r="R64" i="2" s="1"/>
  <c r="K65" i="2"/>
  <c r="R65" i="2" s="1"/>
  <c r="K66" i="2"/>
  <c r="R66" i="2" s="1"/>
  <c r="K67" i="2"/>
  <c r="R67" i="2" s="1"/>
  <c r="K68" i="2"/>
  <c r="R68" i="2" s="1"/>
  <c r="K69" i="2"/>
  <c r="R69" i="2" s="1"/>
  <c r="K70" i="2"/>
  <c r="R70" i="2" s="1"/>
  <c r="K71" i="2"/>
  <c r="R71" i="2" s="1"/>
  <c r="K72" i="2"/>
  <c r="R72" i="2" s="1"/>
  <c r="K73" i="2"/>
  <c r="R73" i="2" s="1"/>
  <c r="K74" i="2"/>
  <c r="R74" i="2" s="1"/>
  <c r="K75" i="2"/>
  <c r="R75" i="2" s="1"/>
  <c r="K76" i="2"/>
  <c r="R76" i="2" s="1"/>
  <c r="K77" i="2"/>
  <c r="R77" i="2" s="1"/>
  <c r="K78" i="2"/>
  <c r="R78" i="2" s="1"/>
  <c r="K79" i="2"/>
  <c r="R79" i="2" s="1"/>
  <c r="K80" i="2"/>
  <c r="R80" i="2" s="1"/>
  <c r="K81" i="2"/>
  <c r="R81" i="2" s="1"/>
  <c r="K82" i="2"/>
  <c r="K83" i="2"/>
  <c r="K84" i="2"/>
  <c r="R84" i="2" s="1"/>
  <c r="K85" i="2"/>
  <c r="R85" i="2" s="1"/>
  <c r="K86" i="2"/>
  <c r="R86" i="2" s="1"/>
  <c r="K87" i="2"/>
  <c r="R87" i="2" s="1"/>
  <c r="K88" i="2"/>
  <c r="R88" i="2" s="1"/>
  <c r="K89" i="2"/>
  <c r="R89" i="2" s="1"/>
  <c r="K90" i="2"/>
  <c r="R90" i="2" s="1"/>
  <c r="K91" i="2"/>
  <c r="R91" i="2" s="1"/>
  <c r="K92" i="2"/>
  <c r="R92" i="2" s="1"/>
  <c r="K93" i="2"/>
  <c r="R93" i="2" s="1"/>
  <c r="K94" i="2"/>
  <c r="R94" i="2" s="1"/>
  <c r="K95" i="2"/>
  <c r="R95" i="2" s="1"/>
  <c r="K96" i="2"/>
  <c r="R96" i="2" s="1"/>
  <c r="K97" i="2"/>
  <c r="R97" i="2" s="1"/>
  <c r="K98" i="2"/>
  <c r="K99" i="2"/>
  <c r="R99" i="2" s="1"/>
  <c r="K100" i="2"/>
  <c r="R100" i="2" s="1"/>
  <c r="K101" i="2"/>
  <c r="R101" i="2" s="1"/>
  <c r="K102" i="2"/>
  <c r="R102" i="2" s="1"/>
  <c r="K103" i="2"/>
  <c r="R103" i="2" s="1"/>
  <c r="K104" i="2"/>
  <c r="R104" i="2" s="1"/>
  <c r="K105" i="2"/>
  <c r="R105" i="2" s="1"/>
  <c r="K106" i="2"/>
  <c r="K107" i="2"/>
  <c r="R107" i="2" s="1"/>
  <c r="K108" i="2"/>
  <c r="R108" i="2" s="1"/>
  <c r="K109" i="2"/>
  <c r="R109" i="2" s="1"/>
  <c r="K110" i="2"/>
  <c r="R110" i="2" s="1"/>
  <c r="K111" i="2"/>
  <c r="R111" i="2" s="1"/>
  <c r="K112" i="2"/>
  <c r="R112" i="2" s="1"/>
  <c r="K113" i="2"/>
  <c r="R113" i="2" s="1"/>
  <c r="K114" i="2"/>
  <c r="K115" i="2"/>
  <c r="R115" i="2" s="1"/>
  <c r="K116" i="2"/>
  <c r="R116" i="2" s="1"/>
  <c r="K117" i="2"/>
  <c r="R117" i="2" s="1"/>
  <c r="K118" i="2"/>
  <c r="R118" i="2" s="1"/>
  <c r="K119" i="2"/>
  <c r="R119" i="2" s="1"/>
  <c r="K120" i="2"/>
  <c r="R120" i="2" s="1"/>
  <c r="K121" i="2"/>
  <c r="R121" i="2" s="1"/>
  <c r="K122" i="2"/>
  <c r="K123" i="2"/>
  <c r="R123" i="2" s="1"/>
  <c r="K124" i="2"/>
  <c r="R124" i="2" s="1"/>
  <c r="K125" i="2"/>
  <c r="R125" i="2" s="1"/>
  <c r="K126" i="2"/>
  <c r="R126" i="2" s="1"/>
  <c r="K127" i="2"/>
  <c r="R127" i="2" s="1"/>
  <c r="K128" i="2"/>
  <c r="R128" i="2" s="1"/>
  <c r="K129" i="2"/>
  <c r="R129" i="2" s="1"/>
  <c r="K130" i="2"/>
  <c r="R130" i="2" s="1"/>
  <c r="K131" i="2"/>
  <c r="R131" i="2" s="1"/>
  <c r="K132" i="2"/>
  <c r="R132" i="2" s="1"/>
  <c r="K133" i="2"/>
  <c r="R133" i="2" s="1"/>
  <c r="K134" i="2"/>
  <c r="R134" i="2" s="1"/>
  <c r="K135" i="2"/>
  <c r="R135" i="2" s="1"/>
  <c r="K136" i="2"/>
  <c r="R136" i="2" s="1"/>
  <c r="K137" i="2"/>
  <c r="R137" i="2" s="1"/>
  <c r="K138" i="2"/>
  <c r="R138" i="2" s="1"/>
  <c r="K139" i="2"/>
  <c r="R139" i="2" s="1"/>
  <c r="K140" i="2"/>
  <c r="R140" i="2" s="1"/>
  <c r="K141" i="2"/>
  <c r="R141" i="2" s="1"/>
  <c r="K142" i="2"/>
  <c r="R142" i="2" s="1"/>
  <c r="K143" i="2"/>
  <c r="R143" i="2" s="1"/>
  <c r="K144" i="2"/>
  <c r="R144" i="2" s="1"/>
  <c r="K145" i="2"/>
  <c r="R145" i="2" s="1"/>
  <c r="K146" i="2"/>
  <c r="R146" i="2" s="1"/>
  <c r="K147" i="2"/>
  <c r="R147" i="2" s="1"/>
  <c r="K148" i="2"/>
  <c r="R148" i="2" s="1"/>
  <c r="K149" i="2"/>
  <c r="R149" i="2" s="1"/>
  <c r="K150" i="2"/>
  <c r="R150" i="2" s="1"/>
  <c r="K151" i="2"/>
  <c r="R151" i="2" s="1"/>
  <c r="K152" i="2"/>
  <c r="R152" i="2" s="1"/>
  <c r="K153" i="2"/>
  <c r="R153" i="2" s="1"/>
  <c r="K154" i="2"/>
  <c r="R154" i="2" s="1"/>
  <c r="K155" i="2"/>
  <c r="R155" i="2" s="1"/>
  <c r="K156" i="2"/>
  <c r="R156" i="2" s="1"/>
  <c r="K157" i="2"/>
  <c r="R157" i="2" s="1"/>
  <c r="K158" i="2"/>
  <c r="R158" i="2" s="1"/>
  <c r="K159" i="2"/>
  <c r="R159" i="2" s="1"/>
  <c r="K160" i="2"/>
  <c r="R160" i="2" s="1"/>
  <c r="K161" i="2"/>
  <c r="R161" i="2" s="1"/>
  <c r="K162" i="2"/>
  <c r="R162" i="2" s="1"/>
  <c r="K163" i="2"/>
  <c r="R163" i="2" s="1"/>
  <c r="K164" i="2"/>
  <c r="R164" i="2" s="1"/>
  <c r="K165" i="2"/>
  <c r="R165" i="2" s="1"/>
  <c r="K166" i="2"/>
  <c r="R166" i="2" s="1"/>
  <c r="K167" i="2"/>
  <c r="R167" i="2" s="1"/>
  <c r="K168" i="2"/>
  <c r="R168" i="2" s="1"/>
  <c r="K169" i="2"/>
  <c r="R169" i="2" s="1"/>
  <c r="K170" i="2"/>
  <c r="R170" i="2" s="1"/>
  <c r="K171" i="2"/>
  <c r="R171" i="2" s="1"/>
  <c r="K172" i="2"/>
  <c r="R172" i="2" s="1"/>
  <c r="K173" i="2"/>
  <c r="R173" i="2" s="1"/>
  <c r="K174" i="2"/>
  <c r="R174" i="2" s="1"/>
  <c r="K175" i="2"/>
  <c r="R175" i="2" s="1"/>
  <c r="K176" i="2"/>
  <c r="R176" i="2" s="1"/>
  <c r="K177" i="2"/>
  <c r="R177" i="2" s="1"/>
  <c r="K178" i="2"/>
  <c r="R178" i="2" s="1"/>
  <c r="K179" i="2"/>
  <c r="R179" i="2" s="1"/>
  <c r="K180" i="2"/>
  <c r="R180" i="2" s="1"/>
  <c r="K181" i="2"/>
  <c r="R181" i="2" s="1"/>
  <c r="K182" i="2"/>
  <c r="R182" i="2" s="1"/>
  <c r="K183" i="2"/>
  <c r="R183" i="2" s="1"/>
  <c r="K184" i="2"/>
  <c r="R184" i="2" s="1"/>
  <c r="K185" i="2"/>
  <c r="R185" i="2" s="1"/>
  <c r="K186" i="2"/>
  <c r="R186" i="2" s="1"/>
  <c r="K187" i="2"/>
  <c r="R187" i="2" s="1"/>
  <c r="K188" i="2"/>
  <c r="R188" i="2" s="1"/>
  <c r="K189" i="2"/>
  <c r="R189" i="2" s="1"/>
  <c r="K190" i="2"/>
  <c r="R190" i="2" s="1"/>
  <c r="K191" i="2"/>
  <c r="R191" i="2" s="1"/>
  <c r="K192" i="2"/>
  <c r="R192" i="2" s="1"/>
  <c r="K193" i="2"/>
  <c r="R193" i="2" s="1"/>
  <c r="K194" i="2"/>
  <c r="R194" i="2" s="1"/>
  <c r="K195" i="2"/>
  <c r="R195" i="2" s="1"/>
  <c r="K196" i="2"/>
  <c r="R196" i="2" s="1"/>
  <c r="K197" i="2"/>
  <c r="R197" i="2" s="1"/>
  <c r="K198" i="2"/>
  <c r="R198" i="2" s="1"/>
  <c r="K199" i="2"/>
  <c r="R199" i="2" s="1"/>
  <c r="K200" i="2"/>
  <c r="R200" i="2" s="1"/>
  <c r="K201" i="2"/>
  <c r="R201" i="2" s="1"/>
  <c r="K202" i="2"/>
  <c r="R202" i="2" s="1"/>
  <c r="K203" i="2"/>
  <c r="R203" i="2" s="1"/>
  <c r="K204" i="2"/>
  <c r="R204" i="2" s="1"/>
  <c r="K205" i="2"/>
  <c r="R205" i="2" s="1"/>
  <c r="K206" i="2"/>
  <c r="R206" i="2" s="1"/>
  <c r="K207" i="2"/>
  <c r="R207" i="2" s="1"/>
  <c r="K208" i="2"/>
  <c r="R208" i="2" s="1"/>
  <c r="K209" i="2"/>
  <c r="R209" i="2" s="1"/>
  <c r="K210" i="2"/>
  <c r="R210" i="2" s="1"/>
  <c r="K211" i="2"/>
  <c r="R211" i="2" s="1"/>
  <c r="K212" i="2"/>
  <c r="R212" i="2" s="1"/>
  <c r="K213" i="2"/>
  <c r="R213" i="2" s="1"/>
  <c r="K214" i="2"/>
  <c r="R214" i="2" s="1"/>
  <c r="K215" i="2"/>
  <c r="R215" i="2" s="1"/>
  <c r="K216" i="2"/>
  <c r="R216" i="2" s="1"/>
  <c r="K217" i="2"/>
  <c r="R217" i="2" s="1"/>
  <c r="K218" i="2"/>
  <c r="R218" i="2" s="1"/>
  <c r="K219" i="2"/>
  <c r="R219" i="2" s="1"/>
  <c r="K220" i="2"/>
  <c r="R220" i="2" s="1"/>
  <c r="K221" i="2"/>
  <c r="R221" i="2" s="1"/>
  <c r="K222" i="2"/>
  <c r="R222" i="2" s="1"/>
  <c r="K223" i="2"/>
  <c r="R223" i="2" s="1"/>
  <c r="K224" i="2"/>
  <c r="R224" i="2" s="1"/>
  <c r="K225" i="2"/>
  <c r="R225" i="2" s="1"/>
  <c r="K226" i="2"/>
  <c r="R226" i="2" s="1"/>
  <c r="K227" i="2"/>
  <c r="R227" i="2" s="1"/>
  <c r="K228" i="2"/>
  <c r="R228" i="2" s="1"/>
  <c r="K229" i="2"/>
  <c r="R229" i="2" s="1"/>
  <c r="K230" i="2"/>
  <c r="R230" i="2" s="1"/>
  <c r="K231" i="2"/>
  <c r="R231" i="2" s="1"/>
  <c r="K232" i="2"/>
  <c r="R232" i="2" s="1"/>
  <c r="K233" i="2"/>
  <c r="R233" i="2" s="1"/>
  <c r="K234" i="2"/>
  <c r="R234" i="2" s="1"/>
  <c r="K235" i="2"/>
  <c r="R235" i="2" s="1"/>
  <c r="K236" i="2"/>
  <c r="R236" i="2" s="1"/>
  <c r="K237" i="2"/>
  <c r="R237" i="2" s="1"/>
  <c r="K238" i="2"/>
  <c r="R238" i="2" s="1"/>
  <c r="K239" i="2"/>
  <c r="R239" i="2" s="1"/>
  <c r="K240" i="2"/>
  <c r="R240" i="2" s="1"/>
  <c r="K241" i="2"/>
  <c r="R241" i="2" s="1"/>
  <c r="K242" i="2"/>
  <c r="R242" i="2" s="1"/>
  <c r="K243" i="2"/>
  <c r="R243" i="2" s="1"/>
  <c r="K244" i="2"/>
  <c r="R244" i="2" s="1"/>
  <c r="K245" i="2"/>
  <c r="R245" i="2" s="1"/>
  <c r="K246" i="2"/>
  <c r="R246" i="2" s="1"/>
  <c r="K247" i="2"/>
  <c r="R247" i="2" s="1"/>
  <c r="K248" i="2"/>
  <c r="R248" i="2" s="1"/>
  <c r="K249" i="2"/>
  <c r="R249" i="2" s="1"/>
  <c r="K250" i="2"/>
  <c r="R250" i="2" s="1"/>
  <c r="K251" i="2"/>
  <c r="R251" i="2" s="1"/>
  <c r="K252" i="2"/>
  <c r="R252" i="2" s="1"/>
  <c r="K253" i="2"/>
  <c r="R253" i="2" s="1"/>
  <c r="K254" i="2"/>
  <c r="R254" i="2" s="1"/>
  <c r="K255" i="2"/>
  <c r="R255" i="2" s="1"/>
  <c r="K256" i="2"/>
  <c r="R256" i="2" s="1"/>
  <c r="K257" i="2"/>
  <c r="R257" i="2" s="1"/>
  <c r="K258" i="2"/>
  <c r="R258" i="2" s="1"/>
  <c r="K259" i="2"/>
  <c r="R259" i="2" s="1"/>
  <c r="K260" i="2"/>
  <c r="R260" i="2" s="1"/>
  <c r="K261" i="2"/>
  <c r="R261" i="2" s="1"/>
  <c r="K262" i="2"/>
  <c r="R262" i="2" s="1"/>
  <c r="K263" i="2"/>
  <c r="R263" i="2" s="1"/>
  <c r="K264" i="2"/>
  <c r="R264" i="2" s="1"/>
  <c r="K265" i="2"/>
  <c r="R265" i="2" s="1"/>
  <c r="K266" i="2"/>
  <c r="R266" i="2" s="1"/>
  <c r="K267" i="2"/>
  <c r="R267" i="2" s="1"/>
  <c r="K268" i="2"/>
  <c r="R268" i="2" s="1"/>
  <c r="K269" i="2"/>
  <c r="R269" i="2" s="1"/>
  <c r="K270" i="2"/>
  <c r="R270" i="2" s="1"/>
  <c r="K271" i="2"/>
  <c r="R271" i="2" s="1"/>
  <c r="K272" i="2"/>
  <c r="R272" i="2" s="1"/>
  <c r="K273" i="2"/>
  <c r="R273" i="2" s="1"/>
  <c r="K274" i="2"/>
  <c r="R274" i="2" s="1"/>
  <c r="K275" i="2"/>
  <c r="R275" i="2" s="1"/>
  <c r="K276" i="2"/>
  <c r="R276" i="2" s="1"/>
  <c r="K277" i="2"/>
  <c r="R277" i="2" s="1"/>
  <c r="K278" i="2"/>
  <c r="R278" i="2" s="1"/>
  <c r="K279" i="2"/>
  <c r="R279" i="2" s="1"/>
  <c r="K280" i="2"/>
  <c r="R280" i="2" s="1"/>
  <c r="K281" i="2"/>
  <c r="R281" i="2" s="1"/>
  <c r="K282" i="2"/>
  <c r="R282" i="2" s="1"/>
  <c r="K283" i="2"/>
  <c r="R283" i="2" s="1"/>
  <c r="K284" i="2"/>
  <c r="R284" i="2" s="1"/>
  <c r="K285" i="2"/>
  <c r="R285" i="2" s="1"/>
  <c r="K286" i="2"/>
  <c r="R286" i="2" s="1"/>
  <c r="K287" i="2"/>
  <c r="R287" i="2" s="1"/>
  <c r="K288" i="2"/>
  <c r="R288" i="2" s="1"/>
  <c r="K289" i="2"/>
  <c r="R289" i="2" s="1"/>
  <c r="K290" i="2"/>
  <c r="R290" i="2" s="1"/>
  <c r="K291" i="2"/>
  <c r="R291" i="2" s="1"/>
  <c r="K292" i="2"/>
  <c r="R292" i="2" s="1"/>
  <c r="K293" i="2"/>
  <c r="R293" i="2" s="1"/>
  <c r="K294" i="2"/>
  <c r="R294" i="2" s="1"/>
  <c r="K295" i="2"/>
  <c r="R295" i="2" s="1"/>
  <c r="K296" i="2"/>
  <c r="R296" i="2" s="1"/>
  <c r="K297" i="2"/>
  <c r="R297" i="2" s="1"/>
  <c r="K298" i="2"/>
  <c r="R298" i="2" s="1"/>
  <c r="K299" i="2"/>
  <c r="R299" i="2" s="1"/>
  <c r="K300" i="2"/>
  <c r="R300" i="2" s="1"/>
  <c r="K301" i="2"/>
  <c r="R301" i="2" s="1"/>
  <c r="K302" i="2"/>
  <c r="R302" i="2" s="1"/>
  <c r="K303" i="2"/>
  <c r="R303" i="2" s="1"/>
  <c r="K304" i="2"/>
  <c r="R304" i="2" s="1"/>
  <c r="K305" i="2"/>
  <c r="R305" i="2" s="1"/>
  <c r="K306" i="2"/>
  <c r="R306" i="2" s="1"/>
  <c r="K307" i="2"/>
  <c r="R307" i="2" s="1"/>
  <c r="K308" i="2"/>
  <c r="R308" i="2" s="1"/>
  <c r="K309" i="2"/>
  <c r="R309" i="2" s="1"/>
  <c r="K310" i="2"/>
  <c r="R310" i="2" s="1"/>
  <c r="K311" i="2"/>
  <c r="R311" i="2" s="1"/>
  <c r="K312" i="2"/>
  <c r="R312" i="2" s="1"/>
  <c r="K313" i="2"/>
  <c r="R313" i="2" s="1"/>
  <c r="K314" i="2"/>
  <c r="R314" i="2" s="1"/>
  <c r="K315" i="2"/>
  <c r="R315" i="2" s="1"/>
  <c r="K316" i="2"/>
  <c r="R316" i="2" s="1"/>
  <c r="K317" i="2"/>
  <c r="R317" i="2" s="1"/>
  <c r="K318" i="2"/>
  <c r="R318" i="2" s="1"/>
  <c r="K319" i="2"/>
  <c r="R319" i="2" s="1"/>
  <c r="K320" i="2"/>
  <c r="R320" i="2" s="1"/>
  <c r="K321" i="2"/>
  <c r="R321" i="2" s="1"/>
  <c r="K322" i="2"/>
  <c r="R322" i="2" s="1"/>
  <c r="K323" i="2"/>
  <c r="R323" i="2" s="1"/>
  <c r="K324" i="2"/>
  <c r="R324" i="2" s="1"/>
  <c r="K325" i="2"/>
  <c r="R325" i="2" s="1"/>
  <c r="K326" i="2"/>
  <c r="R326" i="2" s="1"/>
  <c r="K327" i="2"/>
  <c r="R327" i="2" s="1"/>
  <c r="K328" i="2"/>
  <c r="R328" i="2" s="1"/>
  <c r="K329" i="2"/>
  <c r="R329" i="2" s="1"/>
  <c r="R35" i="2"/>
  <c r="R42" i="2"/>
  <c r="R51" i="2"/>
  <c r="R58" i="2"/>
  <c r="R59" i="2"/>
  <c r="R60" i="2"/>
  <c r="R82" i="2"/>
  <c r="R83" i="2"/>
  <c r="R98" i="2"/>
  <c r="R106" i="2"/>
  <c r="R114" i="2"/>
  <c r="R122" i="2"/>
  <c r="B4" i="41" l="1"/>
  <c r="B3" i="41"/>
  <c r="B8" i="42"/>
  <c r="A8" i="42"/>
  <c r="B7" i="42"/>
  <c r="A7" i="42"/>
  <c r="B6" i="42"/>
  <c r="A6" i="42"/>
  <c r="B5" i="42"/>
  <c r="A5" i="42"/>
  <c r="B4" i="42"/>
  <c r="A4" i="42"/>
  <c r="B3" i="42"/>
  <c r="A3" i="42"/>
  <c r="F23" i="37" l="1"/>
  <c r="F24" i="37"/>
  <c r="F25" i="37"/>
  <c r="M56" i="42"/>
  <c r="B1" i="41" l="1"/>
  <c r="B2" i="41"/>
  <c r="K52" i="38" l="1"/>
  <c r="K60" i="38" l="1"/>
  <c r="K59" i="38"/>
  <c r="K58" i="38"/>
  <c r="K57" i="38"/>
  <c r="K56" i="38"/>
  <c r="K55" i="38"/>
  <c r="K54" i="38"/>
  <c r="K53" i="38"/>
  <c r="K51" i="38"/>
  <c r="K50" i="38"/>
  <c r="E14" i="40"/>
  <c r="E15" i="40"/>
  <c r="E16" i="40"/>
  <c r="E17" i="40"/>
  <c r="E18" i="40"/>
  <c r="E19" i="40"/>
  <c r="E20" i="40"/>
  <c r="E21" i="40"/>
  <c r="E22" i="40"/>
  <c r="E23" i="40"/>
  <c r="E24" i="40"/>
  <c r="E25" i="40"/>
  <c r="E26" i="40"/>
  <c r="E27" i="40"/>
  <c r="E28" i="40"/>
  <c r="E13" i="40"/>
  <c r="B5" i="40"/>
  <c r="B6" i="40"/>
  <c r="B7" i="40"/>
  <c r="B8" i="40"/>
  <c r="B3" i="40"/>
  <c r="A4" i="40"/>
  <c r="A5" i="40"/>
  <c r="A6" i="40"/>
  <c r="A7" i="40"/>
  <c r="A8" i="40"/>
  <c r="A3" i="40"/>
  <c r="P30" i="40" l="1"/>
  <c r="L28" i="40"/>
  <c r="K28" i="40"/>
  <c r="J28" i="40"/>
  <c r="I28" i="40"/>
  <c r="F28" i="40"/>
  <c r="L27" i="40"/>
  <c r="K27" i="40"/>
  <c r="J27" i="40"/>
  <c r="I27" i="40"/>
  <c r="F27" i="40"/>
  <c r="L26" i="40"/>
  <c r="K26" i="40"/>
  <c r="J26" i="40"/>
  <c r="I26" i="40"/>
  <c r="F26" i="40"/>
  <c r="L25" i="40"/>
  <c r="K25" i="40"/>
  <c r="J25" i="40"/>
  <c r="I25" i="40"/>
  <c r="F25" i="40"/>
  <c r="L24" i="40"/>
  <c r="K24" i="40"/>
  <c r="J24" i="40"/>
  <c r="I24" i="40"/>
  <c r="F24" i="40"/>
  <c r="L23" i="40"/>
  <c r="K23" i="40"/>
  <c r="J23" i="40"/>
  <c r="I23" i="40"/>
  <c r="F23" i="40"/>
  <c r="L22" i="40"/>
  <c r="K22" i="40"/>
  <c r="J22" i="40"/>
  <c r="I22" i="40"/>
  <c r="F22" i="40"/>
  <c r="L21" i="40"/>
  <c r="K21" i="40"/>
  <c r="J21" i="40"/>
  <c r="I21" i="40"/>
  <c r="F21" i="40"/>
  <c r="L20" i="40"/>
  <c r="K20" i="40"/>
  <c r="J20" i="40"/>
  <c r="I20" i="40"/>
  <c r="F20" i="40"/>
  <c r="L19" i="40"/>
  <c r="K19" i="40"/>
  <c r="J19" i="40"/>
  <c r="I19" i="40"/>
  <c r="F19" i="40"/>
  <c r="L18" i="40"/>
  <c r="K18" i="40"/>
  <c r="J18" i="40"/>
  <c r="I18" i="40"/>
  <c r="F18" i="40"/>
  <c r="L17" i="40"/>
  <c r="K17" i="40"/>
  <c r="J17" i="40"/>
  <c r="I17" i="40"/>
  <c r="F17" i="40"/>
  <c r="L16" i="40"/>
  <c r="K16" i="40"/>
  <c r="J16" i="40"/>
  <c r="F16" i="40"/>
  <c r="I16" i="40" s="1"/>
  <c r="L15" i="40"/>
  <c r="K15" i="40"/>
  <c r="J15" i="40"/>
  <c r="F15" i="40"/>
  <c r="I15" i="40" s="1"/>
  <c r="L14" i="40"/>
  <c r="K14" i="40"/>
  <c r="J14" i="40"/>
  <c r="F14" i="40"/>
  <c r="I14" i="40" s="1"/>
  <c r="L13" i="40"/>
  <c r="K13" i="40"/>
  <c r="J13" i="40"/>
  <c r="F13" i="40"/>
  <c r="I13" i="40" s="1"/>
  <c r="B4" i="40"/>
  <c r="N27" i="40" l="1"/>
  <c r="Q27" i="40" s="1"/>
  <c r="N14" i="40"/>
  <c r="Q14" i="40" s="1"/>
  <c r="N19" i="40"/>
  <c r="Q19" i="40" s="1"/>
  <c r="N28" i="40"/>
  <c r="Q28" i="40" s="1"/>
  <c r="N17" i="40"/>
  <c r="Q17" i="40" s="1"/>
  <c r="N25" i="40"/>
  <c r="Q25" i="40" s="1"/>
  <c r="N15" i="40"/>
  <c r="Q15" i="40" s="1"/>
  <c r="N16" i="40"/>
  <c r="Q16" i="40" s="1"/>
  <c r="N22" i="40"/>
  <c r="Q22" i="40" s="1"/>
  <c r="N18" i="40"/>
  <c r="Q18" i="40" s="1"/>
  <c r="N20" i="40"/>
  <c r="Q20" i="40" s="1"/>
  <c r="N26" i="40"/>
  <c r="Q26" i="40" s="1"/>
  <c r="N24" i="40"/>
  <c r="Q24" i="40" s="1"/>
  <c r="N23" i="40"/>
  <c r="Q23" i="40" s="1"/>
  <c r="N21" i="40"/>
  <c r="Q21" i="40" s="1"/>
  <c r="N13" i="40"/>
  <c r="Q13" i="40" s="1"/>
  <c r="Q30" i="40" l="1"/>
  <c r="H15" i="31" s="1"/>
  <c r="B5" i="39"/>
  <c r="B6" i="39"/>
  <c r="B7" i="39"/>
  <c r="B8" i="39"/>
  <c r="B4" i="39"/>
  <c r="B3" i="39"/>
  <c r="A4" i="39"/>
  <c r="A5" i="39"/>
  <c r="A6" i="39"/>
  <c r="A7" i="39"/>
  <c r="A8" i="39"/>
  <c r="A3" i="39"/>
  <c r="F14" i="39"/>
  <c r="F15" i="39"/>
  <c r="F13" i="39"/>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K10" i="2"/>
  <c r="R10" i="2" s="1"/>
  <c r="K11" i="2"/>
  <c r="R11" i="2" s="1"/>
  <c r="K12" i="2"/>
  <c r="R12" i="2" s="1"/>
  <c r="K13" i="2"/>
  <c r="R13" i="2" s="1"/>
  <c r="K14" i="2"/>
  <c r="R14" i="2" s="1"/>
  <c r="K15" i="2"/>
  <c r="R15" i="2" s="1"/>
  <c r="K16" i="2"/>
  <c r="R16" i="2" s="1"/>
  <c r="K17" i="2"/>
  <c r="R17" i="2" s="1"/>
  <c r="R18" i="2"/>
  <c r="K19" i="2"/>
  <c r="R19" i="2" s="1"/>
  <c r="K20" i="2"/>
  <c r="R20" i="2" s="1"/>
  <c r="K21" i="2"/>
  <c r="R21" i="2" s="1"/>
  <c r="K22" i="2"/>
  <c r="R22" i="2" s="1"/>
  <c r="K23" i="2"/>
  <c r="R23" i="2" s="1"/>
  <c r="K24" i="2"/>
  <c r="R24" i="2" s="1"/>
  <c r="K25" i="2"/>
  <c r="R25" i="2" s="1"/>
  <c r="B6" i="28"/>
  <c r="B5" i="28"/>
  <c r="B3" i="28"/>
  <c r="A4" i="28"/>
  <c r="A5" i="28"/>
  <c r="A6" i="28"/>
  <c r="A3" i="28"/>
  <c r="B7" i="2"/>
  <c r="B6" i="2"/>
  <c r="B5" i="2"/>
  <c r="B4" i="2"/>
  <c r="B3" i="2"/>
  <c r="C7" i="2"/>
  <c r="C6" i="2"/>
  <c r="C5" i="2"/>
  <c r="C3" i="2"/>
  <c r="K55" i="18"/>
  <c r="K56" i="18"/>
  <c r="K57" i="18"/>
  <c r="K58" i="18"/>
  <c r="K59" i="18"/>
  <c r="K60" i="18"/>
  <c r="K61" i="18"/>
  <c r="K54" i="18"/>
  <c r="K52" i="18"/>
  <c r="K51" i="18"/>
  <c r="O10" i="2" l="1"/>
  <c r="O18" i="2"/>
  <c r="O26" i="2"/>
  <c r="O34" i="2"/>
  <c r="O42" i="2"/>
  <c r="O50" i="2"/>
  <c r="O58" i="2"/>
  <c r="O66" i="2"/>
  <c r="O74" i="2"/>
  <c r="O82" i="2"/>
  <c r="O89" i="2"/>
  <c r="O97" i="2"/>
  <c r="O105" i="2"/>
  <c r="O113" i="2"/>
  <c r="O121" i="2"/>
  <c r="O129" i="2"/>
  <c r="O137" i="2"/>
  <c r="O145" i="2"/>
  <c r="O152" i="2"/>
  <c r="O160" i="2"/>
  <c r="O168" i="2"/>
  <c r="O176" i="2"/>
  <c r="O184" i="2"/>
  <c r="O192" i="2"/>
  <c r="O200" i="2"/>
  <c r="O208" i="2"/>
  <c r="O216" i="2"/>
  <c r="O224" i="2"/>
  <c r="O232" i="2"/>
  <c r="O240" i="2"/>
  <c r="O248" i="2"/>
  <c r="O256" i="2"/>
  <c r="O264" i="2"/>
  <c r="O272" i="2"/>
  <c r="O280" i="2"/>
  <c r="O288" i="2"/>
  <c r="O296" i="2"/>
  <c r="O304" i="2"/>
  <c r="O312" i="2"/>
  <c r="O320" i="2"/>
  <c r="O328" i="2"/>
  <c r="O336" i="2"/>
  <c r="O344" i="2"/>
  <c r="O352" i="2"/>
  <c r="O360" i="2"/>
  <c r="O368" i="2"/>
  <c r="O48" i="2"/>
  <c r="O95" i="2"/>
  <c r="O135" i="2"/>
  <c r="O190" i="2"/>
  <c r="O246" i="2"/>
  <c r="O302" i="2"/>
  <c r="O350" i="2"/>
  <c r="O41" i="2"/>
  <c r="O96" i="2"/>
  <c r="O136" i="2"/>
  <c r="O167" i="2"/>
  <c r="O215" i="2"/>
  <c r="O263" i="2"/>
  <c r="O303" i="2"/>
  <c r="O343" i="2"/>
  <c r="O11" i="2"/>
  <c r="O19" i="2"/>
  <c r="O27" i="2"/>
  <c r="O35" i="2"/>
  <c r="O43" i="2"/>
  <c r="O51" i="2"/>
  <c r="O59" i="2"/>
  <c r="O67" i="2"/>
  <c r="O75" i="2"/>
  <c r="O83" i="2"/>
  <c r="O90" i="2"/>
  <c r="O98" i="2"/>
  <c r="O106" i="2"/>
  <c r="O114" i="2"/>
  <c r="O122" i="2"/>
  <c r="O130" i="2"/>
  <c r="O138" i="2"/>
  <c r="O153" i="2"/>
  <c r="O161" i="2"/>
  <c r="O169" i="2"/>
  <c r="O177" i="2"/>
  <c r="O185" i="2"/>
  <c r="O193" i="2"/>
  <c r="O201" i="2"/>
  <c r="O209" i="2"/>
  <c r="O217" i="2"/>
  <c r="O225" i="2"/>
  <c r="O233" i="2"/>
  <c r="O241" i="2"/>
  <c r="O249" i="2"/>
  <c r="O257" i="2"/>
  <c r="O265" i="2"/>
  <c r="O273" i="2"/>
  <c r="O281" i="2"/>
  <c r="O289" i="2"/>
  <c r="O297" i="2"/>
  <c r="O305" i="2"/>
  <c r="O313" i="2"/>
  <c r="O321" i="2"/>
  <c r="O329" i="2"/>
  <c r="O337" i="2"/>
  <c r="O345" i="2"/>
  <c r="O353" i="2"/>
  <c r="O361" i="2"/>
  <c r="O369" i="2"/>
  <c r="O24" i="2"/>
  <c r="O64" i="2"/>
  <c r="O119" i="2"/>
  <c r="O166" i="2"/>
  <c r="O214" i="2"/>
  <c r="O270" i="2"/>
  <c r="O318" i="2"/>
  <c r="O366" i="2"/>
  <c r="O57" i="2"/>
  <c r="O73" i="2"/>
  <c r="O104" i="2"/>
  <c r="O151" i="2"/>
  <c r="O199" i="2"/>
  <c r="O255" i="2"/>
  <c r="O279" i="2"/>
  <c r="O319" i="2"/>
  <c r="O367" i="2"/>
  <c r="O12" i="2"/>
  <c r="O20" i="2"/>
  <c r="O28" i="2"/>
  <c r="O36" i="2"/>
  <c r="O44" i="2"/>
  <c r="O52" i="2"/>
  <c r="O60" i="2"/>
  <c r="O68" i="2"/>
  <c r="O76" i="2"/>
  <c r="O84" i="2"/>
  <c r="O91" i="2"/>
  <c r="O99" i="2"/>
  <c r="O107" i="2"/>
  <c r="O115" i="2"/>
  <c r="O123" i="2"/>
  <c r="O131" i="2"/>
  <c r="O139" i="2"/>
  <c r="O146" i="2"/>
  <c r="O154" i="2"/>
  <c r="O162" i="2"/>
  <c r="O170" i="2"/>
  <c r="O178" i="2"/>
  <c r="O186" i="2"/>
  <c r="O194" i="2"/>
  <c r="O202" i="2"/>
  <c r="O210" i="2"/>
  <c r="O218" i="2"/>
  <c r="O226" i="2"/>
  <c r="O234" i="2"/>
  <c r="O242" i="2"/>
  <c r="O250" i="2"/>
  <c r="O258" i="2"/>
  <c r="O266" i="2"/>
  <c r="O274" i="2"/>
  <c r="O282" i="2"/>
  <c r="O290" i="2"/>
  <c r="O298" i="2"/>
  <c r="O306" i="2"/>
  <c r="O314" i="2"/>
  <c r="O322" i="2"/>
  <c r="O330" i="2"/>
  <c r="O338" i="2"/>
  <c r="O346" i="2"/>
  <c r="O354" i="2"/>
  <c r="O362" i="2"/>
  <c r="O370" i="2"/>
  <c r="O56" i="2"/>
  <c r="O150" i="2"/>
  <c r="O182" i="2"/>
  <c r="O230" i="2"/>
  <c r="O286" i="2"/>
  <c r="O342" i="2"/>
  <c r="O33" i="2"/>
  <c r="O112" i="2"/>
  <c r="O183" i="2"/>
  <c r="O223" i="2"/>
  <c r="O271" i="2"/>
  <c r="O327" i="2"/>
  <c r="O13" i="2"/>
  <c r="O21" i="2"/>
  <c r="O29" i="2"/>
  <c r="O37" i="2"/>
  <c r="O45" i="2"/>
  <c r="O53" i="2"/>
  <c r="O61" i="2"/>
  <c r="O69" i="2"/>
  <c r="O77" i="2"/>
  <c r="O85" i="2"/>
  <c r="O92" i="2"/>
  <c r="O100" i="2"/>
  <c r="O108" i="2"/>
  <c r="O116" i="2"/>
  <c r="O124" i="2"/>
  <c r="O132" i="2"/>
  <c r="O140" i="2"/>
  <c r="O147" i="2"/>
  <c r="O155" i="2"/>
  <c r="O163" i="2"/>
  <c r="O171" i="2"/>
  <c r="O179" i="2"/>
  <c r="O187" i="2"/>
  <c r="O195" i="2"/>
  <c r="O203" i="2"/>
  <c r="O211" i="2"/>
  <c r="O219" i="2"/>
  <c r="O227" i="2"/>
  <c r="O235" i="2"/>
  <c r="O243" i="2"/>
  <c r="O251" i="2"/>
  <c r="O259" i="2"/>
  <c r="O267" i="2"/>
  <c r="O275" i="2"/>
  <c r="O283" i="2"/>
  <c r="O291" i="2"/>
  <c r="O299" i="2"/>
  <c r="O307" i="2"/>
  <c r="O315" i="2"/>
  <c r="O323" i="2"/>
  <c r="O331" i="2"/>
  <c r="O339" i="2"/>
  <c r="O347" i="2"/>
  <c r="O355" i="2"/>
  <c r="O363" i="2"/>
  <c r="O32" i="2"/>
  <c r="O80" i="2"/>
  <c r="O127" i="2"/>
  <c r="O174" i="2"/>
  <c r="O222" i="2"/>
  <c r="O262" i="2"/>
  <c r="O294" i="2"/>
  <c r="O334" i="2"/>
  <c r="O25" i="2"/>
  <c r="O81" i="2"/>
  <c r="O128" i="2"/>
  <c r="O175" i="2"/>
  <c r="O231" i="2"/>
  <c r="O287" i="2"/>
  <c r="O335" i="2"/>
  <c r="O14" i="2"/>
  <c r="O22" i="2"/>
  <c r="O30" i="2"/>
  <c r="O38" i="2"/>
  <c r="O46" i="2"/>
  <c r="O54" i="2"/>
  <c r="O62" i="2"/>
  <c r="O70" i="2"/>
  <c r="O78" i="2"/>
  <c r="O86" i="2"/>
  <c r="O93" i="2"/>
  <c r="O101" i="2"/>
  <c r="O109" i="2"/>
  <c r="O117" i="2"/>
  <c r="O125" i="2"/>
  <c r="O133" i="2"/>
  <c r="O141" i="2"/>
  <c r="O148" i="2"/>
  <c r="O156" i="2"/>
  <c r="O164" i="2"/>
  <c r="O172" i="2"/>
  <c r="O180" i="2"/>
  <c r="O188" i="2"/>
  <c r="O196" i="2"/>
  <c r="O204" i="2"/>
  <c r="O212" i="2"/>
  <c r="O220" i="2"/>
  <c r="O228" i="2"/>
  <c r="O236" i="2"/>
  <c r="O244" i="2"/>
  <c r="O252" i="2"/>
  <c r="O260" i="2"/>
  <c r="O268" i="2"/>
  <c r="O276" i="2"/>
  <c r="O284" i="2"/>
  <c r="O292" i="2"/>
  <c r="O300" i="2"/>
  <c r="O308" i="2"/>
  <c r="O316" i="2"/>
  <c r="O324" i="2"/>
  <c r="O332" i="2"/>
  <c r="O340" i="2"/>
  <c r="O348" i="2"/>
  <c r="O356" i="2"/>
  <c r="O364" i="2"/>
  <c r="O40" i="2"/>
  <c r="O103" i="2"/>
  <c r="O143" i="2"/>
  <c r="O198" i="2"/>
  <c r="O254" i="2"/>
  <c r="O310" i="2"/>
  <c r="O358" i="2"/>
  <c r="O49" i="2"/>
  <c r="O88" i="2"/>
  <c r="O144" i="2"/>
  <c r="O191" i="2"/>
  <c r="O239" i="2"/>
  <c r="O295" i="2"/>
  <c r="O351" i="2"/>
  <c r="O15" i="2"/>
  <c r="O23" i="2"/>
  <c r="O31" i="2"/>
  <c r="O39" i="2"/>
  <c r="O47" i="2"/>
  <c r="O55" i="2"/>
  <c r="O63" i="2"/>
  <c r="O71" i="2"/>
  <c r="O79" i="2"/>
  <c r="O87" i="2"/>
  <c r="O94" i="2"/>
  <c r="O102" i="2"/>
  <c r="O110" i="2"/>
  <c r="O118" i="2"/>
  <c r="O126" i="2"/>
  <c r="O134" i="2"/>
  <c r="O142" i="2"/>
  <c r="O149" i="2"/>
  <c r="O157" i="2"/>
  <c r="O165" i="2"/>
  <c r="O173" i="2"/>
  <c r="O181" i="2"/>
  <c r="O189" i="2"/>
  <c r="O197" i="2"/>
  <c r="O205" i="2"/>
  <c r="O213" i="2"/>
  <c r="O221" i="2"/>
  <c r="O229" i="2"/>
  <c r="O237" i="2"/>
  <c r="O245" i="2"/>
  <c r="O253" i="2"/>
  <c r="O261" i="2"/>
  <c r="O269" i="2"/>
  <c r="O277" i="2"/>
  <c r="O285" i="2"/>
  <c r="O293" i="2"/>
  <c r="O301" i="2"/>
  <c r="O309" i="2"/>
  <c r="O317" i="2"/>
  <c r="O325" i="2"/>
  <c r="O333" i="2"/>
  <c r="O341" i="2"/>
  <c r="O349" i="2"/>
  <c r="O357" i="2"/>
  <c r="O365" i="2"/>
  <c r="O16" i="2"/>
  <c r="O72" i="2"/>
  <c r="O111" i="2"/>
  <c r="O158" i="2"/>
  <c r="O206" i="2"/>
  <c r="O238" i="2"/>
  <c r="O278" i="2"/>
  <c r="O326" i="2"/>
  <c r="O17" i="2"/>
  <c r="O65" i="2"/>
  <c r="O120" i="2"/>
  <c r="O159" i="2"/>
  <c r="O207" i="2"/>
  <c r="O247" i="2"/>
  <c r="O311" i="2"/>
  <c r="O359" i="2"/>
  <c r="N353" i="2"/>
  <c r="M353" i="2" s="1"/>
  <c r="N357" i="2"/>
  <c r="M357" i="2" s="1"/>
  <c r="N366" i="2"/>
  <c r="M366" i="2" s="1"/>
  <c r="N331" i="2"/>
  <c r="M331" i="2" s="1"/>
  <c r="N335" i="2"/>
  <c r="M335" i="2" s="1"/>
  <c r="N339" i="2"/>
  <c r="M339" i="2" s="1"/>
  <c r="N343" i="2"/>
  <c r="M343" i="2" s="1"/>
  <c r="N347" i="2"/>
  <c r="M347" i="2" s="1"/>
  <c r="N337" i="2"/>
  <c r="M337" i="2" s="1"/>
  <c r="N350" i="2"/>
  <c r="M350" i="2" s="1"/>
  <c r="N363" i="2"/>
  <c r="M363" i="2" s="1"/>
  <c r="N370" i="2"/>
  <c r="M370" i="2" s="1"/>
  <c r="N361" i="2"/>
  <c r="M361" i="2" s="1"/>
  <c r="N341" i="2"/>
  <c r="M341" i="2" s="1"/>
  <c r="N338" i="2"/>
  <c r="M338" i="2" s="1"/>
  <c r="N354" i="2"/>
  <c r="M354" i="2" s="1"/>
  <c r="N332" i="2"/>
  <c r="M332" i="2" s="1"/>
  <c r="N336" i="2"/>
  <c r="M336" i="2" s="1"/>
  <c r="N340" i="2"/>
  <c r="M340" i="2" s="1"/>
  <c r="N344" i="2"/>
  <c r="M344" i="2" s="1"/>
  <c r="N355" i="2"/>
  <c r="M355" i="2" s="1"/>
  <c r="N333" i="2"/>
  <c r="M333" i="2" s="1"/>
  <c r="N369" i="2"/>
  <c r="M369" i="2" s="1"/>
  <c r="N351" i="2"/>
  <c r="M351" i="2" s="1"/>
  <c r="N358" i="2"/>
  <c r="M358" i="2" s="1"/>
  <c r="N364" i="2"/>
  <c r="M364" i="2" s="1"/>
  <c r="N367" i="2"/>
  <c r="M367" i="2" s="1"/>
  <c r="N348" i="2"/>
  <c r="M348" i="2" s="1"/>
  <c r="N345" i="2"/>
  <c r="M345" i="2" s="1"/>
  <c r="N330" i="2"/>
  <c r="M330" i="2" s="1"/>
  <c r="N342" i="2"/>
  <c r="M342" i="2" s="1"/>
  <c r="N352" i="2"/>
  <c r="M352" i="2" s="1"/>
  <c r="N365" i="2"/>
  <c r="M365" i="2" s="1"/>
  <c r="N368" i="2"/>
  <c r="M368" i="2" s="1"/>
  <c r="N349" i="2"/>
  <c r="M349" i="2" s="1"/>
  <c r="N356" i="2"/>
  <c r="M356" i="2" s="1"/>
  <c r="N334" i="2"/>
  <c r="M334" i="2" s="1"/>
  <c r="N346" i="2"/>
  <c r="M346" i="2" s="1"/>
  <c r="E14" i="39"/>
  <c r="G14" i="39" s="1"/>
  <c r="I14" i="39" s="1"/>
  <c r="E15" i="39"/>
  <c r="G15" i="39" s="1"/>
  <c r="I15" i="39" s="1"/>
  <c r="E13" i="39"/>
  <c r="G13" i="39" s="1"/>
  <c r="I13" i="39" s="1"/>
  <c r="N37" i="2"/>
  <c r="M37" i="2" s="1"/>
  <c r="N39" i="2"/>
  <c r="M39" i="2" s="1"/>
  <c r="N41" i="2"/>
  <c r="M41" i="2" s="1"/>
  <c r="N83" i="2"/>
  <c r="M83" i="2" s="1"/>
  <c r="N124" i="2"/>
  <c r="M124" i="2" s="1"/>
  <c r="N126" i="2"/>
  <c r="M126" i="2" s="1"/>
  <c r="N128" i="2"/>
  <c r="M128" i="2" s="1"/>
  <c r="N148" i="2"/>
  <c r="M148" i="2" s="1"/>
  <c r="N152" i="2"/>
  <c r="M152" i="2" s="1"/>
  <c r="N154" i="2"/>
  <c r="M154" i="2" s="1"/>
  <c r="N156" i="2"/>
  <c r="M156" i="2" s="1"/>
  <c r="N158" i="2"/>
  <c r="M158" i="2" s="1"/>
  <c r="N160" i="2"/>
  <c r="M160" i="2" s="1"/>
  <c r="N219" i="2"/>
  <c r="M219" i="2" s="1"/>
  <c r="N221" i="2"/>
  <c r="M221" i="2" s="1"/>
  <c r="N223" i="2"/>
  <c r="M223" i="2" s="1"/>
  <c r="N234" i="2"/>
  <c r="M234" i="2" s="1"/>
  <c r="N236" i="2"/>
  <c r="M236" i="2" s="1"/>
  <c r="N238" i="2"/>
  <c r="M238" i="2" s="1"/>
  <c r="N240" i="2"/>
  <c r="M240" i="2" s="1"/>
  <c r="N291" i="2"/>
  <c r="M291" i="2" s="1"/>
  <c r="N293" i="2"/>
  <c r="M293" i="2" s="1"/>
  <c r="N295" i="2"/>
  <c r="M295" i="2" s="1"/>
  <c r="N306" i="2"/>
  <c r="M306" i="2" s="1"/>
  <c r="N308" i="2"/>
  <c r="M308" i="2" s="1"/>
  <c r="N312" i="2"/>
  <c r="M312" i="2" s="1"/>
  <c r="N284" i="2"/>
  <c r="M284" i="2" s="1"/>
  <c r="N288" i="2"/>
  <c r="M288" i="2" s="1"/>
  <c r="N318" i="2"/>
  <c r="M318" i="2" s="1"/>
  <c r="N50" i="2"/>
  <c r="M50" i="2" s="1"/>
  <c r="N65" i="2"/>
  <c r="M65" i="2" s="1"/>
  <c r="N93" i="2"/>
  <c r="M93" i="2" s="1"/>
  <c r="N120" i="2"/>
  <c r="M120" i="2" s="1"/>
  <c r="N226" i="2"/>
  <c r="M226" i="2" s="1"/>
  <c r="N287" i="2"/>
  <c r="M287" i="2" s="1"/>
  <c r="N298" i="2"/>
  <c r="M298" i="2" s="1"/>
  <c r="N319" i="2"/>
  <c r="M319" i="2" s="1"/>
  <c r="N29" i="2"/>
  <c r="M29" i="2" s="1"/>
  <c r="N54" i="2"/>
  <c r="M54" i="2" s="1"/>
  <c r="N101" i="2"/>
  <c r="M101" i="2" s="1"/>
  <c r="N173" i="2"/>
  <c r="M173" i="2" s="1"/>
  <c r="N213" i="2"/>
  <c r="M213" i="2" s="1"/>
  <c r="N230" i="2"/>
  <c r="M230" i="2" s="1"/>
  <c r="N304" i="2"/>
  <c r="M304" i="2" s="1"/>
  <c r="N43" i="2"/>
  <c r="M43" i="2" s="1"/>
  <c r="N60" i="2"/>
  <c r="M60" i="2" s="1"/>
  <c r="N85" i="2"/>
  <c r="M85" i="2" s="1"/>
  <c r="N87" i="2"/>
  <c r="M87" i="2" s="1"/>
  <c r="N88" i="2"/>
  <c r="M88" i="2" s="1"/>
  <c r="N90" i="2"/>
  <c r="M90" i="2" s="1"/>
  <c r="N107" i="2"/>
  <c r="M107" i="2" s="1"/>
  <c r="N111" i="2"/>
  <c r="M111" i="2" s="1"/>
  <c r="N130" i="2"/>
  <c r="M130" i="2" s="1"/>
  <c r="N162" i="2"/>
  <c r="M162" i="2" s="1"/>
  <c r="N164" i="2"/>
  <c r="M164" i="2" s="1"/>
  <c r="N168" i="2"/>
  <c r="M168" i="2" s="1"/>
  <c r="N179" i="2"/>
  <c r="M179" i="2" s="1"/>
  <c r="N181" i="2"/>
  <c r="M181" i="2" s="1"/>
  <c r="N185" i="2"/>
  <c r="M185" i="2" s="1"/>
  <c r="N202" i="2"/>
  <c r="M202" i="2" s="1"/>
  <c r="N225" i="2"/>
  <c r="M225" i="2" s="1"/>
  <c r="N242" i="2"/>
  <c r="M242" i="2" s="1"/>
  <c r="N244" i="2"/>
  <c r="M244" i="2" s="1"/>
  <c r="N261" i="2"/>
  <c r="M261" i="2" s="1"/>
  <c r="N263" i="2"/>
  <c r="M263" i="2" s="1"/>
  <c r="N274" i="2"/>
  <c r="M274" i="2" s="1"/>
  <c r="N276" i="2"/>
  <c r="M276" i="2" s="1"/>
  <c r="N278" i="2"/>
  <c r="M278" i="2" s="1"/>
  <c r="N280" i="2"/>
  <c r="M280" i="2" s="1"/>
  <c r="N297" i="2"/>
  <c r="M297" i="2" s="1"/>
  <c r="N310" i="2"/>
  <c r="M310" i="2" s="1"/>
  <c r="N282" i="2"/>
  <c r="M282" i="2" s="1"/>
  <c r="N316" i="2"/>
  <c r="M316" i="2" s="1"/>
  <c r="N48" i="2"/>
  <c r="M48" i="2" s="1"/>
  <c r="N75" i="2"/>
  <c r="M75" i="2" s="1"/>
  <c r="N97" i="2"/>
  <c r="M97" i="2" s="1"/>
  <c r="N133" i="2"/>
  <c r="M133" i="2" s="1"/>
  <c r="N169" i="2"/>
  <c r="M169" i="2" s="1"/>
  <c r="N203" i="2"/>
  <c r="M203" i="2" s="1"/>
  <c r="N266" i="2"/>
  <c r="M266" i="2" s="1"/>
  <c r="N289" i="2"/>
  <c r="M289" i="2" s="1"/>
  <c r="N31" i="2"/>
  <c r="M31" i="2" s="1"/>
  <c r="N52" i="2"/>
  <c r="M52" i="2" s="1"/>
  <c r="N81" i="2"/>
  <c r="M81" i="2" s="1"/>
  <c r="N122" i="2"/>
  <c r="M122" i="2" s="1"/>
  <c r="N211" i="2"/>
  <c r="M211" i="2" s="1"/>
  <c r="N232" i="2"/>
  <c r="M232" i="2" s="1"/>
  <c r="N255" i="2"/>
  <c r="M255" i="2" s="1"/>
  <c r="N321" i="2"/>
  <c r="M321" i="2" s="1"/>
  <c r="N45" i="2"/>
  <c r="M45" i="2" s="1"/>
  <c r="N47" i="2"/>
  <c r="M47" i="2" s="1"/>
  <c r="N49" i="2"/>
  <c r="M49" i="2" s="1"/>
  <c r="N64" i="2"/>
  <c r="M64" i="2" s="1"/>
  <c r="N66" i="2"/>
  <c r="M66" i="2" s="1"/>
  <c r="N68" i="2"/>
  <c r="M68" i="2" s="1"/>
  <c r="N70" i="2"/>
  <c r="M70" i="2" s="1"/>
  <c r="N72" i="2"/>
  <c r="M72" i="2" s="1"/>
  <c r="N74" i="2"/>
  <c r="M74" i="2" s="1"/>
  <c r="N92" i="2"/>
  <c r="M92" i="2" s="1"/>
  <c r="N94" i="2"/>
  <c r="M94" i="2" s="1"/>
  <c r="N96" i="2"/>
  <c r="M96" i="2" s="1"/>
  <c r="N98" i="2"/>
  <c r="M98" i="2" s="1"/>
  <c r="N115" i="2"/>
  <c r="M115" i="2" s="1"/>
  <c r="N117" i="2"/>
  <c r="M117" i="2" s="1"/>
  <c r="N119" i="2"/>
  <c r="M119" i="2" s="1"/>
  <c r="N121" i="2"/>
  <c r="M121" i="2" s="1"/>
  <c r="N132" i="2"/>
  <c r="M132" i="2" s="1"/>
  <c r="N134" i="2"/>
  <c r="M134" i="2" s="1"/>
  <c r="N136" i="2"/>
  <c r="M136" i="2" s="1"/>
  <c r="N138" i="2"/>
  <c r="M138" i="2" s="1"/>
  <c r="N193" i="2"/>
  <c r="M193" i="2" s="1"/>
  <c r="N206" i="2"/>
  <c r="M206" i="2" s="1"/>
  <c r="N208" i="2"/>
  <c r="M208" i="2" s="1"/>
  <c r="N250" i="2"/>
  <c r="M250" i="2" s="1"/>
  <c r="N286" i="2"/>
  <c r="M286" i="2" s="1"/>
  <c r="N314" i="2"/>
  <c r="M314" i="2" s="1"/>
  <c r="N320" i="2"/>
  <c r="M320" i="2" s="1"/>
  <c r="N61" i="2"/>
  <c r="M61" i="2" s="1"/>
  <c r="N71" i="2"/>
  <c r="M71" i="2" s="1"/>
  <c r="N95" i="2"/>
  <c r="M95" i="2" s="1"/>
  <c r="N118" i="2"/>
  <c r="M118" i="2" s="1"/>
  <c r="N137" i="2"/>
  <c r="M137" i="2" s="1"/>
  <c r="N207" i="2"/>
  <c r="M207" i="2" s="1"/>
  <c r="N79" i="2"/>
  <c r="M79" i="2" s="1"/>
  <c r="N257" i="2"/>
  <c r="M257" i="2" s="1"/>
  <c r="N300" i="2"/>
  <c r="M300" i="2" s="1"/>
  <c r="N30" i="2"/>
  <c r="M30" i="2" s="1"/>
  <c r="N34" i="2"/>
  <c r="M34" i="2" s="1"/>
  <c r="N57" i="2"/>
  <c r="M57" i="2" s="1"/>
  <c r="N78" i="2"/>
  <c r="M78" i="2" s="1"/>
  <c r="N80" i="2"/>
  <c r="M80" i="2" s="1"/>
  <c r="N82" i="2"/>
  <c r="M82" i="2" s="1"/>
  <c r="N144" i="2"/>
  <c r="M144" i="2" s="1"/>
  <c r="N172" i="2"/>
  <c r="M172" i="2" s="1"/>
  <c r="N174" i="2"/>
  <c r="M174" i="2" s="1"/>
  <c r="N195" i="2"/>
  <c r="M195" i="2" s="1"/>
  <c r="N199" i="2"/>
  <c r="M199" i="2" s="1"/>
  <c r="N212" i="2"/>
  <c r="M212" i="2" s="1"/>
  <c r="N227" i="2"/>
  <c r="M227" i="2" s="1"/>
  <c r="N229" i="2"/>
  <c r="M229" i="2" s="1"/>
  <c r="N231" i="2"/>
  <c r="M231" i="2" s="1"/>
  <c r="N233" i="2"/>
  <c r="M233" i="2" s="1"/>
  <c r="N252" i="2"/>
  <c r="M252" i="2" s="1"/>
  <c r="N256" i="2"/>
  <c r="M256" i="2" s="1"/>
  <c r="N267" i="2"/>
  <c r="M267" i="2" s="1"/>
  <c r="N290" i="2"/>
  <c r="M290" i="2" s="1"/>
  <c r="N299" i="2"/>
  <c r="M299" i="2" s="1"/>
  <c r="N301" i="2"/>
  <c r="M301" i="2" s="1"/>
  <c r="N303" i="2"/>
  <c r="M303" i="2" s="1"/>
  <c r="N305" i="2"/>
  <c r="M305" i="2" s="1"/>
  <c r="N279" i="2"/>
  <c r="M279" i="2" s="1"/>
  <c r="N309" i="2"/>
  <c r="M309" i="2" s="1"/>
  <c r="N91" i="2"/>
  <c r="M91" i="2" s="1"/>
  <c r="N135" i="2"/>
  <c r="M135" i="2" s="1"/>
  <c r="N285" i="2"/>
  <c r="M285" i="2" s="1"/>
  <c r="N315" i="2"/>
  <c r="M315" i="2" s="1"/>
  <c r="N56" i="2"/>
  <c r="M56" i="2" s="1"/>
  <c r="N139" i="2"/>
  <c r="M139" i="2" s="1"/>
  <c r="N198" i="2"/>
  <c r="M198" i="2" s="1"/>
  <c r="N36" i="2"/>
  <c r="M36" i="2" s="1"/>
  <c r="N38" i="2"/>
  <c r="M38" i="2" s="1"/>
  <c r="N106" i="2"/>
  <c r="M106" i="2" s="1"/>
  <c r="N123" i="2"/>
  <c r="M123" i="2" s="1"/>
  <c r="N125" i="2"/>
  <c r="M125" i="2" s="1"/>
  <c r="N127" i="2"/>
  <c r="M127" i="2" s="1"/>
  <c r="N129" i="2"/>
  <c r="M129" i="2" s="1"/>
  <c r="N149" i="2"/>
  <c r="M149" i="2" s="1"/>
  <c r="N151" i="2"/>
  <c r="M151" i="2" s="1"/>
  <c r="N155" i="2"/>
  <c r="M155" i="2" s="1"/>
  <c r="N157" i="2"/>
  <c r="M157" i="2" s="1"/>
  <c r="N159" i="2"/>
  <c r="M159" i="2" s="1"/>
  <c r="N161" i="2"/>
  <c r="M161" i="2" s="1"/>
  <c r="N218" i="2"/>
  <c r="M218" i="2" s="1"/>
  <c r="N220" i="2"/>
  <c r="M220" i="2" s="1"/>
  <c r="N222" i="2"/>
  <c r="M222" i="2" s="1"/>
  <c r="N224" i="2"/>
  <c r="M224" i="2" s="1"/>
  <c r="N235" i="2"/>
  <c r="M235" i="2" s="1"/>
  <c r="N237" i="2"/>
  <c r="M237" i="2" s="1"/>
  <c r="N239" i="2"/>
  <c r="M239" i="2" s="1"/>
  <c r="N241" i="2"/>
  <c r="M241" i="2" s="1"/>
  <c r="N273" i="2"/>
  <c r="M273" i="2" s="1"/>
  <c r="N292" i="2"/>
  <c r="M292" i="2" s="1"/>
  <c r="N294" i="2"/>
  <c r="M294" i="2" s="1"/>
  <c r="N296" i="2"/>
  <c r="M296" i="2" s="1"/>
  <c r="N275" i="2"/>
  <c r="M275" i="2" s="1"/>
  <c r="N281" i="2"/>
  <c r="M281" i="2" s="1"/>
  <c r="N307" i="2"/>
  <c r="M307" i="2" s="1"/>
  <c r="N313" i="2"/>
  <c r="M313" i="2" s="1"/>
  <c r="N116" i="2"/>
  <c r="M116" i="2" s="1"/>
  <c r="N186" i="2"/>
  <c r="M186" i="2" s="1"/>
  <c r="N283" i="2"/>
  <c r="M283" i="2" s="1"/>
  <c r="N317" i="2"/>
  <c r="M317" i="2" s="1"/>
  <c r="N35" i="2"/>
  <c r="M35" i="2" s="1"/>
  <c r="N58" i="2"/>
  <c r="M58" i="2" s="1"/>
  <c r="N103" i="2"/>
  <c r="M103" i="2" s="1"/>
  <c r="N200" i="2"/>
  <c r="M200" i="2" s="1"/>
  <c r="N228" i="2"/>
  <c r="M228" i="2" s="1"/>
  <c r="N268" i="2"/>
  <c r="M268" i="2" s="1"/>
  <c r="N302" i="2"/>
  <c r="M302" i="2" s="1"/>
  <c r="N84" i="2"/>
  <c r="M84" i="2" s="1"/>
  <c r="N86" i="2"/>
  <c r="M86" i="2" s="1"/>
  <c r="N108" i="2"/>
  <c r="M108" i="2" s="1"/>
  <c r="N110" i="2"/>
  <c r="M110" i="2" s="1"/>
  <c r="N114" i="2"/>
  <c r="M114" i="2" s="1"/>
  <c r="N165" i="2"/>
  <c r="M165" i="2" s="1"/>
  <c r="N180" i="2"/>
  <c r="M180" i="2" s="1"/>
  <c r="N184" i="2"/>
  <c r="M184" i="2" s="1"/>
  <c r="N243" i="2"/>
  <c r="M243" i="2" s="1"/>
  <c r="N262" i="2"/>
  <c r="M262" i="2" s="1"/>
  <c r="N277" i="2"/>
  <c r="M277" i="2" s="1"/>
  <c r="N311" i="2"/>
  <c r="M311" i="2" s="1"/>
  <c r="N27" i="2"/>
  <c r="M27" i="2" s="1"/>
  <c r="N44" i="2"/>
  <c r="M44" i="2" s="1"/>
  <c r="N143" i="2"/>
  <c r="M143" i="2" s="1"/>
  <c r="N194" i="2"/>
  <c r="M194" i="2" s="1"/>
  <c r="N251" i="2"/>
  <c r="M251" i="2" s="1"/>
  <c r="N25" i="2"/>
  <c r="M25" i="2" s="1"/>
  <c r="N23" i="2"/>
  <c r="M23" i="2" s="1"/>
  <c r="B15" i="37"/>
  <c r="D15" i="37"/>
  <c r="B16" i="37"/>
  <c r="B17" i="37"/>
  <c r="E18" i="37"/>
  <c r="D18" i="37"/>
  <c r="B18" i="37"/>
  <c r="D16" i="37"/>
  <c r="D17" i="37"/>
  <c r="I22" i="39" l="1"/>
  <c r="E22" i="39"/>
  <c r="F18" i="37"/>
  <c r="I30" i="38"/>
  <c r="I27" i="38"/>
  <c r="J27" i="38"/>
  <c r="K27" i="38"/>
  <c r="L27" i="38"/>
  <c r="M27" i="38"/>
  <c r="N27" i="38"/>
  <c r="I28" i="38"/>
  <c r="J28" i="38"/>
  <c r="K28" i="38"/>
  <c r="L28" i="38"/>
  <c r="M28" i="38"/>
  <c r="N28" i="38"/>
  <c r="I29" i="38"/>
  <c r="J29" i="38"/>
  <c r="K29" i="38"/>
  <c r="L29" i="38"/>
  <c r="M29" i="38"/>
  <c r="N29" i="38"/>
  <c r="E17" i="37" l="1"/>
  <c r="E16" i="37"/>
  <c r="A23" i="37" l="1"/>
  <c r="A24" i="37"/>
  <c r="A25" i="37"/>
  <c r="A22" i="37"/>
  <c r="F22" i="37" s="1"/>
  <c r="E25" i="37" l="1"/>
  <c r="F26" i="37"/>
  <c r="D22" i="37"/>
  <c r="D24" i="37"/>
  <c r="D23" i="37"/>
  <c r="D25" i="37"/>
  <c r="C16" i="17"/>
  <c r="D26" i="37" l="1"/>
  <c r="N30" i="38"/>
  <c r="M30" i="38"/>
  <c r="L30" i="38"/>
  <c r="K30" i="38"/>
  <c r="J30" i="38"/>
  <c r="J31" i="38" l="1"/>
  <c r="I31" i="38"/>
  <c r="M31" i="38"/>
  <c r="L31" i="38"/>
  <c r="I41" i="18"/>
  <c r="N41" i="18"/>
  <c r="M41" i="18"/>
  <c r="G22" i="28"/>
  <c r="G11" i="28"/>
  <c r="G12" i="28"/>
  <c r="G13" i="28"/>
  <c r="N145" i="2" s="1"/>
  <c r="M145" i="2" s="1"/>
  <c r="G14" i="28"/>
  <c r="G15" i="28"/>
  <c r="G16" i="28"/>
  <c r="G17" i="28"/>
  <c r="G18" i="28"/>
  <c r="G19" i="28"/>
  <c r="G20" i="28"/>
  <c r="G21" i="28"/>
  <c r="G10" i="28"/>
  <c r="N23" i="38"/>
  <c r="M23" i="38"/>
  <c r="L23" i="38"/>
  <c r="K23" i="38"/>
  <c r="J23" i="38"/>
  <c r="I23" i="38"/>
  <c r="B4" i="38"/>
  <c r="B4" i="5"/>
  <c r="B4" i="31"/>
  <c r="N29" i="18"/>
  <c r="M29" i="18"/>
  <c r="L29" i="18"/>
  <c r="K29" i="18"/>
  <c r="J29" i="18"/>
  <c r="I29" i="18"/>
  <c r="F12" i="31"/>
  <c r="F11" i="31"/>
  <c r="B4" i="28"/>
  <c r="C4" i="2"/>
  <c r="B4" i="18"/>
  <c r="B4" i="17"/>
  <c r="B41" i="17"/>
  <c r="B47" i="17" s="1"/>
  <c r="B51" i="17" s="1"/>
  <c r="B52" i="17"/>
  <c r="N131" i="2" l="1"/>
  <c r="M131" i="2" s="1"/>
  <c r="N19" i="2"/>
  <c r="M19" i="2" s="1"/>
  <c r="N16" i="2"/>
  <c r="M16" i="2" s="1"/>
  <c r="N270" i="2"/>
  <c r="M270" i="2" s="1"/>
  <c r="N112" i="2"/>
  <c r="M112" i="2" s="1"/>
  <c r="N76" i="2"/>
  <c r="M76" i="2" s="1"/>
  <c r="N28" i="2"/>
  <c r="M28" i="2" s="1"/>
  <c r="N215" i="2"/>
  <c r="M215" i="2" s="1"/>
  <c r="N264" i="2"/>
  <c r="M264" i="2" s="1"/>
  <c r="N253" i="2"/>
  <c r="M253" i="2" s="1"/>
  <c r="N170" i="2"/>
  <c r="M170" i="2" s="1"/>
  <c r="N59" i="2"/>
  <c r="M59" i="2" s="1"/>
  <c r="N163" i="2"/>
  <c r="M163" i="2" s="1"/>
  <c r="N104" i="2"/>
  <c r="M104" i="2" s="1"/>
  <c r="N182" i="2"/>
  <c r="M182" i="2" s="1"/>
  <c r="N89" i="2"/>
  <c r="M89" i="2" s="1"/>
  <c r="N196" i="2"/>
  <c r="M196" i="2" s="1"/>
  <c r="N209" i="2"/>
  <c r="M209" i="2" s="1"/>
  <c r="N177" i="2"/>
  <c r="M177" i="2" s="1"/>
  <c r="N189" i="2"/>
  <c r="M189" i="2" s="1"/>
  <c r="N13" i="2"/>
  <c r="M13" i="2" s="1"/>
  <c r="N32" i="2"/>
  <c r="M32" i="2" s="1"/>
  <c r="N15" i="2"/>
  <c r="M15" i="2" s="1"/>
  <c r="N33" i="2"/>
  <c r="M33" i="2" s="1"/>
  <c r="N248" i="2"/>
  <c r="M248" i="2" s="1"/>
  <c r="N26" i="2"/>
  <c r="M26" i="2" s="1"/>
  <c r="N190" i="2"/>
  <c r="M190" i="2" s="1"/>
  <c r="N40" i="2"/>
  <c r="M40" i="2" s="1"/>
  <c r="N176" i="2"/>
  <c r="M176" i="2" s="1"/>
  <c r="N67" i="2"/>
  <c r="M67" i="2" s="1"/>
  <c r="N113" i="2"/>
  <c r="M113" i="2" s="1"/>
  <c r="N55" i="2"/>
  <c r="M55" i="2" s="1"/>
  <c r="N272" i="2"/>
  <c r="M272" i="2" s="1"/>
  <c r="N146" i="2"/>
  <c r="M146" i="2" s="1"/>
  <c r="N188" i="2"/>
  <c r="M188" i="2" s="1"/>
  <c r="N191" i="2"/>
  <c r="M191" i="2" s="1"/>
  <c r="N217" i="2"/>
  <c r="M217" i="2" s="1"/>
  <c r="N166" i="2"/>
  <c r="M166" i="2" s="1"/>
  <c r="N153" i="2"/>
  <c r="M153" i="2" s="1"/>
  <c r="N77" i="2"/>
  <c r="M77" i="2" s="1"/>
  <c r="N102" i="2"/>
  <c r="M102" i="2" s="1"/>
  <c r="N14" i="2"/>
  <c r="M14" i="2" s="1"/>
  <c r="N329" i="2"/>
  <c r="M329" i="2" s="1"/>
  <c r="N187" i="2"/>
  <c r="M187" i="2" s="1"/>
  <c r="N63" i="2"/>
  <c r="M63" i="2" s="1"/>
  <c r="N324" i="2"/>
  <c r="M324" i="2" s="1"/>
  <c r="N62" i="2"/>
  <c r="M62" i="2" s="1"/>
  <c r="N142" i="2"/>
  <c r="M142" i="2" s="1"/>
  <c r="N322" i="2"/>
  <c r="M322" i="2" s="1"/>
  <c r="N10" i="2"/>
  <c r="M10" i="2" s="1"/>
  <c r="N259" i="2"/>
  <c r="M259" i="2" s="1"/>
  <c r="N99" i="2"/>
  <c r="M99" i="2" s="1"/>
  <c r="N201" i="2"/>
  <c r="M201" i="2" s="1"/>
  <c r="N326" i="2"/>
  <c r="M326" i="2" s="1"/>
  <c r="N12" i="2"/>
  <c r="M12" i="2" s="1"/>
  <c r="N271" i="2"/>
  <c r="M271" i="2" s="1"/>
  <c r="N246" i="2"/>
  <c r="M246" i="2" s="1"/>
  <c r="N258" i="2"/>
  <c r="M258" i="2" s="1"/>
  <c r="N328" i="2"/>
  <c r="M328" i="2" s="1"/>
  <c r="N269" i="2"/>
  <c r="M269" i="2" s="1"/>
  <c r="N140" i="2"/>
  <c r="M140" i="2" s="1"/>
  <c r="N11" i="2"/>
  <c r="M11" i="2" s="1"/>
  <c r="N327" i="2"/>
  <c r="M327" i="2" s="1"/>
  <c r="N100" i="2"/>
  <c r="M100" i="2" s="1"/>
  <c r="N214" i="2"/>
  <c r="M214" i="2" s="1"/>
  <c r="N175" i="2"/>
  <c r="M175" i="2" s="1"/>
  <c r="N245" i="2"/>
  <c r="M245" i="2" s="1"/>
  <c r="N323" i="2"/>
  <c r="M323" i="2" s="1"/>
  <c r="N204" i="2"/>
  <c r="M204" i="2" s="1"/>
  <c r="N216" i="2"/>
  <c r="M216" i="2" s="1"/>
  <c r="N247" i="2"/>
  <c r="M247" i="2" s="1"/>
  <c r="N141" i="2"/>
  <c r="M141" i="2" s="1"/>
  <c r="N325" i="2"/>
  <c r="M325" i="2" s="1"/>
  <c r="N147" i="2"/>
  <c r="M147" i="2" s="1"/>
  <c r="N178" i="2"/>
  <c r="M178" i="2" s="1"/>
  <c r="N183" i="2"/>
  <c r="M183" i="2" s="1"/>
  <c r="N210" i="2"/>
  <c r="M210" i="2" s="1"/>
  <c r="N105" i="2"/>
  <c r="M105" i="2" s="1"/>
  <c r="N42" i="2"/>
  <c r="M42" i="2" s="1"/>
  <c r="N46" i="2"/>
  <c r="M46" i="2" s="1"/>
  <c r="N249" i="2"/>
  <c r="M249" i="2" s="1"/>
  <c r="N18" i="2"/>
  <c r="M18" i="2" s="1"/>
  <c r="N22" i="2"/>
  <c r="M22" i="2" s="1"/>
  <c r="N17" i="2"/>
  <c r="M17" i="2" s="1"/>
  <c r="N254" i="2"/>
  <c r="M254" i="2" s="1"/>
  <c r="N69" i="2"/>
  <c r="M69" i="2" s="1"/>
  <c r="N24" i="2"/>
  <c r="M24" i="2" s="1"/>
  <c r="N109" i="2"/>
  <c r="M109" i="2" s="1"/>
  <c r="N197" i="2"/>
  <c r="M197" i="2" s="1"/>
  <c r="N205" i="2"/>
  <c r="M205" i="2" s="1"/>
  <c r="N171" i="2"/>
  <c r="M171" i="2" s="1"/>
  <c r="N192" i="2"/>
  <c r="M192" i="2" s="1"/>
  <c r="N73" i="2"/>
  <c r="M73" i="2" s="1"/>
  <c r="N20" i="2"/>
  <c r="M20" i="2" s="1"/>
  <c r="N21" i="2"/>
  <c r="M21" i="2" s="1"/>
  <c r="N150" i="2"/>
  <c r="M150" i="2" s="1"/>
  <c r="N265" i="2"/>
  <c r="M265" i="2" s="1"/>
  <c r="N51" i="2"/>
  <c r="M51" i="2" s="1"/>
  <c r="N53" i="2"/>
  <c r="M53" i="2" s="1"/>
  <c r="N260" i="2"/>
  <c r="M260" i="2" s="1"/>
  <c r="N167" i="2"/>
  <c r="M167" i="2" s="1"/>
  <c r="O29" i="18"/>
  <c r="F17" i="31"/>
  <c r="B49" i="17"/>
  <c r="B50" i="17"/>
  <c r="G24" i="28"/>
  <c r="O23" i="38"/>
  <c r="K31" i="38"/>
  <c r="E12" i="38" s="1"/>
  <c r="J41" i="18"/>
  <c r="N31" i="38"/>
  <c r="L41" i="18"/>
  <c r="K41" i="18"/>
  <c r="E15" i="37" l="1"/>
  <c r="B19" i="37"/>
  <c r="E12" i="18"/>
  <c r="E14" i="18" s="1"/>
  <c r="B53" i="17"/>
  <c r="E14" i="38"/>
  <c r="G6" i="28" l="1"/>
  <c r="E16" i="38"/>
  <c r="K46" i="38" s="1"/>
  <c r="K45" i="38"/>
  <c r="F15" i="37"/>
  <c r="F16" i="37"/>
  <c r="E17" i="18"/>
  <c r="K48" i="18" s="1"/>
  <c r="K46" i="18"/>
  <c r="E19" i="37"/>
  <c r="F17" i="37"/>
  <c r="E17" i="38"/>
  <c r="E16" i="18"/>
  <c r="E18" i="18" l="1"/>
  <c r="K53" i="18"/>
  <c r="F19" i="37"/>
  <c r="E18" i="38"/>
  <c r="E20" i="38" s="1"/>
  <c r="K47" i="38"/>
  <c r="K47" i="18"/>
  <c r="E20" i="18" l="1"/>
  <c r="C29" i="17" l="1"/>
  <c r="C31" i="17" s="1"/>
  <c r="C34" i="17" s="1"/>
  <c r="C21" i="17" s="1"/>
  <c r="C24" i="17" s="1"/>
  <c r="E21" i="38" s="1"/>
  <c r="K48" i="38" s="1"/>
  <c r="E21" i="18" l="1"/>
  <c r="E22" i="38"/>
  <c r="K49" i="18"/>
  <c r="E22" i="18"/>
  <c r="E24" i="38"/>
  <c r="K49" i="38" s="1"/>
  <c r="E25" i="38" l="1"/>
  <c r="E24" i="18"/>
  <c r="K50" i="18" s="1"/>
  <c r="E25" i="18" l="1"/>
  <c r="E32" i="18" s="1"/>
  <c r="E31" i="38"/>
  <c r="E42" i="38" l="1"/>
  <c r="E43" i="18"/>
  <c r="E47" i="18" l="1"/>
  <c r="E46" i="38"/>
  <c r="F42" i="38" l="1"/>
  <c r="C22" i="37"/>
  <c r="B25" i="37"/>
  <c r="B23" i="37"/>
  <c r="B24" i="37"/>
  <c r="B22" i="37"/>
  <c r="F44" i="38"/>
  <c r="F46" i="38" s="1"/>
  <c r="K61" i="38"/>
  <c r="K63" i="38" s="1"/>
  <c r="C23" i="37"/>
  <c r="F39" i="38"/>
  <c r="F36" i="38"/>
  <c r="F33" i="38"/>
  <c r="F40" i="38"/>
  <c r="F35" i="38"/>
  <c r="F18" i="38"/>
  <c r="F34" i="38"/>
  <c r="F38" i="38"/>
  <c r="C25" i="37"/>
  <c r="F37" i="38"/>
  <c r="C24" i="37"/>
  <c r="F22" i="38"/>
  <c r="F25" i="38"/>
  <c r="E48" i="38"/>
  <c r="K65" i="38" s="1"/>
  <c r="E52" i="38"/>
  <c r="E50" i="38"/>
  <c r="F31" i="38"/>
  <c r="F18" i="18"/>
  <c r="F38" i="18"/>
  <c r="F35" i="18"/>
  <c r="F40" i="18"/>
  <c r="F37" i="18"/>
  <c r="F36" i="18"/>
  <c r="F34" i="18"/>
  <c r="F41" i="18"/>
  <c r="F39" i="18"/>
  <c r="F22" i="18"/>
  <c r="E53" i="18"/>
  <c r="E51" i="18"/>
  <c r="E49" i="18"/>
  <c r="K66" i="18" s="1"/>
  <c r="F25" i="18"/>
  <c r="F32" i="18"/>
  <c r="F45" i="18"/>
  <c r="K62" i="18"/>
  <c r="K64" i="18" s="1"/>
  <c r="F43" i="18"/>
  <c r="G25" i="37" l="1"/>
  <c r="K68" i="18"/>
  <c r="E24" i="37"/>
  <c r="G24" i="37" s="1"/>
  <c r="K70" i="18"/>
  <c r="H12" i="31"/>
  <c r="E23" i="37" s="1"/>
  <c r="G23" i="37" s="1"/>
  <c r="H11" i="31"/>
  <c r="F47" i="18"/>
  <c r="B26" i="37"/>
  <c r="K69" i="38"/>
  <c r="K67" i="38"/>
  <c r="C26" i="37"/>
  <c r="H17" i="31" l="1"/>
  <c r="E22" i="37"/>
  <c r="E26" i="37" l="1"/>
  <c r="G22" i="37"/>
  <c r="H23" i="37"/>
  <c r="H24" i="37"/>
  <c r="H25" i="37"/>
  <c r="H22" i="37" l="1"/>
  <c r="H26" i="37" s="1"/>
  <c r="G26" i="37"/>
  <c r="P1" i="37" s="1"/>
  <c r="P2" i="37" l="1"/>
  <c r="P3" i="37" s="1"/>
</calcChain>
</file>

<file path=xl/sharedStrings.xml><?xml version="1.0" encoding="utf-8"?>
<sst xmlns="http://schemas.openxmlformats.org/spreadsheetml/2006/main" count="3556" uniqueCount="719">
  <si>
    <t>Algemeen</t>
  </si>
  <si>
    <t>Naam opdrachtgever</t>
  </si>
  <si>
    <t>Calculatie onderdeel</t>
  </si>
  <si>
    <t>Gebouw/plaats</t>
  </si>
  <si>
    <t>Referentie nummer</t>
  </si>
  <si>
    <t>Invoervelden</t>
  </si>
  <si>
    <t>EINDTOTAAL KOSTEN PER JAAR  EXCLUSIEF BTW         INSCHRIJVINGSBEDRAG</t>
  </si>
  <si>
    <t>BTW</t>
  </si>
  <si>
    <t>Totale kosten per jaar inclusief btw</t>
  </si>
  <si>
    <t>Toezicht percentage</t>
  </si>
  <si>
    <t>per prod. Uur</t>
  </si>
  <si>
    <t>MAXIMALE BOVENGRENS PLAFONDBEDRAG INSCHRIJVINGSBEDRAG</t>
  </si>
  <si>
    <t>MAXIMALE ONDERGRENS INSCHRIJVINGSBEDRAG</t>
  </si>
  <si>
    <t>Naam dienstverlener</t>
  </si>
  <si>
    <t>Prijspeil</t>
  </si>
  <si>
    <t>SUPPLETIEKOSTEN OVERNAME PERSONEEL</t>
  </si>
  <si>
    <t>Versie</t>
  </si>
  <si>
    <t>Aanbesteding</t>
  </si>
  <si>
    <t xml:space="preserve">Dit is het maximale bedrag dat door de dienstverlener aan suppletiekosten in rekening wordt gebracht. Indien hier niets wordt </t>
  </si>
  <si>
    <t>ingevuld, betekent dit dat er geen suppletiekosten door de dienstverlener in rekening worden gebracht.</t>
  </si>
  <si>
    <t>Locatie</t>
  </si>
  <si>
    <t>Totaal m2 in scope</t>
  </si>
  <si>
    <t>Locatie factor</t>
  </si>
  <si>
    <t>Hoogste frequentie ma t/m vr</t>
  </si>
  <si>
    <t>Productie uren ma t/m vr</t>
  </si>
  <si>
    <t>Toezicht uren per jaar ma t/m vr</t>
  </si>
  <si>
    <t>Totaal</t>
  </si>
  <si>
    <t>Kosten productie per jaar ma t/m vr incl minimale taakgrootte</t>
  </si>
  <si>
    <t xml:space="preserve">Kosten toezicht per jaar ma t/m vr </t>
  </si>
  <si>
    <t>Kosten vloeronderhoud per jaar</t>
  </si>
  <si>
    <t>Kosten Additioneel per jaar</t>
  </si>
  <si>
    <t>Kosten sanitaire voorzieningen per jaar</t>
  </si>
  <si>
    <t>Totaal kosten per jaar excl. btw</t>
  </si>
  <si>
    <t>Totaal kosten per maand excl. btw</t>
  </si>
  <si>
    <t>Gewogen prestatie</t>
  </si>
  <si>
    <t>m2/uur</t>
  </si>
  <si>
    <t>Frequentie van uitvoering (per jaar):</t>
  </si>
  <si>
    <t>Ruimtecategorie</t>
  </si>
  <si>
    <t>Prestatienorm in aantal m2 per uur</t>
  </si>
  <si>
    <t>M2 Totaal</t>
  </si>
  <si>
    <t>VSR Code</t>
  </si>
  <si>
    <t>Administratieve ruimten</t>
  </si>
  <si>
    <t>B</t>
  </si>
  <si>
    <t>Sanitaire ruimten</t>
  </si>
  <si>
    <t>S</t>
  </si>
  <si>
    <t>Gang, hal</t>
  </si>
  <si>
    <t>V</t>
  </si>
  <si>
    <t>Pantry/keuken</t>
  </si>
  <si>
    <t>Restauratieve ruimten</t>
  </si>
  <si>
    <t>Kleedruimten</t>
  </si>
  <si>
    <t>Vergaderruimten</t>
  </si>
  <si>
    <t>Opslagruimte</t>
  </si>
  <si>
    <t>Multifunctionele ruimten</t>
  </si>
  <si>
    <t>Entree</t>
  </si>
  <si>
    <t>Trappenhuis</t>
  </si>
  <si>
    <t>Lift</t>
  </si>
  <si>
    <t>Nio</t>
  </si>
  <si>
    <t>Kolom voor matrix</t>
  </si>
  <si>
    <t>Frequentie verklaring</t>
  </si>
  <si>
    <t>Freq</t>
  </si>
  <si>
    <t>Kolom</t>
  </si>
  <si>
    <t>2 x per jaar</t>
  </si>
  <si>
    <t>1 x per maand</t>
  </si>
  <si>
    <t>3 x per week (52 weken)</t>
  </si>
  <si>
    <t>5 x per week (52 weken)</t>
  </si>
  <si>
    <t>Gebouw</t>
  </si>
  <si>
    <t>Verdieping</t>
  </si>
  <si>
    <t>Ruimte nummer</t>
  </si>
  <si>
    <t>Ruimteomschrijving opdrachtgever</t>
  </si>
  <si>
    <t>Ruimte categorie</t>
  </si>
  <si>
    <t>Vloer soort</t>
  </si>
  <si>
    <t>Vloercategorie</t>
  </si>
  <si>
    <t xml:space="preserve">M2 vloer </t>
  </si>
  <si>
    <t>Totaal frequentie</t>
  </si>
  <si>
    <t>Freq. ma-vr</t>
  </si>
  <si>
    <t>Uren p/j ma t/m vrij</t>
  </si>
  <si>
    <t>Norm ma t/m vr</t>
  </si>
  <si>
    <t>VSR code</t>
  </si>
  <si>
    <t>Bijzonderheden / opmerkingen</t>
  </si>
  <si>
    <t>M2 per jaar</t>
  </si>
  <si>
    <t>Linoleum</t>
  </si>
  <si>
    <t>Kleedruimte</t>
  </si>
  <si>
    <t>Harde vloer zonder waslaag (sanitair)</t>
  </si>
  <si>
    <t>Kelder</t>
  </si>
  <si>
    <t>Tapijt</t>
  </si>
  <si>
    <t>Zachte vloer</t>
  </si>
  <si>
    <t>Harde vloer zonder waslaag (overig)</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</si>
  <si>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</si>
  <si>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</si>
  <si>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</si>
  <si>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</si>
  <si>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</si>
  <si>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</si>
  <si>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</si>
  <si>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</si>
  <si>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</si>
  <si>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</si>
  <si>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</si>
  <si>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</si>
  <si>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</si>
  <si>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</si>
  <si>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</si>
  <si>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</si>
  <si>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</si>
  <si>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</si>
  <si>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</si>
  <si>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</si>
  <si>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</si>
  <si>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</si>
  <si>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</si>
  <si>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</si>
  <si>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</si>
  <si>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</si>
  <si>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</si>
  <si>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</si>
  <si>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</si>
  <si>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</si>
  <si>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</si>
  <si>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</si>
  <si>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</si>
  <si>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</si>
  <si>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</si>
  <si>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</si>
  <si>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 xml:space="preserve"> </t>
  </si>
  <si>
    <t>Basisuurloon</t>
  </si>
  <si>
    <t>CAO gebonden kosten</t>
  </si>
  <si>
    <t>17 jaar en jonger</t>
  </si>
  <si>
    <t>Specialistentoeslag</t>
  </si>
  <si>
    <t>18 jaar</t>
  </si>
  <si>
    <t>Bruto uurloon</t>
  </si>
  <si>
    <t>19 jaar</t>
  </si>
  <si>
    <t>Vakvolwassen 1 dienstjaar</t>
  </si>
  <si>
    <t xml:space="preserve">Vakantietoeslag </t>
  </si>
  <si>
    <t>Vakvolwassen 2 dienstjaren</t>
  </si>
  <si>
    <t xml:space="preserve">Structurele eindejaarsuitkering </t>
  </si>
  <si>
    <t>Vakvolwassen 3 dienstjaren</t>
  </si>
  <si>
    <t>Bruto uurloon inclusief toeslagen</t>
  </si>
  <si>
    <t>Vakvolwassen 4 dienstjaren</t>
  </si>
  <si>
    <t>SV-loon grondslag voor berekening sociale verzekeringen</t>
  </si>
  <si>
    <t>Percentage per loongroep voor gemiddeld tarief</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</si>
  <si>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</si>
  <si>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</si>
  <si>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</si>
  <si>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</si>
  <si>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</si>
  <si>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</si>
  <si>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</si>
  <si>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</si>
  <si>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Machinekosten</t>
  </si>
  <si>
    <t>Totaal per loongroepen</t>
  </si>
  <si>
    <t>Totaal directe kosten</t>
  </si>
  <si>
    <t>Opbouw gemiddeld tarief</t>
  </si>
  <si>
    <t>Indirect toezicht</t>
  </si>
  <si>
    <t>Managementkosten</t>
  </si>
  <si>
    <t>P.Z. kosten</t>
  </si>
  <si>
    <t>Opleiding</t>
  </si>
  <si>
    <t>Administratiekosten</t>
  </si>
  <si>
    <t>Huisvestingskosten</t>
  </si>
  <si>
    <t>Reiskosten/autokosten</t>
  </si>
  <si>
    <t>Kosten verzuimbegeleiding en re-integratie</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</si>
  <si>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</si>
  <si>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</si>
  <si>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</si>
  <si>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</si>
  <si>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</si>
  <si>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</si>
  <si>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</si>
  <si>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Kosten verzuimbegeleiding</t>
  </si>
  <si>
    <t>Tariefopbouw toezicht</t>
  </si>
  <si>
    <t>Gemiddeld tarief  ma t/m vr</t>
  </si>
  <si>
    <t>Overige cao-gerelateerde verplichtingen</t>
  </si>
  <si>
    <t>Omschrijving werkzaamheden</t>
  </si>
  <si>
    <t>Aantal of m2</t>
  </si>
  <si>
    <t>frequentie per jaar</t>
  </si>
  <si>
    <t>uren per m2/ beurt</t>
  </si>
  <si>
    <t>uren per jaar</t>
  </si>
  <si>
    <t>uurtarief</t>
  </si>
  <si>
    <t>kosten per jaar incl toezicht</t>
  </si>
  <si>
    <t>Omschrijving kostenaspect</t>
  </si>
  <si>
    <t>kosten per jaar</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</si>
  <si>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</si>
  <si>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</si>
  <si>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</si>
  <si>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</si>
  <si>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</si>
  <si>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</si>
  <si>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</si>
  <si>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</si>
  <si>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</si>
  <si>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</si>
  <si>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</si>
  <si>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</si>
  <si>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</si>
  <si>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</si>
  <si>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Tapijt sproeiextraheren</t>
  </si>
  <si>
    <t>Reinigen bureau-elektronica reinigen</t>
  </si>
  <si>
    <t>Prijs p/stuk excl. btw</t>
  </si>
  <si>
    <t>Apparatuur/onderdeel</t>
  </si>
  <si>
    <t>Aantal stuks 0-50</t>
  </si>
  <si>
    <t>Aantal stuks &gt; 50</t>
  </si>
  <si>
    <t>Systeemkast</t>
  </si>
  <si>
    <t>Methode en eindresultaat omschrijven.</t>
  </si>
  <si>
    <t>Monitor</t>
  </si>
  <si>
    <t>Toetsenbord inclusief muis</t>
  </si>
  <si>
    <t>Printer klein</t>
  </si>
  <si>
    <t>Printer groot</t>
  </si>
  <si>
    <t>Reinigen raambekleding</t>
  </si>
  <si>
    <t>Soort</t>
  </si>
  <si>
    <t>Prijs p/m² onder 100m² excl. btw</t>
  </si>
  <si>
    <t>Prijs p/m² boven 100m² excl. btw</t>
  </si>
  <si>
    <t>Vitrage</t>
  </si>
  <si>
    <t>Overgordijnen</t>
  </si>
  <si>
    <t>Verticale lamellen stof</t>
  </si>
  <si>
    <t>Verticale lamellen metaal/kunststof</t>
  </si>
  <si>
    <t>Horizontale lamellen</t>
  </si>
  <si>
    <t>Regietarieven</t>
  </si>
  <si>
    <t>Prijs p/uur excl. btw</t>
  </si>
  <si>
    <t>Schoonmaakonderhoud</t>
  </si>
  <si>
    <t>Maandag - Vrijdag</t>
  </si>
  <si>
    <t>Zaterdag - zondag (incl. 50% toeslag conform cao)</t>
  </si>
  <si>
    <t>Feestdagen (incl. 150% toeslag conform cao)</t>
  </si>
  <si>
    <t>Opmerking:</t>
  </si>
  <si>
    <t>Alle prijzen inclusief materialen en middelen, voorrijkosten en overige bijkomende kosten.</t>
  </si>
  <si>
    <t>Mits anders aangegeven is de uitvoering op reguliere werktijden: maandag t/m vrijdag [06.00 en 21.30 uur]</t>
  </si>
  <si>
    <t>Aantal m2</t>
  </si>
  <si>
    <r>
      <t>Kosten per m</t>
    </r>
    <r>
      <rPr>
        <b/>
        <vertAlign val="superscript"/>
        <sz val="10"/>
        <color theme="0"/>
        <rFont val="Arial Black"/>
        <family val="2"/>
      </rPr>
      <t>2</t>
    </r>
  </si>
  <si>
    <t>Kosten per beurt</t>
  </si>
  <si>
    <t>Frequentie per jaar</t>
  </si>
  <si>
    <t>Totaalkosten per jaar</t>
  </si>
  <si>
    <t>Handeling</t>
  </si>
  <si>
    <t>M² prijs (incl uit- en inruimen)</t>
  </si>
  <si>
    <t>Schrobben</t>
  </si>
  <si>
    <t>Tapijtreiniging (kristalliseren)</t>
  </si>
  <si>
    <t>Vloerafwerking</t>
  </si>
  <si>
    <t>1</t>
  </si>
  <si>
    <t>12</t>
  </si>
  <si>
    <t>Rubber</t>
  </si>
  <si>
    <t>Aan de opgegeven indicatieve eenheden kunnen geen rechten worden ontleend.</t>
  </si>
  <si>
    <t xml:space="preserve">Alle prijzen zijn all-in, inclusief loonkosten, materiaal-, reis- en verblijfskosten, sociale lasten, voorrijkosten, parkeerkosten, reserveringskosten, (de)montagekosten, transportkosten, aflever- verpakkingen, milieubelastingen, administratie, andere belastingen dan btw, verzekeringspremies e.d. </t>
  </si>
  <si>
    <t>Machine</t>
  </si>
  <si>
    <t>Omschrijving</t>
  </si>
  <si>
    <t>Catalogus prijs</t>
  </si>
  <si>
    <t>Kortings%</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</si>
  <si>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</si>
  <si>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</si>
  <si>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</si>
  <si>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</si>
  <si>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</si>
  <si>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</si>
  <si>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</si>
  <si>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</si>
  <si>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</si>
  <si>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</si>
  <si>
    <t>Overige cao-gerelateerde verplichtingen (zoals reiskosten)</t>
  </si>
  <si>
    <t>Gemeente Lansingerland</t>
  </si>
  <si>
    <t>Onderdeel</t>
  </si>
  <si>
    <t>Perceel 1 Schoonmaak</t>
  </si>
  <si>
    <t>Gemeentehuis</t>
  </si>
  <si>
    <t>B0.001</t>
  </si>
  <si>
    <t>B0.002</t>
  </si>
  <si>
    <t>B0.003</t>
  </si>
  <si>
    <t>B0.005</t>
  </si>
  <si>
    <t>B0.101</t>
  </si>
  <si>
    <t>B0.105</t>
  </si>
  <si>
    <t>B0.110</t>
  </si>
  <si>
    <t>B0.110a</t>
  </si>
  <si>
    <t>B0.110b</t>
  </si>
  <si>
    <t>B0.111</t>
  </si>
  <si>
    <t>B0.111a</t>
  </si>
  <si>
    <t>B0.111b</t>
  </si>
  <si>
    <t>B0.116</t>
  </si>
  <si>
    <t>B0.116a</t>
  </si>
  <si>
    <t>B0.117</t>
  </si>
  <si>
    <t>B0.117a</t>
  </si>
  <si>
    <t>B0.120</t>
  </si>
  <si>
    <t>P0.012</t>
  </si>
  <si>
    <t>P0.015</t>
  </si>
  <si>
    <t>P0.016</t>
  </si>
  <si>
    <t>P0.019</t>
  </si>
  <si>
    <t>B0.216</t>
  </si>
  <si>
    <t>B1.</t>
  </si>
  <si>
    <t>B1.002</t>
  </si>
  <si>
    <t>B1.002a</t>
  </si>
  <si>
    <t>B1.002b</t>
  </si>
  <si>
    <t>B1.002c</t>
  </si>
  <si>
    <t>B1.004</t>
  </si>
  <si>
    <t>B1.006</t>
  </si>
  <si>
    <t>B1.101</t>
  </si>
  <si>
    <t>B1.107</t>
  </si>
  <si>
    <t>B1.108</t>
  </si>
  <si>
    <t>B1.108a</t>
  </si>
  <si>
    <t>B1.108b</t>
  </si>
  <si>
    <t>B1.108c</t>
  </si>
  <si>
    <t>B1.109</t>
  </si>
  <si>
    <t>B1.109a</t>
  </si>
  <si>
    <t>B1.109b</t>
  </si>
  <si>
    <t xml:space="preserve">B1.110 </t>
  </si>
  <si>
    <t>B1.111</t>
  </si>
  <si>
    <t>B1.116</t>
  </si>
  <si>
    <t>B1.116a</t>
  </si>
  <si>
    <t>B1.117</t>
  </si>
  <si>
    <t>B1.117a</t>
  </si>
  <si>
    <t>B1.120</t>
  </si>
  <si>
    <t>P1.004</t>
  </si>
  <si>
    <t>P1.007</t>
  </si>
  <si>
    <t>P1.009</t>
  </si>
  <si>
    <t>B1.206a</t>
  </si>
  <si>
    <t>P1.011</t>
  </si>
  <si>
    <t>P1.014</t>
  </si>
  <si>
    <t>B2.001</t>
  </si>
  <si>
    <t>B2.002</t>
  </si>
  <si>
    <t>B2.003</t>
  </si>
  <si>
    <t>B2.003a</t>
  </si>
  <si>
    <t>B2.004</t>
  </si>
  <si>
    <t>B2.101</t>
  </si>
  <si>
    <t>B2.107</t>
  </si>
  <si>
    <t>B2.110</t>
  </si>
  <si>
    <t>B2.110a</t>
  </si>
  <si>
    <t>B2.110b</t>
  </si>
  <si>
    <t>B2.110c</t>
  </si>
  <si>
    <t>B2.111</t>
  </si>
  <si>
    <t>B2.111a</t>
  </si>
  <si>
    <t>B2.111b</t>
  </si>
  <si>
    <t>B2.112</t>
  </si>
  <si>
    <t>B2.120</t>
  </si>
  <si>
    <t>B2.201</t>
  </si>
  <si>
    <t>B2.203</t>
  </si>
  <si>
    <t>B2.204</t>
  </si>
  <si>
    <t>B2.206</t>
  </si>
  <si>
    <t>B2.207</t>
  </si>
  <si>
    <t>B2.208</t>
  </si>
  <si>
    <t>B2.209</t>
  </si>
  <si>
    <t>B2.214</t>
  </si>
  <si>
    <t>B2.215</t>
  </si>
  <si>
    <t>B2.216</t>
  </si>
  <si>
    <t>B2.218</t>
  </si>
  <si>
    <t>B2.218a</t>
  </si>
  <si>
    <t>B2.232</t>
  </si>
  <si>
    <t>B2.233</t>
  </si>
  <si>
    <t>B2.235</t>
  </si>
  <si>
    <t>B2.236</t>
  </si>
  <si>
    <t>B2.237</t>
  </si>
  <si>
    <t>B2.238</t>
  </si>
  <si>
    <t>B2.239</t>
  </si>
  <si>
    <t>B2.240</t>
  </si>
  <si>
    <t>B2.242</t>
  </si>
  <si>
    <t>B3.001</t>
  </si>
  <si>
    <t>B3.002</t>
  </si>
  <si>
    <t>P3.046</t>
  </si>
  <si>
    <t>B3.101</t>
  </si>
  <si>
    <t>B3.107</t>
  </si>
  <si>
    <t>B3.108</t>
  </si>
  <si>
    <t>B3.110</t>
  </si>
  <si>
    <t>B3.110a</t>
  </si>
  <si>
    <t>B3.110b</t>
  </si>
  <si>
    <t>B3.110c</t>
  </si>
  <si>
    <t>B3.111</t>
  </si>
  <si>
    <t>B3.111a</t>
  </si>
  <si>
    <t>B3.111b</t>
  </si>
  <si>
    <t>B3.112</t>
  </si>
  <si>
    <t>B3.120</t>
  </si>
  <si>
    <t>P3.090</t>
  </si>
  <si>
    <t>P3.004</t>
  </si>
  <si>
    <t>P3.007</t>
  </si>
  <si>
    <t>P3.009</t>
  </si>
  <si>
    <t>P3.012</t>
  </si>
  <si>
    <t>P3.014</t>
  </si>
  <si>
    <t>P3.017</t>
  </si>
  <si>
    <t>P3.019</t>
  </si>
  <si>
    <t>P3.031</t>
  </si>
  <si>
    <t>P3.033</t>
  </si>
  <si>
    <t>P3.034</t>
  </si>
  <si>
    <t>P3.037</t>
  </si>
  <si>
    <t>P3.039</t>
  </si>
  <si>
    <t>P3.042</t>
  </si>
  <si>
    <t>P3.045</t>
  </si>
  <si>
    <t>P3.048</t>
  </si>
  <si>
    <t>P3.058</t>
  </si>
  <si>
    <t>B3.228</t>
  </si>
  <si>
    <t>P3.062</t>
  </si>
  <si>
    <t>P3.069</t>
  </si>
  <si>
    <t>P3.072</t>
  </si>
  <si>
    <t>P3.075</t>
  </si>
  <si>
    <t>P3.078</t>
  </si>
  <si>
    <t>P3.081</t>
  </si>
  <si>
    <t>P3.084</t>
  </si>
  <si>
    <t>P3.087</t>
  </si>
  <si>
    <t>B4.001</t>
  </si>
  <si>
    <t>B4.002</t>
  </si>
  <si>
    <t>B4.003</t>
  </si>
  <si>
    <t>P4.045</t>
  </si>
  <si>
    <t>B4.004a</t>
  </si>
  <si>
    <t>B4.006</t>
  </si>
  <si>
    <t>B4.101</t>
  </si>
  <si>
    <t>B4.116</t>
  </si>
  <si>
    <t>B4.116a</t>
  </si>
  <si>
    <t>B4.116b</t>
  </si>
  <si>
    <t>B4.117</t>
  </si>
  <si>
    <t>B4.117a</t>
  </si>
  <si>
    <t>B4.117b</t>
  </si>
  <si>
    <t>B4.120</t>
  </si>
  <si>
    <t>P4.091</t>
  </si>
  <si>
    <t>P4.004</t>
  </si>
  <si>
    <t>P4.007</t>
  </si>
  <si>
    <t>P4.009</t>
  </si>
  <si>
    <t>P4.011</t>
  </si>
  <si>
    <t>P4.014</t>
  </si>
  <si>
    <t>P4.016</t>
  </si>
  <si>
    <t>P4.019</t>
  </si>
  <si>
    <t>P4.021</t>
  </si>
  <si>
    <t>P4.032</t>
  </si>
  <si>
    <t>P4.087</t>
  </si>
  <si>
    <t>P4.089</t>
  </si>
  <si>
    <t>K1.101</t>
  </si>
  <si>
    <t>K1.111</t>
  </si>
  <si>
    <t>K1.111a</t>
  </si>
  <si>
    <t>K1.111b</t>
  </si>
  <si>
    <t>K1.115</t>
  </si>
  <si>
    <t>K1.118</t>
  </si>
  <si>
    <t>K1.118a</t>
  </si>
  <si>
    <t>K1.118b</t>
  </si>
  <si>
    <t>K1.118c</t>
  </si>
  <si>
    <t>K1.125</t>
  </si>
  <si>
    <t>K1.128</t>
  </si>
  <si>
    <t>K1.130</t>
  </si>
  <si>
    <t>K1.151</t>
  </si>
  <si>
    <t>K1.151a</t>
  </si>
  <si>
    <t>K1.151b</t>
  </si>
  <si>
    <t>K1.152</t>
  </si>
  <si>
    <t>K1.155</t>
  </si>
  <si>
    <t>K1.158</t>
  </si>
  <si>
    <t>K1.158a</t>
  </si>
  <si>
    <t>K1.158b</t>
  </si>
  <si>
    <t>K1.158c</t>
  </si>
  <si>
    <t>K1.165</t>
  </si>
  <si>
    <t>K1.168</t>
  </si>
  <si>
    <t>K1.170</t>
  </si>
  <si>
    <t>K1.182</t>
  </si>
  <si>
    <t>K2.101</t>
  </si>
  <si>
    <t>K2.111</t>
  </si>
  <si>
    <t>K2.111a</t>
  </si>
  <si>
    <t>K2.111b</t>
  </si>
  <si>
    <t>K2.111c</t>
  </si>
  <si>
    <t>K2.115</t>
  </si>
  <si>
    <t>K2.118</t>
  </si>
  <si>
    <t>K2.118a</t>
  </si>
  <si>
    <t>K2.118b</t>
  </si>
  <si>
    <t>K2.118c</t>
  </si>
  <si>
    <t>K2.125</t>
  </si>
  <si>
    <t>K2.169</t>
  </si>
  <si>
    <t>K2.127</t>
  </si>
  <si>
    <t>K2.128</t>
  </si>
  <si>
    <t>K2.151</t>
  </si>
  <si>
    <t>K2.151a</t>
  </si>
  <si>
    <t>K2.151b</t>
  </si>
  <si>
    <t>K2.152</t>
  </si>
  <si>
    <t>K2.155</t>
  </si>
  <si>
    <t>K2.158</t>
  </si>
  <si>
    <t>K2.158a</t>
  </si>
  <si>
    <t>K2.158b</t>
  </si>
  <si>
    <t>K2.158c</t>
  </si>
  <si>
    <t>K2.165</t>
  </si>
  <si>
    <t>K2.133</t>
  </si>
  <si>
    <t>K2.168</t>
  </si>
  <si>
    <t>K2.182</t>
  </si>
  <si>
    <t>K2.199</t>
  </si>
  <si>
    <t>K2.198</t>
  </si>
  <si>
    <t>K2.190</t>
  </si>
  <si>
    <t>K2.008</t>
  </si>
  <si>
    <t>K2.0189</t>
  </si>
  <si>
    <t>K2.009</t>
  </si>
  <si>
    <t>K2.183</t>
  </si>
  <si>
    <t>K2.012</t>
  </si>
  <si>
    <t>K2.177</t>
  </si>
  <si>
    <t>K2.175</t>
  </si>
  <si>
    <t>K2.020</t>
  </si>
  <si>
    <t>K2.173</t>
  </si>
  <si>
    <t>K2.171</t>
  </si>
  <si>
    <t>K2.023</t>
  </si>
  <si>
    <t>K2.061</t>
  </si>
  <si>
    <t>K2.034</t>
  </si>
  <si>
    <t>K2.043</t>
  </si>
  <si>
    <t>K2.045</t>
  </si>
  <si>
    <t>K2.149</t>
  </si>
  <si>
    <t>K2.049</t>
  </si>
  <si>
    <t>K2.140</t>
  </si>
  <si>
    <t>K2.055</t>
  </si>
  <si>
    <t>K2.139</t>
  </si>
  <si>
    <t>K2.135</t>
  </si>
  <si>
    <t>K2.301a</t>
  </si>
  <si>
    <t>K2.302</t>
  </si>
  <si>
    <t>K2.302a</t>
  </si>
  <si>
    <t>K3.101</t>
  </si>
  <si>
    <t>K3.111</t>
  </si>
  <si>
    <t>K3.111a</t>
  </si>
  <si>
    <t>K3.111b</t>
  </si>
  <si>
    <t>K3.111c</t>
  </si>
  <si>
    <t>K3.115</t>
  </si>
  <si>
    <t>K3.118</t>
  </si>
  <si>
    <t>K3.118a</t>
  </si>
  <si>
    <t>K3.118b</t>
  </si>
  <si>
    <t>K3.118c</t>
  </si>
  <si>
    <t>K3.125</t>
  </si>
  <si>
    <t>K3.128</t>
  </si>
  <si>
    <t>K3.151</t>
  </si>
  <si>
    <t>K3.151a</t>
  </si>
  <si>
    <t>K3.151b</t>
  </si>
  <si>
    <t>K3.152</t>
  </si>
  <si>
    <t>K3.155</t>
  </si>
  <si>
    <t>K3.158</t>
  </si>
  <si>
    <t>K3.158a</t>
  </si>
  <si>
    <t>K3.158b</t>
  </si>
  <si>
    <t>K3.158c</t>
  </si>
  <si>
    <t>K3.165</t>
  </si>
  <si>
    <t>K3.166</t>
  </si>
  <si>
    <t>K3.168</t>
  </si>
  <si>
    <t>K3.182</t>
  </si>
  <si>
    <t>K3.199</t>
  </si>
  <si>
    <t>K3.198</t>
  </si>
  <si>
    <t>K3.197</t>
  </si>
  <si>
    <t>K3.006</t>
  </si>
  <si>
    <t>K3.010</t>
  </si>
  <si>
    <t>K3.012</t>
  </si>
  <si>
    <t>K3.183</t>
  </si>
  <si>
    <t>K3.014</t>
  </si>
  <si>
    <t>K3.179</t>
  </si>
  <si>
    <t>K3.174</t>
  </si>
  <si>
    <t>K3.020</t>
  </si>
  <si>
    <t>K3.022</t>
  </si>
  <si>
    <t>K3.173</t>
  </si>
  <si>
    <t>K3.024</t>
  </si>
  <si>
    <t>K3.169</t>
  </si>
  <si>
    <t>K3.036</t>
  </si>
  <si>
    <t>K3.037</t>
  </si>
  <si>
    <t>K3.157</t>
  </si>
  <si>
    <t>K3.041</t>
  </si>
  <si>
    <t>K3.154</t>
  </si>
  <si>
    <t>K3.043</t>
  </si>
  <si>
    <t>K3.048</t>
  </si>
  <si>
    <t>K3.148</t>
  </si>
  <si>
    <t>K3.050</t>
  </si>
  <si>
    <t>K3.141</t>
  </si>
  <si>
    <t>K3.052</t>
  </si>
  <si>
    <t>K3.054</t>
  </si>
  <si>
    <t>K3.055</t>
  </si>
  <si>
    <t>K3.140</t>
  </si>
  <si>
    <t>K3.137</t>
  </si>
  <si>
    <t>K3.058</t>
  </si>
  <si>
    <t>K3.070</t>
  </si>
  <si>
    <t>K3.072</t>
  </si>
  <si>
    <t>K3.075</t>
  </si>
  <si>
    <t>K3.120</t>
  </si>
  <si>
    <t>K3.076</t>
  </si>
  <si>
    <t>K3.117</t>
  </si>
  <si>
    <t>K3.114</t>
  </si>
  <si>
    <t>K3.084</t>
  </si>
  <si>
    <t>K3.086</t>
  </si>
  <si>
    <t>K3.109</t>
  </si>
  <si>
    <t>K3.087</t>
  </si>
  <si>
    <t>K3.107</t>
  </si>
  <si>
    <t>K3.105</t>
  </si>
  <si>
    <t>K3.097</t>
  </si>
  <si>
    <t>K3.098</t>
  </si>
  <si>
    <t>K3.301</t>
  </si>
  <si>
    <t>K3.301a</t>
  </si>
  <si>
    <t>K3.302</t>
  </si>
  <si>
    <t>K3.302a</t>
  </si>
  <si>
    <t>K3.303</t>
  </si>
  <si>
    <t>K3.303a</t>
  </si>
  <si>
    <t>L2.001</t>
  </si>
  <si>
    <t>L3.001</t>
  </si>
  <si>
    <t>Gebouwdeel</t>
  </si>
  <si>
    <t>Laag 0: Kelder, Bestuursgebouw</t>
  </si>
  <si>
    <t>Laag 1: Publiekshal, Bestuursgebouw</t>
  </si>
  <si>
    <t>Laag 2: Vergaderetage, Bestuursgebouw</t>
  </si>
  <si>
    <t>Laag 3: College B&amp;W, Bestuursgebouw</t>
  </si>
  <si>
    <t>Laag 4: Restaurant, Bestuursgebouw</t>
  </si>
  <si>
    <t>Laag 1: Kantoorgebouw</t>
  </si>
  <si>
    <t>Laag 2: Kantoorgebouw</t>
  </si>
  <si>
    <t>Laag 3: Kantoorgebouw</t>
  </si>
  <si>
    <t>Begane grond</t>
  </si>
  <si>
    <t>1e verdieping</t>
  </si>
  <si>
    <t>2e verdieping</t>
  </si>
  <si>
    <t>3e verdieping</t>
  </si>
  <si>
    <t>Gang</t>
  </si>
  <si>
    <t>Trap</t>
  </si>
  <si>
    <t>Douche</t>
  </si>
  <si>
    <t>Voorruimte sanitair</t>
  </si>
  <si>
    <t>Toilet</t>
  </si>
  <si>
    <t>Kantoor</t>
  </si>
  <si>
    <t>Post-/ Reproruimte</t>
  </si>
  <si>
    <t>lift</t>
  </si>
  <si>
    <t>Hal</t>
  </si>
  <si>
    <t>Vergaderruimte</t>
  </si>
  <si>
    <t>Garderobe</t>
  </si>
  <si>
    <t>Wachtruimte</t>
  </si>
  <si>
    <t>Restauratieve ruimte</t>
  </si>
  <si>
    <t>Koffiecorner</t>
  </si>
  <si>
    <t xml:space="preserve">Lockerruimte </t>
  </si>
  <si>
    <t>kantoor</t>
  </si>
  <si>
    <t>Gecoate vloer</t>
  </si>
  <si>
    <t>Gietvloer</t>
  </si>
  <si>
    <t>plavuizen</t>
  </si>
  <si>
    <t>tapijt</t>
  </si>
  <si>
    <t>Natuursteen</t>
  </si>
  <si>
    <t>Inloopmat</t>
  </si>
  <si>
    <t>Parket</t>
  </si>
  <si>
    <t>Hout</t>
  </si>
  <si>
    <t>Harde vloer zonder waslaag (garage)</t>
  </si>
  <si>
    <t>Divers</t>
  </si>
  <si>
    <t>52</t>
  </si>
  <si>
    <t>Schrobben garage</t>
  </si>
  <si>
    <t>Gemeentewerf</t>
  </si>
  <si>
    <t>GIS</t>
  </si>
  <si>
    <t>Afwasborstels</t>
  </si>
  <si>
    <t xml:space="preserve">Omschrijving automaat </t>
  </si>
  <si>
    <t>Toiletrolhouder</t>
  </si>
  <si>
    <t>Zeepdispenser</t>
  </si>
  <si>
    <t>Omschrijving artikel</t>
  </si>
  <si>
    <t>Prijs per jaar</t>
  </si>
  <si>
    <t>Kantoor 1</t>
  </si>
  <si>
    <t>Kantoor 2</t>
  </si>
  <si>
    <t>Berging</t>
  </si>
  <si>
    <t>Kantoor 3</t>
  </si>
  <si>
    <t>Was en kleedruimten</t>
  </si>
  <si>
    <t>Kantine</t>
  </si>
  <si>
    <t>Tegels</t>
  </si>
  <si>
    <t>Buitenterrein</t>
  </si>
  <si>
    <t>00.01.01</t>
  </si>
  <si>
    <t>00.01.02</t>
  </si>
  <si>
    <t>00.01.03</t>
  </si>
  <si>
    <t>00.01.05</t>
  </si>
  <si>
    <t>00.01.06</t>
  </si>
  <si>
    <t>00.01.07</t>
  </si>
  <si>
    <t>00.01.08</t>
  </si>
  <si>
    <t>00.01.09</t>
  </si>
  <si>
    <t>00.01.10</t>
  </si>
  <si>
    <t>00.01.11</t>
  </si>
  <si>
    <t>00.01.13</t>
  </si>
  <si>
    <t>00.01.14</t>
  </si>
  <si>
    <t>00.01.20</t>
  </si>
  <si>
    <t>00.01.21</t>
  </si>
  <si>
    <t>00.01.23</t>
  </si>
  <si>
    <t>00.01.24</t>
  </si>
  <si>
    <t>01.01.01</t>
  </si>
  <si>
    <t>01.01.02</t>
  </si>
  <si>
    <t>01.01.03</t>
  </si>
  <si>
    <t>01.01.04</t>
  </si>
  <si>
    <t>01.01.05</t>
  </si>
  <si>
    <t>Multifunctionele ruimte</t>
  </si>
  <si>
    <t>Keuken</t>
  </si>
  <si>
    <t>Voorportaal</t>
  </si>
  <si>
    <t>MIVA toilet</t>
  </si>
  <si>
    <t>Meterkast</t>
  </si>
  <si>
    <t>Technische ruimte</t>
  </si>
  <si>
    <t>Demontageruimte</t>
  </si>
  <si>
    <t>Verkeersruimte</t>
  </si>
  <si>
    <t>Kantoorruimte</t>
  </si>
  <si>
    <t>Kast</t>
  </si>
  <si>
    <t xml:space="preserve">Rubberwood </t>
  </si>
  <si>
    <t>nio</t>
  </si>
  <si>
    <t>Maandelijkse reiniging vloerkleed publiekshal volgens instructie</t>
  </si>
  <si>
    <t>Mobiel service punt (rijdend busje, moet voor 09.00 uur maandag tot en met donderdag schoongemaakt worden – betreft een Renault Master met twee ingerichte werkplekken. Er wordt het volgende verwacht: Zuigen van de vloer. Afnemen van het meubilair, dweilen van de vloer, legen van de prullenbakken.</t>
  </si>
  <si>
    <t>Beton</t>
  </si>
  <si>
    <t>Handdoekdispenser</t>
  </si>
  <si>
    <t>Seatcleaner</t>
  </si>
  <si>
    <t>Schoonloopmat 1.50 x 1.50</t>
  </si>
  <si>
    <t>Schoonloopmat 1.00 x 1.50</t>
  </si>
  <si>
    <t>Aangeboden artikel nummer</t>
  </si>
  <si>
    <t>Aangeboden artikel naam</t>
  </si>
  <si>
    <t>* dit is een inschatting op basis van 2025, De daadwerkelijk bestelde aantallen worden in rekening gebracht.</t>
  </si>
  <si>
    <t>Dameshygiene zakjes dispenser</t>
  </si>
  <si>
    <t>Toiletborstelgarnituur</t>
  </si>
  <si>
    <t>Afwasmiddel dispenser</t>
  </si>
  <si>
    <t>Afwas sponsjes</t>
  </si>
  <si>
    <t>Afwas doekjes</t>
  </si>
  <si>
    <t>Aantal dispensers/benodigd</t>
  </si>
  <si>
    <t>Luchtverfisser</t>
  </si>
  <si>
    <t>Opmerking</t>
  </si>
  <si>
    <t>4 wekelijkse wissel (contract CWS)</t>
  </si>
  <si>
    <t>Kwartaalijks vervangen</t>
  </si>
  <si>
    <t>Aantal benodigd</t>
  </si>
  <si>
    <t>Afroepprijzen vervangen dispensers</t>
  </si>
  <si>
    <t>Papieren handdoekjes</t>
  </si>
  <si>
    <t>Toiletrol</t>
  </si>
  <si>
    <t>afvalzakjes</t>
  </si>
  <si>
    <t>Toiletborstel</t>
  </si>
  <si>
    <t>Seatcleaner vloeistof</t>
  </si>
  <si>
    <t>Zeep</t>
  </si>
  <si>
    <t>Luchtverfrisser</t>
  </si>
  <si>
    <t>Aantal per stuk per jaar/aantal liter per jaar*</t>
  </si>
  <si>
    <t>Afwasmiddel</t>
  </si>
  <si>
    <t>Schoonloopmat</t>
  </si>
  <si>
    <t>Afwasborstel</t>
  </si>
  <si>
    <t>Desinfectiedoekjes</t>
  </si>
  <si>
    <t>Afwasmiddeldispenser</t>
  </si>
  <si>
    <t>afwas doekjes</t>
  </si>
  <si>
    <t>Eenheid</t>
  </si>
  <si>
    <t>Stuks</t>
  </si>
  <si>
    <t>Rollen</t>
  </si>
  <si>
    <t>Liter</t>
  </si>
  <si>
    <t>potten</t>
  </si>
  <si>
    <t>all- in Prijs per eenheid per maand</t>
  </si>
  <si>
    <t>Totaal matten benodigd</t>
  </si>
  <si>
    <t>All-in kosten per stuk</t>
  </si>
  <si>
    <t>Gemiddeld gebouwgebruikers per dag</t>
  </si>
  <si>
    <t>Jaarlijks vervangen</t>
  </si>
  <si>
    <t>43 hangend en 20 los</t>
  </si>
  <si>
    <t>Handdoekroldispenser groot</t>
  </si>
  <si>
    <t>Handdoekroldispenser klein</t>
  </si>
  <si>
    <t>Handdoekrol groot</t>
  </si>
  <si>
    <t>Handdoekrol klein</t>
  </si>
  <si>
    <t>Verpakkingsinhoud</t>
  </si>
  <si>
    <t>Prijs per verpakkingseenheid</t>
  </si>
  <si>
    <t>Uurlonen 1 januari 2027</t>
  </si>
  <si>
    <t>Tapijt*</t>
  </si>
  <si>
    <t>*Tapijtreiniging in basis 1 keer per jaar, in overleg kan dit uitgesteld worden door gemeente Lansingerland.</t>
  </si>
  <si>
    <t>TN602303</t>
  </si>
  <si>
    <t>Documentnummer: U26.03196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</si>
</sst>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413]d\-mmm\-yy;@"/>
    <numFmt numFmtId="197" formatCode="_ [$€-2]\ * #,##0.00_ ;_ [$€-2]\ * \-#,##0.00_ ;_ [$€-2]\ * &quot;-&quot;??_ ;_ @_ "/>
  </numFmts>
  <fonts count="148">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i/>
      <sz val="8"/>
      <name val="Century Gothic"/>
      <family val="2"/>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b/>
      <sz val="9"/>
      <color rgb="FFFF0000"/>
      <name val="Georgia"/>
      <family val="1"/>
    </font>
    <font>
      <b/>
      <sz val="12"/>
      <color indexed="10"/>
      <name val="Georgia"/>
      <family val="1"/>
    </font>
    <font>
      <b/>
      <sz val="10"/>
      <color theme="1" tint="0.34998626667073579"/>
      <name val="Georgia"/>
      <family val="1"/>
    </font>
    <font>
      <sz val="10"/>
      <name val="Arial Black"/>
      <family val="2"/>
    </font>
    <font>
      <b/>
      <sz val="10"/>
      <color theme="0"/>
      <name val="Arial Black"/>
      <family val="2"/>
    </font>
    <font>
      <b/>
      <sz val="10"/>
      <name val="Arial Black"/>
      <family val="2"/>
    </font>
    <font>
      <b/>
      <sz val="10"/>
      <color rgb="FFFF0000"/>
      <name val="Arial Black"/>
      <family val="2"/>
    </font>
    <font>
      <sz val="10"/>
      <color indexed="8"/>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sz val="9"/>
      <color theme="0"/>
      <name val="Arial Black"/>
      <family val="2"/>
    </font>
    <font>
      <b/>
      <vertAlign val="superscript"/>
      <sz val="10"/>
      <color theme="0"/>
      <name val="Arial Black"/>
      <family val="2"/>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rgb="FF0AAAFF"/>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12"/>
      <name val="Timmes"/>
    </font>
    <font>
      <b/>
      <sz val="10"/>
      <color indexed="18"/>
      <name val="Times New Roman"/>
      <family val="1"/>
    </font>
  </fonts>
  <fills count="67">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
      <patternFill patternType="solid">
        <fgColor theme="1"/>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s>
  <cellStyleXfs count="52886">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0" applyNumberFormat="0" applyAlignment="0" applyProtection="0"/>
    <xf numFmtId="0" fontId="22" fillId="7" borderId="11" applyNumberFormat="0" applyAlignment="0" applyProtection="0"/>
    <xf numFmtId="0" fontId="23" fillId="7" borderId="10" applyNumberFormat="0" applyAlignment="0" applyProtection="0"/>
    <xf numFmtId="0" fontId="24" fillId="0" borderId="12" applyNumberFormat="0" applyFill="0" applyAlignment="0" applyProtection="0"/>
    <xf numFmtId="0" fontId="25" fillId="8" borderId="1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5"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4"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5" fontId="7" fillId="0" borderId="0" applyFont="0" applyFill="0" applyBorder="0" applyAlignment="0" applyProtection="0"/>
    <xf numFmtId="18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6"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7"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17" applyNumberFormat="0" applyAlignment="0" applyProtection="0"/>
    <xf numFmtId="0" fontId="7" fillId="0" borderId="0"/>
    <xf numFmtId="0" fontId="40" fillId="55" borderId="17" applyNumberFormat="0" applyAlignment="0" applyProtection="0"/>
    <xf numFmtId="0" fontId="41" fillId="56" borderId="18" applyNumberFormat="0" applyAlignment="0" applyProtection="0"/>
    <xf numFmtId="0" fontId="41" fillId="56" borderId="18" applyNumberFormat="0" applyAlignment="0" applyProtection="0"/>
    <xf numFmtId="0" fontId="42" fillId="0" borderId="0" applyNumberFormat="0" applyFill="0" applyBorder="0" applyAlignment="0" applyProtection="0"/>
    <xf numFmtId="0" fontId="43" fillId="0" borderId="19"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20" applyNumberFormat="0" applyFill="0" applyAlignment="0" applyProtection="0"/>
    <xf numFmtId="0" fontId="46" fillId="0" borderId="21" applyNumberFormat="0" applyFill="0" applyAlignment="0" applyProtection="0"/>
    <xf numFmtId="0" fontId="47" fillId="0" borderId="22" applyNumberFormat="0" applyFill="0" applyAlignment="0" applyProtection="0"/>
    <xf numFmtId="0" fontId="47" fillId="0" borderId="0" applyNumberFormat="0" applyFill="0" applyBorder="0" applyAlignment="0" applyProtection="0"/>
    <xf numFmtId="0" fontId="48" fillId="57" borderId="17" applyNumberFormat="0" applyAlignment="0" applyProtection="0"/>
    <xf numFmtId="0" fontId="35" fillId="58" borderId="1"/>
    <xf numFmtId="0" fontId="49" fillId="0" borderId="23" applyNumberFormat="0" applyFill="0" applyAlignment="0" applyProtection="0"/>
    <xf numFmtId="0" fontId="50" fillId="0" borderId="24" applyNumberFormat="0" applyFill="0" applyAlignment="0" applyProtection="0"/>
    <xf numFmtId="0" fontId="51" fillId="0" borderId="25"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26"/>
    <xf numFmtId="0" fontId="54" fillId="0" borderId="27" applyNumberFormat="0" applyFill="0" applyAlignment="0" applyProtection="0"/>
    <xf numFmtId="189"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28" applyNumberFormat="0" applyFont="0" applyAlignment="0" applyProtection="0"/>
    <xf numFmtId="0" fontId="34" fillId="59" borderId="28" applyNumberFormat="0" applyFont="0" applyAlignment="0" applyProtection="0"/>
    <xf numFmtId="0" fontId="56" fillId="37" borderId="0" applyNumberFormat="0" applyBorder="0" applyAlignment="0" applyProtection="0"/>
    <xf numFmtId="0" fontId="57" fillId="55" borderId="29" applyNumberFormat="0" applyAlignment="0" applyProtection="0"/>
    <xf numFmtId="0" fontId="53" fillId="60" borderId="30"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1" applyNumberFormat="0" applyFill="0" applyAlignment="0" applyProtection="0"/>
    <xf numFmtId="0" fontId="60" fillId="0" borderId="32" applyNumberFormat="0" applyFill="0" applyAlignment="0" applyProtection="0"/>
    <xf numFmtId="0" fontId="57" fillId="54" borderId="29" applyNumberFormat="0" applyAlignment="0" applyProtection="0"/>
    <xf numFmtId="190" fontId="3" fillId="0" borderId="0"/>
    <xf numFmtId="191"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2" fontId="5"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93" fontId="35" fillId="0" borderId="0"/>
    <xf numFmtId="193"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26"/>
    <xf numFmtId="194"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5" fontId="7" fillId="0" borderId="0" applyFont="0" applyFill="0" applyBorder="0" applyAlignment="0" applyProtection="0"/>
  </cellStyleXfs>
  <cellXfs count="581">
    <xf numFmtId="0" fontId="0" fillId="0" borderId="0" xfId="0"/>
    <xf numFmtId="0" fontId="65" fillId="0" borderId="0" xfId="13" applyFont="1" applyProtection="1">
      <protection hidden="1"/>
    </xf>
    <xf numFmtId="0" fontId="65" fillId="0" borderId="0" xfId="0" applyFont="1"/>
    <xf numFmtId="2" fontId="65" fillId="0" borderId="0" xfId="11" applyNumberFormat="1" applyFont="1" applyProtection="1">
      <protection hidden="1"/>
    </xf>
    <xf numFmtId="0" fontId="65" fillId="0" borderId="0" xfId="13" applyFont="1" applyAlignment="1" applyProtection="1">
      <alignment vertical="center"/>
      <protection hidden="1"/>
    </xf>
    <xf numFmtId="0" fontId="66" fillId="0" borderId="0" xfId="13" applyFont="1" applyAlignment="1" applyProtection="1">
      <alignment horizontal="right" vertical="center"/>
      <protection hidden="1"/>
    </xf>
    <xf numFmtId="176" fontId="65" fillId="0" borderId="0" xfId="13" applyNumberFormat="1" applyFont="1" applyAlignment="1" applyProtection="1">
      <alignment vertical="center"/>
      <protection hidden="1"/>
    </xf>
    <xf numFmtId="0" fontId="68" fillId="0" borderId="0" xfId="13" applyFont="1" applyAlignment="1" applyProtection="1">
      <alignment vertical="center"/>
      <protection hidden="1"/>
    </xf>
    <xf numFmtId="2" fontId="65" fillId="0" borderId="0" xfId="0" applyNumberFormat="1" applyFont="1" applyAlignment="1">
      <alignment vertical="center"/>
    </xf>
    <xf numFmtId="176" fontId="70" fillId="0" borderId="0" xfId="13" applyNumberFormat="1" applyFont="1" applyAlignment="1" applyProtection="1">
      <alignment vertical="center"/>
      <protection hidden="1"/>
    </xf>
    <xf numFmtId="177" fontId="65" fillId="0" borderId="0" xfId="13" applyNumberFormat="1" applyFont="1" applyAlignment="1" applyProtection="1">
      <alignment horizontal="right" vertical="center"/>
      <protection hidden="1"/>
    </xf>
    <xf numFmtId="0" fontId="65" fillId="0" borderId="0" xfId="13" applyFont="1" applyAlignment="1" applyProtection="1">
      <alignment horizontal="right" vertical="center"/>
      <protection hidden="1"/>
    </xf>
    <xf numFmtId="0" fontId="69" fillId="0" borderId="0" xfId="0" applyFont="1"/>
    <xf numFmtId="0" fontId="67" fillId="0" borderId="0" xfId="0" applyFont="1"/>
    <xf numFmtId="2" fontId="67" fillId="0" borderId="0" xfId="8" applyNumberFormat="1" applyFont="1" applyFill="1" applyBorder="1" applyAlignment="1">
      <alignment horizontal="center"/>
    </xf>
    <xf numFmtId="0" fontId="65" fillId="0" borderId="0" xfId="0" applyFont="1" applyAlignment="1">
      <alignment vertical="center"/>
    </xf>
    <xf numFmtId="2" fontId="65" fillId="0" borderId="0" xfId="13" applyNumberFormat="1" applyFont="1" applyAlignment="1" applyProtection="1">
      <alignment vertical="center"/>
      <protection hidden="1"/>
    </xf>
    <xf numFmtId="177" fontId="65" fillId="2" borderId="0" xfId="11" applyNumberFormat="1" applyFont="1" applyFill="1" applyAlignment="1" applyProtection="1">
      <alignment vertical="center"/>
      <protection hidden="1"/>
    </xf>
    <xf numFmtId="10" fontId="68" fillId="0" borderId="0" xfId="16" applyNumberFormat="1" applyFont="1" applyFill="1" applyBorder="1" applyAlignment="1" applyProtection="1">
      <alignment horizontal="right" vertical="center"/>
      <protection hidden="1"/>
    </xf>
    <xf numFmtId="10" fontId="64" fillId="0" borderId="0" xfId="16" applyNumberFormat="1" applyFont="1" applyFill="1" applyBorder="1" applyAlignment="1"/>
    <xf numFmtId="179" fontId="65" fillId="0" borderId="0" xfId="13" applyNumberFormat="1" applyFont="1" applyAlignment="1" applyProtection="1">
      <alignment vertical="center"/>
      <protection hidden="1"/>
    </xf>
    <xf numFmtId="0" fontId="65" fillId="0" borderId="0" xfId="0" applyFont="1" applyAlignment="1">
      <alignment horizontal="center" wrapText="1"/>
    </xf>
    <xf numFmtId="0" fontId="65" fillId="0" borderId="0" xfId="84" applyFont="1"/>
    <xf numFmtId="175" fontId="66" fillId="0" borderId="0" xfId="3" applyNumberFormat="1" applyFont="1" applyFill="1" applyBorder="1" applyAlignment="1" applyProtection="1">
      <alignment horizontal="center"/>
      <protection hidden="1"/>
    </xf>
    <xf numFmtId="169" fontId="66" fillId="0" borderId="0" xfId="3" applyFont="1" applyFill="1" applyBorder="1" applyAlignment="1" applyProtection="1">
      <alignment horizontal="center"/>
      <protection hidden="1"/>
    </xf>
    <xf numFmtId="0" fontId="66" fillId="0" borderId="0" xfId="13" applyFont="1" applyAlignment="1" applyProtection="1">
      <alignment horizontal="center"/>
      <protection hidden="1"/>
    </xf>
    <xf numFmtId="0" fontId="65" fillId="0" borderId="0" xfId="84" applyFont="1" applyAlignment="1">
      <alignment horizontal="center" vertical="center"/>
    </xf>
    <xf numFmtId="175" fontId="65" fillId="0" borderId="0" xfId="84" applyNumberFormat="1" applyFont="1" applyAlignment="1">
      <alignment horizontal="center" vertical="center"/>
    </xf>
    <xf numFmtId="0" fontId="65" fillId="0" borderId="0" xfId="103" applyFont="1"/>
    <xf numFmtId="0" fontId="69" fillId="0" borderId="0" xfId="103" applyFont="1"/>
    <xf numFmtId="0" fontId="71" fillId="0" borderId="0" xfId="13" applyFont="1" applyProtection="1">
      <protection hidden="1"/>
    </xf>
    <xf numFmtId="0" fontId="71" fillId="0" borderId="0" xfId="13" applyFont="1" applyAlignment="1" applyProtection="1">
      <alignment horizontal="right" vertical="center"/>
      <protection hidden="1"/>
    </xf>
    <xf numFmtId="2" fontId="71" fillId="0" borderId="0" xfId="13" applyNumberFormat="1" applyFont="1" applyAlignment="1" applyProtection="1">
      <alignment vertical="center"/>
      <protection hidden="1"/>
    </xf>
    <xf numFmtId="0" fontId="71" fillId="0" borderId="0" xfId="13" applyFont="1" applyAlignment="1" applyProtection="1">
      <alignment vertical="center"/>
      <protection hidden="1"/>
    </xf>
    <xf numFmtId="0" fontId="71" fillId="0" borderId="0" xfId="0" applyFont="1"/>
    <xf numFmtId="0" fontId="65" fillId="0" borderId="0" xfId="84" applyFont="1" applyAlignment="1">
      <alignment wrapText="1"/>
    </xf>
    <xf numFmtId="0" fontId="73" fillId="0" borderId="0" xfId="84" applyFont="1"/>
    <xf numFmtId="0" fontId="74" fillId="0" borderId="0" xfId="0" applyFont="1"/>
    <xf numFmtId="2" fontId="75" fillId="0" borderId="0" xfId="12" applyNumberFormat="1" applyFont="1"/>
    <xf numFmtId="2" fontId="76" fillId="2" borderId="0" xfId="12" applyNumberFormat="1" applyFont="1" applyFill="1"/>
    <xf numFmtId="0" fontId="78" fillId="0" borderId="0" xfId="89" applyFont="1"/>
    <xf numFmtId="167" fontId="78" fillId="0" borderId="0" xfId="8" applyFont="1"/>
    <xf numFmtId="173" fontId="80" fillId="0" borderId="0" xfId="8" applyNumberFormat="1" applyFont="1" applyAlignment="1">
      <alignment horizontal="center"/>
    </xf>
    <xf numFmtId="49" fontId="82" fillId="0" borderId="0" xfId="63" applyNumberFormat="1" applyFont="1"/>
    <xf numFmtId="0" fontId="82" fillId="0" borderId="0" xfId="63" applyFont="1"/>
    <xf numFmtId="10" fontId="82" fillId="0" borderId="0" xfId="63" applyNumberFormat="1" applyFont="1" applyAlignment="1">
      <alignment horizontal="left"/>
    </xf>
    <xf numFmtId="2" fontId="76" fillId="0" borderId="0" xfId="12" applyNumberFormat="1" applyFont="1"/>
    <xf numFmtId="188" fontId="83" fillId="0" borderId="0" xfId="63" applyNumberFormat="1" applyFont="1" applyAlignment="1">
      <alignment horizontal="left"/>
    </xf>
    <xf numFmtId="0" fontId="78" fillId="0" borderId="0" xfId="63" applyFont="1"/>
    <xf numFmtId="2" fontId="83" fillId="0" borderId="0" xfId="12" applyNumberFormat="1" applyFont="1"/>
    <xf numFmtId="0" fontId="82" fillId="0" borderId="0" xfId="89" applyFont="1"/>
    <xf numFmtId="167" fontId="82" fillId="0" borderId="0" xfId="8" applyFont="1"/>
    <xf numFmtId="2" fontId="80" fillId="0" borderId="0" xfId="89" applyNumberFormat="1" applyFont="1"/>
    <xf numFmtId="0" fontId="85" fillId="0" borderId="0" xfId="89" applyFont="1"/>
    <xf numFmtId="166" fontId="78" fillId="2" borderId="37" xfId="18" applyFont="1" applyFill="1" applyBorder="1" applyAlignment="1">
      <alignment horizontal="right"/>
    </xf>
    <xf numFmtId="166" fontId="78" fillId="2" borderId="37" xfId="18" applyFont="1" applyFill="1" applyBorder="1" applyAlignment="1">
      <alignment horizontal="center"/>
    </xf>
    <xf numFmtId="0" fontId="80" fillId="0" borderId="0" xfId="89" applyFont="1"/>
    <xf numFmtId="0" fontId="78" fillId="0" borderId="0" xfId="0" applyFont="1"/>
    <xf numFmtId="0" fontId="78" fillId="0" borderId="0" xfId="0" applyFont="1" applyAlignment="1">
      <alignment horizontal="center" vertical="center"/>
    </xf>
    <xf numFmtId="2" fontId="86" fillId="0" borderId="0" xfId="12" applyNumberFormat="1" applyFont="1"/>
    <xf numFmtId="0" fontId="78" fillId="0" borderId="0" xfId="17" applyFont="1" applyAlignment="1">
      <alignment horizontal="center"/>
    </xf>
    <xf numFmtId="2" fontId="78" fillId="0" borderId="0" xfId="8" applyNumberFormat="1" applyFont="1" applyAlignment="1">
      <alignment horizontal="left"/>
    </xf>
    <xf numFmtId="172" fontId="78" fillId="0" borderId="0" xfId="17" applyNumberFormat="1" applyFont="1" applyAlignment="1">
      <alignment horizontal="center"/>
    </xf>
    <xf numFmtId="172" fontId="87" fillId="0" borderId="0" xfId="12" applyNumberFormat="1" applyFont="1"/>
    <xf numFmtId="3" fontId="87" fillId="0" borderId="0" xfId="12" applyNumberFormat="1" applyFont="1" applyAlignment="1">
      <alignment horizontal="right"/>
    </xf>
    <xf numFmtId="3" fontId="78" fillId="0" borderId="0" xfId="8" applyNumberFormat="1" applyFont="1" applyAlignment="1">
      <alignment horizontal="right"/>
    </xf>
    <xf numFmtId="0" fontId="78" fillId="0" borderId="0" xfId="17" applyFont="1"/>
    <xf numFmtId="167" fontId="78" fillId="0" borderId="0" xfId="8" applyFont="1" applyAlignment="1">
      <alignment horizontal="right"/>
    </xf>
    <xf numFmtId="0" fontId="78" fillId="0" borderId="0" xfId="17" applyFont="1" applyAlignment="1">
      <alignment horizontal="center" vertical="center"/>
    </xf>
    <xf numFmtId="0" fontId="88" fillId="0" borderId="0" xfId="17" applyFont="1"/>
    <xf numFmtId="0" fontId="78" fillId="2" borderId="0" xfId="17" applyFont="1" applyFill="1"/>
    <xf numFmtId="0" fontId="78" fillId="0" borderId="37" xfId="0" applyFont="1" applyBorder="1"/>
    <xf numFmtId="1" fontId="78" fillId="0" borderId="37" xfId="61" applyNumberFormat="1" applyFont="1" applyBorder="1" applyAlignment="1">
      <alignment horizontal="center"/>
    </xf>
    <xf numFmtId="1" fontId="88" fillId="0" borderId="37" xfId="61" applyNumberFormat="1" applyFont="1" applyBorder="1" applyAlignment="1">
      <alignment horizontal="center"/>
    </xf>
    <xf numFmtId="0" fontId="82" fillId="0" borderId="0" xfId="0" applyFont="1"/>
    <xf numFmtId="0" fontId="85" fillId="0" borderId="0" xfId="0" applyFont="1" applyAlignment="1">
      <alignment horizontal="center"/>
    </xf>
    <xf numFmtId="2" fontId="89" fillId="0" borderId="0" xfId="0" applyNumberFormat="1" applyFont="1"/>
    <xf numFmtId="2" fontId="80" fillId="0" borderId="0" xfId="0" applyNumberFormat="1" applyFont="1" applyAlignment="1">
      <alignment horizontal="center"/>
    </xf>
    <xf numFmtId="2" fontId="80" fillId="0" borderId="0" xfId="0" applyNumberFormat="1" applyFont="1"/>
    <xf numFmtId="0" fontId="80" fillId="0" borderId="0" xfId="0" applyFont="1"/>
    <xf numFmtId="1" fontId="80" fillId="0" borderId="0" xfId="0" applyNumberFormat="1" applyFont="1" applyAlignment="1">
      <alignment horizontal="center"/>
    </xf>
    <xf numFmtId="0" fontId="81" fillId="0" borderId="0" xfId="0" applyFont="1"/>
    <xf numFmtId="0" fontId="77" fillId="0" borderId="0" xfId="0" applyFont="1"/>
    <xf numFmtId="167" fontId="80" fillId="0" borderId="0" xfId="8" applyFont="1"/>
    <xf numFmtId="0" fontId="78" fillId="0" borderId="0" xfId="0" applyFont="1" applyAlignment="1">
      <alignment horizontal="center"/>
    </xf>
    <xf numFmtId="0" fontId="78" fillId="0" borderId="4" xfId="0" applyFont="1" applyBorder="1"/>
    <xf numFmtId="0" fontId="78" fillId="0" borderId="16" xfId="0" applyFont="1" applyBorder="1" applyAlignment="1">
      <alignment wrapText="1"/>
    </xf>
    <xf numFmtId="0" fontId="78" fillId="0" borderId="16" xfId="0" applyFont="1" applyBorder="1"/>
    <xf numFmtId="0" fontId="78" fillId="2" borderId="16" xfId="0" applyFont="1" applyFill="1" applyBorder="1" applyAlignment="1">
      <alignment wrapText="1"/>
    </xf>
    <xf numFmtId="0" fontId="84" fillId="0" borderId="16" xfId="59" applyFont="1" applyBorder="1" applyAlignment="1">
      <alignment wrapText="1"/>
    </xf>
    <xf numFmtId="1" fontId="84" fillId="0" borderId="39" xfId="0" applyNumberFormat="1" applyFont="1" applyBorder="1" applyAlignment="1">
      <alignment horizontal="center"/>
    </xf>
    <xf numFmtId="167" fontId="85" fillId="0" borderId="39" xfId="8" applyFont="1" applyFill="1" applyBorder="1" applyAlignment="1">
      <alignment horizontal="center"/>
    </xf>
    <xf numFmtId="167" fontId="85" fillId="0" borderId="0" xfId="8" applyFont="1" applyFill="1" applyBorder="1" applyAlignment="1">
      <alignment horizontal="center"/>
    </xf>
    <xf numFmtId="2" fontId="85" fillId="0" borderId="0" xfId="8" applyNumberFormat="1" applyFont="1" applyFill="1" applyBorder="1" applyAlignment="1">
      <alignment horizontal="center"/>
    </xf>
    <xf numFmtId="2" fontId="78" fillId="0" borderId="0" xfId="0" applyNumberFormat="1" applyFont="1"/>
    <xf numFmtId="1" fontId="78" fillId="0" borderId="0" xfId="0" applyNumberFormat="1" applyFont="1" applyAlignment="1">
      <alignment horizontal="center"/>
    </xf>
    <xf numFmtId="0" fontId="78" fillId="0" borderId="0" xfId="8" applyNumberFormat="1" applyFont="1" applyFill="1" applyBorder="1" applyAlignment="1"/>
    <xf numFmtId="2" fontId="78" fillId="0" borderId="0" xfId="0" applyNumberFormat="1" applyFont="1" applyAlignment="1">
      <alignment horizontal="right"/>
    </xf>
    <xf numFmtId="1" fontId="82" fillId="0" borderId="0" xfId="0" applyNumberFormat="1" applyFont="1" applyAlignment="1">
      <alignment horizontal="center"/>
    </xf>
    <xf numFmtId="1" fontId="84" fillId="0" borderId="0" xfId="0" applyNumberFormat="1" applyFont="1" applyAlignment="1">
      <alignment horizontal="center"/>
    </xf>
    <xf numFmtId="43" fontId="85" fillId="0" borderId="0" xfId="8" applyNumberFormat="1" applyFont="1" applyFill="1" applyBorder="1" applyAlignment="1">
      <alignment horizontal="center"/>
    </xf>
    <xf numFmtId="0" fontId="84" fillId="0" borderId="0" xfId="0" applyFont="1"/>
    <xf numFmtId="0" fontId="85" fillId="0" borderId="0" xfId="13" applyFont="1" applyProtection="1">
      <protection hidden="1"/>
    </xf>
    <xf numFmtId="0" fontId="78" fillId="0" borderId="0" xfId="13" applyFont="1" applyProtection="1">
      <protection hidden="1"/>
    </xf>
    <xf numFmtId="0" fontId="80" fillId="0" borderId="0" xfId="0" applyFont="1" applyAlignment="1">
      <alignment horizontal="center"/>
    </xf>
    <xf numFmtId="2" fontId="78" fillId="0" borderId="0" xfId="13" applyNumberFormat="1" applyFont="1" applyAlignment="1" applyProtection="1">
      <alignment vertical="center"/>
      <protection hidden="1"/>
    </xf>
    <xf numFmtId="2" fontId="78" fillId="0" borderId="3" xfId="11" applyNumberFormat="1" applyFont="1" applyBorder="1" applyProtection="1">
      <protection hidden="1"/>
    </xf>
    <xf numFmtId="2" fontId="78" fillId="0" borderId="0" xfId="11" applyNumberFormat="1" applyFont="1" applyProtection="1">
      <protection hidden="1"/>
    </xf>
    <xf numFmtId="0" fontId="78" fillId="0" borderId="36" xfId="0" applyFont="1" applyBorder="1"/>
    <xf numFmtId="0" fontId="78" fillId="0" borderId="35" xfId="0" applyFont="1" applyBorder="1" applyAlignment="1">
      <alignment horizontal="left"/>
    </xf>
    <xf numFmtId="0" fontId="92" fillId="0" borderId="3" xfId="13" applyFont="1" applyBorder="1" applyAlignment="1" applyProtection="1">
      <alignment horizontal="left" vertical="center"/>
      <protection hidden="1"/>
    </xf>
    <xf numFmtId="0" fontId="78" fillId="0" borderId="0" xfId="0" applyFont="1" applyAlignment="1">
      <alignment vertical="center"/>
    </xf>
    <xf numFmtId="0" fontId="92" fillId="0" borderId="0" xfId="13" applyFont="1" applyAlignment="1" applyProtection="1">
      <alignment horizontal="left" vertical="center"/>
      <protection hidden="1"/>
    </xf>
    <xf numFmtId="0" fontId="82" fillId="0" borderId="35" xfId="0" applyFont="1" applyBorder="1"/>
    <xf numFmtId="0" fontId="78" fillId="0" borderId="2" xfId="0" applyFont="1" applyBorder="1"/>
    <xf numFmtId="0" fontId="89" fillId="0" borderId="0" xfId="13" applyFont="1" applyProtection="1">
      <protection hidden="1"/>
    </xf>
    <xf numFmtId="0" fontId="94" fillId="0" borderId="0" xfId="0" applyFont="1" applyAlignment="1">
      <alignment horizontal="left" indent="3"/>
    </xf>
    <xf numFmtId="0" fontId="94" fillId="0" borderId="0" xfId="0" applyFont="1"/>
    <xf numFmtId="0" fontId="94" fillId="0" borderId="0" xfId="0" applyFont="1" applyAlignment="1">
      <alignment horizontal="left" indent="1"/>
    </xf>
    <xf numFmtId="180" fontId="94" fillId="0" borderId="0" xfId="0" applyNumberFormat="1" applyFont="1"/>
    <xf numFmtId="179" fontId="94" fillId="0" borderId="0" xfId="0" applyNumberFormat="1" applyFont="1"/>
    <xf numFmtId="0" fontId="95" fillId="0" borderId="0" xfId="13" applyFont="1" applyAlignment="1" applyProtection="1">
      <alignment horizontal="center"/>
      <protection hidden="1"/>
    </xf>
    <xf numFmtId="0" fontId="95" fillId="0" borderId="0" xfId="13" applyFont="1" applyAlignment="1" applyProtection="1">
      <alignment horizontal="right"/>
      <protection hidden="1"/>
    </xf>
    <xf numFmtId="169" fontId="95" fillId="0" borderId="0" xfId="3" applyFont="1" applyFill="1" applyBorder="1" applyAlignment="1" applyProtection="1">
      <alignment horizontal="center"/>
      <protection hidden="1"/>
    </xf>
    <xf numFmtId="175" fontId="95" fillId="0" borderId="0" xfId="3" applyNumberFormat="1" applyFont="1" applyFill="1" applyBorder="1" applyAlignment="1" applyProtection="1">
      <alignment horizontal="center"/>
      <protection hidden="1"/>
    </xf>
    <xf numFmtId="2" fontId="76" fillId="0" borderId="0" xfId="0" applyNumberFormat="1" applyFont="1"/>
    <xf numFmtId="0" fontId="96" fillId="0" borderId="0" xfId="13" applyFont="1" applyAlignment="1" applyProtection="1">
      <alignment horizontal="right"/>
      <protection hidden="1"/>
    </xf>
    <xf numFmtId="0" fontId="97" fillId="0" borderId="0" xfId="0" applyFont="1" applyAlignment="1">
      <alignment horizontal="center" vertical="center"/>
    </xf>
    <xf numFmtId="175" fontId="97" fillId="0" borderId="0" xfId="0" applyNumberFormat="1" applyFont="1" applyAlignment="1">
      <alignment horizontal="center" vertical="center"/>
    </xf>
    <xf numFmtId="1" fontId="76" fillId="0" borderId="0" xfId="0" applyNumberFormat="1" applyFont="1" applyAlignment="1">
      <alignment horizontal="left"/>
    </xf>
    <xf numFmtId="2" fontId="96" fillId="0" borderId="0" xfId="13" applyNumberFormat="1" applyFont="1" applyAlignment="1" applyProtection="1">
      <alignment horizontal="right"/>
      <protection hidden="1"/>
    </xf>
    <xf numFmtId="2" fontId="98" fillId="0" borderId="0" xfId="13" applyNumberFormat="1" applyFont="1" applyAlignment="1" applyProtection="1">
      <alignment horizontal="center"/>
      <protection hidden="1"/>
    </xf>
    <xf numFmtId="0" fontId="78" fillId="0" borderId="0" xfId="0" applyFont="1" applyAlignment="1">
      <alignment vertical="top" wrapText="1"/>
    </xf>
    <xf numFmtId="0" fontId="78" fillId="0" borderId="0" xfId="0" applyFont="1" applyAlignment="1">
      <alignment horizontal="center" wrapText="1"/>
    </xf>
    <xf numFmtId="2" fontId="90" fillId="0" borderId="0" xfId="0" applyNumberFormat="1" applyFont="1"/>
    <xf numFmtId="1" fontId="99" fillId="0" borderId="0" xfId="0" applyNumberFormat="1" applyFont="1" applyAlignment="1">
      <alignment horizontal="left"/>
    </xf>
    <xf numFmtId="2" fontId="98" fillId="0" borderId="0" xfId="13" applyNumberFormat="1" applyFont="1" applyAlignment="1" applyProtection="1">
      <alignment horizontal="right"/>
      <protection hidden="1"/>
    </xf>
    <xf numFmtId="2" fontId="87" fillId="0" borderId="0" xfId="0" applyNumberFormat="1" applyFont="1" applyAlignment="1">
      <alignment horizontal="center" vertical="center"/>
    </xf>
    <xf numFmtId="175" fontId="87" fillId="0" borderId="0" xfId="0" applyNumberFormat="1" applyFont="1" applyAlignment="1">
      <alignment horizontal="center" vertical="center"/>
    </xf>
    <xf numFmtId="2" fontId="88" fillId="0" borderId="37" xfId="3" applyNumberFormat="1" applyFont="1" applyFill="1" applyBorder="1" applyAlignment="1" applyProtection="1">
      <protection hidden="1"/>
    </xf>
    <xf numFmtId="1" fontId="80" fillId="0" borderId="37" xfId="13" applyNumberFormat="1" applyFont="1" applyBorder="1" applyAlignment="1" applyProtection="1">
      <alignment horizontal="center"/>
      <protection hidden="1"/>
    </xf>
    <xf numFmtId="0" fontId="78" fillId="0" borderId="36" xfId="13" applyFont="1" applyBorder="1" applyProtection="1">
      <protection hidden="1"/>
    </xf>
    <xf numFmtId="0" fontId="103" fillId="0" borderId="35" xfId="13" applyFont="1" applyBorder="1" applyAlignment="1" applyProtection="1">
      <alignment horizontal="right"/>
      <protection hidden="1"/>
    </xf>
    <xf numFmtId="2" fontId="96" fillId="0" borderId="0" xfId="13" applyNumberFormat="1" applyFont="1" applyAlignment="1" applyProtection="1">
      <alignment horizontal="center"/>
      <protection hidden="1"/>
    </xf>
    <xf numFmtId="2" fontId="105" fillId="0" borderId="0" xfId="13" applyNumberFormat="1" applyFont="1" applyAlignment="1" applyProtection="1">
      <alignment horizontal="center"/>
      <protection hidden="1"/>
    </xf>
    <xf numFmtId="0" fontId="85" fillId="0" borderId="0" xfId="0" applyFont="1"/>
    <xf numFmtId="2" fontId="78" fillId="0" borderId="36" xfId="13" applyNumberFormat="1" applyFont="1" applyBorder="1" applyProtection="1">
      <protection hidden="1"/>
    </xf>
    <xf numFmtId="0" fontId="80" fillId="0" borderId="37" xfId="0" applyFont="1" applyBorder="1"/>
    <xf numFmtId="0" fontId="104" fillId="0" borderId="0" xfId="0" applyFont="1"/>
    <xf numFmtId="0" fontId="107" fillId="0" borderId="36" xfId="13" applyFont="1" applyBorder="1" applyProtection="1">
      <protection hidden="1"/>
    </xf>
    <xf numFmtId="0" fontId="108" fillId="0" borderId="38" xfId="13" applyFont="1" applyBorder="1" applyProtection="1">
      <protection hidden="1"/>
    </xf>
    <xf numFmtId="0" fontId="108" fillId="0" borderId="35" xfId="13" applyFont="1" applyBorder="1" applyAlignment="1" applyProtection="1">
      <alignment horizontal="right"/>
      <protection hidden="1"/>
    </xf>
    <xf numFmtId="0" fontId="88" fillId="0" borderId="34" xfId="13" applyFont="1" applyBorder="1" applyProtection="1">
      <protection hidden="1"/>
    </xf>
    <xf numFmtId="10" fontId="102" fillId="0" borderId="2" xfId="13" applyNumberFormat="1" applyFont="1" applyBorder="1" applyAlignment="1" applyProtection="1">
      <alignment horizontal="right"/>
      <protection hidden="1"/>
    </xf>
    <xf numFmtId="175" fontId="103" fillId="0" borderId="6" xfId="16" applyNumberFormat="1" applyFont="1" applyFill="1" applyBorder="1" applyAlignment="1" applyProtection="1">
      <alignment horizontal="right"/>
      <protection hidden="1"/>
    </xf>
    <xf numFmtId="0" fontId="102" fillId="0" borderId="0" xfId="0" applyFont="1"/>
    <xf numFmtId="0" fontId="102" fillId="0" borderId="5" xfId="0" applyFont="1" applyBorder="1" applyAlignment="1">
      <alignment horizontal="right"/>
    </xf>
    <xf numFmtId="0" fontId="102" fillId="0" borderId="0" xfId="0" applyFont="1" applyAlignment="1">
      <alignment horizontal="right"/>
    </xf>
    <xf numFmtId="175" fontId="85" fillId="0" borderId="0" xfId="0" applyNumberFormat="1" applyFont="1"/>
    <xf numFmtId="0" fontId="85" fillId="0" borderId="0" xfId="0" applyFont="1" applyAlignment="1">
      <alignment horizontal="right"/>
    </xf>
    <xf numFmtId="2" fontId="75" fillId="0" borderId="0" xfId="63" applyNumberFormat="1" applyFont="1"/>
    <xf numFmtId="2" fontId="76" fillId="0" borderId="0" xfId="63" applyNumberFormat="1" applyFont="1"/>
    <xf numFmtId="0" fontId="78" fillId="0" borderId="34" xfId="0" applyFont="1" applyBorder="1" applyAlignment="1">
      <alignment horizontal="center"/>
    </xf>
    <xf numFmtId="0" fontId="78" fillId="0" borderId="2" xfId="0" applyFont="1" applyBorder="1" applyAlignment="1">
      <alignment horizontal="center"/>
    </xf>
    <xf numFmtId="0" fontId="78" fillId="0" borderId="6" xfId="0" applyFont="1" applyBorder="1" applyAlignment="1">
      <alignment horizontal="center"/>
    </xf>
    <xf numFmtId="0" fontId="104" fillId="0" borderId="0" xfId="10" applyFont="1"/>
    <xf numFmtId="179" fontId="104" fillId="0" borderId="0" xfId="10" applyNumberFormat="1" applyFont="1"/>
    <xf numFmtId="2" fontId="104" fillId="0" borderId="0" xfId="10" applyNumberFormat="1" applyFont="1"/>
    <xf numFmtId="2" fontId="90" fillId="0" borderId="0" xfId="10" applyNumberFormat="1" applyFont="1" applyAlignment="1">
      <alignment vertical="center"/>
    </xf>
    <xf numFmtId="2" fontId="90" fillId="0" borderId="0" xfId="10" applyNumberFormat="1" applyFont="1" applyAlignment="1">
      <alignment horizontal="right" vertical="center"/>
    </xf>
    <xf numFmtId="2" fontId="90" fillId="0" borderId="0" xfId="12" applyNumberFormat="1" applyFont="1"/>
    <xf numFmtId="2" fontId="99" fillId="0" borderId="0" xfId="10" applyNumberFormat="1" applyFont="1" applyAlignment="1">
      <alignment vertical="center"/>
    </xf>
    <xf numFmtId="0" fontId="87" fillId="0" borderId="0" xfId="14" applyFont="1"/>
    <xf numFmtId="2" fontId="87" fillId="0" borderId="0" xfId="14" applyNumberFormat="1" applyFont="1"/>
    <xf numFmtId="0" fontId="78" fillId="0" borderId="0" xfId="10" applyFont="1"/>
    <xf numFmtId="0" fontId="80" fillId="0" borderId="0" xfId="9" applyFont="1" applyAlignment="1" applyProtection="1">
      <alignment horizontal="left" vertical="center"/>
      <protection hidden="1"/>
    </xf>
    <xf numFmtId="0" fontId="78" fillId="0" borderId="0" xfId="9" applyFont="1" applyAlignment="1" applyProtection="1">
      <alignment horizontal="center"/>
      <protection hidden="1"/>
    </xf>
    <xf numFmtId="0" fontId="78" fillId="0" borderId="0" xfId="9" applyFont="1" applyAlignment="1" applyProtection="1">
      <alignment horizontal="left"/>
      <protection hidden="1"/>
    </xf>
    <xf numFmtId="0" fontId="78" fillId="0" borderId="2" xfId="10" applyFont="1" applyBorder="1"/>
    <xf numFmtId="0" fontId="78" fillId="0" borderId="0" xfId="0" applyFont="1" applyAlignment="1">
      <alignment horizontal="left" vertical="center" indent="6"/>
    </xf>
    <xf numFmtId="0" fontId="85" fillId="0" borderId="0" xfId="13" applyFont="1" applyAlignment="1" applyProtection="1">
      <alignment horizontal="center"/>
      <protection hidden="1"/>
    </xf>
    <xf numFmtId="173" fontId="78" fillId="0" borderId="0" xfId="8" applyNumberFormat="1" applyFont="1" applyFill="1" applyAlignment="1" applyProtection="1">
      <protection hidden="1"/>
    </xf>
    <xf numFmtId="0" fontId="78" fillId="0" borderId="0" xfId="84" applyFont="1"/>
    <xf numFmtId="175" fontId="109" fillId="0" borderId="0" xfId="3" applyNumberFormat="1" applyFont="1" applyFill="1" applyBorder="1" applyAlignment="1" applyProtection="1">
      <alignment horizontal="center"/>
      <protection hidden="1"/>
    </xf>
    <xf numFmtId="2" fontId="90" fillId="0" borderId="0" xfId="84" applyNumberFormat="1" applyFont="1"/>
    <xf numFmtId="169" fontId="109" fillId="0" borderId="0" xfId="3" applyFont="1" applyFill="1" applyBorder="1" applyAlignment="1" applyProtection="1">
      <alignment horizontal="center"/>
      <protection hidden="1"/>
    </xf>
    <xf numFmtId="173" fontId="109" fillId="0" borderId="0" xfId="8" applyNumberFormat="1" applyFont="1" applyFill="1" applyBorder="1" applyAlignment="1" applyProtection="1">
      <alignment horizontal="center"/>
      <protection hidden="1"/>
    </xf>
    <xf numFmtId="0" fontId="78" fillId="0" borderId="0" xfId="103" applyFont="1"/>
    <xf numFmtId="0" fontId="78" fillId="0" borderId="0" xfId="103" applyFont="1" applyAlignment="1">
      <alignment horizontal="center"/>
    </xf>
    <xf numFmtId="167" fontId="78" fillId="0" borderId="0" xfId="105" applyFont="1"/>
    <xf numFmtId="173" fontId="78" fillId="0" borderId="0" xfId="8" applyNumberFormat="1" applyFont="1"/>
    <xf numFmtId="0" fontId="78" fillId="0" borderId="37" xfId="84" applyFont="1" applyBorder="1"/>
    <xf numFmtId="2" fontId="80" fillId="2" borderId="37" xfId="84" applyNumberFormat="1" applyFont="1" applyFill="1" applyBorder="1" applyAlignment="1">
      <alignment vertical="top" wrapText="1"/>
    </xf>
    <xf numFmtId="0" fontId="104" fillId="0" borderId="0" xfId="10" applyFont="1" applyAlignment="1">
      <alignment horizontal="center"/>
    </xf>
    <xf numFmtId="0" fontId="78" fillId="0" borderId="0" xfId="97" applyFont="1"/>
    <xf numFmtId="2" fontId="90" fillId="0" borderId="0" xfId="63" applyNumberFormat="1" applyFont="1"/>
    <xf numFmtId="196" fontId="111" fillId="0" borderId="0" xfId="63" applyNumberFormat="1" applyFont="1" applyAlignment="1">
      <alignment horizontal="left"/>
    </xf>
    <xf numFmtId="0" fontId="80" fillId="0" borderId="36" xfId="84" applyFont="1" applyBorder="1"/>
    <xf numFmtId="0" fontId="80" fillId="0" borderId="38" xfId="84" applyFont="1" applyBorder="1"/>
    <xf numFmtId="0" fontId="79" fillId="63" borderId="37" xfId="0" applyFont="1" applyFill="1" applyBorder="1" applyAlignment="1">
      <alignment wrapText="1"/>
    </xf>
    <xf numFmtId="0" fontId="79" fillId="63" borderId="37" xfId="0" applyFont="1" applyFill="1" applyBorder="1"/>
    <xf numFmtId="2" fontId="76" fillId="64" borderId="0" xfId="12" applyNumberFormat="1" applyFont="1" applyFill="1"/>
    <xf numFmtId="2" fontId="75" fillId="64" borderId="0" xfId="12" applyNumberFormat="1" applyFont="1" applyFill="1"/>
    <xf numFmtId="0" fontId="78" fillId="64" borderId="2" xfId="10" applyFont="1" applyFill="1" applyBorder="1"/>
    <xf numFmtId="3" fontId="88" fillId="64" borderId="37" xfId="62" applyNumberFormat="1" applyFont="1" applyFill="1" applyBorder="1" applyAlignment="1" applyProtection="1">
      <alignment horizontal="left" wrapText="1"/>
      <protection hidden="1"/>
    </xf>
    <xf numFmtId="3" fontId="88" fillId="64" borderId="37" xfId="62" applyNumberFormat="1" applyFont="1" applyFill="1" applyBorder="1" applyAlignment="1" applyProtection="1">
      <alignment horizontal="left" vertical="top" wrapText="1"/>
      <protection hidden="1"/>
    </xf>
    <xf numFmtId="167" fontId="114" fillId="63" borderId="33" xfId="8" applyFont="1" applyFill="1" applyBorder="1" applyAlignment="1">
      <alignment horizontal="center" vertical="top" wrapText="1"/>
    </xf>
    <xf numFmtId="0" fontId="113" fillId="0" borderId="0" xfId="0" applyFont="1" applyAlignment="1">
      <alignment horizontal="center" vertical="center"/>
    </xf>
    <xf numFmtId="0" fontId="117" fillId="0" borderId="0" xfId="17" applyFont="1"/>
    <xf numFmtId="1" fontId="80" fillId="0" borderId="37" xfId="61" applyNumberFormat="1" applyFont="1" applyBorder="1" applyAlignment="1">
      <alignment horizontal="center"/>
    </xf>
    <xf numFmtId="2" fontId="118" fillId="0" borderId="0" xfId="0" applyNumberFormat="1" applyFont="1"/>
    <xf numFmtId="2" fontId="116" fillId="63" borderId="33" xfId="0" applyNumberFormat="1" applyFont="1" applyFill="1" applyBorder="1" applyAlignment="1">
      <alignment horizontal="center" vertical="top" wrapText="1"/>
    </xf>
    <xf numFmtId="0" fontId="113" fillId="0" borderId="0" xfId="0" applyFont="1" applyAlignment="1">
      <alignment horizontal="center"/>
    </xf>
    <xf numFmtId="2" fontId="119" fillId="0" borderId="0" xfId="13" applyNumberFormat="1" applyFont="1" applyAlignment="1" applyProtection="1">
      <alignment vertical="center"/>
      <protection locked="0"/>
    </xf>
    <xf numFmtId="2" fontId="124" fillId="0" borderId="0" xfId="13" applyNumberFormat="1" applyFont="1" applyAlignment="1" applyProtection="1">
      <alignment horizontal="center" wrapText="1"/>
      <protection hidden="1"/>
    </xf>
    <xf numFmtId="0" fontId="113" fillId="0" borderId="0" xfId="0" applyFont="1" applyAlignment="1">
      <alignment horizontal="center" wrapText="1"/>
    </xf>
    <xf numFmtId="2" fontId="123" fillId="63" borderId="36" xfId="13" applyNumberFormat="1" applyFont="1" applyFill="1" applyBorder="1" applyAlignment="1" applyProtection="1">
      <alignment horizontal="left" vertical="center" wrapText="1"/>
      <protection hidden="1"/>
    </xf>
    <xf numFmtId="2" fontId="123" fillId="63" borderId="37" xfId="3" applyNumberFormat="1" applyFont="1" applyFill="1" applyBorder="1" applyAlignment="1" applyProtection="1">
      <alignment vertical="center" wrapText="1"/>
      <protection hidden="1"/>
    </xf>
    <xf numFmtId="0" fontId="114" fillId="63" borderId="36" xfId="59" applyFont="1" applyFill="1" applyBorder="1" applyAlignment="1">
      <alignment horizontal="left" vertical="top" wrapText="1"/>
    </xf>
    <xf numFmtId="0" fontId="114" fillId="63" borderId="38" xfId="59" applyFont="1" applyFill="1" applyBorder="1" applyAlignment="1">
      <alignment horizontal="left" vertical="top" wrapText="1"/>
    </xf>
    <xf numFmtId="0" fontId="114" fillId="63" borderId="35" xfId="59" applyFont="1" applyFill="1" applyBorder="1" applyAlignment="1">
      <alignment horizontal="left" vertical="top" wrapText="1"/>
    </xf>
    <xf numFmtId="0" fontId="83" fillId="0" borderId="0" xfId="9" applyFont="1" applyAlignment="1" applyProtection="1">
      <alignment horizontal="left" vertical="center"/>
      <protection hidden="1"/>
    </xf>
    <xf numFmtId="179" fontId="114" fillId="63" borderId="37" xfId="89" applyNumberFormat="1" applyFont="1" applyFill="1" applyBorder="1" applyAlignment="1" applyProtection="1">
      <alignment horizontal="center" vertical="top" wrapText="1"/>
      <protection hidden="1"/>
    </xf>
    <xf numFmtId="2" fontId="114" fillId="63" borderId="37" xfId="89" applyNumberFormat="1" applyFont="1" applyFill="1" applyBorder="1" applyAlignment="1" applyProtection="1">
      <alignment horizontal="center" vertical="top" wrapText="1"/>
      <protection hidden="1"/>
    </xf>
    <xf numFmtId="0" fontId="115" fillId="0" borderId="0" xfId="103" applyFont="1"/>
    <xf numFmtId="2" fontId="114" fillId="63" borderId="33" xfId="0" applyNumberFormat="1" applyFont="1" applyFill="1" applyBorder="1" applyAlignment="1">
      <alignment horizontal="left" vertical="top" wrapText="1"/>
    </xf>
    <xf numFmtId="0" fontId="113" fillId="0" borderId="0" xfId="84" applyFont="1"/>
    <xf numFmtId="166" fontId="129" fillId="2" borderId="35" xfId="18" applyFont="1" applyFill="1" applyBorder="1" applyAlignment="1"/>
    <xf numFmtId="0" fontId="130" fillId="0" borderId="0" xfId="63" applyFont="1"/>
    <xf numFmtId="178" fontId="130" fillId="0" borderId="2" xfId="6" applyNumberFormat="1" applyFont="1" applyFill="1" applyBorder="1" applyAlignment="1"/>
    <xf numFmtId="44" fontId="130" fillId="0" borderId="0" xfId="63" applyNumberFormat="1" applyFont="1"/>
    <xf numFmtId="9" fontId="35" fillId="64" borderId="37" xfId="16" applyFont="1" applyFill="1" applyBorder="1" applyAlignment="1">
      <alignment horizontal="center"/>
    </xf>
    <xf numFmtId="44" fontId="127" fillId="63" borderId="35" xfId="63" applyNumberFormat="1" applyFont="1" applyFill="1" applyBorder="1"/>
    <xf numFmtId="2" fontId="35" fillId="64" borderId="37" xfId="8" applyNumberFormat="1" applyFont="1" applyFill="1" applyBorder="1" applyAlignment="1">
      <alignment horizontal="center"/>
    </xf>
    <xf numFmtId="1" fontId="128" fillId="2" borderId="37" xfId="8" applyNumberFormat="1" applyFont="1" applyFill="1" applyBorder="1" applyAlignment="1">
      <alignment horizontal="center"/>
    </xf>
    <xf numFmtId="173" fontId="128" fillId="2" borderId="37" xfId="8" applyNumberFormat="1" applyFont="1" applyFill="1" applyBorder="1"/>
    <xf numFmtId="167" fontId="128" fillId="2" borderId="37" xfId="8" applyFont="1" applyFill="1" applyBorder="1"/>
    <xf numFmtId="166" fontId="35" fillId="0" borderId="37" xfId="18" applyFont="1" applyBorder="1"/>
    <xf numFmtId="180" fontId="35" fillId="0" borderId="37" xfId="89" applyNumberFormat="1" applyFont="1" applyBorder="1"/>
    <xf numFmtId="173" fontId="79" fillId="63" borderId="36" xfId="8" applyNumberFormat="1" applyFont="1" applyFill="1" applyBorder="1" applyAlignment="1">
      <alignment horizontal="left"/>
    </xf>
    <xf numFmtId="167" fontId="79" fillId="63" borderId="35" xfId="8" applyFont="1" applyFill="1" applyBorder="1"/>
    <xf numFmtId="49" fontId="81" fillId="0" borderId="36" xfId="63" applyNumberFormat="1" applyFont="1" applyBorder="1" applyAlignment="1">
      <alignment vertical="top"/>
    </xf>
    <xf numFmtId="0" fontId="78" fillId="0" borderId="38" xfId="63" applyFont="1" applyBorder="1"/>
    <xf numFmtId="49" fontId="80" fillId="0" borderId="38" xfId="63" applyNumberFormat="1" applyFont="1" applyBorder="1"/>
    <xf numFmtId="49" fontId="79" fillId="63" borderId="36" xfId="63" applyNumberFormat="1" applyFont="1" applyFill="1" applyBorder="1"/>
    <xf numFmtId="0" fontId="79" fillId="63" borderId="38" xfId="63" applyFont="1" applyFill="1" applyBorder="1"/>
    <xf numFmtId="173" fontId="79" fillId="63" borderId="37" xfId="8" applyNumberFormat="1" applyFont="1" applyFill="1" applyBorder="1" applyAlignment="1">
      <alignment vertical="top" wrapText="1"/>
    </xf>
    <xf numFmtId="173" fontId="79" fillId="63" borderId="37" xfId="8" applyNumberFormat="1" applyFont="1" applyFill="1" applyBorder="1" applyAlignment="1">
      <alignment horizontal="center" vertical="top" wrapText="1"/>
    </xf>
    <xf numFmtId="167" fontId="79" fillId="63" borderId="37" xfId="8" applyFont="1" applyFill="1" applyBorder="1" applyAlignment="1">
      <alignment horizontal="center" vertical="top" wrapText="1"/>
    </xf>
    <xf numFmtId="2" fontId="79" fillId="63" borderId="33" xfId="89" applyNumberFormat="1" applyFont="1" applyFill="1" applyBorder="1" applyAlignment="1">
      <alignment vertical="top" wrapText="1"/>
    </xf>
    <xf numFmtId="167" fontId="79" fillId="63" borderId="33" xfId="8" applyFont="1" applyFill="1" applyBorder="1" applyAlignment="1">
      <alignment horizontal="center" vertical="top" wrapText="1"/>
    </xf>
    <xf numFmtId="0" fontId="35" fillId="0" borderId="0" xfId="17" applyFont="1"/>
    <xf numFmtId="0" fontId="128" fillId="0" borderId="0" xfId="17" applyFont="1"/>
    <xf numFmtId="0" fontId="35" fillId="0" borderId="0" xfId="0" applyFont="1"/>
    <xf numFmtId="0" fontId="35" fillId="0" borderId="0" xfId="0" applyFont="1" applyAlignment="1">
      <alignment horizontal="center"/>
    </xf>
    <xf numFmtId="2" fontId="128" fillId="0" borderId="0" xfId="0" applyNumberFormat="1" applyFont="1" applyAlignment="1">
      <alignment horizontal="center"/>
    </xf>
    <xf numFmtId="2" fontId="131" fillId="0" borderId="0" xfId="0" applyNumberFormat="1" applyFont="1" applyAlignment="1">
      <alignment horizontal="center"/>
    </xf>
    <xf numFmtId="2" fontId="137" fillId="0" borderId="0" xfId="12" applyNumberFormat="1" applyFont="1" applyAlignment="1">
      <alignment horizontal="center"/>
    </xf>
    <xf numFmtId="174" fontId="35" fillId="0" borderId="4" xfId="0" applyNumberFormat="1" applyFont="1" applyBorder="1" applyAlignment="1">
      <alignment horizontal="center"/>
    </xf>
    <xf numFmtId="0" fontId="35" fillId="0" borderId="16" xfId="0" applyFont="1" applyBorder="1" applyAlignment="1">
      <alignment horizontal="center" wrapText="1"/>
    </xf>
    <xf numFmtId="0" fontId="35" fillId="2" borderId="16" xfId="0" applyFont="1" applyFill="1" applyBorder="1" applyAlignment="1">
      <alignment horizontal="center" wrapText="1"/>
    </xf>
    <xf numFmtId="0" fontId="134" fillId="0" borderId="16" xfId="59" applyFont="1" applyBorder="1" applyAlignment="1">
      <alignment horizontal="center" wrapText="1"/>
    </xf>
    <xf numFmtId="174" fontId="35" fillId="0" borderId="0" xfId="0" applyNumberFormat="1" applyFont="1" applyAlignment="1">
      <alignment horizontal="center"/>
    </xf>
    <xf numFmtId="43" fontId="133" fillId="0" borderId="37" xfId="8" applyNumberFormat="1" applyFont="1" applyFill="1" applyBorder="1" applyAlignment="1">
      <alignment horizontal="center"/>
    </xf>
    <xf numFmtId="1" fontId="134" fillId="0" borderId="37" xfId="0" applyNumberFormat="1" applyFont="1" applyBorder="1" applyAlignment="1">
      <alignment horizontal="center"/>
    </xf>
    <xf numFmtId="14" fontId="132" fillId="0" borderId="0" xfId="12" applyNumberFormat="1" applyFont="1" applyAlignment="1">
      <alignment horizontal="left"/>
    </xf>
    <xf numFmtId="177" fontId="35" fillId="64" borderId="37" xfId="11" applyNumberFormat="1" applyFont="1" applyFill="1" applyBorder="1" applyAlignment="1" applyProtection="1">
      <alignment vertical="center"/>
      <protection hidden="1"/>
    </xf>
    <xf numFmtId="179" fontId="138" fillId="0" borderId="6" xfId="13" applyNumberFormat="1" applyFont="1" applyBorder="1" applyAlignment="1" applyProtection="1">
      <alignment horizontal="left" vertical="center"/>
      <protection hidden="1"/>
    </xf>
    <xf numFmtId="181" fontId="35" fillId="0" borderId="0" xfId="11" applyNumberFormat="1" applyFont="1" applyProtection="1">
      <protection hidden="1"/>
    </xf>
    <xf numFmtId="2" fontId="138" fillId="0" borderId="37" xfId="3" applyNumberFormat="1" applyFont="1" applyFill="1" applyBorder="1" applyAlignment="1" applyProtection="1">
      <protection hidden="1"/>
    </xf>
    <xf numFmtId="166" fontId="138" fillId="35" borderId="37" xfId="18" applyFont="1" applyFill="1" applyBorder="1" applyAlignment="1" applyProtection="1">
      <protection locked="0"/>
    </xf>
    <xf numFmtId="175" fontId="139" fillId="0" borderId="5" xfId="0" applyNumberFormat="1" applyFont="1" applyBorder="1" applyAlignment="1">
      <alignment horizontal="center" vertical="center"/>
    </xf>
    <xf numFmtId="166" fontId="138" fillId="65" borderId="37" xfId="18" applyFont="1" applyFill="1" applyBorder="1" applyAlignment="1" applyProtection="1">
      <protection locked="0"/>
    </xf>
    <xf numFmtId="179" fontId="128" fillId="0" borderId="37" xfId="3" applyNumberFormat="1" applyFont="1" applyFill="1" applyBorder="1" applyAlignment="1" applyProtection="1">
      <protection hidden="1"/>
    </xf>
    <xf numFmtId="169" fontId="138" fillId="0" borderId="37" xfId="3" applyFont="1" applyFill="1" applyBorder="1" applyAlignment="1" applyProtection="1">
      <protection hidden="1"/>
    </xf>
    <xf numFmtId="166" fontId="138" fillId="0" borderId="37" xfId="18" applyFont="1" applyFill="1" applyBorder="1" applyAlignment="1" applyProtection="1">
      <protection locked="0"/>
    </xf>
    <xf numFmtId="169" fontId="138" fillId="0" borderId="37" xfId="3" applyFont="1" applyFill="1" applyBorder="1" applyAlignment="1" applyProtection="1">
      <protection locked="0"/>
    </xf>
    <xf numFmtId="166" fontId="141" fillId="2" borderId="37" xfId="18" applyFont="1" applyFill="1" applyBorder="1" applyAlignment="1" applyProtection="1">
      <alignment horizontal="right"/>
      <protection locked="0"/>
    </xf>
    <xf numFmtId="175" fontId="133" fillId="0" borderId="5" xfId="0" applyNumberFormat="1" applyFont="1" applyBorder="1" applyAlignment="1">
      <alignment horizontal="center" vertical="center"/>
    </xf>
    <xf numFmtId="175" fontId="142" fillId="0" borderId="5" xfId="0" applyNumberFormat="1" applyFont="1" applyBorder="1" applyAlignment="1">
      <alignment horizontal="center" vertical="center"/>
    </xf>
    <xf numFmtId="175" fontId="35" fillId="0" borderId="5" xfId="0" applyNumberFormat="1" applyFont="1" applyBorder="1"/>
    <xf numFmtId="179" fontId="128" fillId="0" borderId="4" xfId="5" applyNumberFormat="1" applyFont="1" applyFill="1" applyBorder="1" applyAlignment="1" applyProtection="1">
      <protection hidden="1"/>
    </xf>
    <xf numFmtId="175" fontId="35" fillId="0" borderId="6" xfId="0" applyNumberFormat="1" applyFont="1" applyBorder="1" applyAlignment="1">
      <alignment horizontal="center" vertical="center"/>
    </xf>
    <xf numFmtId="175" fontId="35" fillId="0" borderId="0" xfId="0" applyNumberFormat="1" applyFont="1"/>
    <xf numFmtId="179" fontId="143" fillId="0" borderId="37" xfId="5" applyNumberFormat="1" applyFont="1" applyFill="1" applyBorder="1" applyAlignment="1" applyProtection="1">
      <protection hidden="1"/>
    </xf>
    <xf numFmtId="179" fontId="133" fillId="0" borderId="0" xfId="0" applyNumberFormat="1" applyFont="1"/>
    <xf numFmtId="0" fontId="133" fillId="0" borderId="0" xfId="0" applyFont="1"/>
    <xf numFmtId="14" fontId="132" fillId="0" borderId="0" xfId="0" applyNumberFormat="1" applyFont="1" applyAlignment="1">
      <alignment horizontal="left"/>
    </xf>
    <xf numFmtId="166" fontId="35" fillId="0" borderId="36" xfId="18" applyFont="1" applyFill="1" applyBorder="1" applyAlignment="1" applyProtection="1">
      <protection hidden="1"/>
    </xf>
    <xf numFmtId="166" fontId="128" fillId="0" borderId="37" xfId="18" applyFont="1" applyBorder="1"/>
    <xf numFmtId="1" fontId="128" fillId="0" borderId="37" xfId="13" applyNumberFormat="1" applyFont="1" applyBorder="1" applyAlignment="1" applyProtection="1">
      <alignment horizontal="center"/>
      <protection hidden="1"/>
    </xf>
    <xf numFmtId="166" fontId="35" fillId="64" borderId="37" xfId="18" applyFont="1" applyFill="1" applyBorder="1"/>
    <xf numFmtId="2" fontId="35" fillId="0" borderId="36" xfId="13" applyNumberFormat="1" applyFont="1" applyBorder="1" applyProtection="1">
      <protection hidden="1"/>
    </xf>
    <xf numFmtId="44" fontId="35" fillId="65" borderId="35" xfId="66" applyFont="1" applyFill="1" applyBorder="1" applyAlignment="1" applyProtection="1">
      <protection locked="0"/>
    </xf>
    <xf numFmtId="14" fontId="132" fillId="0" borderId="0" xfId="63" applyNumberFormat="1" applyFont="1" applyAlignment="1">
      <alignment horizontal="left"/>
    </xf>
    <xf numFmtId="0" fontId="35" fillId="0" borderId="0" xfId="103" applyFont="1"/>
    <xf numFmtId="14" fontId="146" fillId="0" borderId="0" xfId="63" applyNumberFormat="1" applyFont="1" applyAlignment="1">
      <alignment horizontal="left"/>
    </xf>
    <xf numFmtId="0" fontId="138" fillId="0" borderId="33" xfId="62" applyFont="1" applyBorder="1" applyAlignment="1" applyProtection="1">
      <alignment horizontal="left" textRotation="90"/>
      <protection hidden="1"/>
    </xf>
    <xf numFmtId="175" fontId="138" fillId="64" borderId="33" xfId="65" applyNumberFormat="1" applyFont="1" applyFill="1" applyBorder="1" applyAlignment="1" applyProtection="1">
      <alignment horizontal="center"/>
      <protection hidden="1"/>
    </xf>
    <xf numFmtId="0" fontId="138" fillId="0" borderId="0" xfId="62" applyFont="1" applyAlignment="1" applyProtection="1">
      <alignment horizontal="left" textRotation="90"/>
      <protection hidden="1"/>
    </xf>
    <xf numFmtId="0" fontId="35" fillId="0" borderId="0" xfId="84" applyFont="1"/>
    <xf numFmtId="0" fontId="147" fillId="0" borderId="0" xfId="62" applyFont="1" applyAlignment="1" applyProtection="1">
      <alignment horizontal="left" textRotation="90"/>
      <protection hidden="1"/>
    </xf>
    <xf numFmtId="179" fontId="138" fillId="64" borderId="37" xfId="62" applyNumberFormat="1" applyFont="1" applyFill="1" applyBorder="1" applyAlignment="1" applyProtection="1">
      <alignment horizontal="center"/>
      <protection hidden="1"/>
    </xf>
    <xf numFmtId="179" fontId="138" fillId="2" borderId="37" xfId="62" applyNumberFormat="1" applyFont="1" applyFill="1" applyBorder="1" applyAlignment="1" applyProtection="1">
      <alignment horizontal="center"/>
      <protection hidden="1"/>
    </xf>
    <xf numFmtId="179" fontId="138" fillId="0" borderId="37" xfId="62" applyNumberFormat="1" applyFont="1" applyBorder="1" applyAlignment="1" applyProtection="1">
      <alignment horizontal="center"/>
      <protection hidden="1"/>
    </xf>
    <xf numFmtId="3" fontId="138" fillId="64" borderId="37" xfId="62" applyNumberFormat="1" applyFont="1" applyFill="1" applyBorder="1" applyAlignment="1" applyProtection="1">
      <alignment horizontal="center"/>
      <protection hidden="1"/>
    </xf>
    <xf numFmtId="166" fontId="35" fillId="0" borderId="37" xfId="102" applyFont="1" applyBorder="1"/>
    <xf numFmtId="180" fontId="35" fillId="0" borderId="37" xfId="84" applyNumberFormat="1" applyFont="1" applyBorder="1"/>
    <xf numFmtId="197" fontId="35" fillId="0" borderId="37" xfId="84" applyNumberFormat="1" applyFont="1" applyBorder="1"/>
    <xf numFmtId="166" fontId="35" fillId="0" borderId="37" xfId="84" applyNumberFormat="1" applyFont="1" applyBorder="1"/>
    <xf numFmtId="0" fontId="128" fillId="0" borderId="38" xfId="84" applyFont="1" applyBorder="1"/>
    <xf numFmtId="0" fontId="128" fillId="0" borderId="35" xfId="84" applyFont="1" applyBorder="1"/>
    <xf numFmtId="49" fontId="128" fillId="0" borderId="37" xfId="8" applyNumberFormat="1" applyFont="1" applyBorder="1" applyAlignment="1">
      <alignment horizontal="center"/>
    </xf>
    <xf numFmtId="166" fontId="128" fillId="0" borderId="37" xfId="84" applyNumberFormat="1" applyFont="1" applyBorder="1"/>
    <xf numFmtId="49" fontId="77" fillId="65" borderId="37" xfId="62" applyNumberFormat="1" applyFont="1" applyFill="1" applyBorder="1" applyAlignment="1" applyProtection="1">
      <alignment horizontal="left" vertical="top"/>
      <protection hidden="1"/>
    </xf>
    <xf numFmtId="2" fontId="79" fillId="63" borderId="37" xfId="89" applyNumberFormat="1" applyFont="1" applyFill="1" applyBorder="1" applyAlignment="1">
      <alignment vertical="top" wrapText="1"/>
    </xf>
    <xf numFmtId="2" fontId="78" fillId="0" borderId="37" xfId="0" applyNumberFormat="1" applyFont="1" applyBorder="1"/>
    <xf numFmtId="2" fontId="78" fillId="0" borderId="37" xfId="89" applyNumberFormat="1" applyFont="1" applyBorder="1"/>
    <xf numFmtId="0" fontId="84" fillId="0" borderId="37" xfId="0" applyFont="1" applyBorder="1"/>
    <xf numFmtId="0" fontId="80" fillId="0" borderId="37" xfId="89" applyFont="1" applyBorder="1"/>
    <xf numFmtId="166" fontId="35" fillId="2" borderId="37" xfId="18" applyFont="1" applyFill="1" applyBorder="1" applyAlignment="1">
      <alignment horizontal="center"/>
    </xf>
    <xf numFmtId="166" fontId="80" fillId="2" borderId="37" xfId="18" applyFont="1" applyFill="1" applyBorder="1"/>
    <xf numFmtId="166" fontId="128" fillId="2" borderId="37" xfId="18" applyFont="1" applyFill="1" applyBorder="1"/>
    <xf numFmtId="1" fontId="112" fillId="0" borderId="36" xfId="0" applyNumberFormat="1" applyFont="1" applyBorder="1" applyAlignment="1">
      <alignment horizontal="left" vertical="center"/>
    </xf>
    <xf numFmtId="1" fontId="112" fillId="0" borderId="38" xfId="0" applyNumberFormat="1" applyFont="1" applyBorder="1" applyAlignment="1">
      <alignment horizontal="left" vertical="center"/>
    </xf>
    <xf numFmtId="1" fontId="136" fillId="0" borderId="38" xfId="0" applyNumberFormat="1" applyFont="1" applyBorder="1" applyAlignment="1">
      <alignment horizontal="center" vertical="center" wrapText="1"/>
    </xf>
    <xf numFmtId="1" fontId="112" fillId="0" borderId="35" xfId="0" applyNumberFormat="1" applyFont="1" applyBorder="1" applyAlignment="1">
      <alignment horizontal="center" vertical="center" wrapText="1"/>
    </xf>
    <xf numFmtId="2" fontId="114" fillId="63" borderId="37" xfId="0" applyNumberFormat="1" applyFont="1" applyFill="1" applyBorder="1" applyAlignment="1">
      <alignment horizontal="left" vertical="center" wrapText="1"/>
    </xf>
    <xf numFmtId="1" fontId="114" fillId="63" borderId="37" xfId="0" applyNumberFormat="1" applyFont="1" applyFill="1" applyBorder="1" applyAlignment="1">
      <alignment horizontal="center" vertical="center" wrapText="1"/>
    </xf>
    <xf numFmtId="0" fontId="114" fillId="63" borderId="37" xfId="0" applyFont="1" applyFill="1" applyBorder="1" applyAlignment="1">
      <alignment horizontal="left" vertical="center" wrapText="1"/>
    </xf>
    <xf numFmtId="2" fontId="114" fillId="63" borderId="37" xfId="0" applyNumberFormat="1" applyFont="1" applyFill="1" applyBorder="1" applyAlignment="1">
      <alignment horizontal="center" vertical="center" wrapText="1"/>
    </xf>
    <xf numFmtId="0" fontId="78" fillId="2" borderId="37" xfId="0" applyFont="1" applyFill="1" applyBorder="1" applyAlignment="1">
      <alignment vertical="center"/>
    </xf>
    <xf numFmtId="173" fontId="128" fillId="64" borderId="37" xfId="8" applyNumberFormat="1" applyFont="1" applyFill="1" applyBorder="1" applyAlignment="1">
      <alignment horizontal="center"/>
    </xf>
    <xf numFmtId="173" fontId="35" fillId="0" borderId="37" xfId="8" applyNumberFormat="1" applyFont="1" applyFill="1" applyBorder="1" applyAlignment="1">
      <alignment horizontal="center" vertical="center"/>
    </xf>
    <xf numFmtId="0" fontId="78" fillId="0" borderId="37" xfId="0" applyFont="1" applyBorder="1" applyAlignment="1">
      <alignment horizontal="center" vertical="center"/>
    </xf>
    <xf numFmtId="0" fontId="78" fillId="0" borderId="37" xfId="0" applyFont="1" applyBorder="1" applyAlignment="1">
      <alignment vertical="center"/>
    </xf>
    <xf numFmtId="173" fontId="128" fillId="0" borderId="37" xfId="8" applyNumberFormat="1" applyFont="1" applyFill="1" applyBorder="1" applyAlignment="1">
      <alignment horizontal="center"/>
    </xf>
    <xf numFmtId="173" fontId="135" fillId="0" borderId="37" xfId="8" applyNumberFormat="1" applyFont="1" applyFill="1" applyBorder="1" applyAlignment="1">
      <alignment horizontal="center"/>
    </xf>
    <xf numFmtId="49" fontId="35" fillId="0" borderId="37" xfId="0" applyNumberFormat="1" applyFont="1" applyBorder="1" applyAlignment="1">
      <alignment horizontal="center"/>
    </xf>
    <xf numFmtId="49" fontId="135" fillId="0" borderId="37" xfId="17" applyNumberFormat="1" applyFont="1" applyBorder="1" applyAlignment="1">
      <alignment horizontal="center"/>
    </xf>
    <xf numFmtId="0" fontId="80" fillId="0" borderId="37" xfId="0" applyFont="1" applyBorder="1" applyAlignment="1">
      <alignment vertical="center"/>
    </xf>
    <xf numFmtId="0" fontId="128" fillId="0" borderId="37" xfId="0" applyFont="1" applyBorder="1"/>
    <xf numFmtId="0" fontId="135" fillId="0" borderId="37" xfId="17" applyFont="1" applyBorder="1" applyAlignment="1">
      <alignment horizontal="left"/>
    </xf>
    <xf numFmtId="173" fontId="128" fillId="0" borderId="37" xfId="8" applyNumberFormat="1" applyFont="1" applyFill="1" applyBorder="1" applyAlignment="1">
      <alignment horizontal="center" vertical="center"/>
    </xf>
    <xf numFmtId="0" fontId="80" fillId="0" borderId="37" xfId="0" applyFont="1" applyBorder="1" applyAlignment="1">
      <alignment horizontal="center" vertical="center"/>
    </xf>
    <xf numFmtId="1" fontId="114" fillId="63" borderId="37" xfId="0" applyNumberFormat="1" applyFont="1" applyFill="1" applyBorder="1" applyAlignment="1">
      <alignment horizontal="left"/>
    </xf>
    <xf numFmtId="1" fontId="114" fillId="63" borderId="37" xfId="0" applyNumberFormat="1" applyFont="1" applyFill="1" applyBorder="1" applyAlignment="1">
      <alignment horizontal="center"/>
    </xf>
    <xf numFmtId="0" fontId="114" fillId="63" borderId="33" xfId="0" applyFont="1" applyFill="1" applyBorder="1" applyAlignment="1">
      <alignment horizontal="left" vertical="top" wrapText="1"/>
    </xf>
    <xf numFmtId="182" fontId="114" fillId="63" borderId="33" xfId="8" applyNumberFormat="1" applyFont="1" applyFill="1" applyBorder="1" applyAlignment="1">
      <alignment horizontal="left" vertical="top" wrapText="1"/>
    </xf>
    <xf numFmtId="167" fontId="116" fillId="63" borderId="33" xfId="8" applyFont="1" applyFill="1" applyBorder="1" applyAlignment="1">
      <alignment horizontal="center" vertical="top" wrapText="1"/>
    </xf>
    <xf numFmtId="1" fontId="78" fillId="0" borderId="37" xfId="0" applyNumberFormat="1" applyFont="1" applyBorder="1" applyAlignment="1">
      <alignment horizontal="center"/>
    </xf>
    <xf numFmtId="174" fontId="35" fillId="0" borderId="37" xfId="0" applyNumberFormat="1" applyFont="1" applyBorder="1" applyAlignment="1">
      <alignment horizontal="center"/>
    </xf>
    <xf numFmtId="2" fontId="35" fillId="0" borderId="37" xfId="0" applyNumberFormat="1" applyFont="1" applyBorder="1" applyAlignment="1">
      <alignment horizontal="right"/>
    </xf>
    <xf numFmtId="1" fontId="130" fillId="0" borderId="37" xfId="0" applyNumberFormat="1" applyFont="1" applyBorder="1" applyAlignment="1">
      <alignment horizontal="center"/>
    </xf>
    <xf numFmtId="1" fontId="133" fillId="0" borderId="37" xfId="8" applyNumberFormat="1" applyFont="1" applyFill="1" applyBorder="1" applyAlignment="1">
      <alignment horizontal="center"/>
    </xf>
    <xf numFmtId="2" fontId="85" fillId="0" borderId="37" xfId="8" applyNumberFormat="1" applyFont="1" applyFill="1" applyBorder="1" applyAlignment="1">
      <alignment horizontal="center"/>
    </xf>
    <xf numFmtId="173" fontId="133" fillId="0" borderId="37" xfId="8" applyNumberFormat="1" applyFont="1" applyFill="1" applyBorder="1" applyAlignment="1">
      <alignment horizontal="center"/>
    </xf>
    <xf numFmtId="0" fontId="78" fillId="0" borderId="35" xfId="0" applyFont="1" applyBorder="1"/>
    <xf numFmtId="0" fontId="78" fillId="0" borderId="33" xfId="0" applyFont="1" applyBorder="1"/>
    <xf numFmtId="2" fontId="35" fillId="0" borderId="35" xfId="0" applyNumberFormat="1" applyFont="1" applyBorder="1" applyAlignment="1">
      <alignment horizontal="right"/>
    </xf>
    <xf numFmtId="2" fontId="78" fillId="0" borderId="39" xfId="0" applyNumberFormat="1" applyFont="1" applyBorder="1"/>
    <xf numFmtId="1" fontId="78" fillId="0" borderId="39" xfId="0" applyNumberFormat="1" applyFont="1" applyBorder="1" applyAlignment="1">
      <alignment horizontal="center"/>
    </xf>
    <xf numFmtId="174" fontId="35" fillId="0" borderId="39" xfId="0" applyNumberFormat="1" applyFont="1" applyBorder="1" applyAlignment="1">
      <alignment horizontal="center"/>
    </xf>
    <xf numFmtId="0" fontId="78" fillId="0" borderId="39" xfId="8" applyNumberFormat="1" applyFont="1" applyFill="1" applyBorder="1" applyAlignment="1"/>
    <xf numFmtId="0" fontId="78" fillId="0" borderId="39" xfId="0" applyFont="1" applyBorder="1"/>
    <xf numFmtId="2" fontId="78" fillId="0" borderId="39" xfId="0" applyNumberFormat="1" applyFont="1" applyBorder="1" applyAlignment="1">
      <alignment horizontal="right"/>
    </xf>
    <xf numFmtId="1" fontId="82" fillId="0" borderId="39" xfId="0" applyNumberFormat="1" applyFont="1" applyBorder="1" applyAlignment="1">
      <alignment horizontal="center"/>
    </xf>
    <xf numFmtId="43" fontId="85" fillId="0" borderId="39" xfId="8" applyNumberFormat="1" applyFont="1" applyFill="1" applyBorder="1" applyAlignment="1">
      <alignment horizontal="center"/>
    </xf>
    <xf numFmtId="2" fontId="120" fillId="63" borderId="36" xfId="13" applyNumberFormat="1" applyFont="1" applyFill="1" applyBorder="1" applyAlignment="1" applyProtection="1">
      <alignment horizontal="left" vertical="center"/>
      <protection hidden="1"/>
    </xf>
    <xf numFmtId="2" fontId="91" fillId="63" borderId="38" xfId="11" applyNumberFormat="1" applyFont="1" applyFill="1" applyBorder="1" applyProtection="1">
      <protection hidden="1"/>
    </xf>
    <xf numFmtId="2" fontId="91" fillId="63" borderId="35" xfId="11" applyNumberFormat="1" applyFont="1" applyFill="1" applyBorder="1" applyProtection="1">
      <protection hidden="1"/>
    </xf>
    <xf numFmtId="2" fontId="78" fillId="0" borderId="36" xfId="11" applyNumberFormat="1" applyFont="1" applyBorder="1" applyProtection="1">
      <protection hidden="1"/>
    </xf>
    <xf numFmtId="2" fontId="78" fillId="0" borderId="35" xfId="11" applyNumberFormat="1" applyFont="1" applyBorder="1" applyProtection="1">
      <protection hidden="1"/>
    </xf>
    <xf numFmtId="0" fontId="80" fillId="0" borderId="36" xfId="0" applyFont="1" applyBorder="1"/>
    <xf numFmtId="0" fontId="80" fillId="0" borderId="35" xfId="0" applyFont="1" applyBorder="1"/>
    <xf numFmtId="177" fontId="128" fillId="0" borderId="37" xfId="11" applyNumberFormat="1" applyFont="1" applyBorder="1" applyAlignment="1" applyProtection="1">
      <alignment vertical="center"/>
      <protection hidden="1"/>
    </xf>
    <xf numFmtId="177" fontId="35" fillId="0" borderId="37" xfId="11" applyNumberFormat="1" applyFont="1" applyBorder="1" applyAlignment="1" applyProtection="1">
      <alignment vertical="center"/>
      <protection hidden="1"/>
    </xf>
    <xf numFmtId="10" fontId="128" fillId="0" borderId="35" xfId="0" applyNumberFormat="1" applyFont="1" applyBorder="1"/>
    <xf numFmtId="2" fontId="80" fillId="0" borderId="37" xfId="11" applyNumberFormat="1" applyFont="1" applyBorder="1" applyAlignment="1" applyProtection="1">
      <alignment horizontal="center"/>
      <protection hidden="1"/>
    </xf>
    <xf numFmtId="179" fontId="138" fillId="0" borderId="37" xfId="13" applyNumberFormat="1" applyFont="1" applyBorder="1" applyAlignment="1" applyProtection="1">
      <alignment horizontal="left" vertical="center"/>
      <protection hidden="1"/>
    </xf>
    <xf numFmtId="166" fontId="138" fillId="64" borderId="37" xfId="18" applyFont="1" applyFill="1" applyBorder="1" applyAlignment="1" applyProtection="1">
      <alignment horizontal="right" vertical="center"/>
      <protection hidden="1"/>
    </xf>
    <xf numFmtId="0" fontId="78" fillId="0" borderId="36" xfId="11" applyFont="1" applyBorder="1" applyAlignment="1" applyProtection="1">
      <alignment vertical="center"/>
      <protection hidden="1"/>
    </xf>
    <xf numFmtId="10" fontId="35" fillId="64" borderId="37" xfId="11" applyNumberFormat="1" applyFont="1" applyFill="1" applyBorder="1" applyAlignment="1" applyProtection="1">
      <alignment vertical="center"/>
      <protection hidden="1"/>
    </xf>
    <xf numFmtId="0" fontId="78" fillId="0" borderId="38" xfId="0" applyFont="1" applyBorder="1"/>
    <xf numFmtId="0" fontId="80" fillId="0" borderId="36" xfId="13" applyFont="1" applyBorder="1" applyAlignment="1" applyProtection="1">
      <alignment vertical="center"/>
      <protection hidden="1"/>
    </xf>
    <xf numFmtId="0" fontId="80" fillId="0" borderId="38" xfId="0" applyFont="1" applyBorder="1"/>
    <xf numFmtId="10" fontId="128" fillId="0" borderId="37" xfId="16" applyNumberFormat="1" applyFont="1" applyFill="1" applyBorder="1" applyAlignment="1"/>
    <xf numFmtId="0" fontId="120" fillId="63" borderId="36" xfId="13" applyFont="1" applyFill="1" applyBorder="1" applyAlignment="1" applyProtection="1">
      <alignment horizontal="left" vertical="center"/>
      <protection hidden="1"/>
    </xf>
    <xf numFmtId="0" fontId="121" fillId="63" borderId="38" xfId="13" applyFont="1" applyFill="1" applyBorder="1" applyAlignment="1" applyProtection="1">
      <alignment horizontal="left" vertical="center"/>
      <protection hidden="1"/>
    </xf>
    <xf numFmtId="9" fontId="122" fillId="63" borderId="35" xfId="13" applyNumberFormat="1" applyFont="1" applyFill="1" applyBorder="1" applyAlignment="1" applyProtection="1">
      <alignment vertical="center"/>
      <protection hidden="1"/>
    </xf>
    <xf numFmtId="0" fontId="114" fillId="63" borderId="37" xfId="13" applyFont="1" applyFill="1" applyBorder="1" applyAlignment="1" applyProtection="1">
      <alignment horizontal="left" vertical="center"/>
      <protection hidden="1"/>
    </xf>
    <xf numFmtId="0" fontId="88" fillId="0" borderId="37" xfId="13" applyFont="1" applyBorder="1" applyAlignment="1" applyProtection="1">
      <alignment horizontal="left" vertical="center"/>
      <protection hidden="1"/>
    </xf>
    <xf numFmtId="2" fontId="138" fillId="2" borderId="37" xfId="13" applyNumberFormat="1" applyFont="1" applyFill="1" applyBorder="1" applyAlignment="1" applyProtection="1">
      <alignment horizontal="right" vertical="center"/>
      <protection hidden="1"/>
    </xf>
    <xf numFmtId="0" fontId="80" fillId="0" borderId="37" xfId="13" applyFont="1" applyBorder="1" applyAlignment="1" applyProtection="1">
      <alignment vertical="center"/>
      <protection hidden="1"/>
    </xf>
    <xf numFmtId="2" fontId="128" fillId="0" borderId="37" xfId="13" applyNumberFormat="1" applyFont="1" applyBorder="1" applyAlignment="1" applyProtection="1">
      <alignment vertical="center"/>
      <protection hidden="1"/>
    </xf>
    <xf numFmtId="0" fontId="92" fillId="0" borderId="37" xfId="13" applyFont="1" applyBorder="1" applyAlignment="1" applyProtection="1">
      <alignment vertical="center"/>
      <protection hidden="1"/>
    </xf>
    <xf numFmtId="0" fontId="35" fillId="0" borderId="37" xfId="0" applyFont="1" applyBorder="1" applyAlignment="1">
      <alignment vertical="center"/>
    </xf>
    <xf numFmtId="2" fontId="138" fillId="64" borderId="37" xfId="13" applyNumberFormat="1" applyFont="1" applyFill="1" applyBorder="1" applyAlignment="1" applyProtection="1">
      <alignment horizontal="right" vertical="center"/>
      <protection hidden="1"/>
    </xf>
    <xf numFmtId="0" fontId="93" fillId="0" borderId="37" xfId="13" applyFont="1" applyBorder="1" applyAlignment="1" applyProtection="1">
      <alignment vertical="center"/>
      <protection hidden="1"/>
    </xf>
    <xf numFmtId="0" fontId="78" fillId="0" borderId="37" xfId="13" applyFont="1" applyBorder="1" applyAlignment="1" applyProtection="1">
      <alignment vertical="center"/>
      <protection hidden="1"/>
    </xf>
    <xf numFmtId="10" fontId="138" fillId="0" borderId="37" xfId="16" applyNumberFormat="1" applyFont="1" applyFill="1" applyBorder="1" applyAlignment="1" applyProtection="1">
      <alignment vertical="center"/>
      <protection hidden="1"/>
    </xf>
    <xf numFmtId="10" fontId="128" fillId="0" borderId="37" xfId="16" applyNumberFormat="1" applyFont="1" applyFill="1" applyBorder="1" applyAlignment="1" applyProtection="1">
      <alignment vertical="center"/>
      <protection hidden="1"/>
    </xf>
    <xf numFmtId="2" fontId="123" fillId="63" borderId="38" xfId="13" applyNumberFormat="1" applyFont="1" applyFill="1" applyBorder="1" applyAlignment="1" applyProtection="1">
      <alignment horizontal="center" wrapText="1"/>
      <protection hidden="1"/>
    </xf>
    <xf numFmtId="2" fontId="123" fillId="63" borderId="35" xfId="13" applyNumberFormat="1" applyFont="1" applyFill="1" applyBorder="1" applyAlignment="1" applyProtection="1">
      <alignment horizontal="right" wrapText="1"/>
      <protection hidden="1"/>
    </xf>
    <xf numFmtId="2" fontId="100" fillId="0" borderId="38" xfId="3" applyNumberFormat="1" applyFont="1" applyFill="1" applyBorder="1" applyAlignment="1" applyProtection="1">
      <alignment horizontal="center" vertical="center"/>
      <protection hidden="1"/>
    </xf>
    <xf numFmtId="2" fontId="100" fillId="0" borderId="35" xfId="3" applyNumberFormat="1" applyFont="1" applyFill="1" applyBorder="1" applyAlignment="1" applyProtection="1">
      <alignment horizontal="right" vertical="center"/>
      <protection hidden="1"/>
    </xf>
    <xf numFmtId="175" fontId="139" fillId="0" borderId="40" xfId="0" applyNumberFormat="1" applyFont="1" applyBorder="1" applyAlignment="1">
      <alignment horizontal="center" vertical="center"/>
    </xf>
    <xf numFmtId="2" fontId="101" fillId="0" borderId="38" xfId="3" applyNumberFormat="1" applyFont="1" applyFill="1" applyBorder="1" applyAlignment="1" applyProtection="1">
      <alignment horizontal="left" vertical="center"/>
      <protection hidden="1"/>
    </xf>
    <xf numFmtId="2" fontId="95" fillId="0" borderId="35" xfId="3" applyNumberFormat="1" applyFont="1" applyFill="1" applyBorder="1" applyAlignment="1" applyProtection="1">
      <alignment horizontal="right" vertical="center"/>
      <protection hidden="1"/>
    </xf>
    <xf numFmtId="10" fontId="102" fillId="0" borderId="35" xfId="16" applyNumberFormat="1" applyFont="1" applyFill="1" applyBorder="1" applyAlignment="1" applyProtection="1">
      <alignment horizontal="right"/>
      <protection hidden="1"/>
    </xf>
    <xf numFmtId="0" fontId="80" fillId="0" borderId="36" xfId="13" applyFont="1" applyBorder="1" applyProtection="1">
      <protection hidden="1"/>
    </xf>
    <xf numFmtId="0" fontId="104" fillId="0" borderId="38" xfId="13" applyFont="1" applyBorder="1" applyProtection="1">
      <protection hidden="1"/>
    </xf>
    <xf numFmtId="0" fontId="104" fillId="0" borderId="35" xfId="13" applyFont="1" applyBorder="1" applyAlignment="1" applyProtection="1">
      <alignment horizontal="right"/>
      <protection hidden="1"/>
    </xf>
    <xf numFmtId="0" fontId="102" fillId="0" borderId="38" xfId="13" applyFont="1" applyBorder="1" applyAlignment="1" applyProtection="1">
      <alignment horizontal="right"/>
      <protection hidden="1"/>
    </xf>
    <xf numFmtId="0" fontId="102" fillId="0" borderId="35" xfId="13" applyFont="1" applyBorder="1" applyAlignment="1" applyProtection="1">
      <alignment horizontal="right"/>
      <protection hidden="1"/>
    </xf>
    <xf numFmtId="0" fontId="88" fillId="0" borderId="36" xfId="13" applyFont="1" applyBorder="1" applyProtection="1">
      <protection hidden="1"/>
    </xf>
    <xf numFmtId="10" fontId="144" fillId="64" borderId="37" xfId="16" applyNumberFormat="1" applyFont="1" applyFill="1" applyBorder="1" applyAlignment="1" applyProtection="1">
      <alignment horizontal="right"/>
      <protection hidden="1"/>
    </xf>
    <xf numFmtId="0" fontId="103" fillId="0" borderId="38" xfId="13" applyFont="1" applyBorder="1" applyAlignment="1" applyProtection="1">
      <alignment horizontal="center"/>
      <protection hidden="1"/>
    </xf>
    <xf numFmtId="175" fontId="140" fillId="0" borderId="37" xfId="16" applyNumberFormat="1" applyFont="1" applyFill="1" applyBorder="1" applyAlignment="1" applyProtection="1">
      <alignment horizontal="center"/>
      <protection hidden="1"/>
    </xf>
    <xf numFmtId="0" fontId="85" fillId="0" borderId="36" xfId="13" applyFont="1" applyBorder="1" applyProtection="1">
      <protection hidden="1"/>
    </xf>
    <xf numFmtId="10" fontId="102" fillId="0" borderId="38" xfId="13" applyNumberFormat="1" applyFont="1" applyBorder="1" applyAlignment="1" applyProtection="1">
      <alignment horizontal="right"/>
      <protection hidden="1"/>
    </xf>
    <xf numFmtId="175" fontId="103" fillId="0" borderId="35" xfId="16" applyNumberFormat="1" applyFont="1" applyFill="1" applyBorder="1" applyAlignment="1" applyProtection="1">
      <alignment horizontal="right"/>
      <protection hidden="1"/>
    </xf>
    <xf numFmtId="9" fontId="138" fillId="64" borderId="37" xfId="16" applyFont="1" applyFill="1" applyBorder="1" applyAlignment="1" applyProtection="1">
      <alignment horizontal="center"/>
      <protection hidden="1"/>
    </xf>
    <xf numFmtId="0" fontId="106" fillId="0" borderId="38" xfId="13" applyFont="1" applyBorder="1" applyAlignment="1" applyProtection="1">
      <alignment horizontal="center"/>
      <protection hidden="1"/>
    </xf>
    <xf numFmtId="169" fontId="103" fillId="0" borderId="38" xfId="13" applyNumberFormat="1" applyFont="1" applyBorder="1" applyAlignment="1" applyProtection="1">
      <alignment horizontal="center"/>
      <protection hidden="1"/>
    </xf>
    <xf numFmtId="165" fontId="103" fillId="0" borderId="38" xfId="13" applyNumberFormat="1" applyFont="1" applyBorder="1" applyAlignment="1" applyProtection="1">
      <alignment horizontal="center"/>
      <protection hidden="1"/>
    </xf>
    <xf numFmtId="9" fontId="128" fillId="0" borderId="37" xfId="0" applyNumberFormat="1" applyFont="1" applyBorder="1" applyAlignment="1">
      <alignment horizontal="center"/>
    </xf>
    <xf numFmtId="9" fontId="128" fillId="61" borderId="37" xfId="65" applyFont="1" applyFill="1" applyBorder="1" applyAlignment="1">
      <alignment horizontal="center"/>
    </xf>
    <xf numFmtId="0" fontId="78" fillId="64" borderId="36" xfId="13" applyFont="1" applyFill="1" applyBorder="1" applyProtection="1">
      <protection hidden="1"/>
    </xf>
    <xf numFmtId="0" fontId="103" fillId="64" borderId="38" xfId="13" applyFont="1" applyFill="1" applyBorder="1" applyAlignment="1" applyProtection="1">
      <alignment horizontal="center"/>
      <protection hidden="1"/>
    </xf>
    <xf numFmtId="0" fontId="103" fillId="64" borderId="35" xfId="13" applyFont="1" applyFill="1" applyBorder="1" applyAlignment="1" applyProtection="1">
      <alignment horizontal="right"/>
      <protection hidden="1"/>
    </xf>
    <xf numFmtId="167" fontId="103" fillId="0" borderId="35" xfId="8" applyFont="1" applyFill="1" applyBorder="1" applyAlignment="1" applyProtection="1">
      <alignment horizontal="right"/>
      <protection hidden="1"/>
    </xf>
    <xf numFmtId="10" fontId="103" fillId="0" borderId="35" xfId="16" applyNumberFormat="1" applyFont="1" applyFill="1" applyBorder="1" applyAlignment="1" applyProtection="1">
      <alignment horizontal="right"/>
      <protection hidden="1"/>
    </xf>
    <xf numFmtId="10" fontId="103" fillId="64" borderId="35" xfId="16" applyNumberFormat="1" applyFont="1" applyFill="1" applyBorder="1" applyAlignment="1" applyProtection="1">
      <alignment horizontal="right"/>
      <protection hidden="1"/>
    </xf>
    <xf numFmtId="0" fontId="103" fillId="0" borderId="38" xfId="13" applyFont="1" applyBorder="1" applyProtection="1">
      <protection hidden="1"/>
    </xf>
    <xf numFmtId="169" fontId="104" fillId="0" borderId="38" xfId="13" applyNumberFormat="1" applyFont="1" applyBorder="1" applyProtection="1">
      <protection hidden="1"/>
    </xf>
    <xf numFmtId="169" fontId="103" fillId="0" borderId="35" xfId="13" applyNumberFormat="1" applyFont="1" applyBorder="1" applyAlignment="1" applyProtection="1">
      <alignment horizontal="right"/>
      <protection hidden="1"/>
    </xf>
    <xf numFmtId="0" fontId="104" fillId="0" borderId="40" xfId="0" applyFont="1" applyBorder="1" applyAlignment="1">
      <alignment horizontal="right"/>
    </xf>
    <xf numFmtId="0" fontId="89" fillId="0" borderId="36" xfId="13" applyFont="1" applyBorder="1" applyProtection="1">
      <protection hidden="1"/>
    </xf>
    <xf numFmtId="169" fontId="102" fillId="0" borderId="38" xfId="13" applyNumberFormat="1" applyFont="1" applyBorder="1" applyProtection="1">
      <protection hidden="1"/>
    </xf>
    <xf numFmtId="169" fontId="102" fillId="0" borderId="35" xfId="13" applyNumberFormat="1" applyFont="1" applyBorder="1" applyAlignment="1" applyProtection="1">
      <alignment horizontal="right"/>
      <protection hidden="1"/>
    </xf>
    <xf numFmtId="2" fontId="121" fillId="63" borderId="36" xfId="13" applyNumberFormat="1" applyFont="1" applyFill="1" applyBorder="1" applyAlignment="1" applyProtection="1">
      <alignment horizontal="left" vertical="center" wrapText="1"/>
      <protection hidden="1"/>
    </xf>
    <xf numFmtId="175" fontId="87" fillId="0" borderId="40" xfId="0" applyNumberFormat="1" applyFont="1" applyBorder="1" applyAlignment="1">
      <alignment horizontal="center" vertical="center"/>
    </xf>
    <xf numFmtId="166" fontId="128" fillId="0" borderId="37" xfId="18" applyFont="1" applyBorder="1" applyAlignment="1">
      <alignment horizontal="center"/>
    </xf>
    <xf numFmtId="0" fontId="114" fillId="63" borderId="37" xfId="59" applyFont="1" applyFill="1" applyBorder="1" applyAlignment="1">
      <alignment horizontal="left" vertical="top" wrapText="1"/>
    </xf>
    <xf numFmtId="0" fontId="35" fillId="0" borderId="37" xfId="0" applyFont="1" applyBorder="1" applyAlignment="1">
      <alignment horizontal="center"/>
    </xf>
    <xf numFmtId="167" fontId="35" fillId="0" borderId="37" xfId="8" applyFont="1" applyBorder="1"/>
    <xf numFmtId="166" fontId="35" fillId="0" borderId="37" xfId="18" applyFont="1" applyFill="1" applyBorder="1"/>
    <xf numFmtId="167" fontId="128" fillId="0" borderId="37" xfId="8" applyFont="1" applyBorder="1"/>
    <xf numFmtId="0" fontId="121" fillId="63" borderId="36" xfId="9" applyFont="1" applyFill="1" applyBorder="1" applyAlignment="1" applyProtection="1">
      <alignment horizontal="left" vertical="center"/>
      <protection hidden="1"/>
    </xf>
    <xf numFmtId="0" fontId="122" fillId="63" borderId="38" xfId="10" applyFont="1" applyFill="1" applyBorder="1"/>
    <xf numFmtId="0" fontId="125" fillId="63" borderId="38" xfId="10" applyFont="1" applyFill="1" applyBorder="1"/>
    <xf numFmtId="0" fontId="125" fillId="63" borderId="35" xfId="10" applyFont="1" applyFill="1" applyBorder="1"/>
    <xf numFmtId="0" fontId="78" fillId="0" borderId="36" xfId="9" applyFont="1" applyBorder="1" applyAlignment="1" applyProtection="1">
      <alignment horizontal="left"/>
      <protection hidden="1"/>
    </xf>
    <xf numFmtId="0" fontId="78" fillId="0" borderId="35" xfId="9" applyFont="1" applyBorder="1" applyAlignment="1" applyProtection="1">
      <alignment horizontal="left"/>
      <protection hidden="1"/>
    </xf>
    <xf numFmtId="0" fontId="78" fillId="0" borderId="37" xfId="9" applyFont="1" applyBorder="1" applyAlignment="1" applyProtection="1">
      <alignment horizontal="left"/>
      <protection hidden="1"/>
    </xf>
    <xf numFmtId="0" fontId="35" fillId="0" borderId="37" xfId="9" applyFont="1" applyBorder="1" applyAlignment="1" applyProtection="1">
      <alignment horizontal="center"/>
      <protection hidden="1"/>
    </xf>
    <xf numFmtId="0" fontId="78" fillId="0" borderId="37" xfId="10" applyFont="1" applyBorder="1"/>
    <xf numFmtId="179" fontId="145" fillId="64" borderId="37" xfId="10" applyNumberFormat="1" applyFont="1" applyFill="1" applyBorder="1"/>
    <xf numFmtId="0" fontId="78" fillId="64" borderId="37" xfId="10" applyFont="1" applyFill="1" applyBorder="1"/>
    <xf numFmtId="0" fontId="91" fillId="63" borderId="38" xfId="10" applyFont="1" applyFill="1" applyBorder="1"/>
    <xf numFmtId="0" fontId="91" fillId="63" borderId="35" xfId="10" applyFont="1" applyFill="1" applyBorder="1"/>
    <xf numFmtId="0" fontId="78" fillId="0" borderId="36" xfId="9" applyFont="1" applyBorder="1" applyAlignment="1" applyProtection="1">
      <alignment horizontal="left" vertical="top"/>
      <protection hidden="1"/>
    </xf>
    <xf numFmtId="0" fontId="78" fillId="0" borderId="38" xfId="9" applyFont="1" applyBorder="1" applyAlignment="1" applyProtection="1">
      <alignment horizontal="left" vertical="top"/>
      <protection hidden="1"/>
    </xf>
    <xf numFmtId="0" fontId="78" fillId="0" borderId="35" xfId="9" applyFont="1" applyBorder="1" applyAlignment="1" applyProtection="1">
      <alignment horizontal="center" vertical="top"/>
      <protection hidden="1"/>
    </xf>
    <xf numFmtId="0" fontId="78" fillId="0" borderId="37" xfId="9" applyFont="1" applyBorder="1" applyAlignment="1" applyProtection="1">
      <alignment horizontal="center"/>
      <protection hidden="1"/>
    </xf>
    <xf numFmtId="0" fontId="78" fillId="64" borderId="38" xfId="10" applyFont="1" applyFill="1" applyBorder="1"/>
    <xf numFmtId="0" fontId="78" fillId="64" borderId="36" xfId="10" applyFont="1" applyFill="1" applyBorder="1"/>
    <xf numFmtId="0" fontId="78" fillId="0" borderId="38" xfId="10" applyFont="1" applyBorder="1"/>
    <xf numFmtId="0" fontId="78" fillId="0" borderId="37" xfId="9" applyFont="1" applyBorder="1" applyAlignment="1" applyProtection="1">
      <alignment horizontal="left" vertical="center"/>
      <protection hidden="1"/>
    </xf>
    <xf numFmtId="0" fontId="78" fillId="0" borderId="36" xfId="9" applyFont="1" applyBorder="1" applyAlignment="1" applyProtection="1">
      <alignment horizontal="left" vertical="center"/>
      <protection hidden="1"/>
    </xf>
    <xf numFmtId="0" fontId="78" fillId="0" borderId="37" xfId="9" applyFont="1" applyBorder="1" applyAlignment="1" applyProtection="1">
      <alignment horizontal="left" wrapText="1"/>
      <protection hidden="1"/>
    </xf>
    <xf numFmtId="0" fontId="78" fillId="0" borderId="35" xfId="9" applyFont="1" applyBorder="1" applyAlignment="1" applyProtection="1">
      <alignment horizontal="left" wrapText="1"/>
      <protection hidden="1"/>
    </xf>
    <xf numFmtId="0" fontId="78" fillId="0" borderId="37" xfId="9" applyFont="1" applyBorder="1" applyAlignment="1" applyProtection="1">
      <alignment horizontal="right"/>
      <protection hidden="1"/>
    </xf>
    <xf numFmtId="173" fontId="114" fillId="63" borderId="33" xfId="8" applyNumberFormat="1" applyFont="1" applyFill="1" applyBorder="1" applyAlignment="1">
      <alignment vertical="top" wrapText="1"/>
    </xf>
    <xf numFmtId="0" fontId="78" fillId="0" borderId="37" xfId="103" applyFont="1" applyBorder="1" applyAlignment="1">
      <alignment vertical="top" wrapText="1"/>
    </xf>
    <xf numFmtId="44" fontId="35" fillId="65" borderId="37" xfId="66" applyFont="1" applyFill="1" applyBorder="1" applyAlignment="1" applyProtection="1">
      <protection locked="0"/>
    </xf>
    <xf numFmtId="0" fontId="78" fillId="0" borderId="37" xfId="103" applyFont="1" applyBorder="1" applyAlignment="1">
      <alignment vertical="top"/>
    </xf>
    <xf numFmtId="2" fontId="114" fillId="63" borderId="33" xfId="84" applyNumberFormat="1" applyFont="1" applyFill="1" applyBorder="1" applyAlignment="1">
      <alignment horizontal="left" vertical="top" wrapText="1"/>
    </xf>
    <xf numFmtId="2" fontId="114" fillId="63" borderId="33" xfId="84" applyNumberFormat="1" applyFont="1" applyFill="1" applyBorder="1" applyAlignment="1">
      <alignment vertical="top" wrapText="1"/>
    </xf>
    <xf numFmtId="3" fontId="35" fillId="0" borderId="37" xfId="8" applyNumberFormat="1" applyFont="1" applyFill="1" applyBorder="1" applyAlignment="1">
      <alignment horizontal="center" vertical="top" wrapText="1"/>
    </xf>
    <xf numFmtId="166" fontId="35" fillId="0" borderId="37" xfId="18" applyFont="1" applyBorder="1" applyAlignment="1">
      <alignment horizontal="center" vertical="top" wrapText="1"/>
    </xf>
    <xf numFmtId="44" fontId="35" fillId="0" borderId="37" xfId="66" applyFont="1" applyBorder="1" applyAlignment="1">
      <alignment vertical="top" wrapText="1"/>
    </xf>
    <xf numFmtId="49" fontId="35" fillId="0" borderId="37" xfId="103" applyNumberFormat="1" applyFont="1" applyBorder="1" applyAlignment="1">
      <alignment horizontal="center" vertical="top" wrapText="1"/>
    </xf>
    <xf numFmtId="2" fontId="80" fillId="2" borderId="36" xfId="84" applyNumberFormat="1" applyFont="1" applyFill="1" applyBorder="1" applyAlignment="1">
      <alignment vertical="top" wrapText="1"/>
    </xf>
    <xf numFmtId="2" fontId="80" fillId="2" borderId="35" xfId="84" applyNumberFormat="1" applyFont="1" applyFill="1" applyBorder="1" applyAlignment="1">
      <alignment vertical="top" wrapText="1"/>
    </xf>
    <xf numFmtId="2" fontId="80" fillId="2" borderId="38" xfId="84" applyNumberFormat="1" applyFont="1" applyFill="1" applyBorder="1" applyAlignment="1">
      <alignment vertical="top" wrapText="1"/>
    </xf>
    <xf numFmtId="3" fontId="128" fillId="2" borderId="38" xfId="8" applyNumberFormat="1" applyFont="1" applyFill="1" applyBorder="1" applyAlignment="1">
      <alignment horizontal="center" vertical="top" wrapText="1"/>
    </xf>
    <xf numFmtId="2" fontId="128" fillId="2" borderId="35" xfId="84" applyNumberFormat="1" applyFont="1" applyFill="1" applyBorder="1" applyAlignment="1">
      <alignment vertical="top" wrapText="1"/>
    </xf>
    <xf numFmtId="180" fontId="128" fillId="2" borderId="36" xfId="84" applyNumberFormat="1" applyFont="1" applyFill="1" applyBorder="1" applyAlignment="1">
      <alignment vertical="top" wrapText="1"/>
    </xf>
    <xf numFmtId="2" fontId="128" fillId="2" borderId="38" xfId="84" applyNumberFormat="1" applyFont="1" applyFill="1" applyBorder="1" applyAlignment="1">
      <alignment vertical="top" wrapText="1"/>
    </xf>
    <xf numFmtId="180" fontId="128" fillId="2" borderId="35" xfId="84" applyNumberFormat="1" applyFont="1" applyFill="1" applyBorder="1" applyAlignment="1">
      <alignment vertical="top" wrapText="1"/>
    </xf>
    <xf numFmtId="3" fontId="80" fillId="2" borderId="38" xfId="8" applyNumberFormat="1" applyFont="1" applyFill="1" applyBorder="1" applyAlignment="1">
      <alignment horizontal="center" vertical="top" wrapText="1"/>
    </xf>
    <xf numFmtId="3" fontId="35" fillId="2" borderId="37" xfId="8" applyNumberFormat="1" applyFont="1" applyFill="1" applyBorder="1" applyAlignment="1">
      <alignment horizontal="center"/>
    </xf>
    <xf numFmtId="3" fontId="128" fillId="2" borderId="37" xfId="8" applyNumberFormat="1" applyFont="1" applyFill="1" applyBorder="1" applyAlignment="1">
      <alignment horizontal="center"/>
    </xf>
    <xf numFmtId="4" fontId="35" fillId="2" borderId="37" xfId="8" applyNumberFormat="1" applyFont="1" applyFill="1" applyBorder="1" applyAlignment="1">
      <alignment horizontal="center"/>
    </xf>
    <xf numFmtId="4" fontId="128" fillId="2" borderId="37" xfId="8" applyNumberFormat="1" applyFont="1" applyFill="1" applyBorder="1" applyAlignment="1">
      <alignment horizontal="center"/>
    </xf>
    <xf numFmtId="0" fontId="7" fillId="0" borderId="0" xfId="0" applyFont="1"/>
    <xf numFmtId="9" fontId="78" fillId="0" borderId="0" xfId="0" applyNumberFormat="1" applyFont="1"/>
    <xf numFmtId="166" fontId="78" fillId="0" borderId="0" xfId="18" applyFont="1"/>
    <xf numFmtId="9" fontId="78" fillId="0" borderId="0" xfId="16" applyFont="1"/>
    <xf numFmtId="44" fontId="78" fillId="0" borderId="0" xfId="0" applyNumberFormat="1" applyFont="1"/>
    <xf numFmtId="49" fontId="77" fillId="65" borderId="37" xfId="9" applyNumberFormat="1" applyFont="1" applyFill="1" applyBorder="1" applyAlignment="1" applyProtection="1">
      <alignment horizontal="left" vertical="top"/>
      <protection hidden="1"/>
    </xf>
    <xf numFmtId="0" fontId="80" fillId="64" borderId="37" xfId="13" applyFont="1" applyFill="1" applyBorder="1" applyProtection="1">
      <protection hidden="1"/>
    </xf>
    <xf numFmtId="166" fontId="35" fillId="0" borderId="37" xfId="18" applyFont="1" applyFill="1" applyBorder="1" applyAlignment="1" applyProtection="1">
      <protection hidden="1"/>
    </xf>
    <xf numFmtId="166" fontId="138" fillId="2" borderId="37" xfId="18" applyFont="1" applyFill="1" applyBorder="1" applyAlignment="1" applyProtection="1">
      <alignment horizontal="center"/>
      <protection hidden="1"/>
    </xf>
    <xf numFmtId="9" fontId="130" fillId="64" borderId="37" xfId="16" applyFont="1" applyFill="1" applyBorder="1" applyAlignment="1" applyProtection="1">
      <alignment horizontal="center"/>
      <protection hidden="1"/>
    </xf>
    <xf numFmtId="9" fontId="134" fillId="64" borderId="37" xfId="16" applyFont="1" applyFill="1" applyBorder="1" applyAlignment="1" applyProtection="1">
      <alignment horizontal="center"/>
      <protection hidden="1"/>
    </xf>
    <xf numFmtId="173" fontId="81" fillId="0" borderId="0" xfId="8" applyNumberFormat="1" applyFont="1" applyAlignment="1">
      <alignment horizontal="left"/>
    </xf>
    <xf numFmtId="173" fontId="81" fillId="0" borderId="0" xfId="8" applyNumberFormat="1" applyFont="1" applyAlignment="1">
      <alignment horizontal="left" vertical="top"/>
    </xf>
    <xf numFmtId="180" fontId="77" fillId="65" borderId="37" xfId="18" applyNumberFormat="1" applyFont="1" applyFill="1" applyBorder="1" applyAlignment="1" applyProtection="1">
      <alignment horizontal="left" vertical="top"/>
      <protection hidden="1"/>
    </xf>
    <xf numFmtId="10" fontId="134" fillId="64" borderId="37" xfId="16" applyNumberFormat="1" applyFont="1" applyFill="1" applyBorder="1" applyAlignment="1" applyProtection="1">
      <alignment horizontal="center"/>
      <protection hidden="1"/>
    </xf>
    <xf numFmtId="0" fontId="80" fillId="2" borderId="36" xfId="84" applyFont="1" applyFill="1" applyBorder="1" applyAlignment="1">
      <alignment vertical="top" wrapText="1"/>
    </xf>
    <xf numFmtId="0" fontId="80" fillId="2" borderId="35" xfId="84" applyFont="1" applyFill="1" applyBorder="1" applyAlignment="1">
      <alignment vertical="top" wrapText="1"/>
    </xf>
    <xf numFmtId="0" fontId="80" fillId="2" borderId="38" xfId="84" applyFont="1" applyFill="1" applyBorder="1" applyAlignment="1">
      <alignment vertical="top" wrapText="1"/>
    </xf>
    <xf numFmtId="49" fontId="78" fillId="0" borderId="37" xfId="0" applyNumberFormat="1" applyFont="1" applyBorder="1"/>
    <xf numFmtId="49" fontId="84" fillId="0" borderId="16" xfId="59" applyNumberFormat="1" applyFont="1" applyBorder="1" applyAlignment="1">
      <alignment wrapText="1"/>
    </xf>
    <xf numFmtId="49" fontId="78" fillId="0" borderId="39" xfId="0" applyNumberFormat="1" applyFont="1" applyBorder="1"/>
    <xf numFmtId="49" fontId="78" fillId="0" borderId="0" xfId="0" applyNumberFormat="1" applyFont="1"/>
    <xf numFmtId="0" fontId="91" fillId="0" borderId="0" xfId="13" applyFont="1" applyProtection="1">
      <protection hidden="1"/>
    </xf>
    <xf numFmtId="175" fontId="78" fillId="0" borderId="0" xfId="0" applyNumberFormat="1" applyFont="1"/>
    <xf numFmtId="9" fontId="128" fillId="0" borderId="0" xfId="0" applyNumberFormat="1" applyFont="1" applyAlignment="1">
      <alignment horizontal="center"/>
    </xf>
    <xf numFmtId="44" fontId="78" fillId="0" borderId="0" xfId="89" applyNumberFormat="1" applyFont="1"/>
    <xf numFmtId="2" fontId="75" fillId="2" borderId="0" xfId="12" applyNumberFormat="1" applyFont="1" applyFill="1"/>
    <xf numFmtId="2" fontId="35" fillId="0" borderId="16" xfId="0" applyNumberFormat="1" applyFont="1" applyBorder="1" applyAlignment="1">
      <alignment wrapText="1"/>
    </xf>
    <xf numFmtId="2" fontId="134" fillId="0" borderId="16" xfId="59" applyNumberFormat="1" applyFont="1" applyBorder="1" applyAlignment="1">
      <alignment wrapText="1"/>
    </xf>
    <xf numFmtId="2" fontId="130" fillId="0" borderId="37" xfId="0" applyNumberFormat="1" applyFont="1" applyBorder="1" applyAlignment="1">
      <alignment horizontal="center"/>
    </xf>
    <xf numFmtId="0" fontId="82" fillId="0" borderId="0" xfId="13" applyFont="1" applyProtection="1">
      <protection hidden="1"/>
    </xf>
    <xf numFmtId="166" fontId="35" fillId="64" borderId="37" xfId="18" applyFont="1" applyFill="1" applyBorder="1" applyAlignment="1">
      <alignment horizontal="center" vertical="top" wrapText="1"/>
    </xf>
    <xf numFmtId="173" fontId="128" fillId="2" borderId="37" xfId="8" applyNumberFormat="1" applyFont="1" applyFill="1" applyBorder="1" applyAlignment="1">
      <alignment horizontal="center"/>
    </xf>
    <xf numFmtId="0" fontId="78" fillId="0" borderId="37" xfId="0" applyFont="1" applyBorder="1" applyAlignment="1">
      <alignment wrapText="1"/>
    </xf>
    <xf numFmtId="166" fontId="80" fillId="2" borderId="37" xfId="18" applyFont="1" applyFill="1" applyBorder="1" applyAlignment="1">
      <alignment vertical="top" wrapText="1"/>
    </xf>
    <xf numFmtId="0" fontId="78" fillId="2" borderId="37" xfId="103" applyFont="1" applyFill="1" applyBorder="1" applyAlignment="1">
      <alignment vertical="top" wrapText="1"/>
    </xf>
    <xf numFmtId="3" fontId="35" fillId="2" borderId="37" xfId="8" applyNumberFormat="1" applyFont="1" applyFill="1" applyBorder="1" applyAlignment="1">
      <alignment horizontal="center" vertical="top" wrapText="1"/>
    </xf>
    <xf numFmtId="0" fontId="78" fillId="2" borderId="37" xfId="103" applyFont="1" applyFill="1" applyBorder="1" applyAlignment="1">
      <alignment vertical="top"/>
    </xf>
    <xf numFmtId="3" fontId="35" fillId="64" borderId="37" xfId="8" applyNumberFormat="1" applyFont="1" applyFill="1" applyBorder="1" applyAlignment="1">
      <alignment horizontal="center" vertical="top" wrapText="1"/>
    </xf>
    <xf numFmtId="0" fontId="110" fillId="0" borderId="0" xfId="10" applyFont="1"/>
    <xf numFmtId="0" fontId="110" fillId="0" borderId="0" xfId="89" applyFont="1" applyAlignment="1">
      <alignment vertical="center"/>
    </xf>
    <xf numFmtId="166" fontId="78" fillId="64" borderId="37" xfId="18" applyFont="1" applyFill="1" applyBorder="1" applyAlignment="1">
      <alignment vertical="top" wrapText="1"/>
    </xf>
    <xf numFmtId="3" fontId="35" fillId="66" borderId="37" xfId="8" applyNumberFormat="1" applyFont="1" applyFill="1" applyBorder="1" applyAlignment="1">
      <alignment horizontal="center" vertical="top" wrapText="1"/>
    </xf>
    <xf numFmtId="173" fontId="122" fillId="63" borderId="33" xfId="8" applyNumberFormat="1" applyFont="1" applyFill="1" applyBorder="1" applyAlignment="1">
      <alignment vertical="top" wrapText="1"/>
    </xf>
    <xf numFmtId="167" fontId="78" fillId="0" borderId="37" xfId="8" applyFont="1" applyBorder="1"/>
    <xf numFmtId="4" fontId="35" fillId="64" borderId="37" xfId="8" applyNumberFormat="1" applyFont="1" applyFill="1" applyBorder="1" applyAlignment="1">
      <alignment horizontal="center" vertical="top" wrapText="1"/>
    </xf>
    <xf numFmtId="166" fontId="35" fillId="2" borderId="37" xfId="18" applyFont="1" applyFill="1" applyBorder="1" applyAlignment="1">
      <alignment horizontal="center" vertical="top" wrapText="1"/>
    </xf>
    <xf numFmtId="2" fontId="78" fillId="2" borderId="37" xfId="0" applyNumberFormat="1" applyFont="1" applyFill="1" applyBorder="1"/>
    <xf numFmtId="1" fontId="78" fillId="2" borderId="37" xfId="103" applyNumberFormat="1" applyFont="1" applyFill="1" applyBorder="1" applyAlignment="1">
      <alignment vertical="top" wrapText="1"/>
    </xf>
    <xf numFmtId="1" fontId="78" fillId="0" borderId="37" xfId="103" applyNumberFormat="1" applyFont="1" applyBorder="1" applyAlignment="1">
      <alignment vertical="top" wrapText="1"/>
    </xf>
    <xf numFmtId="1" fontId="114" fillId="63" borderId="33" xfId="84" applyNumberFormat="1" applyFont="1" applyFill="1" applyBorder="1" applyAlignment="1">
      <alignment horizontal="left" vertical="top" wrapText="1"/>
    </xf>
    <xf numFmtId="1" fontId="78" fillId="2" borderId="37" xfId="103" applyNumberFormat="1" applyFont="1" applyFill="1" applyBorder="1" applyAlignment="1">
      <alignment vertical="top"/>
    </xf>
    <xf numFmtId="4" fontId="35" fillId="64" borderId="37" xfId="18" applyNumberFormat="1" applyFont="1" applyFill="1" applyBorder="1" applyAlignment="1">
      <alignment horizontal="center" vertical="top" wrapText="1"/>
    </xf>
    <xf numFmtId="3" fontId="114" fillId="63" borderId="33" xfId="8" applyNumberFormat="1" applyFont="1" applyFill="1" applyBorder="1" applyAlignment="1">
      <alignment vertical="top" wrapText="1"/>
    </xf>
    <xf numFmtId="3" fontId="114" fillId="63" borderId="37" xfId="89" applyNumberFormat="1" applyFont="1" applyFill="1" applyBorder="1" applyAlignment="1" applyProtection="1">
      <alignment horizontal="center" vertical="top" wrapText="1"/>
      <protection hidden="1"/>
    </xf>
    <xf numFmtId="0" fontId="78" fillId="0" borderId="0" xfId="103" applyFont="1" applyAlignment="1">
      <alignment wrapText="1"/>
    </xf>
    <xf numFmtId="0" fontId="78" fillId="0" borderId="0" xfId="103" applyFont="1" applyAlignment="1">
      <alignment horizontal="center" wrapText="1"/>
    </xf>
    <xf numFmtId="2" fontId="114" fillId="63" borderId="36" xfId="0" applyNumberFormat="1" applyFont="1" applyFill="1" applyBorder="1" applyAlignment="1">
      <alignment horizontal="center" vertical="center" wrapText="1"/>
    </xf>
    <xf numFmtId="2" fontId="114" fillId="63" borderId="38" xfId="0" applyNumberFormat="1" applyFont="1" applyFill="1" applyBorder="1" applyAlignment="1">
      <alignment horizontal="center" vertical="center" wrapText="1"/>
    </xf>
    <xf numFmtId="2" fontId="114" fillId="63" borderId="35" xfId="0" applyNumberFormat="1" applyFont="1" applyFill="1" applyBorder="1" applyAlignment="1">
      <alignment horizontal="center" vertical="center" wrapText="1"/>
    </xf>
    <xf numFmtId="49" fontId="114" fillId="63" borderId="36" xfId="63" applyNumberFormat="1" applyFont="1" applyFill="1" applyBorder="1" applyAlignment="1">
      <alignment horizontal="left" vertical="top" wrapText="1"/>
    </xf>
    <xf numFmtId="49" fontId="114" fillId="62" borderId="38" xfId="63" applyNumberFormat="1" applyFont="1" applyFill="1" applyBorder="1" applyAlignment="1">
      <alignment horizontal="left" vertical="top" wrapText="1"/>
    </xf>
    <xf numFmtId="49" fontId="114" fillId="62" borderId="35" xfId="63" applyNumberFormat="1" applyFont="1" applyFill="1" applyBorder="1" applyAlignment="1">
      <alignment horizontal="left" vertical="top" wrapText="1"/>
    </xf>
    <xf numFmtId="0" fontId="78" fillId="0" borderId="36" xfId="0" applyFont="1" applyBorder="1" applyAlignment="1">
      <alignment horizontal="left"/>
    </xf>
    <xf numFmtId="0" fontId="78" fillId="0" borderId="35" xfId="0" applyFont="1" applyBorder="1" applyAlignment="1">
      <alignment horizontal="left"/>
    </xf>
    <xf numFmtId="0" fontId="80" fillId="0" borderId="36" xfId="13" applyFont="1" applyBorder="1" applyAlignment="1" applyProtection="1">
      <alignment horizontal="left" vertical="center"/>
      <protection hidden="1"/>
    </xf>
    <xf numFmtId="0" fontId="80" fillId="0" borderId="35" xfId="13" applyFont="1" applyBorder="1" applyAlignment="1" applyProtection="1">
      <alignment horizontal="left" vertical="center"/>
      <protection hidden="1"/>
    </xf>
    <xf numFmtId="2" fontId="123" fillId="63" borderId="36" xfId="13" applyNumberFormat="1" applyFont="1" applyFill="1" applyBorder="1" applyAlignment="1" applyProtection="1">
      <alignment horizontal="center" vertical="center" wrapText="1"/>
      <protection hidden="1"/>
    </xf>
    <xf numFmtId="2" fontId="123" fillId="63" borderId="38" xfId="13" applyNumberFormat="1" applyFont="1" applyFill="1" applyBorder="1" applyAlignment="1" applyProtection="1">
      <alignment horizontal="center" vertical="center" wrapText="1"/>
      <protection hidden="1"/>
    </xf>
    <xf numFmtId="2" fontId="123" fillId="63" borderId="35" xfId="13" applyNumberFormat="1" applyFont="1" applyFill="1" applyBorder="1" applyAlignment="1" applyProtection="1">
      <alignment horizontal="center" vertical="center" wrapText="1"/>
      <protection hidden="1"/>
    </xf>
    <xf numFmtId="2" fontId="123" fillId="63" borderId="36" xfId="13" applyNumberFormat="1" applyFont="1" applyFill="1" applyBorder="1" applyAlignment="1" applyProtection="1">
      <alignment horizontal="left" vertical="center" wrapText="1"/>
      <protection hidden="1"/>
    </xf>
    <xf numFmtId="2" fontId="123" fillId="63" borderId="38" xfId="13" applyNumberFormat="1" applyFont="1" applyFill="1" applyBorder="1" applyAlignment="1" applyProtection="1">
      <alignment horizontal="left" vertical="center" wrapText="1"/>
      <protection hidden="1"/>
    </xf>
    <xf numFmtId="2" fontId="123" fillId="63" borderId="35" xfId="13" applyNumberFormat="1" applyFont="1" applyFill="1" applyBorder="1" applyAlignment="1" applyProtection="1">
      <alignment horizontal="left" vertical="center" wrapText="1"/>
      <protection hidden="1"/>
    </xf>
    <xf numFmtId="2" fontId="123" fillId="63" borderId="36" xfId="3" applyNumberFormat="1" applyFont="1" applyFill="1" applyBorder="1" applyAlignment="1" applyProtection="1">
      <alignment horizontal="center" vertical="center" wrapText="1"/>
      <protection hidden="1"/>
    </xf>
    <xf numFmtId="0" fontId="114" fillId="62" borderId="35" xfId="0" applyFont="1" applyFill="1" applyBorder="1" applyAlignment="1">
      <alignment horizontal="center" vertical="center" wrapText="1"/>
    </xf>
    <xf numFmtId="0" fontId="78" fillId="0" borderId="0" xfId="0" applyFont="1" applyAlignment="1">
      <alignment horizontal="left" vertical="top" wrapText="1"/>
    </xf>
    <xf numFmtId="2" fontId="123" fillId="63" borderId="37" xfId="13" applyNumberFormat="1" applyFont="1" applyFill="1" applyBorder="1" applyAlignment="1" applyProtection="1">
      <alignment horizontal="center" vertical="center" wrapText="1"/>
      <protection hidden="1"/>
    </xf>
    <xf numFmtId="2" fontId="123" fillId="62" borderId="37" xfId="13" applyNumberFormat="1" applyFont="1" applyFill="1" applyBorder="1" applyAlignment="1" applyProtection="1">
      <alignment horizontal="center" vertical="center" wrapText="1"/>
      <protection hidden="1"/>
    </xf>
    <xf numFmtId="0" fontId="78" fillId="0" borderId="36" xfId="9" applyFont="1" applyBorder="1" applyAlignment="1" applyProtection="1">
      <alignment horizontal="center"/>
      <protection hidden="1"/>
    </xf>
    <xf numFmtId="0" fontId="78" fillId="0" borderId="38" xfId="9" applyFont="1" applyBorder="1" applyAlignment="1" applyProtection="1">
      <alignment horizontal="center"/>
      <protection hidden="1"/>
    </xf>
    <xf numFmtId="0" fontId="78" fillId="0" borderId="35" xfId="9" applyFont="1" applyBorder="1" applyAlignment="1" applyProtection="1">
      <alignment horizontal="center"/>
      <protection hidden="1"/>
    </xf>
    <xf numFmtId="0" fontId="110" fillId="0" borderId="0" xfId="89" applyFont="1" applyAlignment="1">
      <alignment horizontal="left" vertical="center"/>
    </xf>
    <xf numFmtId="2" fontId="114" fillId="63" borderId="41" xfId="84" applyNumberFormat="1" applyFont="1" applyFill="1" applyBorder="1" applyAlignment="1">
      <alignment horizontal="center" vertical="top" wrapText="1"/>
    </xf>
    <xf numFmtId="2" fontId="114" fillId="63" borderId="0" xfId="84" applyNumberFormat="1" applyFont="1" applyFill="1" applyAlignment="1">
      <alignment horizontal="center" vertical="top" wrapText="1"/>
    </xf>
  </cellXfs>
  <cellStyles count="52886">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8">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2D3"/>
      <color rgb="FF9FD2DF"/>
      <color rgb="FF324091"/>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26669</xdr:rowOff>
    </xdr:from>
    <xdr:to>
      <xdr:col>16</xdr:col>
      <xdr:colOff>135255</xdr:colOff>
      <xdr:row>49</xdr:row>
      <xdr:rowOff>76200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88694"/>
          <a:ext cx="11172825" cy="71742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100" b="1">
              <a:solidFill>
                <a:sysClr val="windowText" lastClr="000000"/>
              </a:solidFill>
              <a:effectLst/>
              <a:latin typeface="Georgia" panose="02040502050405020303" pitchFamily="18" charset="0"/>
              <a:ea typeface="+mn-ea"/>
              <a:cs typeface="+mn-cs"/>
            </a:rPr>
            <a:t>Algemeen</a:t>
          </a:r>
        </a:p>
        <a:p>
          <a:pPr marL="0" lvl="0" indent="0"/>
          <a:r>
            <a:rPr lang="nl-NL" sz="1100" b="0">
              <a:solidFill>
                <a:sysClr val="windowText" lastClr="000000"/>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100" b="0">
            <a:solidFill>
              <a:sysClr val="windowText" lastClr="000000"/>
            </a:solidFill>
            <a:effectLst/>
            <a:latin typeface="Georgia" panose="02040502050405020303" pitchFamily="18" charset="0"/>
            <a:ea typeface="+mn-ea"/>
            <a:cs typeface="+mn-cs"/>
          </a:endParaRPr>
        </a:p>
        <a:p>
          <a:pPr lvl="0"/>
          <a:r>
            <a:rPr lang="nl-NL" sz="1100" b="0">
              <a:solidFill>
                <a:sysClr val="windowText" lastClr="000000"/>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100" b="1">
            <a:solidFill>
              <a:sysClr val="windowText" lastClr="000000"/>
            </a:solidFill>
            <a:effectLst/>
            <a:latin typeface="Georgia" panose="02040502050405020303" pitchFamily="18" charset="0"/>
            <a:ea typeface="+mn-ea"/>
            <a:cs typeface="+mn-cs"/>
          </a:endParaRPr>
        </a:p>
        <a:p>
          <a:pPr lvl="0"/>
          <a:r>
            <a:rPr lang="nl-NL" sz="1100" b="1">
              <a:solidFill>
                <a:sysClr val="windowText" lastClr="000000"/>
              </a:solidFill>
              <a:effectLst/>
              <a:latin typeface="Georgia" panose="02040502050405020303" pitchFamily="18" charset="0"/>
              <a:ea typeface="+mn-ea"/>
              <a:cs typeface="+mn-cs"/>
            </a:rPr>
            <a:t>Prijsniveau</a:t>
          </a:r>
        </a:p>
        <a:p>
          <a:r>
            <a:rPr lang="nl-NL" sz="1100" b="0">
              <a:solidFill>
                <a:sysClr val="windowText" lastClr="000000"/>
              </a:solidFill>
              <a:effectLst/>
              <a:latin typeface="Georgia" panose="02040502050405020303" pitchFamily="18" charset="0"/>
              <a:ea typeface="+mn-ea"/>
              <a:cs typeface="+mn-cs"/>
            </a:rPr>
            <a:t>Het loon- en prijspeil van 1 januari 2027 is het 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100" b="1">
            <a:solidFill>
              <a:sysClr val="windowText" lastClr="000000"/>
            </a:solidFill>
            <a:effectLst/>
            <a:latin typeface="Georgia" panose="02040502050405020303" pitchFamily="18" charset="0"/>
            <a:ea typeface="+mn-ea"/>
            <a:cs typeface="+mn-cs"/>
          </a:endParaRPr>
        </a:p>
        <a:p>
          <a:pPr lvl="0"/>
          <a:r>
            <a:rPr lang="nl-NL" sz="1100" b="1">
              <a:solidFill>
                <a:sysClr val="windowText" lastClr="000000"/>
              </a:solidFill>
              <a:effectLst/>
              <a:latin typeface="Georgia" panose="02040502050405020303" pitchFamily="18" charset="0"/>
              <a:ea typeface="+mn-ea"/>
              <a:cs typeface="+mn-cs"/>
            </a:rPr>
            <a:t>Ruimtestaat</a:t>
          </a:r>
        </a:p>
        <a:p>
          <a:r>
            <a:rPr lang="nl-NL" sz="1100" b="0">
              <a:solidFill>
                <a:sysClr val="windowText" lastClr="000000"/>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100" b="1">
            <a:solidFill>
              <a:sysClr val="windowText" lastClr="000000"/>
            </a:solidFill>
            <a:effectLst/>
            <a:latin typeface="Georgia" panose="02040502050405020303" pitchFamily="18" charset="0"/>
            <a:ea typeface="+mn-ea"/>
            <a:cs typeface="+mn-cs"/>
          </a:endParaRPr>
        </a:p>
        <a:p>
          <a:r>
            <a:rPr lang="nl-NL" sz="1100" b="0">
              <a:solidFill>
                <a:sysClr val="windowText" lastClr="000000"/>
              </a:solidFill>
              <a:effectLst/>
              <a:latin typeface="Georgia" panose="02040502050405020303" pitchFamily="18" charset="0"/>
              <a:ea typeface="+mn-ea"/>
              <a:cs typeface="+mn-cs"/>
            </a:rPr>
            <a:t> </a:t>
          </a:r>
          <a:endParaRPr lang="nl-NL" sz="1100" b="1">
            <a:solidFill>
              <a:sysClr val="windowText" lastClr="000000"/>
            </a:solidFill>
            <a:effectLst/>
            <a:latin typeface="Georgia" panose="02040502050405020303" pitchFamily="18" charset="0"/>
            <a:ea typeface="+mn-ea"/>
            <a:cs typeface="+mn-cs"/>
          </a:endParaRPr>
        </a:p>
        <a:p>
          <a:r>
            <a:rPr lang="nl-NL" sz="1100" b="0">
              <a:solidFill>
                <a:sysClr val="windowText" lastClr="000000"/>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100" b="1">
            <a:solidFill>
              <a:sysClr val="windowText" lastClr="000000"/>
            </a:solidFill>
            <a:effectLst/>
            <a:latin typeface="Georgia" panose="02040502050405020303" pitchFamily="18" charset="0"/>
            <a:ea typeface="+mn-ea"/>
            <a:cs typeface="+mn-cs"/>
          </a:endParaRPr>
        </a:p>
        <a:p>
          <a:pPr lvl="0"/>
          <a:r>
            <a:rPr lang="nl-NL" sz="1100" b="1">
              <a:solidFill>
                <a:sysClr val="windowText" lastClr="000000"/>
              </a:solidFill>
              <a:effectLst/>
              <a:latin typeface="Georgia" panose="02040502050405020303" pitchFamily="18" charset="0"/>
              <a:ea typeface="+mn-ea"/>
              <a:cs typeface="+mn-cs"/>
            </a:rPr>
            <a:t>Contractjaarprijs</a:t>
          </a:r>
        </a:p>
        <a:p>
          <a:r>
            <a:rPr lang="nl-NL" sz="1100" b="0">
              <a:solidFill>
                <a:sysClr val="windowText" lastClr="000000"/>
              </a:solidFill>
              <a:effectLst/>
              <a:latin typeface="Georgia" panose="02040502050405020303" pitchFamily="18" charset="0"/>
              <a:ea typeface="+mn-ea"/>
              <a:cs typeface="+mn-cs"/>
            </a:rPr>
            <a:t>De contractjaarprijs is opgebouwd uit alle componenten die zijn opgenomen in het calculatiemodel met uitzondering van de afroepprijzen.</a:t>
          </a:r>
          <a:endParaRPr lang="nl-NL" sz="1100" b="1">
            <a:solidFill>
              <a:sysClr val="windowText" lastClr="000000"/>
            </a:solidFill>
            <a:effectLst/>
            <a:latin typeface="Georgia" panose="02040502050405020303" pitchFamily="18" charset="0"/>
            <a:ea typeface="+mn-ea"/>
            <a:cs typeface="+mn-cs"/>
          </a:endParaRPr>
        </a:p>
        <a:p>
          <a:endParaRPr lang="nl-NL" sz="1100" b="1">
            <a:solidFill>
              <a:sysClr val="windowText" lastClr="000000"/>
            </a:solidFill>
            <a:effectLst/>
            <a:latin typeface="Georgia" panose="02040502050405020303" pitchFamily="18" charset="0"/>
            <a:ea typeface="+mn-ea"/>
            <a:cs typeface="+mn-cs"/>
          </a:endParaRPr>
        </a:p>
        <a:p>
          <a:pPr lvl="0"/>
          <a:r>
            <a:rPr lang="nl-NL" sz="1100" b="1">
              <a:solidFill>
                <a:sysClr val="windowText" lastClr="000000"/>
              </a:solidFill>
              <a:effectLst/>
              <a:latin typeface="Georgia" panose="02040502050405020303" pitchFamily="18" charset="0"/>
              <a:ea typeface="+mn-ea"/>
              <a:cs typeface="+mn-cs"/>
            </a:rPr>
            <a:t>Uurtarieven</a:t>
          </a:r>
        </a:p>
        <a:p>
          <a:pPr marL="0" indent="0"/>
          <a:r>
            <a:rPr lang="nl-NL" sz="1100" b="0">
              <a:solidFill>
                <a:sysClr val="windowText" lastClr="000000"/>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pPr marL="0" indent="0"/>
          <a:r>
            <a:rPr lang="nl-NL" sz="1100" b="0">
              <a:solidFill>
                <a:sysClr val="windowText" lastClr="000000"/>
              </a:solidFill>
              <a:effectLst/>
              <a:latin typeface="Georgia" panose="02040502050405020303" pitchFamily="18" charset="0"/>
              <a:ea typeface="+mn-ea"/>
              <a:cs typeface="+mn-cs"/>
            </a:rPr>
            <a:t> </a:t>
          </a:r>
        </a:p>
        <a:p>
          <a:pPr marL="0" indent="0"/>
          <a:r>
            <a:rPr lang="nl-NL" sz="1100" b="0">
              <a:solidFill>
                <a:sysClr val="windowText" lastClr="000000"/>
              </a:solidFill>
              <a:effectLst/>
              <a:latin typeface="Georgia" panose="02040502050405020303" pitchFamily="18" charset="0"/>
              <a:ea typeface="+mn-ea"/>
              <a:cs typeface="+mn-cs"/>
            </a:rPr>
            <a:t>De opgegeven uurtarieven zijn, ten aanzien van de verdeling in loongroepen, gebaseerd op de gemiddelde eigenbedrijfssituatie.  </a:t>
          </a:r>
        </a:p>
        <a:p>
          <a:pPr marL="0" indent="0"/>
          <a:endParaRPr lang="nl-NL" sz="1100" b="1">
            <a:solidFill>
              <a:sysClr val="windowText" lastClr="000000"/>
            </a:solidFill>
            <a:effectLst/>
            <a:latin typeface="Georgia" panose="02040502050405020303" pitchFamily="18" charset="0"/>
            <a:ea typeface="+mn-ea"/>
            <a:cs typeface="+mn-cs"/>
          </a:endParaRPr>
        </a:p>
        <a:p>
          <a:pPr lvl="0"/>
          <a:r>
            <a:rPr lang="nl-NL" sz="1100" b="1">
              <a:solidFill>
                <a:sysClr val="windowText" lastClr="000000"/>
              </a:solidFill>
              <a:effectLst/>
              <a:latin typeface="Georgia" panose="02040502050405020303" pitchFamily="18" charset="0"/>
              <a:ea typeface="+mn-ea"/>
              <a:cs typeface="+mn-cs"/>
            </a:rPr>
            <a:t>Machinekosten</a:t>
          </a:r>
        </a:p>
        <a:p>
          <a:pPr lvl="0"/>
          <a:r>
            <a:rPr lang="nl-NL" sz="1100" b="0">
              <a:solidFill>
                <a:sysClr val="windowText" lastClr="000000"/>
              </a:solidFill>
              <a:effectLst/>
              <a:latin typeface="Georgia" panose="02040502050405020303" pitchFamily="18" charset="0"/>
              <a:ea typeface="+mn-ea"/>
              <a:cs typeface="+mn-cs"/>
            </a:rPr>
            <a:t>Bij een investering in machines van meer dan € 500,- per machine (netto aanschafprijs, excl. btw) worden deze machines niet verdisconteerd in het uurtarief maar als separaat investeringsvoorstel ingediend conform het calculatiemodel. Hieronder vallen bijvoorbeeld veegmachines en schrob-/zuigautomaten.</a:t>
          </a:r>
          <a:endParaRPr lang="nl-NL" sz="1100">
            <a:solidFill>
              <a:sysClr val="windowText" lastClr="000000"/>
            </a:solidFill>
            <a:effectLst/>
            <a:latin typeface="Georgia" panose="02040502050405020303" pitchFamily="18" charset="0"/>
          </a:endParaRPr>
        </a:p>
        <a:p>
          <a:r>
            <a:rPr lang="nl-NL" sz="1100" b="0">
              <a:solidFill>
                <a:sysClr val="windowText" lastClr="000000"/>
              </a:solidFill>
              <a:effectLst/>
              <a:latin typeface="Georgia" panose="02040502050405020303" pitchFamily="18" charset="0"/>
              <a:ea typeface="+mn-ea"/>
              <a:cs typeface="+mn-cs"/>
            </a:rPr>
            <a:t> </a:t>
          </a:r>
          <a:r>
            <a:rPr lang="nl-NL" sz="110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Voor investering in machines gelden de navolgende voorschriften:</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Investeringskosten kunnen uitsluitend in rekening worden gebracht indien de opdrachtgever vooraf goedkeuring heeft gegeven aan een gespecificeerd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investeringsvoorstel van de dienstverlener.</a:t>
          </a:r>
          <a:r>
            <a:rPr lang="nl-NL" sz="1100" baseline="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I</a:t>
          </a:r>
          <a:r>
            <a:rPr lang="nl-NL" sz="1100">
              <a:solidFill>
                <a:sysClr val="windowText" lastClr="000000"/>
              </a:solidFill>
              <a:effectLst/>
              <a:latin typeface="Georgia" panose="02040502050405020303" pitchFamily="18" charset="0"/>
              <a:ea typeface="+mn-ea"/>
              <a:cs typeface="+mn-cs"/>
            </a:rPr>
            <a:t>nvesteringsvoorstellen zijn gespecificeerd naar aanschafkosten, onderhoudskosten, afschrijvingstermijn, renteverlies en verzekeringskosten.</a:t>
          </a:r>
          <a:r>
            <a:rPr lang="nl-NL" sz="1100" baseline="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A</a:t>
          </a:r>
          <a:r>
            <a:rPr lang="nl-NL" sz="1100">
              <a:solidFill>
                <a:sysClr val="windowText" lastClr="000000"/>
              </a:solidFill>
              <a:effectLst/>
              <a:latin typeface="Georgia" panose="02040502050405020303" pitchFamily="18" charset="0"/>
              <a:ea typeface="+mn-ea"/>
              <a:cs typeface="+mn-cs"/>
            </a:rPr>
            <a:t>lle slijtvaste en niet slijtvaste onderdelen van machines zijn opgenomen in het onderhouds- en investeringsplan.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Kosten voor het gebruik van borstels, filters, etc. zijn voor rekening van de dienstverlener.</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a:t>
          </a:r>
        </a:p>
        <a:p>
          <a:r>
            <a:rPr lang="nl-NL" sz="1100" b="0">
              <a:solidFill>
                <a:sysClr val="windowText" lastClr="000000"/>
              </a:solidFill>
              <a:effectLst/>
              <a:latin typeface="Georgia" panose="02040502050405020303" pitchFamily="18" charset="0"/>
              <a:ea typeface="+mn-ea"/>
              <a:cs typeface="+mn-cs"/>
            </a:rPr>
            <a:t>Gezien de hoogte van de investeringen in combinatie met de technische en economische levensduur van machines geldt een gemiddelde afschrijvingstermijn van 5 jaar. </a:t>
          </a:r>
          <a:endParaRPr lang="nl-NL" sz="1100" b="1">
            <a:solidFill>
              <a:sysClr val="windowText" lastClr="000000"/>
            </a:solidFill>
            <a:effectLst/>
            <a:latin typeface="Georgia" panose="02040502050405020303" pitchFamily="18" charset="0"/>
            <a:ea typeface="+mn-ea"/>
            <a:cs typeface="+mn-cs"/>
          </a:endParaRPr>
        </a:p>
        <a:p>
          <a:endParaRPr lang="nl-NL" sz="1100">
            <a:solidFill>
              <a:sysClr val="windowText" lastClr="000000"/>
            </a:solidFill>
            <a:effectLst/>
            <a:latin typeface="Georgia" panose="02040502050405020303" pitchFamily="18" charset="0"/>
          </a:endParaRPr>
        </a:p>
        <a:p>
          <a:pPr eaLnBrk="1" fontAlgn="auto" latinLnBrk="0" hangingPunct="1"/>
          <a:r>
            <a:rPr lang="nl-NL" sz="1100" b="0">
              <a:solidFill>
                <a:sysClr val="windowText" lastClr="000000"/>
              </a:solidFill>
              <a:effectLst/>
              <a:latin typeface="Georgia" panose="02040502050405020303" pitchFamily="18" charset="0"/>
              <a:ea typeface="+mn-ea"/>
              <a:cs typeface="+mn-cs"/>
            </a:rPr>
            <a:t>Indien de machine(s) op het tijdstip van start contractdatum nog niet beschikbaar zijn, maakt de dienstverlener dit kenbaar in haar inschrijving en draagt zij op eigen kosten zorg voor tijdelijke inzet van kwalitatief gelijkwaardige machines. </a:t>
          </a:r>
          <a:endParaRPr lang="nl-NL" sz="1100">
            <a:solidFill>
              <a:sysClr val="windowText" lastClr="000000"/>
            </a:solidFill>
            <a:effectLst/>
            <a:latin typeface="Georgia" panose="02040502050405020303" pitchFamily="18" charset="0"/>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220980</xdr:colOff>
      <xdr:row>27</xdr:row>
      <xdr:rowOff>9525</xdr:rowOff>
    </xdr:from>
    <xdr:to>
      <xdr:col>8</xdr:col>
      <xdr:colOff>112395</xdr:colOff>
      <xdr:row>33</xdr:row>
      <xdr:rowOff>40006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6630" y="6838950"/>
          <a:ext cx="3034665" cy="15735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Georgia" panose="02040502050405020303" pitchFamily="18"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53763</xdr:colOff>
      <xdr:row>4</xdr:row>
      <xdr:rowOff>21167</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669106" y="59691"/>
          <a:ext cx="6619240" cy="6599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Tabellen"/>
      <sheetName val="Stam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 val="atir_xls3"/>
    </sheetNames>
    <sheetDataSet>
      <sheetData sheetId="0" refreshError="1"/>
      <sheetData sheetId="1" refreshError="1"/>
      <sheetData sheetId="2" refreshError="1"/>
      <sheetData sheetId="3" refreshError="1"/>
      <sheetData sheetId="4" refreshError="1"/>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 val="atir_xls2"/>
      <sheetName val="Info_blad"/>
      <sheetName val="1-Contract_tot__en_prijzenblad"/>
      <sheetName val="2-Basis_ruimtestaat"/>
      <sheetName val="3-Premies_en_opslagen"/>
      <sheetName val="4-Opbouw_uurtarief_productie"/>
      <sheetName val="5-Opbouw_uurtarief_toezicht"/>
      <sheetName val="9-Sanitaire_voorzieningen"/>
      <sheetName val="10-Menukaart_Meeting_&amp;_Events"/>
      <sheetName val="Dieptereiniging_Keuken"/>
      <sheetName val="Berekening_Resume"/>
      <sheetName val="Data"/>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Omreken"/>
      <sheetName val="atir_xls2"/>
      <sheetName val="atir_xls3"/>
    </sheetNames>
    <sheetDataSet>
      <sheetData sheetId="0" refreshError="1"/>
      <sheetData sheetId="1" refreshError="1"/>
      <sheetData sheetId="2" refreshError="1"/>
      <sheetData sheetId="3" refreshError="1"/>
      <sheetData sheetId="4"/>
      <sheetData sheetId="5" refreshError="1"/>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dimension ref="A1:M4"/>
  <sheetViews>
    <sheetView showGridLines="0" workbookViewId="0">
      <pane ySplit="4" topLeftCell="A5" activePane="bottomLeft" state="frozen"/>
      <selection pane="bottomLeft"/>
    </sheetView>
  </sheetViews>
  <sheetFormatPr defaultRowHeight="12.6"/>
  <cols>
    <col min="1" max="1" width="27.6640625" customWidth="1"/>
  </cols>
  <sheetData>
    <row r="1" spans="1:13" ht="15.6">
      <c r="A1" s="38" t="s">
        <v>1</v>
      </c>
      <c r="B1" s="39" t="str">
        <f>'2-Kosten per locatie'!B3</f>
        <v>Gemeente Lansingerland</v>
      </c>
    </row>
    <row r="2" spans="1:13" ht="15.6">
      <c r="A2" s="38" t="s">
        <v>2</v>
      </c>
      <c r="B2" s="39" t="str">
        <f ca="1">MID(CELL("bestandsnaam",$B$11),SEARCH("]",CELL("bestandsnaam",$B$11),1)+1,256)</f>
        <v>1-Uitgangspunten</v>
      </c>
    </row>
    <row r="3" spans="1:13" ht="15.6">
      <c r="A3" s="38" t="s">
        <v>3</v>
      </c>
      <c r="B3" s="39" t="str">
        <f>'2-Kosten per locatie'!B5</f>
        <v>Perceel 1 Schoonmaak</v>
      </c>
    </row>
    <row r="4" spans="1:13" ht="15.6">
      <c r="A4" s="38" t="s">
        <v>4</v>
      </c>
      <c r="B4" s="39" t="str">
        <f>'2-Kosten per locatie'!B6</f>
        <v>TN602303</v>
      </c>
      <c r="G4" s="37"/>
      <c r="H4" s="37"/>
      <c r="I4" s="37"/>
      <c r="J4" s="37"/>
      <c r="K4" s="37"/>
      <c r="L4" s="37"/>
      <c r="M4" s="37"/>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DA45-7CF5-4DCE-8280-BFB80A24DE20}">
  <sheetPr>
    <pageSetUpPr fitToPage="1"/>
  </sheetPr>
  <dimension ref="A1:AA24"/>
  <sheetViews>
    <sheetView showGridLines="0" zoomScale="85" zoomScaleNormal="85" zoomScaleSheetLayoutView="50" zoomScalePageLayoutView="50" workbookViewId="0">
      <pane ySplit="12" topLeftCell="A13" activePane="bottomLeft" state="frozen"/>
      <selection activeCell="B1" sqref="B1"/>
      <selection pane="bottomLeft" activeCell="G3" sqref="G3:G5"/>
    </sheetView>
  </sheetViews>
  <sheetFormatPr defaultColWidth="13.6640625" defaultRowHeight="13.2"/>
  <cols>
    <col min="1" max="1" width="46.109375" style="187" customWidth="1"/>
    <col min="2" max="2" width="23.33203125" style="188" customWidth="1"/>
    <col min="3" max="3" width="38" style="188" bestFit="1" customWidth="1"/>
    <col min="4" max="4" width="32.5546875" style="188" customWidth="1"/>
    <col min="5" max="5" width="12.109375" style="187" customWidth="1"/>
    <col min="6" max="6" width="30.6640625" style="189" customWidth="1"/>
    <col min="7" max="7" width="16.109375" style="190" customWidth="1"/>
    <col min="8" max="8" width="13.6640625" style="189" customWidth="1"/>
    <col min="9" max="9" width="15.88671875" style="189" customWidth="1"/>
    <col min="10" max="248" width="13.6640625" style="28"/>
    <col min="249" max="249" width="22.109375" style="28" customWidth="1"/>
    <col min="250" max="256" width="13.6640625" style="28" customWidth="1"/>
    <col min="257" max="257" width="15.88671875" style="28" customWidth="1"/>
    <col min="258" max="258" width="16.5546875" style="28" bestFit="1" customWidth="1"/>
    <col min="259" max="259" width="13.6640625" style="28" customWidth="1"/>
    <col min="260" max="260" width="17.109375" style="28" bestFit="1" customWidth="1"/>
    <col min="261" max="261" width="4" style="28" customWidth="1"/>
    <col min="262" max="262" width="13.6640625" style="28" customWidth="1"/>
    <col min="263" max="504" width="13.6640625" style="28"/>
    <col min="505" max="505" width="22.109375" style="28" customWidth="1"/>
    <col min="506" max="512" width="13.6640625" style="28" customWidth="1"/>
    <col min="513" max="513" width="15.88671875" style="28" customWidth="1"/>
    <col min="514" max="514" width="16.5546875" style="28" bestFit="1" customWidth="1"/>
    <col min="515" max="515" width="13.6640625" style="28" customWidth="1"/>
    <col min="516" max="516" width="17.109375" style="28" bestFit="1" customWidth="1"/>
    <col min="517" max="517" width="4" style="28" customWidth="1"/>
    <col min="518" max="518" width="13.6640625" style="28" customWidth="1"/>
    <col min="519" max="760" width="13.6640625" style="28"/>
    <col min="761" max="761" width="22.109375" style="28" customWidth="1"/>
    <col min="762" max="768" width="13.6640625" style="28" customWidth="1"/>
    <col min="769" max="769" width="15.88671875" style="28" customWidth="1"/>
    <col min="770" max="770" width="16.5546875" style="28" bestFit="1" customWidth="1"/>
    <col min="771" max="771" width="13.6640625" style="28" customWidth="1"/>
    <col min="772" max="772" width="17.109375" style="28" bestFit="1" customWidth="1"/>
    <col min="773" max="773" width="4" style="28" customWidth="1"/>
    <col min="774" max="774" width="13.6640625" style="28" customWidth="1"/>
    <col min="775" max="1016" width="13.6640625" style="28"/>
    <col min="1017" max="1017" width="22.109375" style="28" customWidth="1"/>
    <col min="1018" max="1024" width="13.6640625" style="28" customWidth="1"/>
    <col min="1025" max="1025" width="15.88671875" style="28" customWidth="1"/>
    <col min="1026" max="1026" width="16.5546875" style="28" bestFit="1" customWidth="1"/>
    <col min="1027" max="1027" width="13.6640625" style="28" customWidth="1"/>
    <col min="1028" max="1028" width="17.109375" style="28" bestFit="1" customWidth="1"/>
    <col min="1029" max="1029" width="4" style="28" customWidth="1"/>
    <col min="1030" max="1030" width="13.6640625" style="28" customWidth="1"/>
    <col min="1031" max="1272" width="13.6640625" style="28"/>
    <col min="1273" max="1273" width="22.109375" style="28" customWidth="1"/>
    <col min="1274" max="1280" width="13.6640625" style="28" customWidth="1"/>
    <col min="1281" max="1281" width="15.88671875" style="28" customWidth="1"/>
    <col min="1282" max="1282" width="16.5546875" style="28" bestFit="1" customWidth="1"/>
    <col min="1283" max="1283" width="13.6640625" style="28" customWidth="1"/>
    <col min="1284" max="1284" width="17.109375" style="28" bestFit="1" customWidth="1"/>
    <col min="1285" max="1285" width="4" style="28" customWidth="1"/>
    <col min="1286" max="1286" width="13.6640625" style="28" customWidth="1"/>
    <col min="1287" max="1528" width="13.6640625" style="28"/>
    <col min="1529" max="1529" width="22.109375" style="28" customWidth="1"/>
    <col min="1530" max="1536" width="13.6640625" style="28" customWidth="1"/>
    <col min="1537" max="1537" width="15.88671875" style="28" customWidth="1"/>
    <col min="1538" max="1538" width="16.5546875" style="28" bestFit="1" customWidth="1"/>
    <col min="1539" max="1539" width="13.6640625" style="28" customWidth="1"/>
    <col min="1540" max="1540" width="17.109375" style="28" bestFit="1" customWidth="1"/>
    <col min="1541" max="1541" width="4" style="28" customWidth="1"/>
    <col min="1542" max="1542" width="13.6640625" style="28" customWidth="1"/>
    <col min="1543" max="1784" width="13.6640625" style="28"/>
    <col min="1785" max="1785" width="22.109375" style="28" customWidth="1"/>
    <col min="1786" max="1792" width="13.6640625" style="28" customWidth="1"/>
    <col min="1793" max="1793" width="15.88671875" style="28" customWidth="1"/>
    <col min="1794" max="1794" width="16.5546875" style="28" bestFit="1" customWidth="1"/>
    <col min="1795" max="1795" width="13.6640625" style="28" customWidth="1"/>
    <col min="1796" max="1796" width="17.109375" style="28" bestFit="1" customWidth="1"/>
    <col min="1797" max="1797" width="4" style="28" customWidth="1"/>
    <col min="1798" max="1798" width="13.6640625" style="28" customWidth="1"/>
    <col min="1799" max="2040" width="13.6640625" style="28"/>
    <col min="2041" max="2041" width="22.109375" style="28" customWidth="1"/>
    <col min="2042" max="2048" width="13.6640625" style="28" customWidth="1"/>
    <col min="2049" max="2049" width="15.88671875" style="28" customWidth="1"/>
    <col min="2050" max="2050" width="16.5546875" style="28" bestFit="1" customWidth="1"/>
    <col min="2051" max="2051" width="13.6640625" style="28" customWidth="1"/>
    <col min="2052" max="2052" width="17.109375" style="28" bestFit="1" customWidth="1"/>
    <col min="2053" max="2053" width="4" style="28" customWidth="1"/>
    <col min="2054" max="2054" width="13.6640625" style="28" customWidth="1"/>
    <col min="2055" max="2296" width="13.6640625" style="28"/>
    <col min="2297" max="2297" width="22.109375" style="28" customWidth="1"/>
    <col min="2298" max="2304" width="13.6640625" style="28" customWidth="1"/>
    <col min="2305" max="2305" width="15.88671875" style="28" customWidth="1"/>
    <col min="2306" max="2306" width="16.5546875" style="28" bestFit="1" customWidth="1"/>
    <col min="2307" max="2307" width="13.6640625" style="28" customWidth="1"/>
    <col min="2308" max="2308" width="17.109375" style="28" bestFit="1" customWidth="1"/>
    <col min="2309" max="2309" width="4" style="28" customWidth="1"/>
    <col min="2310" max="2310" width="13.6640625" style="28" customWidth="1"/>
    <col min="2311" max="2552" width="13.6640625" style="28"/>
    <col min="2553" max="2553" width="22.109375" style="28" customWidth="1"/>
    <col min="2554" max="2560" width="13.6640625" style="28" customWidth="1"/>
    <col min="2561" max="2561" width="15.88671875" style="28" customWidth="1"/>
    <col min="2562" max="2562" width="16.5546875" style="28" bestFit="1" customWidth="1"/>
    <col min="2563" max="2563" width="13.6640625" style="28" customWidth="1"/>
    <col min="2564" max="2564" width="17.109375" style="28" bestFit="1" customWidth="1"/>
    <col min="2565" max="2565" width="4" style="28" customWidth="1"/>
    <col min="2566" max="2566" width="13.6640625" style="28" customWidth="1"/>
    <col min="2567" max="2808" width="13.6640625" style="28"/>
    <col min="2809" max="2809" width="22.109375" style="28" customWidth="1"/>
    <col min="2810" max="2816" width="13.6640625" style="28" customWidth="1"/>
    <col min="2817" max="2817" width="15.88671875" style="28" customWidth="1"/>
    <col min="2818" max="2818" width="16.5546875" style="28" bestFit="1" customWidth="1"/>
    <col min="2819" max="2819" width="13.6640625" style="28" customWidth="1"/>
    <col min="2820" max="2820" width="17.109375" style="28" bestFit="1" customWidth="1"/>
    <col min="2821" max="2821" width="4" style="28" customWidth="1"/>
    <col min="2822" max="2822" width="13.6640625" style="28" customWidth="1"/>
    <col min="2823" max="3064" width="13.6640625" style="28"/>
    <col min="3065" max="3065" width="22.109375" style="28" customWidth="1"/>
    <col min="3066" max="3072" width="13.6640625" style="28" customWidth="1"/>
    <col min="3073" max="3073" width="15.88671875" style="28" customWidth="1"/>
    <col min="3074" max="3074" width="16.5546875" style="28" bestFit="1" customWidth="1"/>
    <col min="3075" max="3075" width="13.6640625" style="28" customWidth="1"/>
    <col min="3076" max="3076" width="17.109375" style="28" bestFit="1" customWidth="1"/>
    <col min="3077" max="3077" width="4" style="28" customWidth="1"/>
    <col min="3078" max="3078" width="13.6640625" style="28" customWidth="1"/>
    <col min="3079" max="3320" width="13.6640625" style="28"/>
    <col min="3321" max="3321" width="22.109375" style="28" customWidth="1"/>
    <col min="3322" max="3328" width="13.6640625" style="28" customWidth="1"/>
    <col min="3329" max="3329" width="15.88671875" style="28" customWidth="1"/>
    <col min="3330" max="3330" width="16.5546875" style="28" bestFit="1" customWidth="1"/>
    <col min="3331" max="3331" width="13.6640625" style="28" customWidth="1"/>
    <col min="3332" max="3332" width="17.109375" style="28" bestFit="1" customWidth="1"/>
    <col min="3333" max="3333" width="4" style="28" customWidth="1"/>
    <col min="3334" max="3334" width="13.6640625" style="28" customWidth="1"/>
    <col min="3335" max="3576" width="13.6640625" style="28"/>
    <col min="3577" max="3577" width="22.109375" style="28" customWidth="1"/>
    <col min="3578" max="3584" width="13.6640625" style="28" customWidth="1"/>
    <col min="3585" max="3585" width="15.88671875" style="28" customWidth="1"/>
    <col min="3586" max="3586" width="16.5546875" style="28" bestFit="1" customWidth="1"/>
    <col min="3587" max="3587" width="13.6640625" style="28" customWidth="1"/>
    <col min="3588" max="3588" width="17.109375" style="28" bestFit="1" customWidth="1"/>
    <col min="3589" max="3589" width="4" style="28" customWidth="1"/>
    <col min="3590" max="3590" width="13.6640625" style="28" customWidth="1"/>
    <col min="3591" max="3832" width="13.6640625" style="28"/>
    <col min="3833" max="3833" width="22.109375" style="28" customWidth="1"/>
    <col min="3834" max="3840" width="13.6640625" style="28" customWidth="1"/>
    <col min="3841" max="3841" width="15.88671875" style="28" customWidth="1"/>
    <col min="3842" max="3842" width="16.5546875" style="28" bestFit="1" customWidth="1"/>
    <col min="3843" max="3843" width="13.6640625" style="28" customWidth="1"/>
    <col min="3844" max="3844" width="17.109375" style="28" bestFit="1" customWidth="1"/>
    <col min="3845" max="3845" width="4" style="28" customWidth="1"/>
    <col min="3846" max="3846" width="13.6640625" style="28" customWidth="1"/>
    <col min="3847" max="4088" width="13.6640625" style="28"/>
    <col min="4089" max="4089" width="22.109375" style="28" customWidth="1"/>
    <col min="4090" max="4096" width="13.6640625" style="28" customWidth="1"/>
    <col min="4097" max="4097" width="15.88671875" style="28" customWidth="1"/>
    <col min="4098" max="4098" width="16.5546875" style="28" bestFit="1" customWidth="1"/>
    <col min="4099" max="4099" width="13.6640625" style="28" customWidth="1"/>
    <col min="4100" max="4100" width="17.109375" style="28" bestFit="1" customWidth="1"/>
    <col min="4101" max="4101" width="4" style="28" customWidth="1"/>
    <col min="4102" max="4102" width="13.6640625" style="28" customWidth="1"/>
    <col min="4103" max="4344" width="13.6640625" style="28"/>
    <col min="4345" max="4345" width="22.109375" style="28" customWidth="1"/>
    <col min="4346" max="4352" width="13.6640625" style="28" customWidth="1"/>
    <col min="4353" max="4353" width="15.88671875" style="28" customWidth="1"/>
    <col min="4354" max="4354" width="16.5546875" style="28" bestFit="1" customWidth="1"/>
    <col min="4355" max="4355" width="13.6640625" style="28" customWidth="1"/>
    <col min="4356" max="4356" width="17.109375" style="28" bestFit="1" customWidth="1"/>
    <col min="4357" max="4357" width="4" style="28" customWidth="1"/>
    <col min="4358" max="4358" width="13.6640625" style="28" customWidth="1"/>
    <col min="4359" max="4600" width="13.6640625" style="28"/>
    <col min="4601" max="4601" width="22.109375" style="28" customWidth="1"/>
    <col min="4602" max="4608" width="13.6640625" style="28" customWidth="1"/>
    <col min="4609" max="4609" width="15.88671875" style="28" customWidth="1"/>
    <col min="4610" max="4610" width="16.5546875" style="28" bestFit="1" customWidth="1"/>
    <col min="4611" max="4611" width="13.6640625" style="28" customWidth="1"/>
    <col min="4612" max="4612" width="17.109375" style="28" bestFit="1" customWidth="1"/>
    <col min="4613" max="4613" width="4" style="28" customWidth="1"/>
    <col min="4614" max="4614" width="13.6640625" style="28" customWidth="1"/>
    <col min="4615" max="4856" width="13.6640625" style="28"/>
    <col min="4857" max="4857" width="22.109375" style="28" customWidth="1"/>
    <col min="4858" max="4864" width="13.6640625" style="28" customWidth="1"/>
    <col min="4865" max="4865" width="15.88671875" style="28" customWidth="1"/>
    <col min="4866" max="4866" width="16.5546875" style="28" bestFit="1" customWidth="1"/>
    <col min="4867" max="4867" width="13.6640625" style="28" customWidth="1"/>
    <col min="4868" max="4868" width="17.109375" style="28" bestFit="1" customWidth="1"/>
    <col min="4869" max="4869" width="4" style="28" customWidth="1"/>
    <col min="4870" max="4870" width="13.6640625" style="28" customWidth="1"/>
    <col min="4871" max="5112" width="13.6640625" style="28"/>
    <col min="5113" max="5113" width="22.109375" style="28" customWidth="1"/>
    <col min="5114" max="5120" width="13.6640625" style="28" customWidth="1"/>
    <col min="5121" max="5121" width="15.88671875" style="28" customWidth="1"/>
    <col min="5122" max="5122" width="16.5546875" style="28" bestFit="1" customWidth="1"/>
    <col min="5123" max="5123" width="13.6640625" style="28" customWidth="1"/>
    <col min="5124" max="5124" width="17.109375" style="28" bestFit="1" customWidth="1"/>
    <col min="5125" max="5125" width="4" style="28" customWidth="1"/>
    <col min="5126" max="5126" width="13.6640625" style="28" customWidth="1"/>
    <col min="5127" max="5368" width="13.6640625" style="28"/>
    <col min="5369" max="5369" width="22.109375" style="28" customWidth="1"/>
    <col min="5370" max="5376" width="13.6640625" style="28" customWidth="1"/>
    <col min="5377" max="5377" width="15.88671875" style="28" customWidth="1"/>
    <col min="5378" max="5378" width="16.5546875" style="28" bestFit="1" customWidth="1"/>
    <col min="5379" max="5379" width="13.6640625" style="28" customWidth="1"/>
    <col min="5380" max="5380" width="17.109375" style="28" bestFit="1" customWidth="1"/>
    <col min="5381" max="5381" width="4" style="28" customWidth="1"/>
    <col min="5382" max="5382" width="13.6640625" style="28" customWidth="1"/>
    <col min="5383" max="5624" width="13.6640625" style="28"/>
    <col min="5625" max="5625" width="22.109375" style="28" customWidth="1"/>
    <col min="5626" max="5632" width="13.6640625" style="28" customWidth="1"/>
    <col min="5633" max="5633" width="15.88671875" style="28" customWidth="1"/>
    <col min="5634" max="5634" width="16.5546875" style="28" bestFit="1" customWidth="1"/>
    <col min="5635" max="5635" width="13.6640625" style="28" customWidth="1"/>
    <col min="5636" max="5636" width="17.109375" style="28" bestFit="1" customWidth="1"/>
    <col min="5637" max="5637" width="4" style="28" customWidth="1"/>
    <col min="5638" max="5638" width="13.6640625" style="28" customWidth="1"/>
    <col min="5639" max="5880" width="13.6640625" style="28"/>
    <col min="5881" max="5881" width="22.109375" style="28" customWidth="1"/>
    <col min="5882" max="5888" width="13.6640625" style="28" customWidth="1"/>
    <col min="5889" max="5889" width="15.88671875" style="28" customWidth="1"/>
    <col min="5890" max="5890" width="16.5546875" style="28" bestFit="1" customWidth="1"/>
    <col min="5891" max="5891" width="13.6640625" style="28" customWidth="1"/>
    <col min="5892" max="5892" width="17.109375" style="28" bestFit="1" customWidth="1"/>
    <col min="5893" max="5893" width="4" style="28" customWidth="1"/>
    <col min="5894" max="5894" width="13.6640625" style="28" customWidth="1"/>
    <col min="5895" max="6136" width="13.6640625" style="28"/>
    <col min="6137" max="6137" width="22.109375" style="28" customWidth="1"/>
    <col min="6138" max="6144" width="13.6640625" style="28" customWidth="1"/>
    <col min="6145" max="6145" width="15.88671875" style="28" customWidth="1"/>
    <col min="6146" max="6146" width="16.5546875" style="28" bestFit="1" customWidth="1"/>
    <col min="6147" max="6147" width="13.6640625" style="28" customWidth="1"/>
    <col min="6148" max="6148" width="17.109375" style="28" bestFit="1" customWidth="1"/>
    <col min="6149" max="6149" width="4" style="28" customWidth="1"/>
    <col min="6150" max="6150" width="13.6640625" style="28" customWidth="1"/>
    <col min="6151" max="6392" width="13.6640625" style="28"/>
    <col min="6393" max="6393" width="22.109375" style="28" customWidth="1"/>
    <col min="6394" max="6400" width="13.6640625" style="28" customWidth="1"/>
    <col min="6401" max="6401" width="15.88671875" style="28" customWidth="1"/>
    <col min="6402" max="6402" width="16.5546875" style="28" bestFit="1" customWidth="1"/>
    <col min="6403" max="6403" width="13.6640625" style="28" customWidth="1"/>
    <col min="6404" max="6404" width="17.109375" style="28" bestFit="1" customWidth="1"/>
    <col min="6405" max="6405" width="4" style="28" customWidth="1"/>
    <col min="6406" max="6406" width="13.6640625" style="28" customWidth="1"/>
    <col min="6407" max="6648" width="13.6640625" style="28"/>
    <col min="6649" max="6649" width="22.109375" style="28" customWidth="1"/>
    <col min="6650" max="6656" width="13.6640625" style="28" customWidth="1"/>
    <col min="6657" max="6657" width="15.88671875" style="28" customWidth="1"/>
    <col min="6658" max="6658" width="16.5546875" style="28" bestFit="1" customWidth="1"/>
    <col min="6659" max="6659" width="13.6640625" style="28" customWidth="1"/>
    <col min="6660" max="6660" width="17.109375" style="28" bestFit="1" customWidth="1"/>
    <col min="6661" max="6661" width="4" style="28" customWidth="1"/>
    <col min="6662" max="6662" width="13.6640625" style="28" customWidth="1"/>
    <col min="6663" max="6904" width="13.6640625" style="28"/>
    <col min="6905" max="6905" width="22.109375" style="28" customWidth="1"/>
    <col min="6906" max="6912" width="13.6640625" style="28" customWidth="1"/>
    <col min="6913" max="6913" width="15.88671875" style="28" customWidth="1"/>
    <col min="6914" max="6914" width="16.5546875" style="28" bestFit="1" customWidth="1"/>
    <col min="6915" max="6915" width="13.6640625" style="28" customWidth="1"/>
    <col min="6916" max="6916" width="17.109375" style="28" bestFit="1" customWidth="1"/>
    <col min="6917" max="6917" width="4" style="28" customWidth="1"/>
    <col min="6918" max="6918" width="13.6640625" style="28" customWidth="1"/>
    <col min="6919" max="7160" width="13.6640625" style="28"/>
    <col min="7161" max="7161" width="22.109375" style="28" customWidth="1"/>
    <col min="7162" max="7168" width="13.6640625" style="28" customWidth="1"/>
    <col min="7169" max="7169" width="15.88671875" style="28" customWidth="1"/>
    <col min="7170" max="7170" width="16.5546875" style="28" bestFit="1" customWidth="1"/>
    <col min="7171" max="7171" width="13.6640625" style="28" customWidth="1"/>
    <col min="7172" max="7172" width="17.109375" style="28" bestFit="1" customWidth="1"/>
    <col min="7173" max="7173" width="4" style="28" customWidth="1"/>
    <col min="7174" max="7174" width="13.6640625" style="28" customWidth="1"/>
    <col min="7175" max="7416" width="13.6640625" style="28"/>
    <col min="7417" max="7417" width="22.109375" style="28" customWidth="1"/>
    <col min="7418" max="7424" width="13.6640625" style="28" customWidth="1"/>
    <col min="7425" max="7425" width="15.88671875" style="28" customWidth="1"/>
    <col min="7426" max="7426" width="16.5546875" style="28" bestFit="1" customWidth="1"/>
    <col min="7427" max="7427" width="13.6640625" style="28" customWidth="1"/>
    <col min="7428" max="7428" width="17.109375" style="28" bestFit="1" customWidth="1"/>
    <col min="7429" max="7429" width="4" style="28" customWidth="1"/>
    <col min="7430" max="7430" width="13.6640625" style="28" customWidth="1"/>
    <col min="7431" max="7672" width="13.6640625" style="28"/>
    <col min="7673" max="7673" width="22.109375" style="28" customWidth="1"/>
    <col min="7674" max="7680" width="13.6640625" style="28" customWidth="1"/>
    <col min="7681" max="7681" width="15.88671875" style="28" customWidth="1"/>
    <col min="7682" max="7682" width="16.5546875" style="28" bestFit="1" customWidth="1"/>
    <col min="7683" max="7683" width="13.6640625" style="28" customWidth="1"/>
    <col min="7684" max="7684" width="17.109375" style="28" bestFit="1" customWidth="1"/>
    <col min="7685" max="7685" width="4" style="28" customWidth="1"/>
    <col min="7686" max="7686" width="13.6640625" style="28" customWidth="1"/>
    <col min="7687" max="7928" width="13.6640625" style="28"/>
    <col min="7929" max="7929" width="22.109375" style="28" customWidth="1"/>
    <col min="7930" max="7936" width="13.6640625" style="28" customWidth="1"/>
    <col min="7937" max="7937" width="15.88671875" style="28" customWidth="1"/>
    <col min="7938" max="7938" width="16.5546875" style="28" bestFit="1" customWidth="1"/>
    <col min="7939" max="7939" width="13.6640625" style="28" customWidth="1"/>
    <col min="7940" max="7940" width="17.109375" style="28" bestFit="1" customWidth="1"/>
    <col min="7941" max="7941" width="4" style="28" customWidth="1"/>
    <col min="7942" max="7942" width="13.6640625" style="28" customWidth="1"/>
    <col min="7943" max="8184" width="13.6640625" style="28"/>
    <col min="8185" max="8185" width="22.109375" style="28" customWidth="1"/>
    <col min="8186" max="8192" width="13.6640625" style="28" customWidth="1"/>
    <col min="8193" max="8193" width="15.88671875" style="28" customWidth="1"/>
    <col min="8194" max="8194" width="16.5546875" style="28" bestFit="1" customWidth="1"/>
    <col min="8195" max="8195" width="13.6640625" style="28" customWidth="1"/>
    <col min="8196" max="8196" width="17.109375" style="28" bestFit="1" customWidth="1"/>
    <col min="8197" max="8197" width="4" style="28" customWidth="1"/>
    <col min="8198" max="8198" width="13.6640625" style="28" customWidth="1"/>
    <col min="8199" max="8440" width="13.6640625" style="28"/>
    <col min="8441" max="8441" width="22.109375" style="28" customWidth="1"/>
    <col min="8442" max="8448" width="13.6640625" style="28" customWidth="1"/>
    <col min="8449" max="8449" width="15.88671875" style="28" customWidth="1"/>
    <col min="8450" max="8450" width="16.5546875" style="28" bestFit="1" customWidth="1"/>
    <col min="8451" max="8451" width="13.6640625" style="28" customWidth="1"/>
    <col min="8452" max="8452" width="17.109375" style="28" bestFit="1" customWidth="1"/>
    <col min="8453" max="8453" width="4" style="28" customWidth="1"/>
    <col min="8454" max="8454" width="13.6640625" style="28" customWidth="1"/>
    <col min="8455" max="8696" width="13.6640625" style="28"/>
    <col min="8697" max="8697" width="22.109375" style="28" customWidth="1"/>
    <col min="8698" max="8704" width="13.6640625" style="28" customWidth="1"/>
    <col min="8705" max="8705" width="15.88671875" style="28" customWidth="1"/>
    <col min="8706" max="8706" width="16.5546875" style="28" bestFit="1" customWidth="1"/>
    <col min="8707" max="8707" width="13.6640625" style="28" customWidth="1"/>
    <col min="8708" max="8708" width="17.109375" style="28" bestFit="1" customWidth="1"/>
    <col min="8709" max="8709" width="4" style="28" customWidth="1"/>
    <col min="8710" max="8710" width="13.6640625" style="28" customWidth="1"/>
    <col min="8711" max="8952" width="13.6640625" style="28"/>
    <col min="8953" max="8953" width="22.109375" style="28" customWidth="1"/>
    <col min="8954" max="8960" width="13.6640625" style="28" customWidth="1"/>
    <col min="8961" max="8961" width="15.88671875" style="28" customWidth="1"/>
    <col min="8962" max="8962" width="16.5546875" style="28" bestFit="1" customWidth="1"/>
    <col min="8963" max="8963" width="13.6640625" style="28" customWidth="1"/>
    <col min="8964" max="8964" width="17.109375" style="28" bestFit="1" customWidth="1"/>
    <col min="8965" max="8965" width="4" style="28" customWidth="1"/>
    <col min="8966" max="8966" width="13.6640625" style="28" customWidth="1"/>
    <col min="8967" max="9208" width="13.6640625" style="28"/>
    <col min="9209" max="9209" width="22.109375" style="28" customWidth="1"/>
    <col min="9210" max="9216" width="13.6640625" style="28" customWidth="1"/>
    <col min="9217" max="9217" width="15.88671875" style="28" customWidth="1"/>
    <col min="9218" max="9218" width="16.5546875" style="28" bestFit="1" customWidth="1"/>
    <col min="9219" max="9219" width="13.6640625" style="28" customWidth="1"/>
    <col min="9220" max="9220" width="17.109375" style="28" bestFit="1" customWidth="1"/>
    <col min="9221" max="9221" width="4" style="28" customWidth="1"/>
    <col min="9222" max="9222" width="13.6640625" style="28" customWidth="1"/>
    <col min="9223" max="9464" width="13.6640625" style="28"/>
    <col min="9465" max="9465" width="22.109375" style="28" customWidth="1"/>
    <col min="9466" max="9472" width="13.6640625" style="28" customWidth="1"/>
    <col min="9473" max="9473" width="15.88671875" style="28" customWidth="1"/>
    <col min="9474" max="9474" width="16.5546875" style="28" bestFit="1" customWidth="1"/>
    <col min="9475" max="9475" width="13.6640625" style="28" customWidth="1"/>
    <col min="9476" max="9476" width="17.109375" style="28" bestFit="1" customWidth="1"/>
    <col min="9477" max="9477" width="4" style="28" customWidth="1"/>
    <col min="9478" max="9478" width="13.6640625" style="28" customWidth="1"/>
    <col min="9479" max="9720" width="13.6640625" style="28"/>
    <col min="9721" max="9721" width="22.109375" style="28" customWidth="1"/>
    <col min="9722" max="9728" width="13.6640625" style="28" customWidth="1"/>
    <col min="9729" max="9729" width="15.88671875" style="28" customWidth="1"/>
    <col min="9730" max="9730" width="16.5546875" style="28" bestFit="1" customWidth="1"/>
    <col min="9731" max="9731" width="13.6640625" style="28" customWidth="1"/>
    <col min="9732" max="9732" width="17.109375" style="28" bestFit="1" customWidth="1"/>
    <col min="9733" max="9733" width="4" style="28" customWidth="1"/>
    <col min="9734" max="9734" width="13.6640625" style="28" customWidth="1"/>
    <col min="9735" max="9976" width="13.6640625" style="28"/>
    <col min="9977" max="9977" width="22.109375" style="28" customWidth="1"/>
    <col min="9978" max="9984" width="13.6640625" style="28" customWidth="1"/>
    <col min="9985" max="9985" width="15.88671875" style="28" customWidth="1"/>
    <col min="9986" max="9986" width="16.5546875" style="28" bestFit="1" customWidth="1"/>
    <col min="9987" max="9987" width="13.6640625" style="28" customWidth="1"/>
    <col min="9988" max="9988" width="17.109375" style="28" bestFit="1" customWidth="1"/>
    <col min="9989" max="9989" width="4" style="28" customWidth="1"/>
    <col min="9990" max="9990" width="13.6640625" style="28" customWidth="1"/>
    <col min="9991" max="10232" width="13.6640625" style="28"/>
    <col min="10233" max="10233" width="22.109375" style="28" customWidth="1"/>
    <col min="10234" max="10240" width="13.6640625" style="28" customWidth="1"/>
    <col min="10241" max="10241" width="15.88671875" style="28" customWidth="1"/>
    <col min="10242" max="10242" width="16.5546875" style="28" bestFit="1" customWidth="1"/>
    <col min="10243" max="10243" width="13.6640625" style="28" customWidth="1"/>
    <col min="10244" max="10244" width="17.109375" style="28" bestFit="1" customWidth="1"/>
    <col min="10245" max="10245" width="4" style="28" customWidth="1"/>
    <col min="10246" max="10246" width="13.6640625" style="28" customWidth="1"/>
    <col min="10247" max="10488" width="13.6640625" style="28"/>
    <col min="10489" max="10489" width="22.109375" style="28" customWidth="1"/>
    <col min="10490" max="10496" width="13.6640625" style="28" customWidth="1"/>
    <col min="10497" max="10497" width="15.88671875" style="28" customWidth="1"/>
    <col min="10498" max="10498" width="16.5546875" style="28" bestFit="1" customWidth="1"/>
    <col min="10499" max="10499" width="13.6640625" style="28" customWidth="1"/>
    <col min="10500" max="10500" width="17.109375" style="28" bestFit="1" customWidth="1"/>
    <col min="10501" max="10501" width="4" style="28" customWidth="1"/>
    <col min="10502" max="10502" width="13.6640625" style="28" customWidth="1"/>
    <col min="10503" max="10744" width="13.6640625" style="28"/>
    <col min="10745" max="10745" width="22.109375" style="28" customWidth="1"/>
    <col min="10746" max="10752" width="13.6640625" style="28" customWidth="1"/>
    <col min="10753" max="10753" width="15.88671875" style="28" customWidth="1"/>
    <col min="10754" max="10754" width="16.5546875" style="28" bestFit="1" customWidth="1"/>
    <col min="10755" max="10755" width="13.6640625" style="28" customWidth="1"/>
    <col min="10756" max="10756" width="17.109375" style="28" bestFit="1" customWidth="1"/>
    <col min="10757" max="10757" width="4" style="28" customWidth="1"/>
    <col min="10758" max="10758" width="13.6640625" style="28" customWidth="1"/>
    <col min="10759" max="11000" width="13.6640625" style="28"/>
    <col min="11001" max="11001" width="22.109375" style="28" customWidth="1"/>
    <col min="11002" max="11008" width="13.6640625" style="28" customWidth="1"/>
    <col min="11009" max="11009" width="15.88671875" style="28" customWidth="1"/>
    <col min="11010" max="11010" width="16.5546875" style="28" bestFit="1" customWidth="1"/>
    <col min="11011" max="11011" width="13.6640625" style="28" customWidth="1"/>
    <col min="11012" max="11012" width="17.109375" style="28" bestFit="1" customWidth="1"/>
    <col min="11013" max="11013" width="4" style="28" customWidth="1"/>
    <col min="11014" max="11014" width="13.6640625" style="28" customWidth="1"/>
    <col min="11015" max="11256" width="13.6640625" style="28"/>
    <col min="11257" max="11257" width="22.109375" style="28" customWidth="1"/>
    <col min="11258" max="11264" width="13.6640625" style="28" customWidth="1"/>
    <col min="11265" max="11265" width="15.88671875" style="28" customWidth="1"/>
    <col min="11266" max="11266" width="16.5546875" style="28" bestFit="1" customWidth="1"/>
    <col min="11267" max="11267" width="13.6640625" style="28" customWidth="1"/>
    <col min="11268" max="11268" width="17.109375" style="28" bestFit="1" customWidth="1"/>
    <col min="11269" max="11269" width="4" style="28" customWidth="1"/>
    <col min="11270" max="11270" width="13.6640625" style="28" customWidth="1"/>
    <col min="11271" max="11512" width="13.6640625" style="28"/>
    <col min="11513" max="11513" width="22.109375" style="28" customWidth="1"/>
    <col min="11514" max="11520" width="13.6640625" style="28" customWidth="1"/>
    <col min="11521" max="11521" width="15.88671875" style="28" customWidth="1"/>
    <col min="11522" max="11522" width="16.5546875" style="28" bestFit="1" customWidth="1"/>
    <col min="11523" max="11523" width="13.6640625" style="28" customWidth="1"/>
    <col min="11524" max="11524" width="17.109375" style="28" bestFit="1" customWidth="1"/>
    <col min="11525" max="11525" width="4" style="28" customWidth="1"/>
    <col min="11526" max="11526" width="13.6640625" style="28" customWidth="1"/>
    <col min="11527" max="11768" width="13.6640625" style="28"/>
    <col min="11769" max="11769" width="22.109375" style="28" customWidth="1"/>
    <col min="11770" max="11776" width="13.6640625" style="28" customWidth="1"/>
    <col min="11777" max="11777" width="15.88671875" style="28" customWidth="1"/>
    <col min="11778" max="11778" width="16.5546875" style="28" bestFit="1" customWidth="1"/>
    <col min="11779" max="11779" width="13.6640625" style="28" customWidth="1"/>
    <col min="11780" max="11780" width="17.109375" style="28" bestFit="1" customWidth="1"/>
    <col min="11781" max="11781" width="4" style="28" customWidth="1"/>
    <col min="11782" max="11782" width="13.6640625" style="28" customWidth="1"/>
    <col min="11783" max="12024" width="13.6640625" style="28"/>
    <col min="12025" max="12025" width="22.109375" style="28" customWidth="1"/>
    <col min="12026" max="12032" width="13.6640625" style="28" customWidth="1"/>
    <col min="12033" max="12033" width="15.88671875" style="28" customWidth="1"/>
    <col min="12034" max="12034" width="16.5546875" style="28" bestFit="1" customWidth="1"/>
    <col min="12035" max="12035" width="13.6640625" style="28" customWidth="1"/>
    <col min="12036" max="12036" width="17.109375" style="28" bestFit="1" customWidth="1"/>
    <col min="12037" max="12037" width="4" style="28" customWidth="1"/>
    <col min="12038" max="12038" width="13.6640625" style="28" customWidth="1"/>
    <col min="12039" max="12280" width="13.6640625" style="28"/>
    <col min="12281" max="12281" width="22.109375" style="28" customWidth="1"/>
    <col min="12282" max="12288" width="13.6640625" style="28" customWidth="1"/>
    <col min="12289" max="12289" width="15.88671875" style="28" customWidth="1"/>
    <col min="12290" max="12290" width="16.5546875" style="28" bestFit="1" customWidth="1"/>
    <col min="12291" max="12291" width="13.6640625" style="28" customWidth="1"/>
    <col min="12292" max="12292" width="17.109375" style="28" bestFit="1" customWidth="1"/>
    <col min="12293" max="12293" width="4" style="28" customWidth="1"/>
    <col min="12294" max="12294" width="13.6640625" style="28" customWidth="1"/>
    <col min="12295" max="12536" width="13.6640625" style="28"/>
    <col min="12537" max="12537" width="22.109375" style="28" customWidth="1"/>
    <col min="12538" max="12544" width="13.6640625" style="28" customWidth="1"/>
    <col min="12545" max="12545" width="15.88671875" style="28" customWidth="1"/>
    <col min="12546" max="12546" width="16.5546875" style="28" bestFit="1" customWidth="1"/>
    <col min="12547" max="12547" width="13.6640625" style="28" customWidth="1"/>
    <col min="12548" max="12548" width="17.109375" style="28" bestFit="1" customWidth="1"/>
    <col min="12549" max="12549" width="4" style="28" customWidth="1"/>
    <col min="12550" max="12550" width="13.6640625" style="28" customWidth="1"/>
    <col min="12551" max="12792" width="13.6640625" style="28"/>
    <col min="12793" max="12793" width="22.109375" style="28" customWidth="1"/>
    <col min="12794" max="12800" width="13.6640625" style="28" customWidth="1"/>
    <col min="12801" max="12801" width="15.88671875" style="28" customWidth="1"/>
    <col min="12802" max="12802" width="16.5546875" style="28" bestFit="1" customWidth="1"/>
    <col min="12803" max="12803" width="13.6640625" style="28" customWidth="1"/>
    <col min="12804" max="12804" width="17.109375" style="28" bestFit="1" customWidth="1"/>
    <col min="12805" max="12805" width="4" style="28" customWidth="1"/>
    <col min="12806" max="12806" width="13.6640625" style="28" customWidth="1"/>
    <col min="12807" max="13048" width="13.6640625" style="28"/>
    <col min="13049" max="13049" width="22.109375" style="28" customWidth="1"/>
    <col min="13050" max="13056" width="13.6640625" style="28" customWidth="1"/>
    <col min="13057" max="13057" width="15.88671875" style="28" customWidth="1"/>
    <col min="13058" max="13058" width="16.5546875" style="28" bestFit="1" customWidth="1"/>
    <col min="13059" max="13059" width="13.6640625" style="28" customWidth="1"/>
    <col min="13060" max="13060" width="17.109375" style="28" bestFit="1" customWidth="1"/>
    <col min="13061" max="13061" width="4" style="28" customWidth="1"/>
    <col min="13062" max="13062" width="13.6640625" style="28" customWidth="1"/>
    <col min="13063" max="13304" width="13.6640625" style="28"/>
    <col min="13305" max="13305" width="22.109375" style="28" customWidth="1"/>
    <col min="13306" max="13312" width="13.6640625" style="28" customWidth="1"/>
    <col min="13313" max="13313" width="15.88671875" style="28" customWidth="1"/>
    <col min="13314" max="13314" width="16.5546875" style="28" bestFit="1" customWidth="1"/>
    <col min="13315" max="13315" width="13.6640625" style="28" customWidth="1"/>
    <col min="13316" max="13316" width="17.109375" style="28" bestFit="1" customWidth="1"/>
    <col min="13317" max="13317" width="4" style="28" customWidth="1"/>
    <col min="13318" max="13318" width="13.6640625" style="28" customWidth="1"/>
    <col min="13319" max="13560" width="13.6640625" style="28"/>
    <col min="13561" max="13561" width="22.109375" style="28" customWidth="1"/>
    <col min="13562" max="13568" width="13.6640625" style="28" customWidth="1"/>
    <col min="13569" max="13569" width="15.88671875" style="28" customWidth="1"/>
    <col min="13570" max="13570" width="16.5546875" style="28" bestFit="1" customWidth="1"/>
    <col min="13571" max="13571" width="13.6640625" style="28" customWidth="1"/>
    <col min="13572" max="13572" width="17.109375" style="28" bestFit="1" customWidth="1"/>
    <col min="13573" max="13573" width="4" style="28" customWidth="1"/>
    <col min="13574" max="13574" width="13.6640625" style="28" customWidth="1"/>
    <col min="13575" max="13816" width="13.6640625" style="28"/>
    <col min="13817" max="13817" width="22.109375" style="28" customWidth="1"/>
    <col min="13818" max="13824" width="13.6640625" style="28" customWidth="1"/>
    <col min="13825" max="13825" width="15.88671875" style="28" customWidth="1"/>
    <col min="13826" max="13826" width="16.5546875" style="28" bestFit="1" customWidth="1"/>
    <col min="13827" max="13827" width="13.6640625" style="28" customWidth="1"/>
    <col min="13828" max="13828" width="17.109375" style="28" bestFit="1" customWidth="1"/>
    <col min="13829" max="13829" width="4" style="28" customWidth="1"/>
    <col min="13830" max="13830" width="13.6640625" style="28" customWidth="1"/>
    <col min="13831" max="14072" width="13.6640625" style="28"/>
    <col min="14073" max="14073" width="22.109375" style="28" customWidth="1"/>
    <col min="14074" max="14080" width="13.6640625" style="28" customWidth="1"/>
    <col min="14081" max="14081" width="15.88671875" style="28" customWidth="1"/>
    <col min="14082" max="14082" width="16.5546875" style="28" bestFit="1" customWidth="1"/>
    <col min="14083" max="14083" width="13.6640625" style="28" customWidth="1"/>
    <col min="14084" max="14084" width="17.109375" style="28" bestFit="1" customWidth="1"/>
    <col min="14085" max="14085" width="4" style="28" customWidth="1"/>
    <col min="14086" max="14086" width="13.6640625" style="28" customWidth="1"/>
    <col min="14087" max="14328" width="13.6640625" style="28"/>
    <col min="14329" max="14329" width="22.109375" style="28" customWidth="1"/>
    <col min="14330" max="14336" width="13.6640625" style="28" customWidth="1"/>
    <col min="14337" max="14337" width="15.88671875" style="28" customWidth="1"/>
    <col min="14338" max="14338" width="16.5546875" style="28" bestFit="1" customWidth="1"/>
    <col min="14339" max="14339" width="13.6640625" style="28" customWidth="1"/>
    <col min="14340" max="14340" width="17.109375" style="28" bestFit="1" customWidth="1"/>
    <col min="14341" max="14341" width="4" style="28" customWidth="1"/>
    <col min="14342" max="14342" width="13.6640625" style="28" customWidth="1"/>
    <col min="14343" max="14584" width="13.6640625" style="28"/>
    <col min="14585" max="14585" width="22.109375" style="28" customWidth="1"/>
    <col min="14586" max="14592" width="13.6640625" style="28" customWidth="1"/>
    <col min="14593" max="14593" width="15.88671875" style="28" customWidth="1"/>
    <col min="14594" max="14594" width="16.5546875" style="28" bestFit="1" customWidth="1"/>
    <col min="14595" max="14595" width="13.6640625" style="28" customWidth="1"/>
    <col min="14596" max="14596" width="17.109375" style="28" bestFit="1" customWidth="1"/>
    <col min="14597" max="14597" width="4" style="28" customWidth="1"/>
    <col min="14598" max="14598" width="13.6640625" style="28" customWidth="1"/>
    <col min="14599" max="14840" width="13.6640625" style="28"/>
    <col min="14841" max="14841" width="22.109375" style="28" customWidth="1"/>
    <col min="14842" max="14848" width="13.6640625" style="28" customWidth="1"/>
    <col min="14849" max="14849" width="15.88671875" style="28" customWidth="1"/>
    <col min="14850" max="14850" width="16.5546875" style="28" bestFit="1" customWidth="1"/>
    <col min="14851" max="14851" width="13.6640625" style="28" customWidth="1"/>
    <col min="14852" max="14852" width="17.109375" style="28" bestFit="1" customWidth="1"/>
    <col min="14853" max="14853" width="4" style="28" customWidth="1"/>
    <col min="14854" max="14854" width="13.6640625" style="28" customWidth="1"/>
    <col min="14855" max="15096" width="13.6640625" style="28"/>
    <col min="15097" max="15097" width="22.109375" style="28" customWidth="1"/>
    <col min="15098" max="15104" width="13.6640625" style="28" customWidth="1"/>
    <col min="15105" max="15105" width="15.88671875" style="28" customWidth="1"/>
    <col min="15106" max="15106" width="16.5546875" style="28" bestFit="1" customWidth="1"/>
    <col min="15107" max="15107" width="13.6640625" style="28" customWidth="1"/>
    <col min="15108" max="15108" width="17.109375" style="28" bestFit="1" customWidth="1"/>
    <col min="15109" max="15109" width="4" style="28" customWidth="1"/>
    <col min="15110" max="15110" width="13.6640625" style="28" customWidth="1"/>
    <col min="15111" max="15352" width="13.6640625" style="28"/>
    <col min="15353" max="15353" width="22.109375" style="28" customWidth="1"/>
    <col min="15354" max="15360" width="13.6640625" style="28" customWidth="1"/>
    <col min="15361" max="15361" width="15.88671875" style="28" customWidth="1"/>
    <col min="15362" max="15362" width="16.5546875" style="28" bestFit="1" customWidth="1"/>
    <col min="15363" max="15363" width="13.6640625" style="28" customWidth="1"/>
    <col min="15364" max="15364" width="17.109375" style="28" bestFit="1" customWidth="1"/>
    <col min="15365" max="15365" width="4" style="28" customWidth="1"/>
    <col min="15366" max="15366" width="13.6640625" style="28" customWidth="1"/>
    <col min="15367" max="15608" width="13.6640625" style="28"/>
    <col min="15609" max="15609" width="22.109375" style="28" customWidth="1"/>
    <col min="15610" max="15616" width="13.6640625" style="28" customWidth="1"/>
    <col min="15617" max="15617" width="15.88671875" style="28" customWidth="1"/>
    <col min="15618" max="15618" width="16.5546875" style="28" bestFit="1" customWidth="1"/>
    <col min="15619" max="15619" width="13.6640625" style="28" customWidth="1"/>
    <col min="15620" max="15620" width="17.109375" style="28" bestFit="1" customWidth="1"/>
    <col min="15621" max="15621" width="4" style="28" customWidth="1"/>
    <col min="15622" max="15622" width="13.6640625" style="28" customWidth="1"/>
    <col min="15623" max="15864" width="13.6640625" style="28"/>
    <col min="15865" max="15865" width="22.109375" style="28" customWidth="1"/>
    <col min="15866" max="15872" width="13.6640625" style="28" customWidth="1"/>
    <col min="15873" max="15873" width="15.88671875" style="28" customWidth="1"/>
    <col min="15874" max="15874" width="16.5546875" style="28" bestFit="1" customWidth="1"/>
    <col min="15875" max="15875" width="13.6640625" style="28" customWidth="1"/>
    <col min="15876" max="15876" width="17.109375" style="28" bestFit="1" customWidth="1"/>
    <col min="15877" max="15877" width="4" style="28" customWidth="1"/>
    <col min="15878" max="15878" width="13.6640625" style="28" customWidth="1"/>
    <col min="15879" max="16120" width="13.6640625" style="28"/>
    <col min="16121" max="16121" width="22.109375" style="28" customWidth="1"/>
    <col min="16122" max="16128" width="13.6640625" style="28" customWidth="1"/>
    <col min="16129" max="16129" width="15.88671875" style="28" customWidth="1"/>
    <col min="16130" max="16130" width="16.5546875" style="28" bestFit="1" customWidth="1"/>
    <col min="16131" max="16131" width="13.6640625" style="28" customWidth="1"/>
    <col min="16132" max="16132" width="17.109375" style="28" bestFit="1" customWidth="1"/>
    <col min="16133" max="16133" width="4" style="28" customWidth="1"/>
    <col min="16134" max="16134" width="13.6640625" style="28" customWidth="1"/>
    <col min="16135" max="16384" width="13.6640625" style="28"/>
  </cols>
  <sheetData>
    <row r="1" spans="1:27" s="22" customFormat="1">
      <c r="A1" s="503" t="s">
        <v>5</v>
      </c>
      <c r="B1" s="180"/>
      <c r="C1" s="180"/>
      <c r="D1" s="180"/>
      <c r="E1" s="103"/>
      <c r="F1" s="103"/>
      <c r="G1" s="181"/>
      <c r="H1" s="103"/>
      <c r="I1" s="103"/>
    </row>
    <row r="2" spans="1:27" s="22" customFormat="1" ht="48.6">
      <c r="A2" s="103"/>
      <c r="B2" s="180"/>
      <c r="C2" s="180"/>
      <c r="D2" s="161"/>
      <c r="E2" s="182"/>
      <c r="F2" s="474" t="s">
        <v>229</v>
      </c>
      <c r="G2" s="474" t="s">
        <v>230</v>
      </c>
      <c r="H2" s="182"/>
      <c r="I2" s="527"/>
    </row>
    <row r="3" spans="1:27" s="22" customFormat="1" ht="15.6">
      <c r="A3" s="38" t="str">
        <f>'2-Kosten per locatie'!A3</f>
        <v>Naam opdrachtgever</v>
      </c>
      <c r="B3" s="161" t="str">
        <f>'2-Kosten per locatie'!B3</f>
        <v>Gemeente Lansingerland</v>
      </c>
      <c r="C3" s="161"/>
      <c r="D3" s="161"/>
      <c r="E3" s="182"/>
      <c r="F3" s="477" t="s">
        <v>231</v>
      </c>
      <c r="G3" s="476"/>
      <c r="H3" s="182"/>
      <c r="I3" s="519" t="s">
        <v>80</v>
      </c>
    </row>
    <row r="4" spans="1:27" s="22" customFormat="1" ht="15.6">
      <c r="A4" s="38" t="str">
        <f>'2-Kosten per locatie'!A4</f>
        <v>Calculatie onderdeel</v>
      </c>
      <c r="B4" s="161" t="str">
        <f ca="1">MID(CELL("bestandsnaam",$D$9),SEARCH("]",CELL("bestandsnaam",$D$9),1)+1,256)</f>
        <v>10-Vloeronderhoud</v>
      </c>
      <c r="C4" s="161"/>
      <c r="D4" s="125"/>
      <c r="E4" s="182"/>
      <c r="F4" s="475" t="s">
        <v>232</v>
      </c>
      <c r="G4" s="476"/>
      <c r="H4" s="182"/>
      <c r="I4" s="519" t="s">
        <v>82</v>
      </c>
    </row>
    <row r="5" spans="1:27" s="22" customFormat="1" ht="15.6">
      <c r="A5" s="38" t="str">
        <f>'2-Kosten per locatie'!A5</f>
        <v>Onderdeel</v>
      </c>
      <c r="B5" s="161" t="str">
        <f>'2-Kosten per locatie'!B5</f>
        <v>Perceel 1 Schoonmaak</v>
      </c>
      <c r="C5" s="161"/>
      <c r="D5" s="125"/>
      <c r="E5" s="182"/>
      <c r="F5" s="475" t="s">
        <v>611</v>
      </c>
      <c r="G5" s="476"/>
      <c r="H5" s="182"/>
      <c r="I5" s="519" t="s">
        <v>86</v>
      </c>
      <c r="K5" s="24"/>
      <c r="L5" s="23"/>
      <c r="M5" s="24"/>
      <c r="N5" s="24"/>
      <c r="O5" s="23"/>
      <c r="P5" s="25"/>
      <c r="Q5" s="24"/>
      <c r="R5" s="23"/>
      <c r="S5" s="24"/>
      <c r="T5" s="24"/>
      <c r="U5" s="23"/>
      <c r="V5" s="24"/>
      <c r="W5" s="24"/>
      <c r="X5" s="23"/>
      <c r="Y5" s="24"/>
      <c r="Z5" s="24"/>
      <c r="AA5" s="23"/>
    </row>
    <row r="6" spans="1:27" s="22" customFormat="1" ht="17.25" customHeight="1">
      <c r="A6" s="38" t="str">
        <f>'2-Kosten per locatie'!A6</f>
        <v>Referentie nummer</v>
      </c>
      <c r="B6" s="161" t="str">
        <f>'2-Kosten per locatie'!B6</f>
        <v>TN602303</v>
      </c>
      <c r="C6" s="161"/>
      <c r="D6" s="125"/>
      <c r="E6" s="182"/>
      <c r="H6" s="182"/>
      <c r="I6" s="519" t="s">
        <v>85</v>
      </c>
      <c r="K6" s="26"/>
      <c r="L6" s="27"/>
      <c r="M6" s="24"/>
      <c r="N6" s="26"/>
      <c r="O6" s="27"/>
      <c r="P6" s="25"/>
      <c r="Q6" s="26"/>
      <c r="R6" s="27"/>
      <c r="S6" s="24"/>
      <c r="T6" s="26"/>
      <c r="U6" s="27"/>
      <c r="V6" s="24"/>
      <c r="W6" s="26"/>
      <c r="X6" s="27"/>
      <c r="Y6" s="24"/>
      <c r="Z6" s="26"/>
      <c r="AA6" s="27"/>
    </row>
    <row r="7" spans="1:27" s="22" customFormat="1" ht="17.25" customHeight="1">
      <c r="A7" s="38" t="str">
        <f>'2-Kosten per locatie'!A7</f>
        <v>Naam dienstverlener</v>
      </c>
      <c r="B7" s="161">
        <f>'2-Kosten per locatie'!B7</f>
        <v>0</v>
      </c>
      <c r="C7" s="161"/>
      <c r="D7" s="125"/>
      <c r="E7" s="182"/>
      <c r="H7" s="182"/>
      <c r="I7" s="519" t="s">
        <v>608</v>
      </c>
    </row>
    <row r="8" spans="1:27" s="22" customFormat="1" ht="17.25" customHeight="1">
      <c r="A8" s="38" t="str">
        <f>'2-Kosten per locatie'!A8</f>
        <v>Prijspeil</v>
      </c>
      <c r="B8" s="294">
        <f>'2-Kosten per locatie'!B8</f>
        <v>46388</v>
      </c>
      <c r="C8" s="294"/>
      <c r="D8" s="47"/>
      <c r="E8" s="182"/>
      <c r="F8" s="182"/>
      <c r="G8" s="186"/>
      <c r="H8" s="182"/>
      <c r="I8" s="183"/>
    </row>
    <row r="9" spans="1:27" s="22" customFormat="1" ht="17.25" customHeight="1">
      <c r="A9" s="182"/>
      <c r="B9" s="182"/>
      <c r="C9" s="182"/>
      <c r="D9" s="182"/>
      <c r="E9" s="182"/>
      <c r="F9" s="182"/>
      <c r="G9" s="186"/>
      <c r="H9" s="182"/>
      <c r="I9" s="183"/>
    </row>
    <row r="10" spans="1:27" s="22" customFormat="1" ht="17.25" customHeight="1">
      <c r="A10" s="182"/>
      <c r="B10" s="182"/>
      <c r="C10" s="182"/>
      <c r="D10" s="182"/>
      <c r="E10" s="182"/>
      <c r="F10" s="182"/>
      <c r="G10" s="186"/>
      <c r="H10" s="182"/>
      <c r="I10" s="183"/>
    </row>
    <row r="11" spans="1:27" s="22" customFormat="1" ht="15.6">
      <c r="A11" s="184"/>
      <c r="B11" s="182"/>
      <c r="C11" s="182"/>
      <c r="D11" s="182"/>
      <c r="E11" s="185"/>
      <c r="F11" s="182"/>
      <c r="G11" s="186"/>
      <c r="H11" s="185"/>
      <c r="I11" s="183"/>
    </row>
    <row r="12" spans="1:27" s="29" customFormat="1" ht="43.5" customHeight="1">
      <c r="A12" s="478" t="s">
        <v>20</v>
      </c>
      <c r="B12" s="479" t="s">
        <v>233</v>
      </c>
      <c r="C12" s="479" t="s">
        <v>71</v>
      </c>
      <c r="D12" s="479" t="s">
        <v>229</v>
      </c>
      <c r="E12" s="474" t="s">
        <v>224</v>
      </c>
      <c r="F12" s="479" t="s">
        <v>225</v>
      </c>
      <c r="G12" s="479" t="s">
        <v>226</v>
      </c>
      <c r="H12" s="479" t="s">
        <v>227</v>
      </c>
      <c r="I12" s="479" t="s">
        <v>228</v>
      </c>
    </row>
    <row r="13" spans="1:27">
      <c r="A13" s="191" t="s">
        <v>257</v>
      </c>
      <c r="B13" s="477" t="s">
        <v>609</v>
      </c>
      <c r="C13" s="475" t="s">
        <v>82</v>
      </c>
      <c r="D13" s="475" t="s">
        <v>231</v>
      </c>
      <c r="E13" s="480">
        <f>IF(C13="Linoleum",SUMIFS('4-Basis ruimtestaat'!J:J,'4-Basis ruimtestaat'!B:B,'10-Vloeronderhoud'!A13,'4-Basis ruimtestaat'!I:I,"Linoleum"),IF(C13="Harde vloer zonder waslaag (sanitair)",SUMIFS('4-Basis ruimtestaat'!J:J,'4-Basis ruimtestaat'!B:B,'10-Vloeronderhoud'!A13,'4-Basis ruimtestaat'!I:I,"harde vloer zonder waslaag (sanitair)"),IF(C13="Harde vloer zonder waslaag (garage)",SUMIFS('4-Basis ruimtestaat'!J:J,'4-Basis ruimtestaat'!B:B,'10-Vloeronderhoud'!A13,'4-Basis ruimtestaat'!I:I,"harde vloer zonder waslaag (garage)"),IF(C13="harde vloer zonder waslaag (overig)",SUMIFS('4-Basis ruimtestaat'!J:J,'4-Basis ruimtestaat'!B:B,'10-Vloeronderhoud'!A13,'4-Basis ruimtestaat'!I:I,"harde vloer zonder waslaag (overig)"),IF(C13="zachte vloer",SUMIFS('4-Basis ruimtestaat'!J:J,'4-Basis ruimtestaat'!B:B,'10-Vloeronderhoud'!A13,'4-Basis ruimtestaat'!I:I,"zachte vloer"),0)))))</f>
        <v>278.30000400543213</v>
      </c>
      <c r="F13" s="481">
        <f t="shared" ref="F13:F20" si="0">VLOOKUP(D13,$F$3:$G$10,2,FALSE)</f>
        <v>0</v>
      </c>
      <c r="G13" s="482">
        <f t="shared" ref="G13:G20" si="1">(E13*F13)</f>
        <v>0</v>
      </c>
      <c r="H13" s="483" t="s">
        <v>610</v>
      </c>
      <c r="I13" s="482">
        <f t="shared" ref="I13:I20" si="2">H13*G13</f>
        <v>0</v>
      </c>
    </row>
    <row r="14" spans="1:27">
      <c r="A14" s="191" t="s">
        <v>257</v>
      </c>
      <c r="B14" s="477" t="s">
        <v>609</v>
      </c>
      <c r="C14" s="475" t="s">
        <v>86</v>
      </c>
      <c r="D14" s="475" t="s">
        <v>231</v>
      </c>
      <c r="E14" s="480">
        <f>IF(C14="Linoleum",SUMIFS('4-Basis ruimtestaat'!J:J,'4-Basis ruimtestaat'!B:B,'10-Vloeronderhoud'!A14,'4-Basis ruimtestaat'!I:I,"Linoleum"),IF(C14="Harde vloer zonder waslaag (sanitair)",SUMIFS('4-Basis ruimtestaat'!J:J,'4-Basis ruimtestaat'!B:B,'10-Vloeronderhoud'!A14,'4-Basis ruimtestaat'!I:I,"harde vloer zonder waslaag (sanitair)"),IF(C14="Harde vloer zonder waslaag (garage)",SUMIFS('4-Basis ruimtestaat'!J:J,'4-Basis ruimtestaat'!B:B,'10-Vloeronderhoud'!A14,'4-Basis ruimtestaat'!I:I,"harde vloer zonder waslaag (garage)"),IF(C14="harde vloer zonder waslaag (overig)",SUMIFS('4-Basis ruimtestaat'!J:J,'4-Basis ruimtestaat'!B:B,'10-Vloeronderhoud'!A14,'4-Basis ruimtestaat'!I:I,"harde vloer zonder waslaag (overig)"),IF(C14="zachte vloer",SUMIFS('4-Basis ruimtestaat'!J:J,'4-Basis ruimtestaat'!B:B,'10-Vloeronderhoud'!A14,'4-Basis ruimtestaat'!I:I,"zachte vloer"),0)))))</f>
        <v>2849.7999963760376</v>
      </c>
      <c r="F14" s="481">
        <f t="shared" si="0"/>
        <v>0</v>
      </c>
      <c r="G14" s="482">
        <f t="shared" si="1"/>
        <v>0</v>
      </c>
      <c r="H14" s="483" t="s">
        <v>235</v>
      </c>
      <c r="I14" s="482">
        <f t="shared" si="2"/>
        <v>0</v>
      </c>
    </row>
    <row r="15" spans="1:27">
      <c r="A15" s="191" t="s">
        <v>257</v>
      </c>
      <c r="B15" s="475" t="s">
        <v>715</v>
      </c>
      <c r="C15" s="475" t="s">
        <v>85</v>
      </c>
      <c r="D15" s="475" t="s">
        <v>232</v>
      </c>
      <c r="E15" s="480">
        <f>IF(C15="Linoleum",SUMIFS('4-Basis ruimtestaat'!J:J,'4-Basis ruimtestaat'!B:B,'10-Vloeronderhoud'!A15,'4-Basis ruimtestaat'!I:I,"Linoleum"),IF(C15="Harde vloer zonder waslaag (sanitair)",SUMIFS('4-Basis ruimtestaat'!J:J,'4-Basis ruimtestaat'!B:B,'10-Vloeronderhoud'!A15,'4-Basis ruimtestaat'!I:I,"harde vloer zonder waslaag (sanitair)"),IF(C15="Harde vloer zonder waslaag (garage)",SUMIFS('4-Basis ruimtestaat'!J:J,'4-Basis ruimtestaat'!B:B,'10-Vloeronderhoud'!A15,'4-Basis ruimtestaat'!I:I,"harde vloer zonder waslaag (garage)"),IF(C15="harde vloer zonder waslaag (overig)",SUMIFS('4-Basis ruimtestaat'!J:J,'4-Basis ruimtestaat'!B:B,'10-Vloeronderhoud'!A15,'4-Basis ruimtestaat'!I:I,"harde vloer zonder waslaag (overig)"),IF(C15="zachte vloer",SUMIFS('4-Basis ruimtestaat'!J:J,'4-Basis ruimtestaat'!B:B,'10-Vloeronderhoud'!A15,'4-Basis ruimtestaat'!I:I,"zachte vloer"),0)))))</f>
        <v>6305.2000124454498</v>
      </c>
      <c r="F15" s="481">
        <f t="shared" si="0"/>
        <v>0</v>
      </c>
      <c r="G15" s="482">
        <f t="shared" si="1"/>
        <v>0</v>
      </c>
      <c r="H15" s="483" t="s">
        <v>234</v>
      </c>
      <c r="I15" s="482">
        <f t="shared" si="2"/>
        <v>0</v>
      </c>
    </row>
    <row r="16" spans="1:27">
      <c r="A16" s="191" t="s">
        <v>612</v>
      </c>
      <c r="B16" s="477"/>
      <c r="C16" s="475" t="s">
        <v>82</v>
      </c>
      <c r="D16" s="475" t="s">
        <v>231</v>
      </c>
      <c r="E16" s="480">
        <f>IF(C16="Linoleum",SUMIFS('4-Basis ruimtestaat'!J:J,'4-Basis ruimtestaat'!B:B,'10-Vloeronderhoud'!A16,'4-Basis ruimtestaat'!I:I,"Linoleum"),IF(C16="Harde vloer zonder waslaag (sanitair)",SUMIFS('4-Basis ruimtestaat'!J:J,'4-Basis ruimtestaat'!B:B,'10-Vloeronderhoud'!A16,'4-Basis ruimtestaat'!I:I,"harde vloer zonder waslaag (sanitair)"),IF(C16="Harde vloer zonder waslaag (garage)",SUMIFS('4-Basis ruimtestaat'!J:J,'4-Basis ruimtestaat'!B:B,'10-Vloeronderhoud'!A16,'4-Basis ruimtestaat'!I:I,"harde vloer zonder waslaag (garage)"),IF(C16="harde vloer zonder waslaag (overig)",SUMIFS('4-Basis ruimtestaat'!J:J,'4-Basis ruimtestaat'!B:B,'10-Vloeronderhoud'!A16,'4-Basis ruimtestaat'!I:I,"harde vloer zonder waslaag (overig)"),IF(C16="zachte vloer",SUMIFS('4-Basis ruimtestaat'!J:J,'4-Basis ruimtestaat'!B:B,'10-Vloeronderhoud'!A16,'4-Basis ruimtestaat'!I:I,"zachte vloer"),0)))))</f>
        <v>46.47</v>
      </c>
      <c r="F16" s="481">
        <f t="shared" si="0"/>
        <v>0</v>
      </c>
      <c r="G16" s="482">
        <f t="shared" si="1"/>
        <v>0</v>
      </c>
      <c r="H16" s="483" t="s">
        <v>610</v>
      </c>
      <c r="I16" s="482">
        <f t="shared" si="2"/>
        <v>0</v>
      </c>
    </row>
    <row r="17" spans="1:9">
      <c r="A17" s="191" t="s">
        <v>612</v>
      </c>
      <c r="B17" s="477"/>
      <c r="C17" s="475" t="s">
        <v>86</v>
      </c>
      <c r="D17" s="475" t="s">
        <v>231</v>
      </c>
      <c r="E17" s="480">
        <f>IF(C17="Linoleum",SUMIFS('4-Basis ruimtestaat'!J:J,'4-Basis ruimtestaat'!B:B,'10-Vloeronderhoud'!A17,'4-Basis ruimtestaat'!I:I,"Linoleum"),IF(C17="Harde vloer zonder waslaag (sanitair)",SUMIFS('4-Basis ruimtestaat'!J:J,'4-Basis ruimtestaat'!B:B,'10-Vloeronderhoud'!A17,'4-Basis ruimtestaat'!I:I,"harde vloer zonder waslaag (sanitair)"),IF(C17="Harde vloer zonder waslaag (garage)",SUMIFS('4-Basis ruimtestaat'!J:J,'4-Basis ruimtestaat'!B:B,'10-Vloeronderhoud'!A17,'4-Basis ruimtestaat'!I:I,"harde vloer zonder waslaag (garage)"),IF(C17="harde vloer zonder waslaag (overig)",SUMIFS('4-Basis ruimtestaat'!J:J,'4-Basis ruimtestaat'!B:B,'10-Vloeronderhoud'!A17,'4-Basis ruimtestaat'!I:I,"harde vloer zonder waslaag (overig)"),IF(C17="zachte vloer",SUMIFS('4-Basis ruimtestaat'!J:J,'4-Basis ruimtestaat'!B:B,'10-Vloeronderhoud'!A17,'4-Basis ruimtestaat'!I:I,"zachte vloer"),0)))))</f>
        <v>209.20000000000002</v>
      </c>
      <c r="F17" s="481">
        <f t="shared" si="0"/>
        <v>0</v>
      </c>
      <c r="G17" s="482">
        <f t="shared" si="1"/>
        <v>0</v>
      </c>
      <c r="H17" s="483" t="s">
        <v>235</v>
      </c>
      <c r="I17" s="482">
        <f t="shared" si="2"/>
        <v>0</v>
      </c>
    </row>
    <row r="18" spans="1:9">
      <c r="A18" s="191" t="s">
        <v>613</v>
      </c>
      <c r="B18" s="475" t="s">
        <v>715</v>
      </c>
      <c r="C18" s="475" t="s">
        <v>85</v>
      </c>
      <c r="D18" s="475" t="s">
        <v>232</v>
      </c>
      <c r="E18" s="480">
        <f>IF(C18="Linoleum",SUMIFS('4-Basis ruimtestaat'!J:J,'4-Basis ruimtestaat'!B:B,'10-Vloeronderhoud'!A18,'4-Basis ruimtestaat'!I:I,"Linoleum"),IF(C18="Harde vloer zonder waslaag (sanitair)",SUMIFS('4-Basis ruimtestaat'!J:J,'4-Basis ruimtestaat'!B:B,'10-Vloeronderhoud'!A18,'4-Basis ruimtestaat'!I:I,"harde vloer zonder waslaag (sanitair)"),IF(C18="Harde vloer zonder waslaag (garage)",SUMIFS('4-Basis ruimtestaat'!J:J,'4-Basis ruimtestaat'!B:B,'10-Vloeronderhoud'!A18,'4-Basis ruimtestaat'!I:I,"harde vloer zonder waslaag (garage)"),IF(C18="harde vloer zonder waslaag (overig)",SUMIFS('4-Basis ruimtestaat'!J:J,'4-Basis ruimtestaat'!B:B,'10-Vloeronderhoud'!A18,'4-Basis ruimtestaat'!I:I,"harde vloer zonder waslaag (overig)"),IF(C18="zachte vloer",SUMIFS('4-Basis ruimtestaat'!J:J,'4-Basis ruimtestaat'!B:B,'10-Vloeronderhoud'!A18,'4-Basis ruimtestaat'!I:I,"zachte vloer"),0)))))</f>
        <v>65.2</v>
      </c>
      <c r="F18" s="481">
        <f t="shared" si="0"/>
        <v>0</v>
      </c>
      <c r="G18" s="482">
        <f t="shared" si="1"/>
        <v>0</v>
      </c>
      <c r="H18" s="483" t="s">
        <v>234</v>
      </c>
      <c r="I18" s="482">
        <f t="shared" si="2"/>
        <v>0</v>
      </c>
    </row>
    <row r="19" spans="1:9">
      <c r="A19" s="191" t="s">
        <v>613</v>
      </c>
      <c r="B19" s="475"/>
      <c r="C19" s="475" t="s">
        <v>82</v>
      </c>
      <c r="D19" s="475" t="s">
        <v>231</v>
      </c>
      <c r="E19" s="480">
        <f>IF(C19="Linoleum",SUMIFS('4-Basis ruimtestaat'!J:J,'4-Basis ruimtestaat'!B:B,'10-Vloeronderhoud'!A19,'4-Basis ruimtestaat'!I:I,"Linoleum"),IF(C19="Harde vloer zonder waslaag (sanitair)",SUMIFS('4-Basis ruimtestaat'!J:J,'4-Basis ruimtestaat'!B:B,'10-Vloeronderhoud'!A19,'4-Basis ruimtestaat'!I:I,"harde vloer zonder waslaag (sanitair)"),IF(C19="Harde vloer zonder waslaag (garage)",SUMIFS('4-Basis ruimtestaat'!J:J,'4-Basis ruimtestaat'!B:B,'10-Vloeronderhoud'!A19,'4-Basis ruimtestaat'!I:I,"harde vloer zonder waslaag (garage)"),IF(C19="harde vloer zonder waslaag (overig)",SUMIFS('4-Basis ruimtestaat'!J:J,'4-Basis ruimtestaat'!B:B,'10-Vloeronderhoud'!A19,'4-Basis ruimtestaat'!I:I,"harde vloer zonder waslaag (overig)"),IF(C19="zachte vloer",SUMIFS('4-Basis ruimtestaat'!J:J,'4-Basis ruimtestaat'!B:B,'10-Vloeronderhoud'!A19,'4-Basis ruimtestaat'!I:I,"zachte vloer"),0)))))</f>
        <v>20.5</v>
      </c>
      <c r="F19" s="481">
        <f t="shared" si="0"/>
        <v>0</v>
      </c>
      <c r="G19" s="482">
        <f t="shared" si="1"/>
        <v>0</v>
      </c>
      <c r="H19" s="483" t="s">
        <v>610</v>
      </c>
      <c r="I19" s="482">
        <f t="shared" si="2"/>
        <v>0</v>
      </c>
    </row>
    <row r="20" spans="1:9">
      <c r="A20" s="191" t="s">
        <v>613</v>
      </c>
      <c r="B20" s="477"/>
      <c r="C20" s="475" t="s">
        <v>86</v>
      </c>
      <c r="D20" s="475" t="s">
        <v>231</v>
      </c>
      <c r="E20" s="480">
        <f>IF(C20="Linoleum",SUMIFS('4-Basis ruimtestaat'!J:J,'4-Basis ruimtestaat'!B:B,'10-Vloeronderhoud'!A20,'4-Basis ruimtestaat'!I:I,"Linoleum"),IF(C20="Harde vloer zonder waslaag (sanitair)",SUMIFS('4-Basis ruimtestaat'!J:J,'4-Basis ruimtestaat'!B:B,'10-Vloeronderhoud'!A20,'4-Basis ruimtestaat'!I:I,"harde vloer zonder waslaag (sanitair)"),IF(C20="Harde vloer zonder waslaag (garage)",SUMIFS('4-Basis ruimtestaat'!J:J,'4-Basis ruimtestaat'!B:B,'10-Vloeronderhoud'!A20,'4-Basis ruimtestaat'!I:I,"harde vloer zonder waslaag (garage)"),IF(C20="harde vloer zonder waslaag (overig)",SUMIFS('4-Basis ruimtestaat'!J:J,'4-Basis ruimtestaat'!B:B,'10-Vloeronderhoud'!A20,'4-Basis ruimtestaat'!I:I,"harde vloer zonder waslaag (overig)"),IF(C20="zachte vloer",SUMIFS('4-Basis ruimtestaat'!J:J,'4-Basis ruimtestaat'!B:B,'10-Vloeronderhoud'!A20,'4-Basis ruimtestaat'!I:I,"zachte vloer"),0)))))</f>
        <v>366.99999999999994</v>
      </c>
      <c r="F20" s="481">
        <f t="shared" si="0"/>
        <v>0</v>
      </c>
      <c r="G20" s="482">
        <f t="shared" si="1"/>
        <v>0</v>
      </c>
      <c r="H20" s="483" t="s">
        <v>235</v>
      </c>
      <c r="I20" s="482">
        <f t="shared" si="2"/>
        <v>0</v>
      </c>
    </row>
    <row r="21" spans="1:9">
      <c r="B21" s="187"/>
      <c r="C21" s="187"/>
      <c r="D21" s="187"/>
      <c r="E21" s="295"/>
      <c r="F21" s="295"/>
      <c r="G21" s="295"/>
      <c r="H21" s="295"/>
      <c r="I21" s="295"/>
    </row>
    <row r="22" spans="1:9">
      <c r="A22" s="512" t="s">
        <v>26</v>
      </c>
      <c r="B22" s="513"/>
      <c r="C22" s="514"/>
      <c r="D22" s="514"/>
      <c r="E22" s="487">
        <f>SUM(E13:E20)</f>
        <v>10141.67001282692</v>
      </c>
      <c r="F22" s="488"/>
      <c r="G22" s="489"/>
      <c r="H22" s="490"/>
      <c r="I22" s="491">
        <f>SUM(I13:I20)</f>
        <v>0</v>
      </c>
    </row>
    <row r="24" spans="1:9" ht="39.6">
      <c r="A24" s="552" t="s">
        <v>716</v>
      </c>
      <c r="B24" s="553"/>
    </row>
  </sheetData>
  <autoFilter ref="A12:AA46" xr:uid="{00000000-0009-0000-0000-00000A000000}"/>
  <phoneticPr fontId="72" type="noConversion"/>
  <dataValidations count="2">
    <dataValidation type="list" allowBlank="1" showInputMessage="1" showErrorMessage="1" sqref="D13:D20" xr:uid="{C736CBFC-1565-48E2-8F22-639725E5CCC0}">
      <formula1>$F$3:$F$10</formula1>
    </dataValidation>
    <dataValidation type="list" allowBlank="1" showInputMessage="1" showErrorMessage="1" sqref="C13:C20" xr:uid="{28F823F5-DF81-4281-A05E-64D577F06C79}">
      <formula1>$I$3:$I$7</formula1>
    </dataValidation>
  </dataValidation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3A6ED-FF05-420D-BF7C-21BBBE447556}">
  <sheetPr>
    <pageSetUpPr fitToPage="1"/>
  </sheetPr>
  <dimension ref="A1:X75"/>
  <sheetViews>
    <sheetView showGridLines="0" topLeftCell="E1" zoomScale="90" zoomScaleNormal="90" zoomScalePageLayoutView="50" workbookViewId="0">
      <pane ySplit="10" topLeftCell="A38" activePane="bottomLeft" state="frozen"/>
      <selection activeCell="B1" sqref="B1"/>
      <selection pane="bottomLeft" activeCell="T52" sqref="S52:T52"/>
    </sheetView>
  </sheetViews>
  <sheetFormatPr defaultColWidth="13.6640625" defaultRowHeight="13.2"/>
  <cols>
    <col min="1" max="1" width="46.109375" style="187" customWidth="1"/>
    <col min="2" max="2" width="30.5546875" style="188" bestFit="1" customWidth="1"/>
    <col min="3" max="3" width="36.109375" style="188" bestFit="1" customWidth="1"/>
    <col min="4" max="4" width="30.5546875" style="188" customWidth="1"/>
    <col min="5" max="5" width="30.6640625" style="188" bestFit="1" customWidth="1"/>
    <col min="6" max="6" width="31.77734375" style="187" bestFit="1" customWidth="1"/>
    <col min="7" max="7" width="31.77734375" style="187" customWidth="1"/>
    <col min="8" max="8" width="37.88671875" style="187" customWidth="1"/>
    <col min="9" max="9" width="29.77734375" style="187" customWidth="1"/>
    <col min="10" max="10" width="25.21875" style="187" bestFit="1" customWidth="1"/>
    <col min="11" max="11" width="25.21875" style="187" customWidth="1"/>
    <col min="12" max="12" width="23.21875" style="189" customWidth="1"/>
    <col min="13" max="13" width="16.109375" style="190" customWidth="1"/>
    <col min="14" max="14" width="2.6640625" style="187" customWidth="1"/>
    <col min="15" max="246" width="13.6640625" style="28"/>
    <col min="247" max="247" width="22.109375" style="28" customWidth="1"/>
    <col min="248" max="254" width="13.6640625" style="28" customWidth="1"/>
    <col min="255" max="255" width="15.88671875" style="28" customWidth="1"/>
    <col min="256" max="256" width="16.5546875" style="28" bestFit="1" customWidth="1"/>
    <col min="257" max="257" width="13.6640625" style="28" customWidth="1"/>
    <col min="258" max="258" width="17.109375" style="28" bestFit="1" customWidth="1"/>
    <col min="259" max="259" width="4" style="28" customWidth="1"/>
    <col min="260" max="260" width="13.6640625" style="28" customWidth="1"/>
    <col min="261" max="502" width="13.6640625" style="28"/>
    <col min="503" max="503" width="22.109375" style="28" customWidth="1"/>
    <col min="504" max="510" width="13.6640625" style="28" customWidth="1"/>
    <col min="511" max="511" width="15.88671875" style="28" customWidth="1"/>
    <col min="512" max="512" width="16.5546875" style="28" bestFit="1" customWidth="1"/>
    <col min="513" max="513" width="13.6640625" style="28" customWidth="1"/>
    <col min="514" max="514" width="17.109375" style="28" bestFit="1" customWidth="1"/>
    <col min="515" max="515" width="4" style="28" customWidth="1"/>
    <col min="516" max="516" width="13.6640625" style="28" customWidth="1"/>
    <col min="517" max="758" width="13.6640625" style="28"/>
    <col min="759" max="759" width="22.109375" style="28" customWidth="1"/>
    <col min="760" max="766" width="13.6640625" style="28" customWidth="1"/>
    <col min="767" max="767" width="15.88671875" style="28" customWidth="1"/>
    <col min="768" max="768" width="16.5546875" style="28" bestFit="1" customWidth="1"/>
    <col min="769" max="769" width="13.6640625" style="28" customWidth="1"/>
    <col min="770" max="770" width="17.109375" style="28" bestFit="1" customWidth="1"/>
    <col min="771" max="771" width="4" style="28" customWidth="1"/>
    <col min="772" max="772" width="13.6640625" style="28" customWidth="1"/>
    <col min="773" max="1014" width="13.6640625" style="28"/>
    <col min="1015" max="1015" width="22.109375" style="28" customWidth="1"/>
    <col min="1016" max="1022" width="13.6640625" style="28" customWidth="1"/>
    <col min="1023" max="1023" width="15.88671875" style="28" customWidth="1"/>
    <col min="1024" max="1024" width="16.5546875" style="28" bestFit="1" customWidth="1"/>
    <col min="1025" max="1025" width="13.6640625" style="28" customWidth="1"/>
    <col min="1026" max="1026" width="17.109375" style="28" bestFit="1" customWidth="1"/>
    <col min="1027" max="1027" width="4" style="28" customWidth="1"/>
    <col min="1028" max="1028" width="13.6640625" style="28" customWidth="1"/>
    <col min="1029" max="1270" width="13.6640625" style="28"/>
    <col min="1271" max="1271" width="22.109375" style="28" customWidth="1"/>
    <col min="1272" max="1278" width="13.6640625" style="28" customWidth="1"/>
    <col min="1279" max="1279" width="15.88671875" style="28" customWidth="1"/>
    <col min="1280" max="1280" width="16.5546875" style="28" bestFit="1" customWidth="1"/>
    <col min="1281" max="1281" width="13.6640625" style="28" customWidth="1"/>
    <col min="1282" max="1282" width="17.109375" style="28" bestFit="1" customWidth="1"/>
    <col min="1283" max="1283" width="4" style="28" customWidth="1"/>
    <col min="1284" max="1284" width="13.6640625" style="28" customWidth="1"/>
    <col min="1285" max="1526" width="13.6640625" style="28"/>
    <col min="1527" max="1527" width="22.109375" style="28" customWidth="1"/>
    <col min="1528" max="1534" width="13.6640625" style="28" customWidth="1"/>
    <col min="1535" max="1535" width="15.88671875" style="28" customWidth="1"/>
    <col min="1536" max="1536" width="16.5546875" style="28" bestFit="1" customWidth="1"/>
    <col min="1537" max="1537" width="13.6640625" style="28" customWidth="1"/>
    <col min="1538" max="1538" width="17.109375" style="28" bestFit="1" customWidth="1"/>
    <col min="1539" max="1539" width="4" style="28" customWidth="1"/>
    <col min="1540" max="1540" width="13.6640625" style="28" customWidth="1"/>
    <col min="1541" max="1782" width="13.6640625" style="28"/>
    <col min="1783" max="1783" width="22.109375" style="28" customWidth="1"/>
    <col min="1784" max="1790" width="13.6640625" style="28" customWidth="1"/>
    <col min="1791" max="1791" width="15.88671875" style="28" customWidth="1"/>
    <col min="1792" max="1792" width="16.5546875" style="28" bestFit="1" customWidth="1"/>
    <col min="1793" max="1793" width="13.6640625" style="28" customWidth="1"/>
    <col min="1794" max="1794" width="17.109375" style="28" bestFit="1" customWidth="1"/>
    <col min="1795" max="1795" width="4" style="28" customWidth="1"/>
    <col min="1796" max="1796" width="13.6640625" style="28" customWidth="1"/>
    <col min="1797" max="2038" width="13.6640625" style="28"/>
    <col min="2039" max="2039" width="22.109375" style="28" customWidth="1"/>
    <col min="2040" max="2046" width="13.6640625" style="28" customWidth="1"/>
    <col min="2047" max="2047" width="15.88671875" style="28" customWidth="1"/>
    <col min="2048" max="2048" width="16.5546875" style="28" bestFit="1" customWidth="1"/>
    <col min="2049" max="2049" width="13.6640625" style="28" customWidth="1"/>
    <col min="2050" max="2050" width="17.109375" style="28" bestFit="1" customWidth="1"/>
    <col min="2051" max="2051" width="4" style="28" customWidth="1"/>
    <col min="2052" max="2052" width="13.6640625" style="28" customWidth="1"/>
    <col min="2053" max="2294" width="13.6640625" style="28"/>
    <col min="2295" max="2295" width="22.109375" style="28" customWidth="1"/>
    <col min="2296" max="2302" width="13.6640625" style="28" customWidth="1"/>
    <col min="2303" max="2303" width="15.88671875" style="28" customWidth="1"/>
    <col min="2304" max="2304" width="16.5546875" style="28" bestFit="1" customWidth="1"/>
    <col min="2305" max="2305" width="13.6640625" style="28" customWidth="1"/>
    <col min="2306" max="2306" width="17.109375" style="28" bestFit="1" customWidth="1"/>
    <col min="2307" max="2307" width="4" style="28" customWidth="1"/>
    <col min="2308" max="2308" width="13.6640625" style="28" customWidth="1"/>
    <col min="2309" max="2550" width="13.6640625" style="28"/>
    <col min="2551" max="2551" width="22.109375" style="28" customWidth="1"/>
    <col min="2552" max="2558" width="13.6640625" style="28" customWidth="1"/>
    <col min="2559" max="2559" width="15.88671875" style="28" customWidth="1"/>
    <col min="2560" max="2560" width="16.5546875" style="28" bestFit="1" customWidth="1"/>
    <col min="2561" max="2561" width="13.6640625" style="28" customWidth="1"/>
    <col min="2562" max="2562" width="17.109375" style="28" bestFit="1" customWidth="1"/>
    <col min="2563" max="2563" width="4" style="28" customWidth="1"/>
    <col min="2564" max="2564" width="13.6640625" style="28" customWidth="1"/>
    <col min="2565" max="2806" width="13.6640625" style="28"/>
    <col min="2807" max="2807" width="22.109375" style="28" customWidth="1"/>
    <col min="2808" max="2814" width="13.6640625" style="28" customWidth="1"/>
    <col min="2815" max="2815" width="15.88671875" style="28" customWidth="1"/>
    <col min="2816" max="2816" width="16.5546875" style="28" bestFit="1" customWidth="1"/>
    <col min="2817" max="2817" width="13.6640625" style="28" customWidth="1"/>
    <col min="2818" max="2818" width="17.109375" style="28" bestFit="1" customWidth="1"/>
    <col min="2819" max="2819" width="4" style="28" customWidth="1"/>
    <col min="2820" max="2820" width="13.6640625" style="28" customWidth="1"/>
    <col min="2821" max="3062" width="13.6640625" style="28"/>
    <col min="3063" max="3063" width="22.109375" style="28" customWidth="1"/>
    <col min="3064" max="3070" width="13.6640625" style="28" customWidth="1"/>
    <col min="3071" max="3071" width="15.88671875" style="28" customWidth="1"/>
    <col min="3072" max="3072" width="16.5546875" style="28" bestFit="1" customWidth="1"/>
    <col min="3073" max="3073" width="13.6640625" style="28" customWidth="1"/>
    <col min="3074" max="3074" width="17.109375" style="28" bestFit="1" customWidth="1"/>
    <col min="3075" max="3075" width="4" style="28" customWidth="1"/>
    <col min="3076" max="3076" width="13.6640625" style="28" customWidth="1"/>
    <col min="3077" max="3318" width="13.6640625" style="28"/>
    <col min="3319" max="3319" width="22.109375" style="28" customWidth="1"/>
    <col min="3320" max="3326" width="13.6640625" style="28" customWidth="1"/>
    <col min="3327" max="3327" width="15.88671875" style="28" customWidth="1"/>
    <col min="3328" max="3328" width="16.5546875" style="28" bestFit="1" customWidth="1"/>
    <col min="3329" max="3329" width="13.6640625" style="28" customWidth="1"/>
    <col min="3330" max="3330" width="17.109375" style="28" bestFit="1" customWidth="1"/>
    <col min="3331" max="3331" width="4" style="28" customWidth="1"/>
    <col min="3332" max="3332" width="13.6640625" style="28" customWidth="1"/>
    <col min="3333" max="3574" width="13.6640625" style="28"/>
    <col min="3575" max="3575" width="22.109375" style="28" customWidth="1"/>
    <col min="3576" max="3582" width="13.6640625" style="28" customWidth="1"/>
    <col min="3583" max="3583" width="15.88671875" style="28" customWidth="1"/>
    <col min="3584" max="3584" width="16.5546875" style="28" bestFit="1" customWidth="1"/>
    <col min="3585" max="3585" width="13.6640625" style="28" customWidth="1"/>
    <col min="3586" max="3586" width="17.109375" style="28" bestFit="1" customWidth="1"/>
    <col min="3587" max="3587" width="4" style="28" customWidth="1"/>
    <col min="3588" max="3588" width="13.6640625" style="28" customWidth="1"/>
    <col min="3589" max="3830" width="13.6640625" style="28"/>
    <col min="3831" max="3831" width="22.109375" style="28" customWidth="1"/>
    <col min="3832" max="3838" width="13.6640625" style="28" customWidth="1"/>
    <col min="3839" max="3839" width="15.88671875" style="28" customWidth="1"/>
    <col min="3840" max="3840" width="16.5546875" style="28" bestFit="1" customWidth="1"/>
    <col min="3841" max="3841" width="13.6640625" style="28" customWidth="1"/>
    <col min="3842" max="3842" width="17.109375" style="28" bestFit="1" customWidth="1"/>
    <col min="3843" max="3843" width="4" style="28" customWidth="1"/>
    <col min="3844" max="3844" width="13.6640625" style="28" customWidth="1"/>
    <col min="3845" max="4086" width="13.6640625" style="28"/>
    <col min="4087" max="4087" width="22.109375" style="28" customWidth="1"/>
    <col min="4088" max="4094" width="13.6640625" style="28" customWidth="1"/>
    <col min="4095" max="4095" width="15.88671875" style="28" customWidth="1"/>
    <col min="4096" max="4096" width="16.5546875" style="28" bestFit="1" customWidth="1"/>
    <col min="4097" max="4097" width="13.6640625" style="28" customWidth="1"/>
    <col min="4098" max="4098" width="17.109375" style="28" bestFit="1" customWidth="1"/>
    <col min="4099" max="4099" width="4" style="28" customWidth="1"/>
    <col min="4100" max="4100" width="13.6640625" style="28" customWidth="1"/>
    <col min="4101" max="4342" width="13.6640625" style="28"/>
    <col min="4343" max="4343" width="22.109375" style="28" customWidth="1"/>
    <col min="4344" max="4350" width="13.6640625" style="28" customWidth="1"/>
    <col min="4351" max="4351" width="15.88671875" style="28" customWidth="1"/>
    <col min="4352" max="4352" width="16.5546875" style="28" bestFit="1" customWidth="1"/>
    <col min="4353" max="4353" width="13.6640625" style="28" customWidth="1"/>
    <col min="4354" max="4354" width="17.109375" style="28" bestFit="1" customWidth="1"/>
    <col min="4355" max="4355" width="4" style="28" customWidth="1"/>
    <col min="4356" max="4356" width="13.6640625" style="28" customWidth="1"/>
    <col min="4357" max="4598" width="13.6640625" style="28"/>
    <col min="4599" max="4599" width="22.109375" style="28" customWidth="1"/>
    <col min="4600" max="4606" width="13.6640625" style="28" customWidth="1"/>
    <col min="4607" max="4607" width="15.88671875" style="28" customWidth="1"/>
    <col min="4608" max="4608" width="16.5546875" style="28" bestFit="1" customWidth="1"/>
    <col min="4609" max="4609" width="13.6640625" style="28" customWidth="1"/>
    <col min="4610" max="4610" width="17.109375" style="28" bestFit="1" customWidth="1"/>
    <col min="4611" max="4611" width="4" style="28" customWidth="1"/>
    <col min="4612" max="4612" width="13.6640625" style="28" customWidth="1"/>
    <col min="4613" max="4854" width="13.6640625" style="28"/>
    <col min="4855" max="4855" width="22.109375" style="28" customWidth="1"/>
    <col min="4856" max="4862" width="13.6640625" style="28" customWidth="1"/>
    <col min="4863" max="4863" width="15.88671875" style="28" customWidth="1"/>
    <col min="4864" max="4864" width="16.5546875" style="28" bestFit="1" customWidth="1"/>
    <col min="4865" max="4865" width="13.6640625" style="28" customWidth="1"/>
    <col min="4866" max="4866" width="17.109375" style="28" bestFit="1" customWidth="1"/>
    <col min="4867" max="4867" width="4" style="28" customWidth="1"/>
    <col min="4868" max="4868" width="13.6640625" style="28" customWidth="1"/>
    <col min="4869" max="5110" width="13.6640625" style="28"/>
    <col min="5111" max="5111" width="22.109375" style="28" customWidth="1"/>
    <col min="5112" max="5118" width="13.6640625" style="28" customWidth="1"/>
    <col min="5119" max="5119" width="15.88671875" style="28" customWidth="1"/>
    <col min="5120" max="5120" width="16.5546875" style="28" bestFit="1" customWidth="1"/>
    <col min="5121" max="5121" width="13.6640625" style="28" customWidth="1"/>
    <col min="5122" max="5122" width="17.109375" style="28" bestFit="1" customWidth="1"/>
    <col min="5123" max="5123" width="4" style="28" customWidth="1"/>
    <col min="5124" max="5124" width="13.6640625" style="28" customWidth="1"/>
    <col min="5125" max="5366" width="13.6640625" style="28"/>
    <col min="5367" max="5367" width="22.109375" style="28" customWidth="1"/>
    <col min="5368" max="5374" width="13.6640625" style="28" customWidth="1"/>
    <col min="5375" max="5375" width="15.88671875" style="28" customWidth="1"/>
    <col min="5376" max="5376" width="16.5546875" style="28" bestFit="1" customWidth="1"/>
    <col min="5377" max="5377" width="13.6640625" style="28" customWidth="1"/>
    <col min="5378" max="5378" width="17.109375" style="28" bestFit="1" customWidth="1"/>
    <col min="5379" max="5379" width="4" style="28" customWidth="1"/>
    <col min="5380" max="5380" width="13.6640625" style="28" customWidth="1"/>
    <col min="5381" max="5622" width="13.6640625" style="28"/>
    <col min="5623" max="5623" width="22.109375" style="28" customWidth="1"/>
    <col min="5624" max="5630" width="13.6640625" style="28" customWidth="1"/>
    <col min="5631" max="5631" width="15.88671875" style="28" customWidth="1"/>
    <col min="5632" max="5632" width="16.5546875" style="28" bestFit="1" customWidth="1"/>
    <col min="5633" max="5633" width="13.6640625" style="28" customWidth="1"/>
    <col min="5634" max="5634" width="17.109375" style="28" bestFit="1" customWidth="1"/>
    <col min="5635" max="5635" width="4" style="28" customWidth="1"/>
    <col min="5636" max="5636" width="13.6640625" style="28" customWidth="1"/>
    <col min="5637" max="5878" width="13.6640625" style="28"/>
    <col min="5879" max="5879" width="22.109375" style="28" customWidth="1"/>
    <col min="5880" max="5886" width="13.6640625" style="28" customWidth="1"/>
    <col min="5887" max="5887" width="15.88671875" style="28" customWidth="1"/>
    <col min="5888" max="5888" width="16.5546875" style="28" bestFit="1" customWidth="1"/>
    <col min="5889" max="5889" width="13.6640625" style="28" customWidth="1"/>
    <col min="5890" max="5890" width="17.109375" style="28" bestFit="1" customWidth="1"/>
    <col min="5891" max="5891" width="4" style="28" customWidth="1"/>
    <col min="5892" max="5892" width="13.6640625" style="28" customWidth="1"/>
    <col min="5893" max="6134" width="13.6640625" style="28"/>
    <col min="6135" max="6135" width="22.109375" style="28" customWidth="1"/>
    <col min="6136" max="6142" width="13.6640625" style="28" customWidth="1"/>
    <col min="6143" max="6143" width="15.88671875" style="28" customWidth="1"/>
    <col min="6144" max="6144" width="16.5546875" style="28" bestFit="1" customWidth="1"/>
    <col min="6145" max="6145" width="13.6640625" style="28" customWidth="1"/>
    <col min="6146" max="6146" width="17.109375" style="28" bestFit="1" customWidth="1"/>
    <col min="6147" max="6147" width="4" style="28" customWidth="1"/>
    <col min="6148" max="6148" width="13.6640625" style="28" customWidth="1"/>
    <col min="6149" max="6390" width="13.6640625" style="28"/>
    <col min="6391" max="6391" width="22.109375" style="28" customWidth="1"/>
    <col min="6392" max="6398" width="13.6640625" style="28" customWidth="1"/>
    <col min="6399" max="6399" width="15.88671875" style="28" customWidth="1"/>
    <col min="6400" max="6400" width="16.5546875" style="28" bestFit="1" customWidth="1"/>
    <col min="6401" max="6401" width="13.6640625" style="28" customWidth="1"/>
    <col min="6402" max="6402" width="17.109375" style="28" bestFit="1" customWidth="1"/>
    <col min="6403" max="6403" width="4" style="28" customWidth="1"/>
    <col min="6404" max="6404" width="13.6640625" style="28" customWidth="1"/>
    <col min="6405" max="6646" width="13.6640625" style="28"/>
    <col min="6647" max="6647" width="22.109375" style="28" customWidth="1"/>
    <col min="6648" max="6654" width="13.6640625" style="28" customWidth="1"/>
    <col min="6655" max="6655" width="15.88671875" style="28" customWidth="1"/>
    <col min="6656" max="6656" width="16.5546875" style="28" bestFit="1" customWidth="1"/>
    <col min="6657" max="6657" width="13.6640625" style="28" customWidth="1"/>
    <col min="6658" max="6658" width="17.109375" style="28" bestFit="1" customWidth="1"/>
    <col min="6659" max="6659" width="4" style="28" customWidth="1"/>
    <col min="6660" max="6660" width="13.6640625" style="28" customWidth="1"/>
    <col min="6661" max="6902" width="13.6640625" style="28"/>
    <col min="6903" max="6903" width="22.109375" style="28" customWidth="1"/>
    <col min="6904" max="6910" width="13.6640625" style="28" customWidth="1"/>
    <col min="6911" max="6911" width="15.88671875" style="28" customWidth="1"/>
    <col min="6912" max="6912" width="16.5546875" style="28" bestFit="1" customWidth="1"/>
    <col min="6913" max="6913" width="13.6640625" style="28" customWidth="1"/>
    <col min="6914" max="6914" width="17.109375" style="28" bestFit="1" customWidth="1"/>
    <col min="6915" max="6915" width="4" style="28" customWidth="1"/>
    <col min="6916" max="6916" width="13.6640625" style="28" customWidth="1"/>
    <col min="6917" max="7158" width="13.6640625" style="28"/>
    <col min="7159" max="7159" width="22.109375" style="28" customWidth="1"/>
    <col min="7160" max="7166" width="13.6640625" style="28" customWidth="1"/>
    <col min="7167" max="7167" width="15.88671875" style="28" customWidth="1"/>
    <col min="7168" max="7168" width="16.5546875" style="28" bestFit="1" customWidth="1"/>
    <col min="7169" max="7169" width="13.6640625" style="28" customWidth="1"/>
    <col min="7170" max="7170" width="17.109375" style="28" bestFit="1" customWidth="1"/>
    <col min="7171" max="7171" width="4" style="28" customWidth="1"/>
    <col min="7172" max="7172" width="13.6640625" style="28" customWidth="1"/>
    <col min="7173" max="7414" width="13.6640625" style="28"/>
    <col min="7415" max="7415" width="22.109375" style="28" customWidth="1"/>
    <col min="7416" max="7422" width="13.6640625" style="28" customWidth="1"/>
    <col min="7423" max="7423" width="15.88671875" style="28" customWidth="1"/>
    <col min="7424" max="7424" width="16.5546875" style="28" bestFit="1" customWidth="1"/>
    <col min="7425" max="7425" width="13.6640625" style="28" customWidth="1"/>
    <col min="7426" max="7426" width="17.109375" style="28" bestFit="1" customWidth="1"/>
    <col min="7427" max="7427" width="4" style="28" customWidth="1"/>
    <col min="7428" max="7428" width="13.6640625" style="28" customWidth="1"/>
    <col min="7429" max="7670" width="13.6640625" style="28"/>
    <col min="7671" max="7671" width="22.109375" style="28" customWidth="1"/>
    <col min="7672" max="7678" width="13.6640625" style="28" customWidth="1"/>
    <col min="7679" max="7679" width="15.88671875" style="28" customWidth="1"/>
    <col min="7680" max="7680" width="16.5546875" style="28" bestFit="1" customWidth="1"/>
    <col min="7681" max="7681" width="13.6640625" style="28" customWidth="1"/>
    <col min="7682" max="7682" width="17.109375" style="28" bestFit="1" customWidth="1"/>
    <col min="7683" max="7683" width="4" style="28" customWidth="1"/>
    <col min="7684" max="7684" width="13.6640625" style="28" customWidth="1"/>
    <col min="7685" max="7926" width="13.6640625" style="28"/>
    <col min="7927" max="7927" width="22.109375" style="28" customWidth="1"/>
    <col min="7928" max="7934" width="13.6640625" style="28" customWidth="1"/>
    <col min="7935" max="7935" width="15.88671875" style="28" customWidth="1"/>
    <col min="7936" max="7936" width="16.5546875" style="28" bestFit="1" customWidth="1"/>
    <col min="7937" max="7937" width="13.6640625" style="28" customWidth="1"/>
    <col min="7938" max="7938" width="17.109375" style="28" bestFit="1" customWidth="1"/>
    <col min="7939" max="7939" width="4" style="28" customWidth="1"/>
    <col min="7940" max="7940" width="13.6640625" style="28" customWidth="1"/>
    <col min="7941" max="8182" width="13.6640625" style="28"/>
    <col min="8183" max="8183" width="22.109375" style="28" customWidth="1"/>
    <col min="8184" max="8190" width="13.6640625" style="28" customWidth="1"/>
    <col min="8191" max="8191" width="15.88671875" style="28" customWidth="1"/>
    <col min="8192" max="8192" width="16.5546875" style="28" bestFit="1" customWidth="1"/>
    <col min="8193" max="8193" width="13.6640625" style="28" customWidth="1"/>
    <col min="8194" max="8194" width="17.109375" style="28" bestFit="1" customWidth="1"/>
    <col min="8195" max="8195" width="4" style="28" customWidth="1"/>
    <col min="8196" max="8196" width="13.6640625" style="28" customWidth="1"/>
    <col min="8197" max="8438" width="13.6640625" style="28"/>
    <col min="8439" max="8439" width="22.109375" style="28" customWidth="1"/>
    <col min="8440" max="8446" width="13.6640625" style="28" customWidth="1"/>
    <col min="8447" max="8447" width="15.88671875" style="28" customWidth="1"/>
    <col min="8448" max="8448" width="16.5546875" style="28" bestFit="1" customWidth="1"/>
    <col min="8449" max="8449" width="13.6640625" style="28" customWidth="1"/>
    <col min="8450" max="8450" width="17.109375" style="28" bestFit="1" customWidth="1"/>
    <col min="8451" max="8451" width="4" style="28" customWidth="1"/>
    <col min="8452" max="8452" width="13.6640625" style="28" customWidth="1"/>
    <col min="8453" max="8694" width="13.6640625" style="28"/>
    <col min="8695" max="8695" width="22.109375" style="28" customWidth="1"/>
    <col min="8696" max="8702" width="13.6640625" style="28" customWidth="1"/>
    <col min="8703" max="8703" width="15.88671875" style="28" customWidth="1"/>
    <col min="8704" max="8704" width="16.5546875" style="28" bestFit="1" customWidth="1"/>
    <col min="8705" max="8705" width="13.6640625" style="28" customWidth="1"/>
    <col min="8706" max="8706" width="17.109375" style="28" bestFit="1" customWidth="1"/>
    <col min="8707" max="8707" width="4" style="28" customWidth="1"/>
    <col min="8708" max="8708" width="13.6640625" style="28" customWidth="1"/>
    <col min="8709" max="8950" width="13.6640625" style="28"/>
    <col min="8951" max="8951" width="22.109375" style="28" customWidth="1"/>
    <col min="8952" max="8958" width="13.6640625" style="28" customWidth="1"/>
    <col min="8959" max="8959" width="15.88671875" style="28" customWidth="1"/>
    <col min="8960" max="8960" width="16.5546875" style="28" bestFit="1" customWidth="1"/>
    <col min="8961" max="8961" width="13.6640625" style="28" customWidth="1"/>
    <col min="8962" max="8962" width="17.109375" style="28" bestFit="1" customWidth="1"/>
    <col min="8963" max="8963" width="4" style="28" customWidth="1"/>
    <col min="8964" max="8964" width="13.6640625" style="28" customWidth="1"/>
    <col min="8965" max="9206" width="13.6640625" style="28"/>
    <col min="9207" max="9207" width="22.109375" style="28" customWidth="1"/>
    <col min="9208" max="9214" width="13.6640625" style="28" customWidth="1"/>
    <col min="9215" max="9215" width="15.88671875" style="28" customWidth="1"/>
    <col min="9216" max="9216" width="16.5546875" style="28" bestFit="1" customWidth="1"/>
    <col min="9217" max="9217" width="13.6640625" style="28" customWidth="1"/>
    <col min="9218" max="9218" width="17.109375" style="28" bestFit="1" customWidth="1"/>
    <col min="9219" max="9219" width="4" style="28" customWidth="1"/>
    <col min="9220" max="9220" width="13.6640625" style="28" customWidth="1"/>
    <col min="9221" max="9462" width="13.6640625" style="28"/>
    <col min="9463" max="9463" width="22.109375" style="28" customWidth="1"/>
    <col min="9464" max="9470" width="13.6640625" style="28" customWidth="1"/>
    <col min="9471" max="9471" width="15.88671875" style="28" customWidth="1"/>
    <col min="9472" max="9472" width="16.5546875" style="28" bestFit="1" customWidth="1"/>
    <col min="9473" max="9473" width="13.6640625" style="28" customWidth="1"/>
    <col min="9474" max="9474" width="17.109375" style="28" bestFit="1" customWidth="1"/>
    <col min="9475" max="9475" width="4" style="28" customWidth="1"/>
    <col min="9476" max="9476" width="13.6640625" style="28" customWidth="1"/>
    <col min="9477" max="9718" width="13.6640625" style="28"/>
    <col min="9719" max="9719" width="22.109375" style="28" customWidth="1"/>
    <col min="9720" max="9726" width="13.6640625" style="28" customWidth="1"/>
    <col min="9727" max="9727" width="15.88671875" style="28" customWidth="1"/>
    <col min="9728" max="9728" width="16.5546875" style="28" bestFit="1" customWidth="1"/>
    <col min="9729" max="9729" width="13.6640625" style="28" customWidth="1"/>
    <col min="9730" max="9730" width="17.109375" style="28" bestFit="1" customWidth="1"/>
    <col min="9731" max="9731" width="4" style="28" customWidth="1"/>
    <col min="9732" max="9732" width="13.6640625" style="28" customWidth="1"/>
    <col min="9733" max="9974" width="13.6640625" style="28"/>
    <col min="9975" max="9975" width="22.109375" style="28" customWidth="1"/>
    <col min="9976" max="9982" width="13.6640625" style="28" customWidth="1"/>
    <col min="9983" max="9983" width="15.88671875" style="28" customWidth="1"/>
    <col min="9984" max="9984" width="16.5546875" style="28" bestFit="1" customWidth="1"/>
    <col min="9985" max="9985" width="13.6640625" style="28" customWidth="1"/>
    <col min="9986" max="9986" width="17.109375" style="28" bestFit="1" customWidth="1"/>
    <col min="9987" max="9987" width="4" style="28" customWidth="1"/>
    <col min="9988" max="9988" width="13.6640625" style="28" customWidth="1"/>
    <col min="9989" max="10230" width="13.6640625" style="28"/>
    <col min="10231" max="10231" width="22.109375" style="28" customWidth="1"/>
    <col min="10232" max="10238" width="13.6640625" style="28" customWidth="1"/>
    <col min="10239" max="10239" width="15.88671875" style="28" customWidth="1"/>
    <col min="10240" max="10240" width="16.5546875" style="28" bestFit="1" customWidth="1"/>
    <col min="10241" max="10241" width="13.6640625" style="28" customWidth="1"/>
    <col min="10242" max="10242" width="17.109375" style="28" bestFit="1" customWidth="1"/>
    <col min="10243" max="10243" width="4" style="28" customWidth="1"/>
    <col min="10244" max="10244" width="13.6640625" style="28" customWidth="1"/>
    <col min="10245" max="10486" width="13.6640625" style="28"/>
    <col min="10487" max="10487" width="22.109375" style="28" customWidth="1"/>
    <col min="10488" max="10494" width="13.6640625" style="28" customWidth="1"/>
    <col min="10495" max="10495" width="15.88671875" style="28" customWidth="1"/>
    <col min="10496" max="10496" width="16.5546875" style="28" bestFit="1" customWidth="1"/>
    <col min="10497" max="10497" width="13.6640625" style="28" customWidth="1"/>
    <col min="10498" max="10498" width="17.109375" style="28" bestFit="1" customWidth="1"/>
    <col min="10499" max="10499" width="4" style="28" customWidth="1"/>
    <col min="10500" max="10500" width="13.6640625" style="28" customWidth="1"/>
    <col min="10501" max="10742" width="13.6640625" style="28"/>
    <col min="10743" max="10743" width="22.109375" style="28" customWidth="1"/>
    <col min="10744" max="10750" width="13.6640625" style="28" customWidth="1"/>
    <col min="10751" max="10751" width="15.88671875" style="28" customWidth="1"/>
    <col min="10752" max="10752" width="16.5546875" style="28" bestFit="1" customWidth="1"/>
    <col min="10753" max="10753" width="13.6640625" style="28" customWidth="1"/>
    <col min="10754" max="10754" width="17.109375" style="28" bestFit="1" customWidth="1"/>
    <col min="10755" max="10755" width="4" style="28" customWidth="1"/>
    <col min="10756" max="10756" width="13.6640625" style="28" customWidth="1"/>
    <col min="10757" max="10998" width="13.6640625" style="28"/>
    <col min="10999" max="10999" width="22.109375" style="28" customWidth="1"/>
    <col min="11000" max="11006" width="13.6640625" style="28" customWidth="1"/>
    <col min="11007" max="11007" width="15.88671875" style="28" customWidth="1"/>
    <col min="11008" max="11008" width="16.5546875" style="28" bestFit="1" customWidth="1"/>
    <col min="11009" max="11009" width="13.6640625" style="28" customWidth="1"/>
    <col min="11010" max="11010" width="17.109375" style="28" bestFit="1" customWidth="1"/>
    <col min="11011" max="11011" width="4" style="28" customWidth="1"/>
    <col min="11012" max="11012" width="13.6640625" style="28" customWidth="1"/>
    <col min="11013" max="11254" width="13.6640625" style="28"/>
    <col min="11255" max="11255" width="22.109375" style="28" customWidth="1"/>
    <col min="11256" max="11262" width="13.6640625" style="28" customWidth="1"/>
    <col min="11263" max="11263" width="15.88671875" style="28" customWidth="1"/>
    <col min="11264" max="11264" width="16.5546875" style="28" bestFit="1" customWidth="1"/>
    <col min="11265" max="11265" width="13.6640625" style="28" customWidth="1"/>
    <col min="11266" max="11266" width="17.109375" style="28" bestFit="1" customWidth="1"/>
    <col min="11267" max="11267" width="4" style="28" customWidth="1"/>
    <col min="11268" max="11268" width="13.6640625" style="28" customWidth="1"/>
    <col min="11269" max="11510" width="13.6640625" style="28"/>
    <col min="11511" max="11511" width="22.109375" style="28" customWidth="1"/>
    <col min="11512" max="11518" width="13.6640625" style="28" customWidth="1"/>
    <col min="11519" max="11519" width="15.88671875" style="28" customWidth="1"/>
    <col min="11520" max="11520" width="16.5546875" style="28" bestFit="1" customWidth="1"/>
    <col min="11521" max="11521" width="13.6640625" style="28" customWidth="1"/>
    <col min="11522" max="11522" width="17.109375" style="28" bestFit="1" customWidth="1"/>
    <col min="11523" max="11523" width="4" style="28" customWidth="1"/>
    <col min="11524" max="11524" width="13.6640625" style="28" customWidth="1"/>
    <col min="11525" max="11766" width="13.6640625" style="28"/>
    <col min="11767" max="11767" width="22.109375" style="28" customWidth="1"/>
    <col min="11768" max="11774" width="13.6640625" style="28" customWidth="1"/>
    <col min="11775" max="11775" width="15.88671875" style="28" customWidth="1"/>
    <col min="11776" max="11776" width="16.5546875" style="28" bestFit="1" customWidth="1"/>
    <col min="11777" max="11777" width="13.6640625" style="28" customWidth="1"/>
    <col min="11778" max="11778" width="17.109375" style="28" bestFit="1" customWidth="1"/>
    <col min="11779" max="11779" width="4" style="28" customWidth="1"/>
    <col min="11780" max="11780" width="13.6640625" style="28" customWidth="1"/>
    <col min="11781" max="12022" width="13.6640625" style="28"/>
    <col min="12023" max="12023" width="22.109375" style="28" customWidth="1"/>
    <col min="12024" max="12030" width="13.6640625" style="28" customWidth="1"/>
    <col min="12031" max="12031" width="15.88671875" style="28" customWidth="1"/>
    <col min="12032" max="12032" width="16.5546875" style="28" bestFit="1" customWidth="1"/>
    <col min="12033" max="12033" width="13.6640625" style="28" customWidth="1"/>
    <col min="12034" max="12034" width="17.109375" style="28" bestFit="1" customWidth="1"/>
    <col min="12035" max="12035" width="4" style="28" customWidth="1"/>
    <col min="12036" max="12036" width="13.6640625" style="28" customWidth="1"/>
    <col min="12037" max="12278" width="13.6640625" style="28"/>
    <col min="12279" max="12279" width="22.109375" style="28" customWidth="1"/>
    <col min="12280" max="12286" width="13.6640625" style="28" customWidth="1"/>
    <col min="12287" max="12287" width="15.88671875" style="28" customWidth="1"/>
    <col min="12288" max="12288" width="16.5546875" style="28" bestFit="1" customWidth="1"/>
    <col min="12289" max="12289" width="13.6640625" style="28" customWidth="1"/>
    <col min="12290" max="12290" width="17.109375" style="28" bestFit="1" customWidth="1"/>
    <col min="12291" max="12291" width="4" style="28" customWidth="1"/>
    <col min="12292" max="12292" width="13.6640625" style="28" customWidth="1"/>
    <col min="12293" max="12534" width="13.6640625" style="28"/>
    <col min="12535" max="12535" width="22.109375" style="28" customWidth="1"/>
    <col min="12536" max="12542" width="13.6640625" style="28" customWidth="1"/>
    <col min="12543" max="12543" width="15.88671875" style="28" customWidth="1"/>
    <col min="12544" max="12544" width="16.5546875" style="28" bestFit="1" customWidth="1"/>
    <col min="12545" max="12545" width="13.6640625" style="28" customWidth="1"/>
    <col min="12546" max="12546" width="17.109375" style="28" bestFit="1" customWidth="1"/>
    <col min="12547" max="12547" width="4" style="28" customWidth="1"/>
    <col min="12548" max="12548" width="13.6640625" style="28" customWidth="1"/>
    <col min="12549" max="12790" width="13.6640625" style="28"/>
    <col min="12791" max="12791" width="22.109375" style="28" customWidth="1"/>
    <col min="12792" max="12798" width="13.6640625" style="28" customWidth="1"/>
    <col min="12799" max="12799" width="15.88671875" style="28" customWidth="1"/>
    <col min="12800" max="12800" width="16.5546875" style="28" bestFit="1" customWidth="1"/>
    <col min="12801" max="12801" width="13.6640625" style="28" customWidth="1"/>
    <col min="12802" max="12802" width="17.109375" style="28" bestFit="1" customWidth="1"/>
    <col min="12803" max="12803" width="4" style="28" customWidth="1"/>
    <col min="12804" max="12804" width="13.6640625" style="28" customWidth="1"/>
    <col min="12805" max="13046" width="13.6640625" style="28"/>
    <col min="13047" max="13047" width="22.109375" style="28" customWidth="1"/>
    <col min="13048" max="13054" width="13.6640625" style="28" customWidth="1"/>
    <col min="13055" max="13055" width="15.88671875" style="28" customWidth="1"/>
    <col min="13056" max="13056" width="16.5546875" style="28" bestFit="1" customWidth="1"/>
    <col min="13057" max="13057" width="13.6640625" style="28" customWidth="1"/>
    <col min="13058" max="13058" width="17.109375" style="28" bestFit="1" customWidth="1"/>
    <col min="13059" max="13059" width="4" style="28" customWidth="1"/>
    <col min="13060" max="13060" width="13.6640625" style="28" customWidth="1"/>
    <col min="13061" max="13302" width="13.6640625" style="28"/>
    <col min="13303" max="13303" width="22.109375" style="28" customWidth="1"/>
    <col min="13304" max="13310" width="13.6640625" style="28" customWidth="1"/>
    <col min="13311" max="13311" width="15.88671875" style="28" customWidth="1"/>
    <col min="13312" max="13312" width="16.5546875" style="28" bestFit="1" customWidth="1"/>
    <col min="13313" max="13313" width="13.6640625" style="28" customWidth="1"/>
    <col min="13314" max="13314" width="17.109375" style="28" bestFit="1" customWidth="1"/>
    <col min="13315" max="13315" width="4" style="28" customWidth="1"/>
    <col min="13316" max="13316" width="13.6640625" style="28" customWidth="1"/>
    <col min="13317" max="13558" width="13.6640625" style="28"/>
    <col min="13559" max="13559" width="22.109375" style="28" customWidth="1"/>
    <col min="13560" max="13566" width="13.6640625" style="28" customWidth="1"/>
    <col min="13567" max="13567" width="15.88671875" style="28" customWidth="1"/>
    <col min="13568" max="13568" width="16.5546875" style="28" bestFit="1" customWidth="1"/>
    <col min="13569" max="13569" width="13.6640625" style="28" customWidth="1"/>
    <col min="13570" max="13570" width="17.109375" style="28" bestFit="1" customWidth="1"/>
    <col min="13571" max="13571" width="4" style="28" customWidth="1"/>
    <col min="13572" max="13572" width="13.6640625" style="28" customWidth="1"/>
    <col min="13573" max="13814" width="13.6640625" style="28"/>
    <col min="13815" max="13815" width="22.109375" style="28" customWidth="1"/>
    <col min="13816" max="13822" width="13.6640625" style="28" customWidth="1"/>
    <col min="13823" max="13823" width="15.88671875" style="28" customWidth="1"/>
    <col min="13824" max="13824" width="16.5546875" style="28" bestFit="1" customWidth="1"/>
    <col min="13825" max="13825" width="13.6640625" style="28" customWidth="1"/>
    <col min="13826" max="13826" width="17.109375" style="28" bestFit="1" customWidth="1"/>
    <col min="13827" max="13827" width="4" style="28" customWidth="1"/>
    <col min="13828" max="13828" width="13.6640625" style="28" customWidth="1"/>
    <col min="13829" max="14070" width="13.6640625" style="28"/>
    <col min="14071" max="14071" width="22.109375" style="28" customWidth="1"/>
    <col min="14072" max="14078" width="13.6640625" style="28" customWidth="1"/>
    <col min="14079" max="14079" width="15.88671875" style="28" customWidth="1"/>
    <col min="14080" max="14080" width="16.5546875" style="28" bestFit="1" customWidth="1"/>
    <col min="14081" max="14081" width="13.6640625" style="28" customWidth="1"/>
    <col min="14082" max="14082" width="17.109375" style="28" bestFit="1" customWidth="1"/>
    <col min="14083" max="14083" width="4" style="28" customWidth="1"/>
    <col min="14084" max="14084" width="13.6640625" style="28" customWidth="1"/>
    <col min="14085" max="14326" width="13.6640625" style="28"/>
    <col min="14327" max="14327" width="22.109375" style="28" customWidth="1"/>
    <col min="14328" max="14334" width="13.6640625" style="28" customWidth="1"/>
    <col min="14335" max="14335" width="15.88671875" style="28" customWidth="1"/>
    <col min="14336" max="14336" width="16.5546875" style="28" bestFit="1" customWidth="1"/>
    <col min="14337" max="14337" width="13.6640625" style="28" customWidth="1"/>
    <col min="14338" max="14338" width="17.109375" style="28" bestFit="1" customWidth="1"/>
    <col min="14339" max="14339" width="4" style="28" customWidth="1"/>
    <col min="14340" max="14340" width="13.6640625" style="28" customWidth="1"/>
    <col min="14341" max="14582" width="13.6640625" style="28"/>
    <col min="14583" max="14583" width="22.109375" style="28" customWidth="1"/>
    <col min="14584" max="14590" width="13.6640625" style="28" customWidth="1"/>
    <col min="14591" max="14591" width="15.88671875" style="28" customWidth="1"/>
    <col min="14592" max="14592" width="16.5546875" style="28" bestFit="1" customWidth="1"/>
    <col min="14593" max="14593" width="13.6640625" style="28" customWidth="1"/>
    <col min="14594" max="14594" width="17.109375" style="28" bestFit="1" customWidth="1"/>
    <col min="14595" max="14595" width="4" style="28" customWidth="1"/>
    <col min="14596" max="14596" width="13.6640625" style="28" customWidth="1"/>
    <col min="14597" max="14838" width="13.6640625" style="28"/>
    <col min="14839" max="14839" width="22.109375" style="28" customWidth="1"/>
    <col min="14840" max="14846" width="13.6640625" style="28" customWidth="1"/>
    <col min="14847" max="14847" width="15.88671875" style="28" customWidth="1"/>
    <col min="14848" max="14848" width="16.5546875" style="28" bestFit="1" customWidth="1"/>
    <col min="14849" max="14849" width="13.6640625" style="28" customWidth="1"/>
    <col min="14850" max="14850" width="17.109375" style="28" bestFit="1" customWidth="1"/>
    <col min="14851" max="14851" width="4" style="28" customWidth="1"/>
    <col min="14852" max="14852" width="13.6640625" style="28" customWidth="1"/>
    <col min="14853" max="15094" width="13.6640625" style="28"/>
    <col min="15095" max="15095" width="22.109375" style="28" customWidth="1"/>
    <col min="15096" max="15102" width="13.6640625" style="28" customWidth="1"/>
    <col min="15103" max="15103" width="15.88671875" style="28" customWidth="1"/>
    <col min="15104" max="15104" width="16.5546875" style="28" bestFit="1" customWidth="1"/>
    <col min="15105" max="15105" width="13.6640625" style="28" customWidth="1"/>
    <col min="15106" max="15106" width="17.109375" style="28" bestFit="1" customWidth="1"/>
    <col min="15107" max="15107" width="4" style="28" customWidth="1"/>
    <col min="15108" max="15108" width="13.6640625" style="28" customWidth="1"/>
    <col min="15109" max="15350" width="13.6640625" style="28"/>
    <col min="15351" max="15351" width="22.109375" style="28" customWidth="1"/>
    <col min="15352" max="15358" width="13.6640625" style="28" customWidth="1"/>
    <col min="15359" max="15359" width="15.88671875" style="28" customWidth="1"/>
    <col min="15360" max="15360" width="16.5546875" style="28" bestFit="1" customWidth="1"/>
    <col min="15361" max="15361" width="13.6640625" style="28" customWidth="1"/>
    <col min="15362" max="15362" width="17.109375" style="28" bestFit="1" customWidth="1"/>
    <col min="15363" max="15363" width="4" style="28" customWidth="1"/>
    <col min="15364" max="15364" width="13.6640625" style="28" customWidth="1"/>
    <col min="15365" max="15606" width="13.6640625" style="28"/>
    <col min="15607" max="15607" width="22.109375" style="28" customWidth="1"/>
    <col min="15608" max="15614" width="13.6640625" style="28" customWidth="1"/>
    <col min="15615" max="15615" width="15.88671875" style="28" customWidth="1"/>
    <col min="15616" max="15616" width="16.5546875" style="28" bestFit="1" customWidth="1"/>
    <col min="15617" max="15617" width="13.6640625" style="28" customWidth="1"/>
    <col min="15618" max="15618" width="17.109375" style="28" bestFit="1" customWidth="1"/>
    <col min="15619" max="15619" width="4" style="28" customWidth="1"/>
    <col min="15620" max="15620" width="13.6640625" style="28" customWidth="1"/>
    <col min="15621" max="15862" width="13.6640625" style="28"/>
    <col min="15863" max="15863" width="22.109375" style="28" customWidth="1"/>
    <col min="15864" max="15870" width="13.6640625" style="28" customWidth="1"/>
    <col min="15871" max="15871" width="15.88671875" style="28" customWidth="1"/>
    <col min="15872" max="15872" width="16.5546875" style="28" bestFit="1" customWidth="1"/>
    <col min="15873" max="15873" width="13.6640625" style="28" customWidth="1"/>
    <col min="15874" max="15874" width="17.109375" style="28" bestFit="1" customWidth="1"/>
    <col min="15875" max="15875" width="4" style="28" customWidth="1"/>
    <col min="15876" max="15876" width="13.6640625" style="28" customWidth="1"/>
    <col min="15877" max="16118" width="13.6640625" style="28"/>
    <col min="16119" max="16119" width="22.109375" style="28" customWidth="1"/>
    <col min="16120" max="16126" width="13.6640625" style="28" customWidth="1"/>
    <col min="16127" max="16127" width="15.88671875" style="28" customWidth="1"/>
    <col min="16128" max="16128" width="16.5546875" style="28" bestFit="1" customWidth="1"/>
    <col min="16129" max="16129" width="13.6640625" style="28" customWidth="1"/>
    <col min="16130" max="16130" width="17.109375" style="28" bestFit="1" customWidth="1"/>
    <col min="16131" max="16131" width="4" style="28" customWidth="1"/>
    <col min="16132" max="16132" width="13.6640625" style="28" customWidth="1"/>
    <col min="16133" max="16384" width="13.6640625" style="28"/>
  </cols>
  <sheetData>
    <row r="1" spans="1:24" s="22" customFormat="1">
      <c r="A1" s="503" t="s">
        <v>5</v>
      </c>
      <c r="B1" s="180"/>
      <c r="C1" s="182"/>
      <c r="D1" s="180"/>
      <c r="E1" s="180"/>
      <c r="F1" s="103"/>
      <c r="G1" s="103"/>
      <c r="H1" s="103"/>
      <c r="I1" s="103"/>
      <c r="J1" s="103"/>
      <c r="K1" s="103"/>
      <c r="L1" s="103"/>
      <c r="M1" s="181"/>
      <c r="N1" s="182"/>
    </row>
    <row r="2" spans="1:24" s="22" customFormat="1" ht="13.2" customHeight="1">
      <c r="A2" s="103"/>
      <c r="B2" s="180"/>
      <c r="C2" s="182"/>
      <c r="D2" s="180"/>
      <c r="E2" s="180"/>
      <c r="F2" s="182"/>
      <c r="G2" s="182"/>
      <c r="H2" s="182"/>
      <c r="I2" s="182"/>
      <c r="J2" s="182"/>
      <c r="K2" s="182"/>
      <c r="L2" s="182"/>
      <c r="M2" s="182"/>
      <c r="N2" s="182"/>
    </row>
    <row r="3" spans="1:24" s="22" customFormat="1" ht="15.6">
      <c r="A3" s="38" t="str">
        <f>'2-Kosten per locatie'!A3</f>
        <v>Naam opdrachtgever</v>
      </c>
      <c r="B3" s="161" t="str">
        <f>'2-Kosten per locatie'!B3</f>
        <v>Gemeente Lansingerland</v>
      </c>
      <c r="C3" s="182"/>
      <c r="D3" s="180"/>
      <c r="E3" s="161"/>
      <c r="F3" s="182"/>
      <c r="G3" s="182"/>
      <c r="H3" s="182"/>
      <c r="I3" s="182"/>
      <c r="J3" s="182"/>
      <c r="K3" s="182"/>
      <c r="L3" s="182"/>
      <c r="M3" s="182"/>
      <c r="N3" s="182"/>
    </row>
    <row r="4" spans="1:24" s="22" customFormat="1" ht="15.6">
      <c r="A4" s="38" t="str">
        <f>'2-Kosten per locatie'!A4</f>
        <v>Calculatie onderdeel</v>
      </c>
      <c r="B4" s="161" t="str">
        <f ca="1">MID(CELL("bestandsnaam",$E$9),SEARCH("]",CELL("bestandsnaam",$E$9),1)+1,256)</f>
        <v>11-Sanitaire voorzieningen</v>
      </c>
      <c r="C4" s="182"/>
      <c r="D4" s="180"/>
      <c r="E4" s="161"/>
      <c r="F4" s="182"/>
      <c r="G4" s="182"/>
      <c r="H4" s="182"/>
      <c r="I4" s="182"/>
      <c r="J4" s="182"/>
      <c r="K4" s="182"/>
      <c r="M4" s="182"/>
      <c r="N4" s="182"/>
    </row>
    <row r="5" spans="1:24" s="22" customFormat="1" ht="15.6">
      <c r="A5" s="38" t="str">
        <f>'2-Kosten per locatie'!A5</f>
        <v>Onderdeel</v>
      </c>
      <c r="B5" s="161" t="str">
        <f>'2-Kosten per locatie'!B5</f>
        <v>Perceel 1 Schoonmaak</v>
      </c>
      <c r="C5" s="182"/>
      <c r="D5" s="180"/>
      <c r="E5" s="161"/>
      <c r="F5" s="182"/>
      <c r="G5" s="182"/>
      <c r="H5" s="182"/>
      <c r="I5" s="182"/>
      <c r="J5" s="182"/>
      <c r="K5" s="182"/>
      <c r="M5" s="182"/>
      <c r="N5" s="182"/>
      <c r="O5" s="23"/>
      <c r="P5" s="24"/>
      <c r="Q5" s="24"/>
      <c r="R5" s="23"/>
      <c r="S5" s="24"/>
      <c r="T5" s="24"/>
      <c r="U5" s="23"/>
      <c r="V5" s="24"/>
      <c r="W5" s="24"/>
      <c r="X5" s="23"/>
    </row>
    <row r="6" spans="1:24" s="22" customFormat="1" ht="17.25" customHeight="1">
      <c r="A6" s="38" t="str">
        <f>'2-Kosten per locatie'!A6</f>
        <v>Referentie nummer</v>
      </c>
      <c r="B6" s="161" t="str">
        <f>'2-Kosten per locatie'!B6</f>
        <v>TN602303</v>
      </c>
      <c r="C6" s="182"/>
      <c r="D6" s="180"/>
      <c r="E6" s="161"/>
      <c r="F6" s="182"/>
      <c r="G6" s="182"/>
      <c r="H6" s="182"/>
      <c r="I6" s="182"/>
      <c r="J6" s="182"/>
      <c r="K6" s="182"/>
      <c r="M6" s="182"/>
      <c r="N6" s="182"/>
      <c r="O6" s="27"/>
      <c r="P6" s="24"/>
      <c r="Q6" s="26"/>
      <c r="R6" s="27"/>
      <c r="S6" s="24"/>
      <c r="T6" s="26"/>
      <c r="U6" s="27"/>
      <c r="V6" s="24"/>
      <c r="W6" s="26"/>
      <c r="X6" s="27"/>
    </row>
    <row r="7" spans="1:24" s="22" customFormat="1" ht="17.25" customHeight="1">
      <c r="A7" s="38" t="str">
        <f>'2-Kosten per locatie'!A7</f>
        <v>Naam dienstverlener</v>
      </c>
      <c r="B7" s="161">
        <f>'2-Kosten per locatie'!B7</f>
        <v>0</v>
      </c>
      <c r="C7" s="182"/>
      <c r="D7" s="180"/>
      <c r="E7" s="125"/>
      <c r="F7" s="182"/>
      <c r="G7" s="182"/>
      <c r="H7" s="182"/>
      <c r="I7" s="182"/>
      <c r="J7" s="182"/>
      <c r="K7" s="182"/>
      <c r="M7" s="182"/>
      <c r="N7" s="182"/>
    </row>
    <row r="8" spans="1:24" s="22" customFormat="1" ht="17.25" customHeight="1">
      <c r="A8" s="38" t="str">
        <f>'2-Kosten per locatie'!A8</f>
        <v>Prijspeil</v>
      </c>
      <c r="B8" s="294">
        <f>'2-Kosten per locatie'!B8</f>
        <v>46388</v>
      </c>
      <c r="C8" s="182"/>
      <c r="D8" s="180"/>
      <c r="E8" s="47"/>
      <c r="F8" s="182"/>
      <c r="G8" s="182"/>
      <c r="H8" s="182"/>
      <c r="I8" s="182"/>
      <c r="J8" s="182"/>
      <c r="K8" s="182"/>
      <c r="L8" s="182"/>
      <c r="M8" s="182"/>
      <c r="N8" s="182"/>
    </row>
    <row r="9" spans="1:24" s="22" customFormat="1" ht="17.25" customHeight="1">
      <c r="A9" s="182"/>
      <c r="B9" s="182"/>
      <c r="C9" s="182"/>
      <c r="D9" s="182"/>
      <c r="E9" s="182"/>
      <c r="F9" s="182"/>
      <c r="G9" s="182"/>
      <c r="H9" s="182"/>
      <c r="I9" s="182"/>
      <c r="J9" s="182"/>
      <c r="K9" s="182"/>
      <c r="L9" s="182"/>
      <c r="M9" s="182"/>
      <c r="N9" s="182"/>
    </row>
    <row r="10" spans="1:24" s="29" customFormat="1" ht="43.5" customHeight="1">
      <c r="A10" s="478" t="s">
        <v>20</v>
      </c>
      <c r="B10" s="478" t="s">
        <v>615</v>
      </c>
      <c r="C10" s="478" t="s">
        <v>676</v>
      </c>
      <c r="D10" s="478" t="s">
        <v>678</v>
      </c>
      <c r="E10" s="479" t="s">
        <v>618</v>
      </c>
      <c r="F10" s="474" t="s">
        <v>690</v>
      </c>
      <c r="G10" s="474" t="s">
        <v>697</v>
      </c>
      <c r="H10" s="474" t="s">
        <v>668</v>
      </c>
      <c r="I10" s="474" t="s">
        <v>669</v>
      </c>
      <c r="J10" s="474" t="s">
        <v>712</v>
      </c>
      <c r="K10" s="474" t="s">
        <v>681</v>
      </c>
      <c r="L10" s="222" t="s">
        <v>713</v>
      </c>
      <c r="M10" s="223" t="s">
        <v>619</v>
      </c>
      <c r="N10" s="224"/>
    </row>
    <row r="11" spans="1:24">
      <c r="A11" s="316" t="s">
        <v>257</v>
      </c>
      <c r="B11" s="475" t="s">
        <v>664</v>
      </c>
      <c r="C11" s="546">
        <v>33</v>
      </c>
      <c r="D11" s="532"/>
      <c r="E11" s="475" t="s">
        <v>683</v>
      </c>
      <c r="F11" s="480">
        <v>150000</v>
      </c>
      <c r="G11" s="480" t="s">
        <v>698</v>
      </c>
      <c r="H11" s="535"/>
      <c r="I11" s="535"/>
      <c r="J11" s="535"/>
      <c r="K11" s="533" t="e">
        <f t="shared" ref="K11:K13" si="0">F11/J11</f>
        <v>#DIV/0!</v>
      </c>
      <c r="L11" s="528"/>
      <c r="M11" s="482" t="e">
        <f>K11*L11</f>
        <v>#DIV/0!</v>
      </c>
    </row>
    <row r="12" spans="1:24">
      <c r="A12" s="316" t="s">
        <v>257</v>
      </c>
      <c r="B12" s="475" t="s">
        <v>616</v>
      </c>
      <c r="C12" s="546">
        <v>59</v>
      </c>
      <c r="D12" s="532"/>
      <c r="E12" s="475" t="s">
        <v>684</v>
      </c>
      <c r="F12" s="480">
        <v>4000</v>
      </c>
      <c r="G12" s="480" t="s">
        <v>699</v>
      </c>
      <c r="H12" s="535"/>
      <c r="I12" s="535"/>
      <c r="J12" s="535"/>
      <c r="K12" s="533" t="e">
        <f t="shared" si="0"/>
        <v>#DIV/0!</v>
      </c>
      <c r="L12" s="528"/>
      <c r="M12" s="482" t="e">
        <f t="shared" ref="M12:M50" si="1">K12*L12</f>
        <v>#DIV/0!</v>
      </c>
    </row>
    <row r="13" spans="1:24">
      <c r="A13" s="316" t="s">
        <v>257</v>
      </c>
      <c r="B13" s="475" t="s">
        <v>671</v>
      </c>
      <c r="C13" s="546">
        <v>34</v>
      </c>
      <c r="D13" s="532"/>
      <c r="E13" s="475" t="s">
        <v>685</v>
      </c>
      <c r="F13" s="480">
        <v>2000</v>
      </c>
      <c r="G13" s="480" t="s">
        <v>698</v>
      </c>
      <c r="H13" s="535"/>
      <c r="I13" s="535"/>
      <c r="J13" s="535"/>
      <c r="K13" s="533" t="e">
        <f t="shared" si="0"/>
        <v>#DIV/0!</v>
      </c>
      <c r="L13" s="528"/>
      <c r="M13" s="482" t="e">
        <f t="shared" si="1"/>
        <v>#DIV/0!</v>
      </c>
    </row>
    <row r="14" spans="1:24">
      <c r="A14" s="316" t="s">
        <v>257</v>
      </c>
      <c r="B14" s="475" t="s">
        <v>672</v>
      </c>
      <c r="C14" s="546">
        <v>59</v>
      </c>
      <c r="D14" s="532" t="s">
        <v>706</v>
      </c>
      <c r="E14" s="475" t="s">
        <v>686</v>
      </c>
      <c r="F14" s="480">
        <v>59</v>
      </c>
      <c r="G14" s="480" t="s">
        <v>698</v>
      </c>
      <c r="H14" s="535"/>
      <c r="I14" s="535"/>
      <c r="J14" s="535"/>
      <c r="K14" s="533" t="e">
        <f>ROUNDUP((F14/J14),0)</f>
        <v>#DIV/0!</v>
      </c>
      <c r="L14" s="528"/>
      <c r="M14" s="482" t="e">
        <f t="shared" si="1"/>
        <v>#DIV/0!</v>
      </c>
    </row>
    <row r="15" spans="1:24">
      <c r="A15" s="316" t="s">
        <v>257</v>
      </c>
      <c r="B15" s="475" t="s">
        <v>665</v>
      </c>
      <c r="C15" s="546">
        <v>59</v>
      </c>
      <c r="D15" s="532"/>
      <c r="E15" s="475" t="s">
        <v>687</v>
      </c>
      <c r="F15" s="480">
        <v>60</v>
      </c>
      <c r="G15" s="480" t="s">
        <v>700</v>
      </c>
      <c r="H15" s="535"/>
      <c r="I15" s="535"/>
      <c r="J15" s="542"/>
      <c r="K15" s="533" t="e">
        <f t="shared" ref="K15:K33" si="2">ROUNDUP((F15/J15),0)</f>
        <v>#DIV/0!</v>
      </c>
      <c r="L15" s="528"/>
      <c r="M15" s="482" t="e">
        <f t="shared" si="1"/>
        <v>#DIV/0!</v>
      </c>
    </row>
    <row r="16" spans="1:24">
      <c r="A16" s="316" t="s">
        <v>257</v>
      </c>
      <c r="B16" s="475" t="s">
        <v>617</v>
      </c>
      <c r="C16" s="546">
        <v>63</v>
      </c>
      <c r="D16" s="532" t="s">
        <v>707</v>
      </c>
      <c r="E16" s="475" t="s">
        <v>688</v>
      </c>
      <c r="F16" s="480">
        <v>400</v>
      </c>
      <c r="G16" s="480" t="s">
        <v>700</v>
      </c>
      <c r="H16" s="535"/>
      <c r="I16" s="535"/>
      <c r="J16" s="535"/>
      <c r="K16" s="533" t="e">
        <f t="shared" si="2"/>
        <v>#DIV/0!</v>
      </c>
      <c r="L16" s="528"/>
      <c r="M16" s="482" t="e">
        <f t="shared" si="1"/>
        <v>#DIV/0!</v>
      </c>
    </row>
    <row r="17" spans="1:13">
      <c r="A17" s="316" t="s">
        <v>257</v>
      </c>
      <c r="B17" s="475" t="s">
        <v>677</v>
      </c>
      <c r="C17" s="546">
        <v>59</v>
      </c>
      <c r="D17" s="532" t="s">
        <v>680</v>
      </c>
      <c r="E17" s="475" t="s">
        <v>689</v>
      </c>
      <c r="F17" s="480">
        <v>236</v>
      </c>
      <c r="G17" s="480" t="s">
        <v>698</v>
      </c>
      <c r="H17" s="535"/>
      <c r="I17" s="535"/>
      <c r="J17" s="535"/>
      <c r="K17" s="533" t="e">
        <f t="shared" si="2"/>
        <v>#DIV/0!</v>
      </c>
      <c r="L17" s="528"/>
      <c r="M17" s="482" t="e">
        <f t="shared" si="1"/>
        <v>#DIV/0!</v>
      </c>
    </row>
    <row r="18" spans="1:13">
      <c r="A18" s="316" t="s">
        <v>612</v>
      </c>
      <c r="B18" s="475" t="s">
        <v>664</v>
      </c>
      <c r="C18" s="546">
        <v>1</v>
      </c>
      <c r="D18" s="532"/>
      <c r="E18" s="475" t="s">
        <v>683</v>
      </c>
      <c r="F18" s="480">
        <v>15000</v>
      </c>
      <c r="G18" s="480" t="s">
        <v>698</v>
      </c>
      <c r="H18" s="535"/>
      <c r="I18" s="535"/>
      <c r="J18" s="535"/>
      <c r="K18" s="533" t="e">
        <f t="shared" si="2"/>
        <v>#DIV/0!</v>
      </c>
      <c r="L18" s="528"/>
      <c r="M18" s="482" t="e">
        <f t="shared" si="1"/>
        <v>#DIV/0!</v>
      </c>
    </row>
    <row r="19" spans="1:13">
      <c r="A19" s="316" t="s">
        <v>612</v>
      </c>
      <c r="B19" s="475" t="s">
        <v>616</v>
      </c>
      <c r="C19" s="546">
        <v>6</v>
      </c>
      <c r="D19" s="532"/>
      <c r="E19" s="475" t="s">
        <v>684</v>
      </c>
      <c r="F19" s="480">
        <v>1000</v>
      </c>
      <c r="G19" s="480" t="s">
        <v>699</v>
      </c>
      <c r="H19" s="535"/>
      <c r="I19" s="535"/>
      <c r="J19" s="535"/>
      <c r="K19" s="533" t="e">
        <f t="shared" si="2"/>
        <v>#DIV/0!</v>
      </c>
      <c r="L19" s="528"/>
      <c r="M19" s="482" t="e">
        <f t="shared" si="1"/>
        <v>#DIV/0!</v>
      </c>
    </row>
    <row r="20" spans="1:13">
      <c r="A20" s="316" t="s">
        <v>612</v>
      </c>
      <c r="B20" s="475" t="s">
        <v>671</v>
      </c>
      <c r="C20" s="546">
        <v>3</v>
      </c>
      <c r="D20" s="532"/>
      <c r="E20" s="475" t="s">
        <v>685</v>
      </c>
      <c r="F20" s="480">
        <v>500</v>
      </c>
      <c r="G20" s="480" t="s">
        <v>698</v>
      </c>
      <c r="H20" s="535"/>
      <c r="I20" s="535"/>
      <c r="J20" s="535"/>
      <c r="K20" s="533" t="e">
        <f t="shared" si="2"/>
        <v>#DIV/0!</v>
      </c>
      <c r="L20" s="528"/>
      <c r="M20" s="482" t="e">
        <f t="shared" si="1"/>
        <v>#DIV/0!</v>
      </c>
    </row>
    <row r="21" spans="1:13">
      <c r="A21" s="316" t="s">
        <v>612</v>
      </c>
      <c r="B21" s="475" t="s">
        <v>672</v>
      </c>
      <c r="C21" s="546">
        <v>6</v>
      </c>
      <c r="D21" s="532" t="s">
        <v>706</v>
      </c>
      <c r="E21" s="475" t="s">
        <v>686</v>
      </c>
      <c r="F21" s="480">
        <v>6</v>
      </c>
      <c r="G21" s="480" t="s">
        <v>698</v>
      </c>
      <c r="H21" s="535"/>
      <c r="I21" s="535"/>
      <c r="J21" s="535"/>
      <c r="K21" s="533" t="e">
        <f t="shared" si="2"/>
        <v>#DIV/0!</v>
      </c>
      <c r="L21" s="528"/>
      <c r="M21" s="482" t="e">
        <f t="shared" si="1"/>
        <v>#DIV/0!</v>
      </c>
    </row>
    <row r="22" spans="1:13">
      <c r="A22" s="316" t="s">
        <v>612</v>
      </c>
      <c r="B22" s="475" t="s">
        <v>665</v>
      </c>
      <c r="C22" s="546">
        <v>6</v>
      </c>
      <c r="D22" s="532"/>
      <c r="E22" s="475" t="s">
        <v>687</v>
      </c>
      <c r="F22" s="480">
        <v>25</v>
      </c>
      <c r="G22" s="480" t="s">
        <v>700</v>
      </c>
      <c r="H22" s="535"/>
      <c r="I22" s="535"/>
      <c r="J22" s="535"/>
      <c r="K22" s="533" t="e">
        <f t="shared" si="2"/>
        <v>#DIV/0!</v>
      </c>
      <c r="L22" s="528"/>
      <c r="M22" s="482" t="e">
        <f t="shared" si="1"/>
        <v>#DIV/0!</v>
      </c>
    </row>
    <row r="23" spans="1:13">
      <c r="A23" s="316" t="s">
        <v>612</v>
      </c>
      <c r="B23" s="475" t="s">
        <v>617</v>
      </c>
      <c r="C23" s="546">
        <v>4</v>
      </c>
      <c r="D23" s="532"/>
      <c r="E23" s="475" t="s">
        <v>688</v>
      </c>
      <c r="F23" s="480">
        <v>150</v>
      </c>
      <c r="G23" s="480" t="s">
        <v>700</v>
      </c>
      <c r="H23" s="535"/>
      <c r="I23" s="535"/>
      <c r="J23" s="535"/>
      <c r="K23" s="533" t="e">
        <f t="shared" si="2"/>
        <v>#DIV/0!</v>
      </c>
      <c r="L23" s="528"/>
      <c r="M23" s="482" t="e">
        <f t="shared" si="1"/>
        <v>#DIV/0!</v>
      </c>
    </row>
    <row r="24" spans="1:13">
      <c r="A24" s="316" t="s">
        <v>612</v>
      </c>
      <c r="B24" s="475" t="s">
        <v>677</v>
      </c>
      <c r="C24" s="546">
        <v>6</v>
      </c>
      <c r="D24" s="532" t="s">
        <v>680</v>
      </c>
      <c r="E24" s="475" t="s">
        <v>689</v>
      </c>
      <c r="F24" s="480">
        <v>24</v>
      </c>
      <c r="G24" s="480" t="s">
        <v>698</v>
      </c>
      <c r="H24" s="535"/>
      <c r="I24" s="535"/>
      <c r="J24" s="535"/>
      <c r="K24" s="533" t="e">
        <f t="shared" si="2"/>
        <v>#DIV/0!</v>
      </c>
      <c r="L24" s="528"/>
      <c r="M24" s="482" t="e">
        <f t="shared" si="1"/>
        <v>#DIV/0!</v>
      </c>
    </row>
    <row r="25" spans="1:13">
      <c r="A25" s="544" t="s">
        <v>612</v>
      </c>
      <c r="B25" s="532" t="s">
        <v>708</v>
      </c>
      <c r="C25" s="545">
        <v>3</v>
      </c>
      <c r="D25" s="532"/>
      <c r="E25" s="475" t="s">
        <v>710</v>
      </c>
      <c r="F25" s="480">
        <v>40</v>
      </c>
      <c r="G25" s="480" t="s">
        <v>699</v>
      </c>
      <c r="H25" s="535"/>
      <c r="I25" s="535"/>
      <c r="J25" s="535"/>
      <c r="K25" s="533" t="e">
        <f t="shared" si="2"/>
        <v>#DIV/0!</v>
      </c>
      <c r="L25" s="528"/>
      <c r="M25" s="482" t="e">
        <f t="shared" si="1"/>
        <v>#DIV/0!</v>
      </c>
    </row>
    <row r="26" spans="1:13">
      <c r="A26" s="544" t="s">
        <v>612</v>
      </c>
      <c r="B26" s="532" t="s">
        <v>709</v>
      </c>
      <c r="C26" s="545">
        <v>4</v>
      </c>
      <c r="D26" s="532"/>
      <c r="E26" s="475" t="s">
        <v>711</v>
      </c>
      <c r="F26" s="480">
        <v>50</v>
      </c>
      <c r="G26" s="480" t="s">
        <v>699</v>
      </c>
      <c r="H26" s="535"/>
      <c r="I26" s="535"/>
      <c r="J26" s="535"/>
      <c r="K26" s="533" t="e">
        <f t="shared" si="2"/>
        <v>#DIV/0!</v>
      </c>
      <c r="L26" s="528"/>
      <c r="M26" s="482" t="e">
        <f t="shared" si="1"/>
        <v>#DIV/0!</v>
      </c>
    </row>
    <row r="27" spans="1:13">
      <c r="A27" s="316" t="s">
        <v>613</v>
      </c>
      <c r="B27" s="475" t="s">
        <v>664</v>
      </c>
      <c r="C27" s="546">
        <v>6</v>
      </c>
      <c r="D27" s="532"/>
      <c r="E27" s="475" t="s">
        <v>683</v>
      </c>
      <c r="F27" s="480">
        <v>20000</v>
      </c>
      <c r="G27" s="480" t="s">
        <v>698</v>
      </c>
      <c r="H27" s="535"/>
      <c r="I27" s="535"/>
      <c r="J27" s="535"/>
      <c r="K27" s="533" t="e">
        <f t="shared" si="2"/>
        <v>#DIV/0!</v>
      </c>
      <c r="L27" s="528"/>
      <c r="M27" s="482" t="e">
        <f t="shared" si="1"/>
        <v>#DIV/0!</v>
      </c>
    </row>
    <row r="28" spans="1:13">
      <c r="A28" s="316" t="s">
        <v>613</v>
      </c>
      <c r="B28" s="475" t="s">
        <v>616</v>
      </c>
      <c r="C28" s="546">
        <v>4</v>
      </c>
      <c r="D28" s="532"/>
      <c r="E28" s="475" t="s">
        <v>684</v>
      </c>
      <c r="F28" s="480">
        <v>500</v>
      </c>
      <c r="G28" s="480" t="s">
        <v>699</v>
      </c>
      <c r="H28" s="535"/>
      <c r="I28" s="535"/>
      <c r="J28" s="535"/>
      <c r="K28" s="533" t="e">
        <f t="shared" si="2"/>
        <v>#DIV/0!</v>
      </c>
      <c r="L28" s="528"/>
      <c r="M28" s="482" t="e">
        <f t="shared" si="1"/>
        <v>#DIV/0!</v>
      </c>
    </row>
    <row r="29" spans="1:13">
      <c r="A29" s="316" t="s">
        <v>613</v>
      </c>
      <c r="B29" s="475" t="s">
        <v>671</v>
      </c>
      <c r="C29" s="546">
        <v>4</v>
      </c>
      <c r="D29" s="532"/>
      <c r="E29" s="475" t="s">
        <v>685</v>
      </c>
      <c r="F29" s="480">
        <v>400</v>
      </c>
      <c r="G29" s="480" t="s">
        <v>698</v>
      </c>
      <c r="H29" s="535"/>
      <c r="I29" s="535"/>
      <c r="J29" s="535"/>
      <c r="K29" s="533" t="e">
        <f t="shared" si="2"/>
        <v>#DIV/0!</v>
      </c>
      <c r="L29" s="528"/>
      <c r="M29" s="482" t="e">
        <f t="shared" si="1"/>
        <v>#DIV/0!</v>
      </c>
    </row>
    <row r="30" spans="1:13">
      <c r="A30" s="316" t="s">
        <v>613</v>
      </c>
      <c r="B30" s="475" t="s">
        <v>672</v>
      </c>
      <c r="C30" s="546">
        <v>4</v>
      </c>
      <c r="D30" s="532" t="s">
        <v>706</v>
      </c>
      <c r="E30" s="475" t="s">
        <v>686</v>
      </c>
      <c r="F30" s="480">
        <v>4</v>
      </c>
      <c r="G30" s="480" t="s">
        <v>698</v>
      </c>
      <c r="H30" s="535"/>
      <c r="I30" s="535"/>
      <c r="J30" s="535"/>
      <c r="K30" s="533" t="e">
        <f t="shared" si="2"/>
        <v>#DIV/0!</v>
      </c>
      <c r="L30" s="528"/>
      <c r="M30" s="482" t="e">
        <f t="shared" si="1"/>
        <v>#DIV/0!</v>
      </c>
    </row>
    <row r="31" spans="1:13">
      <c r="A31" s="316" t="s">
        <v>613</v>
      </c>
      <c r="B31" s="475" t="s">
        <v>665</v>
      </c>
      <c r="C31" s="546">
        <v>4</v>
      </c>
      <c r="D31" s="532"/>
      <c r="E31" s="475" t="s">
        <v>687</v>
      </c>
      <c r="F31" s="480">
        <v>16</v>
      </c>
      <c r="G31" s="480" t="s">
        <v>700</v>
      </c>
      <c r="H31" s="535"/>
      <c r="I31" s="535"/>
      <c r="J31" s="535"/>
      <c r="K31" s="533" t="e">
        <f t="shared" si="2"/>
        <v>#DIV/0!</v>
      </c>
      <c r="L31" s="528"/>
      <c r="M31" s="482" t="e">
        <f t="shared" si="1"/>
        <v>#DIV/0!</v>
      </c>
    </row>
    <row r="32" spans="1:13">
      <c r="A32" s="316" t="s">
        <v>613</v>
      </c>
      <c r="B32" s="475" t="s">
        <v>617</v>
      </c>
      <c r="C32" s="546">
        <v>6</v>
      </c>
      <c r="D32" s="532"/>
      <c r="E32" s="475" t="s">
        <v>688</v>
      </c>
      <c r="F32" s="480">
        <v>140</v>
      </c>
      <c r="G32" s="480" t="s">
        <v>700</v>
      </c>
      <c r="H32" s="535"/>
      <c r="I32" s="535"/>
      <c r="J32" s="535"/>
      <c r="K32" s="533" t="e">
        <f t="shared" si="2"/>
        <v>#DIV/0!</v>
      </c>
      <c r="L32" s="528"/>
      <c r="M32" s="482" t="e">
        <f t="shared" si="1"/>
        <v>#DIV/0!</v>
      </c>
    </row>
    <row r="33" spans="1:13">
      <c r="A33" s="316" t="s">
        <v>613</v>
      </c>
      <c r="B33" s="475" t="s">
        <v>677</v>
      </c>
      <c r="C33" s="546">
        <v>5</v>
      </c>
      <c r="D33" s="532" t="s">
        <v>680</v>
      </c>
      <c r="E33" s="475" t="s">
        <v>689</v>
      </c>
      <c r="F33" s="480">
        <v>20</v>
      </c>
      <c r="G33" s="480" t="s">
        <v>698</v>
      </c>
      <c r="H33" s="535"/>
      <c r="I33" s="535"/>
      <c r="J33" s="535"/>
      <c r="K33" s="533" t="e">
        <f t="shared" si="2"/>
        <v>#DIV/0!</v>
      </c>
      <c r="L33" s="528"/>
      <c r="M33" s="482" t="e">
        <f t="shared" si="1"/>
        <v>#DIV/0!</v>
      </c>
    </row>
    <row r="34" spans="1:13" ht="32.4">
      <c r="A34" s="478" t="s">
        <v>20</v>
      </c>
      <c r="B34" s="478" t="s">
        <v>615</v>
      </c>
      <c r="C34" s="547" t="s">
        <v>676</v>
      </c>
      <c r="D34" s="478" t="s">
        <v>678</v>
      </c>
      <c r="E34" s="479" t="s">
        <v>618</v>
      </c>
      <c r="F34" s="474" t="s">
        <v>690</v>
      </c>
      <c r="G34" s="474"/>
      <c r="H34" s="474" t="s">
        <v>668</v>
      </c>
      <c r="I34" s="474" t="s">
        <v>669</v>
      </c>
      <c r="J34" s="474" t="s">
        <v>712</v>
      </c>
      <c r="K34" s="550" t="s">
        <v>681</v>
      </c>
      <c r="L34" s="222" t="s">
        <v>713</v>
      </c>
      <c r="M34" s="223" t="s">
        <v>619</v>
      </c>
    </row>
    <row r="35" spans="1:13">
      <c r="A35" s="316" t="s">
        <v>257</v>
      </c>
      <c r="B35" s="532" t="s">
        <v>694</v>
      </c>
      <c r="C35" s="545">
        <v>120</v>
      </c>
      <c r="D35" s="532"/>
      <c r="E35" s="532" t="s">
        <v>694</v>
      </c>
      <c r="F35" s="533">
        <v>120</v>
      </c>
      <c r="G35" s="533" t="s">
        <v>701</v>
      </c>
      <c r="H35" s="535"/>
      <c r="I35" s="535"/>
      <c r="J35" s="535"/>
      <c r="K35" s="533" t="e">
        <f t="shared" ref="K35:K37" si="3">ROUNDUP((F35/J35),0)</f>
        <v>#DIV/0!</v>
      </c>
      <c r="L35" s="528"/>
      <c r="M35" s="482" t="e">
        <f t="shared" ref="M35:M36" si="4">K35*L35</f>
        <v>#DIV/0!</v>
      </c>
    </row>
    <row r="36" spans="1:13">
      <c r="A36" s="316" t="s">
        <v>612</v>
      </c>
      <c r="B36" s="532" t="s">
        <v>694</v>
      </c>
      <c r="C36" s="545">
        <v>25</v>
      </c>
      <c r="D36" s="532"/>
      <c r="E36" s="532" t="s">
        <v>694</v>
      </c>
      <c r="F36" s="533">
        <v>25</v>
      </c>
      <c r="G36" s="533" t="s">
        <v>701</v>
      </c>
      <c r="H36" s="535"/>
      <c r="I36" s="535"/>
      <c r="J36" s="535"/>
      <c r="K36" s="533" t="e">
        <f t="shared" si="3"/>
        <v>#DIV/0!</v>
      </c>
      <c r="L36" s="528"/>
      <c r="M36" s="482" t="e">
        <f t="shared" si="4"/>
        <v>#DIV/0!</v>
      </c>
    </row>
    <row r="37" spans="1:13">
      <c r="A37" s="316" t="s">
        <v>613</v>
      </c>
      <c r="B37" s="532" t="s">
        <v>694</v>
      </c>
      <c r="C37" s="545">
        <v>13</v>
      </c>
      <c r="D37" s="532"/>
      <c r="E37" s="532" t="s">
        <v>694</v>
      </c>
      <c r="F37" s="533">
        <v>13</v>
      </c>
      <c r="G37" s="533" t="s">
        <v>701</v>
      </c>
      <c r="H37" s="535"/>
      <c r="I37" s="535"/>
      <c r="J37" s="535"/>
      <c r="K37" s="533" t="e">
        <f t="shared" si="3"/>
        <v>#DIV/0!</v>
      </c>
      <c r="L37" s="528"/>
      <c r="M37" s="482" t="e">
        <f>K37*L37</f>
        <v>#DIV/0!</v>
      </c>
    </row>
    <row r="38" spans="1:13" ht="32.4">
      <c r="A38" s="478" t="s">
        <v>20</v>
      </c>
      <c r="B38" s="478" t="s">
        <v>615</v>
      </c>
      <c r="C38" s="547" t="s">
        <v>676</v>
      </c>
      <c r="D38" s="478" t="s">
        <v>678</v>
      </c>
      <c r="E38" s="479" t="s">
        <v>618</v>
      </c>
      <c r="F38" s="474" t="s">
        <v>690</v>
      </c>
      <c r="G38" s="474"/>
      <c r="H38" s="474" t="s">
        <v>668</v>
      </c>
      <c r="I38" s="474" t="s">
        <v>669</v>
      </c>
      <c r="J38" s="474" t="s">
        <v>712</v>
      </c>
      <c r="K38" s="550" t="s">
        <v>681</v>
      </c>
      <c r="L38" s="222" t="s">
        <v>713</v>
      </c>
      <c r="M38" s="223" t="s">
        <v>619</v>
      </c>
    </row>
    <row r="39" spans="1:13">
      <c r="A39" s="316" t="s">
        <v>257</v>
      </c>
      <c r="B39" s="532" t="s">
        <v>673</v>
      </c>
      <c r="C39" s="545">
        <v>8</v>
      </c>
      <c r="D39" s="532"/>
      <c r="E39" s="532" t="s">
        <v>691</v>
      </c>
      <c r="F39" s="533">
        <v>200</v>
      </c>
      <c r="G39" s="533" t="s">
        <v>700</v>
      </c>
      <c r="H39" s="535"/>
      <c r="I39" s="535"/>
      <c r="J39" s="535"/>
      <c r="K39" s="533" t="e">
        <f t="shared" ref="K39:K50" si="5">ROUNDUP((F39/J39),0)</f>
        <v>#DIV/0!</v>
      </c>
      <c r="L39" s="528"/>
      <c r="M39" s="482" t="e">
        <f t="shared" ref="M39:M46" si="6">K39*L39</f>
        <v>#DIV/0!</v>
      </c>
    </row>
    <row r="40" spans="1:13">
      <c r="A40" s="316" t="s">
        <v>257</v>
      </c>
      <c r="B40" s="477" t="s">
        <v>614</v>
      </c>
      <c r="C40" s="548">
        <v>8</v>
      </c>
      <c r="D40" s="534" t="s">
        <v>706</v>
      </c>
      <c r="E40" s="477" t="s">
        <v>693</v>
      </c>
      <c r="F40" s="533">
        <v>8</v>
      </c>
      <c r="G40" s="533" t="s">
        <v>698</v>
      </c>
      <c r="H40" s="535"/>
      <c r="I40" s="535"/>
      <c r="J40" s="535"/>
      <c r="K40" s="533" t="e">
        <f t="shared" si="5"/>
        <v>#DIV/0!</v>
      </c>
      <c r="L40" s="528"/>
      <c r="M40" s="482" t="e">
        <f t="shared" si="6"/>
        <v>#DIV/0!</v>
      </c>
    </row>
    <row r="41" spans="1:13">
      <c r="A41" s="316" t="s">
        <v>257</v>
      </c>
      <c r="B41" s="534" t="s">
        <v>674</v>
      </c>
      <c r="C41" s="548">
        <v>8</v>
      </c>
      <c r="D41" s="534"/>
      <c r="E41" s="532" t="s">
        <v>674</v>
      </c>
      <c r="F41" s="533">
        <f>8*12</f>
        <v>96</v>
      </c>
      <c r="G41" s="533" t="s">
        <v>698</v>
      </c>
      <c r="H41" s="535"/>
      <c r="I41" s="535"/>
      <c r="J41" s="535"/>
      <c r="K41" s="533" t="e">
        <f t="shared" si="5"/>
        <v>#DIV/0!</v>
      </c>
      <c r="L41" s="528"/>
      <c r="M41" s="482" t="e">
        <f t="shared" si="6"/>
        <v>#DIV/0!</v>
      </c>
    </row>
    <row r="42" spans="1:13">
      <c r="A42" s="316" t="s">
        <v>257</v>
      </c>
      <c r="B42" s="475" t="s">
        <v>675</v>
      </c>
      <c r="C42" s="545">
        <v>8</v>
      </c>
      <c r="D42" s="532"/>
      <c r="E42" s="475" t="s">
        <v>696</v>
      </c>
      <c r="F42" s="533">
        <f>8*12</f>
        <v>96</v>
      </c>
      <c r="G42" s="533" t="s">
        <v>698</v>
      </c>
      <c r="H42" s="535"/>
      <c r="I42" s="535"/>
      <c r="J42" s="535"/>
      <c r="K42" s="533" t="e">
        <f t="shared" si="5"/>
        <v>#DIV/0!</v>
      </c>
      <c r="L42" s="528"/>
      <c r="M42" s="482" t="e">
        <f t="shared" si="6"/>
        <v>#DIV/0!</v>
      </c>
    </row>
    <row r="43" spans="1:13">
      <c r="A43" s="316" t="s">
        <v>612</v>
      </c>
      <c r="B43" s="475" t="s">
        <v>673</v>
      </c>
      <c r="C43" s="545">
        <v>1</v>
      </c>
      <c r="D43" s="532"/>
      <c r="E43" s="532" t="s">
        <v>691</v>
      </c>
      <c r="F43" s="533">
        <v>40</v>
      </c>
      <c r="G43" s="533" t="s">
        <v>700</v>
      </c>
      <c r="H43" s="535"/>
      <c r="I43" s="535"/>
      <c r="J43" s="535"/>
      <c r="K43" s="533" t="e">
        <f t="shared" si="5"/>
        <v>#DIV/0!</v>
      </c>
      <c r="L43" s="528"/>
      <c r="M43" s="482" t="e">
        <f t="shared" si="6"/>
        <v>#DIV/0!</v>
      </c>
    </row>
    <row r="44" spans="1:13">
      <c r="A44" s="316" t="s">
        <v>612</v>
      </c>
      <c r="B44" s="475" t="s">
        <v>614</v>
      </c>
      <c r="C44" s="545">
        <v>1</v>
      </c>
      <c r="D44" s="532" t="s">
        <v>706</v>
      </c>
      <c r="E44" s="477" t="s">
        <v>693</v>
      </c>
      <c r="F44" s="533">
        <v>1</v>
      </c>
      <c r="G44" s="533" t="s">
        <v>698</v>
      </c>
      <c r="H44" s="535"/>
      <c r="I44" s="535"/>
      <c r="J44" s="535"/>
      <c r="K44" s="533" t="e">
        <f t="shared" si="5"/>
        <v>#DIV/0!</v>
      </c>
      <c r="L44" s="528"/>
      <c r="M44" s="482" t="e">
        <f t="shared" si="6"/>
        <v>#DIV/0!</v>
      </c>
    </row>
    <row r="45" spans="1:13">
      <c r="A45" s="316" t="s">
        <v>612</v>
      </c>
      <c r="B45" s="475" t="s">
        <v>674</v>
      </c>
      <c r="C45" s="545">
        <v>1</v>
      </c>
      <c r="D45" s="532"/>
      <c r="E45" s="532" t="s">
        <v>674</v>
      </c>
      <c r="F45" s="533">
        <v>12</v>
      </c>
      <c r="G45" s="533" t="s">
        <v>698</v>
      </c>
      <c r="H45" s="535"/>
      <c r="I45" s="535"/>
      <c r="J45" s="535"/>
      <c r="K45" s="533" t="e">
        <f t="shared" si="5"/>
        <v>#DIV/0!</v>
      </c>
      <c r="L45" s="528"/>
      <c r="M45" s="482" t="e">
        <f t="shared" si="6"/>
        <v>#DIV/0!</v>
      </c>
    </row>
    <row r="46" spans="1:13">
      <c r="A46" s="316" t="s">
        <v>612</v>
      </c>
      <c r="B46" s="475" t="s">
        <v>675</v>
      </c>
      <c r="C46" s="545">
        <v>1</v>
      </c>
      <c r="D46" s="532"/>
      <c r="E46" s="475" t="s">
        <v>696</v>
      </c>
      <c r="F46" s="533">
        <v>12</v>
      </c>
      <c r="G46" s="533" t="s">
        <v>698</v>
      </c>
      <c r="H46" s="535"/>
      <c r="I46" s="535"/>
      <c r="J46" s="535"/>
      <c r="K46" s="533" t="e">
        <f t="shared" si="5"/>
        <v>#DIV/0!</v>
      </c>
      <c r="L46" s="528"/>
      <c r="M46" s="482" t="e">
        <f t="shared" si="6"/>
        <v>#DIV/0!</v>
      </c>
    </row>
    <row r="47" spans="1:13">
      <c r="A47" s="316" t="s">
        <v>613</v>
      </c>
      <c r="B47" s="475" t="s">
        <v>673</v>
      </c>
      <c r="C47" s="545">
        <v>1</v>
      </c>
      <c r="D47" s="532"/>
      <c r="E47" s="532" t="s">
        <v>691</v>
      </c>
      <c r="F47" s="533">
        <v>40</v>
      </c>
      <c r="G47" s="533" t="s">
        <v>700</v>
      </c>
      <c r="H47" s="535"/>
      <c r="I47" s="535"/>
      <c r="J47" s="535"/>
      <c r="K47" s="533" t="e">
        <f t="shared" si="5"/>
        <v>#DIV/0!</v>
      </c>
      <c r="L47" s="528"/>
      <c r="M47" s="482" t="e">
        <f t="shared" si="1"/>
        <v>#DIV/0!</v>
      </c>
    </row>
    <row r="48" spans="1:13">
      <c r="A48" s="316" t="s">
        <v>613</v>
      </c>
      <c r="B48" s="475" t="s">
        <v>614</v>
      </c>
      <c r="C48" s="545">
        <v>1</v>
      </c>
      <c r="D48" s="532" t="s">
        <v>706</v>
      </c>
      <c r="E48" s="477" t="s">
        <v>693</v>
      </c>
      <c r="F48" s="533">
        <v>1</v>
      </c>
      <c r="G48" s="533" t="s">
        <v>698</v>
      </c>
      <c r="H48" s="535"/>
      <c r="I48" s="535"/>
      <c r="J48" s="535"/>
      <c r="K48" s="533" t="e">
        <f t="shared" si="5"/>
        <v>#DIV/0!</v>
      </c>
      <c r="L48" s="528"/>
      <c r="M48" s="482" t="e">
        <f t="shared" si="1"/>
        <v>#DIV/0!</v>
      </c>
    </row>
    <row r="49" spans="1:13">
      <c r="A49" s="316" t="s">
        <v>613</v>
      </c>
      <c r="B49" s="475" t="s">
        <v>674</v>
      </c>
      <c r="C49" s="545">
        <v>1</v>
      </c>
      <c r="D49" s="532"/>
      <c r="E49" s="532" t="s">
        <v>674</v>
      </c>
      <c r="F49" s="533">
        <v>12</v>
      </c>
      <c r="G49" s="533" t="s">
        <v>698</v>
      </c>
      <c r="H49" s="535"/>
      <c r="I49" s="535"/>
      <c r="J49" s="535"/>
      <c r="K49" s="533" t="e">
        <f t="shared" si="5"/>
        <v>#DIV/0!</v>
      </c>
      <c r="L49" s="528"/>
      <c r="M49" s="482" t="e">
        <f t="shared" si="1"/>
        <v>#DIV/0!</v>
      </c>
    </row>
    <row r="50" spans="1:13">
      <c r="A50" s="316" t="s">
        <v>613</v>
      </c>
      <c r="B50" s="475" t="s">
        <v>675</v>
      </c>
      <c r="C50" s="545">
        <v>1</v>
      </c>
      <c r="D50" s="532"/>
      <c r="E50" s="475" t="s">
        <v>696</v>
      </c>
      <c r="F50" s="533">
        <v>12</v>
      </c>
      <c r="G50" s="533" t="s">
        <v>698</v>
      </c>
      <c r="H50" s="535"/>
      <c r="I50" s="535"/>
      <c r="J50" s="535"/>
      <c r="K50" s="533" t="e">
        <f t="shared" si="5"/>
        <v>#DIV/0!</v>
      </c>
      <c r="L50" s="528"/>
      <c r="M50" s="482" t="e">
        <f t="shared" si="1"/>
        <v>#DIV/0!</v>
      </c>
    </row>
    <row r="51" spans="1:13" ht="32.4">
      <c r="A51" s="478" t="s">
        <v>20</v>
      </c>
      <c r="B51" s="478" t="s">
        <v>615</v>
      </c>
      <c r="C51" s="478" t="s">
        <v>676</v>
      </c>
      <c r="D51" s="478" t="s">
        <v>678</v>
      </c>
      <c r="E51" s="479" t="s">
        <v>618</v>
      </c>
      <c r="F51" s="540"/>
      <c r="G51" s="540"/>
      <c r="H51" s="540"/>
      <c r="I51" s="540"/>
      <c r="J51" s="222" t="s">
        <v>703</v>
      </c>
      <c r="K51" s="551" t="s">
        <v>704</v>
      </c>
      <c r="L51" s="222" t="s">
        <v>702</v>
      </c>
      <c r="M51" s="223" t="s">
        <v>619</v>
      </c>
    </row>
    <row r="52" spans="1:13" ht="26.4">
      <c r="A52" s="316" t="s">
        <v>257</v>
      </c>
      <c r="B52" s="475" t="s">
        <v>666</v>
      </c>
      <c r="C52" s="475">
        <v>3</v>
      </c>
      <c r="D52" s="532" t="s">
        <v>679</v>
      </c>
      <c r="E52" s="475" t="s">
        <v>692</v>
      </c>
      <c r="F52" s="539"/>
      <c r="G52" s="539"/>
      <c r="H52" s="539"/>
      <c r="I52" s="539"/>
      <c r="J52" s="480">
        <v>3</v>
      </c>
      <c r="K52" s="549"/>
      <c r="L52" s="543">
        <f>J52*K52</f>
        <v>0</v>
      </c>
      <c r="M52" s="482">
        <f>L52*12</f>
        <v>0</v>
      </c>
    </row>
    <row r="53" spans="1:13">
      <c r="A53" s="316" t="s">
        <v>257</v>
      </c>
      <c r="B53" s="534" t="s">
        <v>667</v>
      </c>
      <c r="C53" s="475">
        <v>2</v>
      </c>
      <c r="D53" s="534" t="s">
        <v>679</v>
      </c>
      <c r="E53" s="475" t="s">
        <v>692</v>
      </c>
      <c r="F53" s="539"/>
      <c r="G53" s="539"/>
      <c r="H53" s="539"/>
      <c r="I53" s="539"/>
      <c r="J53" s="480">
        <v>2</v>
      </c>
      <c r="K53" s="549"/>
      <c r="L53" s="543">
        <f t="shared" ref="L53:L54" si="7">J53*K53</f>
        <v>0</v>
      </c>
      <c r="M53" s="482">
        <f t="shared" ref="M53:M54" si="8">L53*12</f>
        <v>0</v>
      </c>
    </row>
    <row r="54" spans="1:13" ht="26.4">
      <c r="A54" s="316" t="s">
        <v>613</v>
      </c>
      <c r="B54" s="475" t="s">
        <v>666</v>
      </c>
      <c r="C54" s="475">
        <v>1</v>
      </c>
      <c r="D54" s="532" t="s">
        <v>679</v>
      </c>
      <c r="E54" s="475" t="s">
        <v>692</v>
      </c>
      <c r="F54" s="539"/>
      <c r="G54" s="539"/>
      <c r="H54" s="539"/>
      <c r="I54" s="539"/>
      <c r="J54" s="480">
        <v>1</v>
      </c>
      <c r="K54" s="549"/>
      <c r="L54" s="543">
        <f t="shared" si="7"/>
        <v>0</v>
      </c>
      <c r="M54" s="482">
        <f t="shared" si="8"/>
        <v>0</v>
      </c>
    </row>
    <row r="55" spans="1:13">
      <c r="B55" s="187"/>
      <c r="C55" s="187"/>
      <c r="D55" s="187"/>
      <c r="E55" s="187"/>
      <c r="L55" s="187"/>
      <c r="M55" s="187"/>
    </row>
    <row r="56" spans="1:13">
      <c r="A56" s="484" t="s">
        <v>26</v>
      </c>
      <c r="B56" s="485"/>
      <c r="C56" s="486"/>
      <c r="D56" s="486"/>
      <c r="E56" s="486"/>
      <c r="F56" s="492"/>
      <c r="G56" s="492"/>
      <c r="H56" s="492"/>
      <c r="I56" s="492"/>
      <c r="J56" s="492"/>
      <c r="K56" s="492"/>
      <c r="L56" s="192"/>
      <c r="M56" s="531" t="e">
        <f>SUM(M11:M50)</f>
        <v>#DIV/0!</v>
      </c>
    </row>
    <row r="58" spans="1:13" ht="15.6">
      <c r="A58" s="536" t="s">
        <v>237</v>
      </c>
      <c r="B58" s="193"/>
      <c r="C58" s="193"/>
      <c r="D58" s="193"/>
      <c r="E58" s="165"/>
      <c r="F58" s="40"/>
      <c r="G58" s="40"/>
      <c r="H58" s="40"/>
      <c r="I58" s="40"/>
      <c r="J58" s="40"/>
      <c r="K58" s="40"/>
      <c r="L58" s="168"/>
    </row>
    <row r="59" spans="1:13">
      <c r="A59" s="537" t="s">
        <v>238</v>
      </c>
      <c r="B59" s="537"/>
      <c r="C59" s="537"/>
      <c r="D59" s="537"/>
      <c r="E59" s="537"/>
      <c r="F59" s="537"/>
      <c r="G59" s="537"/>
      <c r="H59" s="537"/>
      <c r="I59" s="537"/>
      <c r="J59" s="537"/>
      <c r="K59" s="537"/>
      <c r="L59" s="537"/>
    </row>
    <row r="60" spans="1:13">
      <c r="A60" s="578" t="s">
        <v>670</v>
      </c>
      <c r="B60" s="578"/>
      <c r="C60" s="578"/>
      <c r="D60" s="578"/>
      <c r="E60" s="578"/>
      <c r="F60" s="578"/>
      <c r="G60" s="578"/>
      <c r="H60" s="578"/>
      <c r="I60" s="578"/>
      <c r="J60" s="578"/>
      <c r="K60" s="578"/>
      <c r="L60" s="578"/>
    </row>
    <row r="62" spans="1:13" ht="16.2">
      <c r="A62" s="579" t="s">
        <v>705</v>
      </c>
      <c r="B62" s="580"/>
    </row>
    <row r="63" spans="1:13">
      <c r="A63" s="316" t="s">
        <v>257</v>
      </c>
      <c r="B63" s="532">
        <v>400</v>
      </c>
    </row>
    <row r="64" spans="1:13">
      <c r="A64" s="316" t="s">
        <v>612</v>
      </c>
      <c r="B64" s="532">
        <v>25</v>
      </c>
    </row>
    <row r="65" spans="1:2">
      <c r="A65" s="316" t="s">
        <v>613</v>
      </c>
      <c r="B65" s="532">
        <v>6</v>
      </c>
    </row>
    <row r="67" spans="1:2" ht="16.2">
      <c r="A67" s="579" t="s">
        <v>682</v>
      </c>
      <c r="B67" s="580"/>
    </row>
    <row r="68" spans="1:2">
      <c r="A68" s="316" t="s">
        <v>664</v>
      </c>
      <c r="B68" s="538"/>
    </row>
    <row r="69" spans="1:2">
      <c r="A69" s="316" t="s">
        <v>616</v>
      </c>
      <c r="B69" s="538"/>
    </row>
    <row r="70" spans="1:2">
      <c r="A70" s="316" t="s">
        <v>671</v>
      </c>
      <c r="B70" s="538"/>
    </row>
    <row r="71" spans="1:2">
      <c r="A71" s="316" t="s">
        <v>672</v>
      </c>
      <c r="B71" s="538"/>
    </row>
    <row r="72" spans="1:2">
      <c r="A72" s="316" t="s">
        <v>665</v>
      </c>
      <c r="B72" s="538"/>
    </row>
    <row r="73" spans="1:2">
      <c r="A73" s="316" t="s">
        <v>617</v>
      </c>
      <c r="B73" s="538"/>
    </row>
    <row r="74" spans="1:2">
      <c r="A74" s="316" t="s">
        <v>677</v>
      </c>
      <c r="B74" s="538"/>
    </row>
    <row r="75" spans="1:2">
      <c r="A75" s="316" t="s">
        <v>695</v>
      </c>
      <c r="B75" s="538"/>
    </row>
  </sheetData>
  <autoFilter ref="A10:X54" xr:uid="{5E93A6ED-FF05-420D-BF7C-21BBBE447556}"/>
  <mergeCells count="3">
    <mergeCell ref="A60:L60"/>
    <mergeCell ref="A62:B62"/>
    <mergeCell ref="A67:B67"/>
  </mergeCells>
  <phoneticPr fontId="72" type="noConversion"/>
  <printOptions horizontalCentered="1"/>
  <pageMargins left="0.7" right="0.7" top="0.75" bottom="0.75" header="0.3" footer="0.3"/>
  <pageSetup paperSize="9" scale="34" fitToHeight="0" orientation="landscape" r:id="rId1"/>
  <headerFooter alignWithMargins="0">
    <oddFooter>&amp;L&amp;F-&amp;A
Atir b.v. ©&amp;Rprintversie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dimension ref="A1:R39"/>
  <sheetViews>
    <sheetView showGridLines="0" zoomScale="85" zoomScaleNormal="85" workbookViewId="0">
      <selection activeCell="W34" sqref="W34"/>
    </sheetView>
  </sheetViews>
  <sheetFormatPr defaultColWidth="9.109375" defaultRowHeight="13.2"/>
  <cols>
    <col min="1" max="2" width="35.6640625" style="182" bestFit="1" customWidth="1"/>
    <col min="3" max="3" width="23.6640625" style="182" customWidth="1"/>
    <col min="4" max="6" width="12.88671875" style="182" customWidth="1"/>
    <col min="7" max="7" width="13.5546875" style="182" customWidth="1"/>
    <col min="8" max="12" width="12.88671875" style="182" customWidth="1"/>
    <col min="13" max="13" width="1.6640625" style="182" customWidth="1"/>
    <col min="14" max="14" width="12.88671875" style="182" customWidth="1"/>
    <col min="15" max="15" width="1.5546875" style="182" customWidth="1"/>
    <col min="16" max="17" width="12.88671875" style="182" customWidth="1"/>
    <col min="18" max="16384" width="9.109375" style="22"/>
  </cols>
  <sheetData>
    <row r="1" spans="1:17">
      <c r="A1" s="503" t="s">
        <v>5</v>
      </c>
    </row>
    <row r="2" spans="1:17">
      <c r="A2" s="103"/>
      <c r="B2" s="194"/>
      <c r="C2" s="194"/>
    </row>
    <row r="3" spans="1:17" ht="15.6">
      <c r="A3" s="38" t="str">
        <f>'2-Kosten per locatie'!A3</f>
        <v>Naam opdrachtgever</v>
      </c>
      <c r="B3" s="161" t="str">
        <f>'2-Kosten per locatie'!B3</f>
        <v>Gemeente Lansingerland</v>
      </c>
    </row>
    <row r="4" spans="1:17" ht="15.6">
      <c r="A4" s="38" t="str">
        <f>'2-Kosten per locatie'!A4</f>
        <v>Calculatie onderdeel</v>
      </c>
      <c r="B4" s="46" t="str">
        <f ca="1">MID(CELL("bestandsnaam",$D$10),SEARCH("]",CELL("bestandsnaam",$D$10),1)+1,256)</f>
        <v>12-Machinekosten</v>
      </c>
    </row>
    <row r="5" spans="1:17" ht="15.6">
      <c r="A5" s="38" t="str">
        <f>'2-Kosten per locatie'!A5</f>
        <v>Onderdeel</v>
      </c>
      <c r="B5" s="161" t="str">
        <f>'2-Kosten per locatie'!B5</f>
        <v>Perceel 1 Schoonmaak</v>
      </c>
    </row>
    <row r="6" spans="1:17" ht="15.6">
      <c r="A6" s="38" t="str">
        <f>'2-Kosten per locatie'!A6</f>
        <v>Referentie nummer</v>
      </c>
      <c r="B6" s="161" t="str">
        <f>'2-Kosten per locatie'!B6</f>
        <v>TN602303</v>
      </c>
    </row>
    <row r="7" spans="1:17" ht="15.6">
      <c r="A7" s="38" t="str">
        <f>'2-Kosten per locatie'!A7</f>
        <v>Naam dienstverlener</v>
      </c>
      <c r="B7" s="161">
        <f>'2-Kosten per locatie'!B7</f>
        <v>0</v>
      </c>
    </row>
    <row r="8" spans="1:17" ht="15.6">
      <c r="A8" s="38" t="str">
        <f>'2-Kosten per locatie'!A8</f>
        <v>Prijspeil</v>
      </c>
      <c r="B8" s="296">
        <f>'2-Kosten per locatie'!B8</f>
        <v>46388</v>
      </c>
    </row>
    <row r="9" spans="1:17" ht="15.6">
      <c r="A9" s="160"/>
    </row>
    <row r="10" spans="1:17" ht="15.6">
      <c r="A10" s="195"/>
      <c r="B10" s="195"/>
      <c r="C10" s="196"/>
    </row>
    <row r="11" spans="1:17" s="35" customFormat="1" ht="64.8">
      <c r="A11" s="225" t="s">
        <v>20</v>
      </c>
      <c r="B11" s="225" t="s">
        <v>239</v>
      </c>
      <c r="C11" s="225" t="s">
        <v>240</v>
      </c>
      <c r="D11" s="225" t="s">
        <v>241</v>
      </c>
      <c r="E11" s="225" t="s">
        <v>242</v>
      </c>
      <c r="F11" s="225" t="s">
        <v>243</v>
      </c>
      <c r="G11" s="225" t="s">
        <v>244</v>
      </c>
      <c r="H11" s="225" t="s">
        <v>245</v>
      </c>
      <c r="I11" s="225" t="s">
        <v>246</v>
      </c>
      <c r="J11" s="225" t="s">
        <v>247</v>
      </c>
      <c r="K11" s="225" t="s">
        <v>248</v>
      </c>
      <c r="L11" s="225" t="s">
        <v>249</v>
      </c>
      <c r="M11" s="226"/>
      <c r="N11" s="225" t="s">
        <v>250</v>
      </c>
      <c r="O11" s="226"/>
      <c r="P11" s="225" t="s">
        <v>251</v>
      </c>
      <c r="Q11" s="225" t="s">
        <v>252</v>
      </c>
    </row>
    <row r="12" spans="1:17">
      <c r="D12" s="297"/>
      <c r="E12" s="298"/>
      <c r="F12" s="299"/>
      <c r="G12" s="297"/>
      <c r="H12" s="297"/>
      <c r="I12" s="300"/>
      <c r="J12" s="298"/>
      <c r="K12" s="298"/>
      <c r="L12" s="298"/>
      <c r="M12" s="300"/>
      <c r="N12" s="301"/>
      <c r="O12" s="300"/>
      <c r="P12" s="299"/>
      <c r="Q12" s="300"/>
    </row>
    <row r="13" spans="1:17">
      <c r="A13" s="204"/>
      <c r="B13" s="204"/>
      <c r="C13" s="205"/>
      <c r="D13" s="302"/>
      <c r="E13" s="303">
        <f>D13*$E$12</f>
        <v>0</v>
      </c>
      <c r="F13" s="304">
        <f>D13-E13</f>
        <v>0</v>
      </c>
      <c r="G13" s="305"/>
      <c r="H13" s="302"/>
      <c r="I13" s="306">
        <f>IF(G13=0,0,(F13-H13)/G13)</f>
        <v>0</v>
      </c>
      <c r="J13" s="307">
        <f>D13*$J$12</f>
        <v>0</v>
      </c>
      <c r="K13" s="306">
        <f>D13*$K$12</f>
        <v>0</v>
      </c>
      <c r="L13" s="308">
        <f>$L$12*D13</f>
        <v>0</v>
      </c>
      <c r="M13" s="300"/>
      <c r="N13" s="309">
        <f>SUM(I13:L13)</f>
        <v>0</v>
      </c>
      <c r="O13" s="300"/>
      <c r="P13" s="305"/>
      <c r="Q13" s="306">
        <f>N13*P13</f>
        <v>0</v>
      </c>
    </row>
    <row r="14" spans="1:17">
      <c r="A14" s="204"/>
      <c r="B14" s="204"/>
      <c r="C14" s="205"/>
      <c r="D14" s="302"/>
      <c r="E14" s="303">
        <f t="shared" ref="E14:E28" si="0">D14*$E$12</f>
        <v>0</v>
      </c>
      <c r="F14" s="304">
        <f>D14-E14</f>
        <v>0</v>
      </c>
      <c r="G14" s="305"/>
      <c r="H14" s="302"/>
      <c r="I14" s="306">
        <f>IF(G14=0,0,(F14-H14)/G14)</f>
        <v>0</v>
      </c>
      <c r="J14" s="307">
        <f>D14*$J$12</f>
        <v>0</v>
      </c>
      <c r="K14" s="306">
        <f>D14*$K$12</f>
        <v>0</v>
      </c>
      <c r="L14" s="308">
        <f>$L$12*D14</f>
        <v>0</v>
      </c>
      <c r="M14" s="300"/>
      <c r="N14" s="309">
        <f>SUM(I14:L14)</f>
        <v>0</v>
      </c>
      <c r="O14" s="300"/>
      <c r="P14" s="305"/>
      <c r="Q14" s="306">
        <f>N14*P14</f>
        <v>0</v>
      </c>
    </row>
    <row r="15" spans="1:17">
      <c r="A15" s="204"/>
      <c r="B15" s="204"/>
      <c r="C15" s="205"/>
      <c r="D15" s="302"/>
      <c r="E15" s="303">
        <f t="shared" si="0"/>
        <v>0</v>
      </c>
      <c r="F15" s="304">
        <f t="shared" ref="F15:F28" si="1">D15-E15</f>
        <v>0</v>
      </c>
      <c r="G15" s="305"/>
      <c r="H15" s="302"/>
      <c r="I15" s="306">
        <f t="shared" ref="I15:I28" si="2">IF(G15=0,0,(F15-H15)/G15)</f>
        <v>0</v>
      </c>
      <c r="J15" s="307">
        <f t="shared" ref="J15:J28" si="3">D15*$J$12</f>
        <v>0</v>
      </c>
      <c r="K15" s="306">
        <f t="shared" ref="K15:K28" si="4">D15*$K$12</f>
        <v>0</v>
      </c>
      <c r="L15" s="308">
        <f t="shared" ref="L15:L28" si="5">$L$12*D15</f>
        <v>0</v>
      </c>
      <c r="M15" s="300"/>
      <c r="N15" s="309">
        <f t="shared" ref="N15:N28" si="6">SUM(I15:L15)</f>
        <v>0</v>
      </c>
      <c r="O15" s="300"/>
      <c r="P15" s="305"/>
      <c r="Q15" s="306">
        <f t="shared" ref="Q15:Q28" si="7">N15*P15</f>
        <v>0</v>
      </c>
    </row>
    <row r="16" spans="1:17">
      <c r="A16" s="204"/>
      <c r="B16" s="204"/>
      <c r="C16" s="205"/>
      <c r="D16" s="302"/>
      <c r="E16" s="303">
        <f t="shared" si="0"/>
        <v>0</v>
      </c>
      <c r="F16" s="304">
        <f t="shared" si="1"/>
        <v>0</v>
      </c>
      <c r="G16" s="305"/>
      <c r="H16" s="302"/>
      <c r="I16" s="306">
        <f t="shared" si="2"/>
        <v>0</v>
      </c>
      <c r="J16" s="307">
        <f t="shared" si="3"/>
        <v>0</v>
      </c>
      <c r="K16" s="306">
        <f t="shared" si="4"/>
        <v>0</v>
      </c>
      <c r="L16" s="308">
        <f t="shared" si="5"/>
        <v>0</v>
      </c>
      <c r="M16" s="300"/>
      <c r="N16" s="309">
        <f t="shared" si="6"/>
        <v>0</v>
      </c>
      <c r="O16" s="300"/>
      <c r="P16" s="305"/>
      <c r="Q16" s="306">
        <f t="shared" si="7"/>
        <v>0</v>
      </c>
    </row>
    <row r="17" spans="1:17">
      <c r="A17" s="204"/>
      <c r="B17" s="204"/>
      <c r="C17" s="205"/>
      <c r="D17" s="302"/>
      <c r="E17" s="303">
        <f t="shared" si="0"/>
        <v>0</v>
      </c>
      <c r="F17" s="304">
        <f t="shared" si="1"/>
        <v>0</v>
      </c>
      <c r="G17" s="305"/>
      <c r="H17" s="302"/>
      <c r="I17" s="306">
        <f t="shared" si="2"/>
        <v>0</v>
      </c>
      <c r="J17" s="307">
        <f t="shared" si="3"/>
        <v>0</v>
      </c>
      <c r="K17" s="306">
        <f t="shared" si="4"/>
        <v>0</v>
      </c>
      <c r="L17" s="308">
        <f t="shared" si="5"/>
        <v>0</v>
      </c>
      <c r="M17" s="300"/>
      <c r="N17" s="309">
        <f t="shared" si="6"/>
        <v>0</v>
      </c>
      <c r="O17" s="300"/>
      <c r="P17" s="305"/>
      <c r="Q17" s="306">
        <f t="shared" si="7"/>
        <v>0</v>
      </c>
    </row>
    <row r="18" spans="1:17">
      <c r="A18" s="204"/>
      <c r="B18" s="204"/>
      <c r="C18" s="205"/>
      <c r="D18" s="302"/>
      <c r="E18" s="303">
        <f t="shared" si="0"/>
        <v>0</v>
      </c>
      <c r="F18" s="304">
        <f t="shared" si="1"/>
        <v>0</v>
      </c>
      <c r="G18" s="305"/>
      <c r="H18" s="302"/>
      <c r="I18" s="306">
        <f t="shared" si="2"/>
        <v>0</v>
      </c>
      <c r="J18" s="307">
        <f t="shared" si="3"/>
        <v>0</v>
      </c>
      <c r="K18" s="306">
        <f t="shared" si="4"/>
        <v>0</v>
      </c>
      <c r="L18" s="308">
        <f t="shared" si="5"/>
        <v>0</v>
      </c>
      <c r="M18" s="300"/>
      <c r="N18" s="309">
        <f t="shared" si="6"/>
        <v>0</v>
      </c>
      <c r="O18" s="300"/>
      <c r="P18" s="305"/>
      <c r="Q18" s="306">
        <f t="shared" si="7"/>
        <v>0</v>
      </c>
    </row>
    <row r="19" spans="1:17">
      <c r="A19" s="204"/>
      <c r="B19" s="204"/>
      <c r="C19" s="205"/>
      <c r="D19" s="302"/>
      <c r="E19" s="303">
        <f t="shared" si="0"/>
        <v>0</v>
      </c>
      <c r="F19" s="304">
        <f t="shared" si="1"/>
        <v>0</v>
      </c>
      <c r="G19" s="305"/>
      <c r="H19" s="302"/>
      <c r="I19" s="306">
        <f t="shared" si="2"/>
        <v>0</v>
      </c>
      <c r="J19" s="307">
        <f t="shared" si="3"/>
        <v>0</v>
      </c>
      <c r="K19" s="306">
        <f t="shared" si="4"/>
        <v>0</v>
      </c>
      <c r="L19" s="308">
        <f t="shared" si="5"/>
        <v>0</v>
      </c>
      <c r="M19" s="300"/>
      <c r="N19" s="309">
        <f t="shared" si="6"/>
        <v>0</v>
      </c>
      <c r="O19" s="300"/>
      <c r="P19" s="305"/>
      <c r="Q19" s="306">
        <f t="shared" si="7"/>
        <v>0</v>
      </c>
    </row>
    <row r="20" spans="1:17">
      <c r="A20" s="204"/>
      <c r="B20" s="204"/>
      <c r="C20" s="205"/>
      <c r="D20" s="302"/>
      <c r="E20" s="303">
        <f t="shared" si="0"/>
        <v>0</v>
      </c>
      <c r="F20" s="304">
        <f t="shared" si="1"/>
        <v>0</v>
      </c>
      <c r="G20" s="305"/>
      <c r="H20" s="302"/>
      <c r="I20" s="306">
        <f t="shared" si="2"/>
        <v>0</v>
      </c>
      <c r="J20" s="307">
        <f t="shared" si="3"/>
        <v>0</v>
      </c>
      <c r="K20" s="306">
        <f t="shared" si="4"/>
        <v>0</v>
      </c>
      <c r="L20" s="308">
        <f t="shared" si="5"/>
        <v>0</v>
      </c>
      <c r="M20" s="300"/>
      <c r="N20" s="309">
        <f t="shared" si="6"/>
        <v>0</v>
      </c>
      <c r="O20" s="300"/>
      <c r="P20" s="305"/>
      <c r="Q20" s="306">
        <f t="shared" si="7"/>
        <v>0</v>
      </c>
    </row>
    <row r="21" spans="1:17">
      <c r="A21" s="204"/>
      <c r="B21" s="204"/>
      <c r="C21" s="205"/>
      <c r="D21" s="302"/>
      <c r="E21" s="303">
        <f t="shared" si="0"/>
        <v>0</v>
      </c>
      <c r="F21" s="304">
        <f t="shared" si="1"/>
        <v>0</v>
      </c>
      <c r="G21" s="305"/>
      <c r="H21" s="302"/>
      <c r="I21" s="306">
        <f t="shared" si="2"/>
        <v>0</v>
      </c>
      <c r="J21" s="307">
        <f t="shared" si="3"/>
        <v>0</v>
      </c>
      <c r="K21" s="306">
        <f t="shared" si="4"/>
        <v>0</v>
      </c>
      <c r="L21" s="308">
        <f t="shared" si="5"/>
        <v>0</v>
      </c>
      <c r="M21" s="300"/>
      <c r="N21" s="309">
        <f t="shared" si="6"/>
        <v>0</v>
      </c>
      <c r="O21" s="300"/>
      <c r="P21" s="305"/>
      <c r="Q21" s="306">
        <f t="shared" si="7"/>
        <v>0</v>
      </c>
    </row>
    <row r="22" spans="1:17">
      <c r="A22" s="204"/>
      <c r="B22" s="204"/>
      <c r="C22" s="205"/>
      <c r="D22" s="302"/>
      <c r="E22" s="303">
        <f t="shared" si="0"/>
        <v>0</v>
      </c>
      <c r="F22" s="304">
        <f t="shared" si="1"/>
        <v>0</v>
      </c>
      <c r="G22" s="305"/>
      <c r="H22" s="302"/>
      <c r="I22" s="306">
        <f t="shared" si="2"/>
        <v>0</v>
      </c>
      <c r="J22" s="307">
        <f t="shared" si="3"/>
        <v>0</v>
      </c>
      <c r="K22" s="306">
        <f t="shared" si="4"/>
        <v>0</v>
      </c>
      <c r="L22" s="308">
        <f t="shared" si="5"/>
        <v>0</v>
      </c>
      <c r="M22" s="300"/>
      <c r="N22" s="309">
        <f t="shared" si="6"/>
        <v>0</v>
      </c>
      <c r="O22" s="300"/>
      <c r="P22" s="305"/>
      <c r="Q22" s="306">
        <f t="shared" si="7"/>
        <v>0</v>
      </c>
    </row>
    <row r="23" spans="1:17">
      <c r="A23" s="204"/>
      <c r="B23" s="204"/>
      <c r="C23" s="205"/>
      <c r="D23" s="302"/>
      <c r="E23" s="303">
        <f t="shared" si="0"/>
        <v>0</v>
      </c>
      <c r="F23" s="304">
        <f t="shared" si="1"/>
        <v>0</v>
      </c>
      <c r="G23" s="305"/>
      <c r="H23" s="302"/>
      <c r="I23" s="306">
        <f t="shared" si="2"/>
        <v>0</v>
      </c>
      <c r="J23" s="307">
        <f t="shared" si="3"/>
        <v>0</v>
      </c>
      <c r="K23" s="306">
        <f t="shared" si="4"/>
        <v>0</v>
      </c>
      <c r="L23" s="308">
        <f t="shared" si="5"/>
        <v>0</v>
      </c>
      <c r="M23" s="300"/>
      <c r="N23" s="309">
        <f t="shared" si="6"/>
        <v>0</v>
      </c>
      <c r="O23" s="300"/>
      <c r="P23" s="305"/>
      <c r="Q23" s="306">
        <f t="shared" si="7"/>
        <v>0</v>
      </c>
    </row>
    <row r="24" spans="1:17">
      <c r="A24" s="204"/>
      <c r="B24" s="204"/>
      <c r="C24" s="205"/>
      <c r="D24" s="302"/>
      <c r="E24" s="303">
        <f t="shared" si="0"/>
        <v>0</v>
      </c>
      <c r="F24" s="304">
        <f t="shared" si="1"/>
        <v>0</v>
      </c>
      <c r="G24" s="305"/>
      <c r="H24" s="302"/>
      <c r="I24" s="306">
        <f t="shared" si="2"/>
        <v>0</v>
      </c>
      <c r="J24" s="307">
        <f t="shared" si="3"/>
        <v>0</v>
      </c>
      <c r="K24" s="306">
        <f t="shared" si="4"/>
        <v>0</v>
      </c>
      <c r="L24" s="308">
        <f t="shared" si="5"/>
        <v>0</v>
      </c>
      <c r="M24" s="300"/>
      <c r="N24" s="309">
        <f t="shared" si="6"/>
        <v>0</v>
      </c>
      <c r="O24" s="300"/>
      <c r="P24" s="305"/>
      <c r="Q24" s="306">
        <f t="shared" si="7"/>
        <v>0</v>
      </c>
    </row>
    <row r="25" spans="1:17">
      <c r="A25" s="204"/>
      <c r="B25" s="204"/>
      <c r="C25" s="205"/>
      <c r="D25" s="302"/>
      <c r="E25" s="303">
        <f t="shared" si="0"/>
        <v>0</v>
      </c>
      <c r="F25" s="304">
        <f t="shared" si="1"/>
        <v>0</v>
      </c>
      <c r="G25" s="305"/>
      <c r="H25" s="302"/>
      <c r="I25" s="306">
        <f t="shared" si="2"/>
        <v>0</v>
      </c>
      <c r="J25" s="307">
        <f t="shared" si="3"/>
        <v>0</v>
      </c>
      <c r="K25" s="306">
        <f t="shared" si="4"/>
        <v>0</v>
      </c>
      <c r="L25" s="308">
        <f t="shared" si="5"/>
        <v>0</v>
      </c>
      <c r="M25" s="300"/>
      <c r="N25" s="309">
        <f t="shared" si="6"/>
        <v>0</v>
      </c>
      <c r="O25" s="300"/>
      <c r="P25" s="305"/>
      <c r="Q25" s="306">
        <f t="shared" si="7"/>
        <v>0</v>
      </c>
    </row>
    <row r="26" spans="1:17">
      <c r="A26" s="204"/>
      <c r="B26" s="204"/>
      <c r="C26" s="205"/>
      <c r="D26" s="302"/>
      <c r="E26" s="303">
        <f t="shared" si="0"/>
        <v>0</v>
      </c>
      <c r="F26" s="304">
        <f t="shared" si="1"/>
        <v>0</v>
      </c>
      <c r="G26" s="305"/>
      <c r="H26" s="302"/>
      <c r="I26" s="306">
        <f t="shared" si="2"/>
        <v>0</v>
      </c>
      <c r="J26" s="307">
        <f t="shared" si="3"/>
        <v>0</v>
      </c>
      <c r="K26" s="306">
        <f t="shared" si="4"/>
        <v>0</v>
      </c>
      <c r="L26" s="308">
        <f t="shared" si="5"/>
        <v>0</v>
      </c>
      <c r="M26" s="300"/>
      <c r="N26" s="309">
        <f t="shared" si="6"/>
        <v>0</v>
      </c>
      <c r="O26" s="300"/>
      <c r="P26" s="305"/>
      <c r="Q26" s="306">
        <f t="shared" si="7"/>
        <v>0</v>
      </c>
    </row>
    <row r="27" spans="1:17">
      <c r="A27" s="204"/>
      <c r="B27" s="204"/>
      <c r="C27" s="205"/>
      <c r="D27" s="302"/>
      <c r="E27" s="303">
        <f t="shared" si="0"/>
        <v>0</v>
      </c>
      <c r="F27" s="304">
        <f t="shared" si="1"/>
        <v>0</v>
      </c>
      <c r="G27" s="305"/>
      <c r="H27" s="302"/>
      <c r="I27" s="306">
        <f t="shared" si="2"/>
        <v>0</v>
      </c>
      <c r="J27" s="307">
        <f t="shared" si="3"/>
        <v>0</v>
      </c>
      <c r="K27" s="306">
        <f t="shared" si="4"/>
        <v>0</v>
      </c>
      <c r="L27" s="308">
        <f t="shared" si="5"/>
        <v>0</v>
      </c>
      <c r="M27" s="300"/>
      <c r="N27" s="309">
        <f t="shared" si="6"/>
        <v>0</v>
      </c>
      <c r="O27" s="300"/>
      <c r="P27" s="305"/>
      <c r="Q27" s="306">
        <f t="shared" si="7"/>
        <v>0</v>
      </c>
    </row>
    <row r="28" spans="1:17">
      <c r="A28" s="204"/>
      <c r="B28" s="204"/>
      <c r="C28" s="205"/>
      <c r="D28" s="302"/>
      <c r="E28" s="303">
        <f t="shared" si="0"/>
        <v>0</v>
      </c>
      <c r="F28" s="304">
        <f t="shared" si="1"/>
        <v>0</v>
      </c>
      <c r="G28" s="305"/>
      <c r="H28" s="302"/>
      <c r="I28" s="306">
        <f t="shared" si="2"/>
        <v>0</v>
      </c>
      <c r="J28" s="307">
        <f t="shared" si="3"/>
        <v>0</v>
      </c>
      <c r="K28" s="306">
        <f t="shared" si="4"/>
        <v>0</v>
      </c>
      <c r="L28" s="308">
        <f t="shared" si="5"/>
        <v>0</v>
      </c>
      <c r="M28" s="300"/>
      <c r="N28" s="309">
        <f t="shared" si="6"/>
        <v>0</v>
      </c>
      <c r="O28" s="300"/>
      <c r="P28" s="305"/>
      <c r="Q28" s="306">
        <f t="shared" si="7"/>
        <v>0</v>
      </c>
    </row>
    <row r="29" spans="1:17">
      <c r="D29" s="300"/>
      <c r="E29" s="300"/>
      <c r="F29" s="300"/>
      <c r="G29" s="300"/>
      <c r="H29" s="300"/>
      <c r="I29" s="300"/>
      <c r="J29" s="300"/>
      <c r="K29" s="300"/>
      <c r="L29" s="300"/>
      <c r="M29" s="300"/>
      <c r="N29" s="300"/>
      <c r="O29" s="300"/>
      <c r="P29" s="300"/>
      <c r="Q29" s="300"/>
    </row>
    <row r="30" spans="1:17">
      <c r="A30" s="197"/>
      <c r="B30" s="197" t="s">
        <v>26</v>
      </c>
      <c r="C30" s="198"/>
      <c r="D30" s="310"/>
      <c r="E30" s="310"/>
      <c r="F30" s="310"/>
      <c r="G30" s="310"/>
      <c r="H30" s="310"/>
      <c r="I30" s="310"/>
      <c r="J30" s="310"/>
      <c r="K30" s="310"/>
      <c r="L30" s="311"/>
      <c r="M30" s="300"/>
      <c r="N30" s="300"/>
      <c r="O30" s="300"/>
      <c r="P30" s="312">
        <f>SUM(P13:P28)</f>
        <v>0</v>
      </c>
      <c r="Q30" s="313">
        <f>SUM(Q13:Q28)</f>
        <v>0</v>
      </c>
    </row>
    <row r="34" spans="18:18">
      <c r="R34" s="36"/>
    </row>
    <row r="39" spans="18:18" ht="16.2" customHeight="1"/>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29"/>
  <sheetViews>
    <sheetView showGridLines="0" showZeros="0" tabSelected="1" zoomScale="80" zoomScaleNormal="80" workbookViewId="0">
      <pane xSplit="1" ySplit="14" topLeftCell="B15" activePane="bottomRight" state="frozen"/>
      <selection pane="topRight" activeCell="B1" sqref="B1"/>
      <selection pane="bottomLeft" activeCell="A15" sqref="A15"/>
      <selection pane="bottomRight" activeCell="D7" sqref="D7"/>
    </sheetView>
  </sheetViews>
  <sheetFormatPr defaultColWidth="8.6640625" defaultRowHeight="14.1" customHeight="1"/>
  <cols>
    <col min="1" max="1" width="34.6640625" style="40" customWidth="1"/>
    <col min="2" max="2" width="19.33203125" style="40" customWidth="1"/>
    <col min="3" max="3" width="16" style="40" customWidth="1"/>
    <col min="4" max="5" width="13.6640625" style="41" customWidth="1"/>
    <col min="6" max="6" width="15.109375" style="41" customWidth="1"/>
    <col min="7" max="7" width="15.5546875" style="41" bestFit="1" customWidth="1"/>
    <col min="8" max="8" width="15" style="41" bestFit="1" customWidth="1"/>
    <col min="9" max="14" width="13.6640625" style="41" customWidth="1"/>
    <col min="15" max="15" width="19.109375" style="41" customWidth="1"/>
    <col min="16" max="16" width="17.33203125" style="41" customWidth="1"/>
    <col min="17" max="17" width="13.6640625" style="41" customWidth="1"/>
    <col min="18" max="18" width="16.5546875" style="41" customWidth="1"/>
    <col min="19" max="19" width="18" style="41" bestFit="1" customWidth="1"/>
    <col min="20" max="23" width="13.6640625" style="41" customWidth="1"/>
    <col min="24" max="28" width="13.33203125" style="41" customWidth="1"/>
    <col min="29" max="29" width="14.6640625" style="41" customWidth="1"/>
    <col min="30" max="33" width="13.33203125" style="41" customWidth="1"/>
    <col min="34" max="16384" width="8.6640625" style="40"/>
  </cols>
  <sheetData>
    <row r="1" spans="1:33" ht="14.1" customHeight="1">
      <c r="A1" s="314" t="s">
        <v>5</v>
      </c>
      <c r="B1" s="39" t="s">
        <v>718</v>
      </c>
      <c r="E1" s="42"/>
      <c r="G1" s="42"/>
      <c r="J1" s="241" t="s">
        <v>6</v>
      </c>
      <c r="K1" s="242"/>
      <c r="L1" s="242"/>
      <c r="M1" s="242"/>
      <c r="N1" s="242"/>
      <c r="O1" s="243"/>
      <c r="P1" s="227" t="e">
        <f>G26</f>
        <v>#DIV/0!</v>
      </c>
    </row>
    <row r="2" spans="1:33" ht="14.1" customHeight="1">
      <c r="E2" s="42"/>
      <c r="G2" s="42"/>
      <c r="J2" s="43" t="s">
        <v>7</v>
      </c>
      <c r="K2" s="44"/>
      <c r="L2" s="44"/>
      <c r="M2" s="44"/>
      <c r="N2" s="44"/>
      <c r="O2" s="45">
        <v>0.21</v>
      </c>
      <c r="P2" s="229" t="e">
        <f>O2*P1</f>
        <v>#DIV/0!</v>
      </c>
    </row>
    <row r="3" spans="1:33" ht="14.1" customHeight="1">
      <c r="A3" s="38" t="s">
        <v>1</v>
      </c>
      <c r="B3" s="39" t="s">
        <v>254</v>
      </c>
      <c r="C3" s="523"/>
      <c r="D3" s="42"/>
      <c r="E3" s="42"/>
      <c r="G3" s="42"/>
      <c r="H3" s="42"/>
      <c r="I3" s="42"/>
      <c r="J3" s="43" t="s">
        <v>8</v>
      </c>
      <c r="K3" s="44"/>
      <c r="L3" s="44"/>
      <c r="M3" s="44"/>
      <c r="N3" s="44"/>
      <c r="O3" s="44"/>
      <c r="P3" s="230" t="e">
        <f>P1+P2</f>
        <v>#DIV/0!</v>
      </c>
      <c r="AF3" s="42"/>
      <c r="AG3" s="42"/>
    </row>
    <row r="4" spans="1:33" ht="14.1" customHeight="1">
      <c r="A4" s="38" t="s">
        <v>2</v>
      </c>
      <c r="B4" s="46" t="str">
        <f ca="1">MID(CELL("bestandsnaam",$B$13),SEARCH("]",CELL("bestandsnaam",$B$13),1)+1,256)</f>
        <v>2-Kosten per locatie</v>
      </c>
      <c r="C4" s="46"/>
      <c r="D4" s="42"/>
      <c r="E4" s="239" t="s">
        <v>9</v>
      </c>
      <c r="F4" s="240"/>
      <c r="G4" s="42"/>
      <c r="H4" s="42"/>
      <c r="I4" s="42"/>
      <c r="J4" s="44"/>
      <c r="K4" s="44"/>
      <c r="L4" s="44"/>
      <c r="M4" s="44"/>
      <c r="N4" s="44"/>
      <c r="O4" s="44"/>
      <c r="P4" s="228"/>
      <c r="AF4" s="42"/>
      <c r="AG4" s="42"/>
    </row>
    <row r="5" spans="1:33" ht="14.1" customHeight="1">
      <c r="A5" s="38" t="s">
        <v>255</v>
      </c>
      <c r="B5" s="39" t="s">
        <v>256</v>
      </c>
      <c r="C5" s="523"/>
      <c r="D5" s="42"/>
      <c r="E5" s="231"/>
      <c r="F5" s="541" t="s">
        <v>10</v>
      </c>
      <c r="G5" s="42"/>
      <c r="H5" s="42"/>
      <c r="I5" s="42"/>
      <c r="J5" s="244" t="s">
        <v>11</v>
      </c>
      <c r="K5" s="245"/>
      <c r="L5" s="245"/>
      <c r="M5" s="245"/>
      <c r="N5" s="245"/>
      <c r="O5" s="245"/>
      <c r="P5" s="232">
        <v>382000</v>
      </c>
      <c r="AF5" s="42"/>
      <c r="AG5" s="42"/>
    </row>
    <row r="6" spans="1:33" ht="14.1" customHeight="1">
      <c r="A6" s="38" t="s">
        <v>4</v>
      </c>
      <c r="B6" s="39" t="s">
        <v>717</v>
      </c>
      <c r="C6" s="523"/>
      <c r="D6" s="42"/>
      <c r="E6" s="42"/>
      <c r="F6" s="42"/>
      <c r="G6" s="42"/>
      <c r="H6" s="42"/>
      <c r="I6" s="42"/>
      <c r="J6" s="244" t="s">
        <v>12</v>
      </c>
      <c r="K6" s="245"/>
      <c r="L6" s="245"/>
      <c r="M6" s="245"/>
      <c r="N6" s="245"/>
      <c r="O6" s="245"/>
      <c r="P6" s="232">
        <v>340000</v>
      </c>
      <c r="AF6" s="42"/>
      <c r="AG6" s="42"/>
    </row>
    <row r="7" spans="1:33" ht="14.1" customHeight="1">
      <c r="A7" s="38" t="s">
        <v>13</v>
      </c>
      <c r="B7" s="201"/>
      <c r="C7" s="202"/>
      <c r="D7" s="42"/>
      <c r="E7" s="42"/>
      <c r="F7" s="42"/>
      <c r="G7" s="42"/>
      <c r="H7" s="42"/>
      <c r="I7" s="42"/>
      <c r="J7" s="42"/>
      <c r="K7" s="42"/>
      <c r="V7" s="42"/>
      <c r="W7" s="40"/>
      <c r="X7" s="40"/>
      <c r="Y7" s="40"/>
      <c r="AF7" s="42"/>
      <c r="AG7" s="42"/>
    </row>
    <row r="8" spans="1:33" ht="14.1" customHeight="1">
      <c r="A8" s="38" t="s">
        <v>14</v>
      </c>
      <c r="B8" s="47">
        <v>46388</v>
      </c>
      <c r="C8" s="38"/>
      <c r="D8" s="42"/>
      <c r="E8" s="42"/>
      <c r="F8" s="42"/>
      <c r="G8" s="42"/>
      <c r="H8" s="42"/>
      <c r="I8" s="42"/>
      <c r="J8" s="244" t="s">
        <v>15</v>
      </c>
      <c r="K8" s="245"/>
      <c r="L8" s="245"/>
      <c r="M8" s="245"/>
      <c r="N8" s="245"/>
      <c r="O8" s="245"/>
      <c r="P8" s="510"/>
      <c r="Q8" s="42"/>
      <c r="R8" s="42"/>
      <c r="S8" s="42"/>
      <c r="T8" s="42"/>
      <c r="U8" s="42"/>
      <c r="V8" s="42"/>
      <c r="W8" s="42"/>
      <c r="X8" s="42"/>
      <c r="Y8" s="42"/>
      <c r="Z8" s="42"/>
      <c r="AA8" s="48"/>
      <c r="AB8" s="48"/>
      <c r="AC8" s="48"/>
      <c r="AD8" s="48"/>
      <c r="AE8" s="48"/>
      <c r="AF8" s="42"/>
      <c r="AG8" s="42"/>
    </row>
    <row r="9" spans="1:33" ht="14.1" customHeight="1">
      <c r="A9" s="38" t="s">
        <v>16</v>
      </c>
      <c r="B9" s="49" t="s">
        <v>17</v>
      </c>
      <c r="C9" s="38"/>
      <c r="D9" s="42"/>
      <c r="E9" s="42"/>
      <c r="F9" s="42"/>
      <c r="G9" s="42"/>
      <c r="H9" s="42"/>
      <c r="I9" s="42"/>
      <c r="J9" s="508" t="s">
        <v>18</v>
      </c>
      <c r="K9" s="50"/>
      <c r="M9" s="42"/>
      <c r="N9" s="42"/>
      <c r="Q9" s="42"/>
      <c r="V9" s="42"/>
      <c r="W9" s="40"/>
      <c r="X9" s="40"/>
      <c r="Y9" s="40"/>
      <c r="Z9" s="40"/>
      <c r="AA9" s="40"/>
      <c r="AB9" s="40"/>
      <c r="AC9" s="40"/>
      <c r="AD9" s="40"/>
      <c r="AE9" s="40"/>
      <c r="AF9" s="42"/>
      <c r="AG9" s="42"/>
    </row>
    <row r="10" spans="1:33" ht="14.1" customHeight="1">
      <c r="A10" s="38"/>
      <c r="B10" s="38"/>
      <c r="C10" s="38"/>
      <c r="D10" s="42"/>
      <c r="E10" s="42"/>
      <c r="F10" s="42"/>
      <c r="G10" s="42"/>
      <c r="H10" s="42"/>
      <c r="I10" s="42"/>
      <c r="J10" s="509" t="s">
        <v>19</v>
      </c>
      <c r="K10" s="51"/>
      <c r="Q10" s="42"/>
      <c r="R10" s="42"/>
      <c r="S10" s="42"/>
      <c r="T10" s="42"/>
      <c r="U10" s="42"/>
      <c r="V10" s="42"/>
      <c r="W10" s="42"/>
      <c r="X10" s="42"/>
      <c r="Y10" s="42"/>
      <c r="Z10" s="42"/>
      <c r="AA10" s="42"/>
      <c r="AB10" s="42"/>
      <c r="AC10" s="42"/>
      <c r="AD10" s="42"/>
      <c r="AE10" s="42"/>
      <c r="AF10" s="42"/>
      <c r="AG10" s="42"/>
    </row>
    <row r="11" spans="1:33" ht="14.1" customHeight="1">
      <c r="A11" s="38"/>
      <c r="B11" s="38"/>
      <c r="C11" s="38"/>
      <c r="D11" s="42"/>
      <c r="E11" s="42"/>
      <c r="F11" s="42"/>
      <c r="G11" s="42"/>
      <c r="H11" s="42"/>
      <c r="I11" s="42"/>
      <c r="J11" s="50"/>
      <c r="K11" s="42"/>
      <c r="L11" s="42"/>
      <c r="M11" s="42"/>
      <c r="N11" s="42"/>
      <c r="O11" s="42"/>
      <c r="P11" s="42"/>
      <c r="Q11" s="42"/>
      <c r="R11" s="42"/>
      <c r="S11" s="42"/>
      <c r="T11" s="42"/>
      <c r="U11" s="42"/>
      <c r="V11" s="42"/>
      <c r="W11" s="42"/>
      <c r="X11" s="42"/>
      <c r="Y11" s="42"/>
      <c r="Z11" s="42"/>
      <c r="AA11" s="42"/>
      <c r="AB11" s="42"/>
      <c r="AC11" s="42"/>
      <c r="AD11" s="42"/>
      <c r="AE11" s="42"/>
      <c r="AF11" s="42"/>
      <c r="AG11" s="42"/>
    </row>
    <row r="12" spans="1:33" ht="15.6">
      <c r="C12" s="47"/>
      <c r="J12" s="51"/>
      <c r="AA12" s="42"/>
      <c r="AB12" s="42"/>
      <c r="AC12" s="42"/>
      <c r="AD12" s="42"/>
      <c r="AE12" s="42"/>
      <c r="AF12" s="42"/>
      <c r="AG12" s="42"/>
    </row>
    <row r="13" spans="1:33" ht="18" customHeight="1">
      <c r="A13" s="52"/>
      <c r="B13" s="52"/>
      <c r="C13" s="52"/>
      <c r="D13" s="52"/>
      <c r="E13" s="52"/>
      <c r="F13" s="52"/>
      <c r="G13" s="52"/>
      <c r="H13" s="52"/>
      <c r="I13" s="52"/>
      <c r="J13" s="51"/>
      <c r="Q13" s="42"/>
      <c r="R13" s="42"/>
      <c r="S13" s="42"/>
      <c r="T13" s="42"/>
      <c r="U13" s="42"/>
      <c r="V13" s="42"/>
      <c r="W13" s="42"/>
      <c r="X13" s="40"/>
      <c r="Y13" s="40"/>
      <c r="Z13" s="40"/>
      <c r="AA13" s="40"/>
      <c r="AB13" s="40"/>
      <c r="AC13" s="40"/>
      <c r="AD13" s="40"/>
      <c r="AE13" s="40"/>
      <c r="AF13" s="40"/>
      <c r="AG13" s="40"/>
    </row>
    <row r="14" spans="1:33" ht="73.8" customHeight="1">
      <c r="A14" s="315" t="s">
        <v>20</v>
      </c>
      <c r="B14" s="246" t="s">
        <v>21</v>
      </c>
      <c r="C14" s="246" t="s">
        <v>22</v>
      </c>
      <c r="D14" s="247" t="s">
        <v>23</v>
      </c>
      <c r="E14" s="248" t="s">
        <v>24</v>
      </c>
      <c r="F14" s="248" t="s">
        <v>25</v>
      </c>
      <c r="G14" s="42"/>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row>
    <row r="15" spans="1:33" s="53" customFormat="1" ht="15" customHeight="1">
      <c r="A15" s="316" t="s">
        <v>257</v>
      </c>
      <c r="B15" s="493">
        <f>SUMIF('4-Basis ruimtestaat'!B:B,'2-Kosten per locatie'!A15,'4-Basis ruimtestaat'!J:J)-SUMIFS('4-Basis ruimtestaat'!J:J,'4-Basis ruimtestaat'!B:B,'2-Kosten per locatie'!A15,'4-Basis ruimtestaat'!L:L,"nio")</f>
        <v>9433.3000128269196</v>
      </c>
      <c r="C15" s="233"/>
      <c r="D15" s="234">
        <f>_xlfn.MAXIFS('4-Basis ruimtestaat'!L:L,'4-Basis ruimtestaat'!B:B,'2-Kosten per locatie'!A15)</f>
        <v>255</v>
      </c>
      <c r="E15" s="495" t="e">
        <f>SUMIF('4-Basis ruimtestaat'!B:B,'2-Kosten per locatie'!A15,'4-Basis ruimtestaat'!M:M)</f>
        <v>#DIV/0!</v>
      </c>
      <c r="F15" s="495" t="e">
        <f>E15*$E$5</f>
        <v>#DIV/0!</v>
      </c>
      <c r="G15" s="42"/>
    </row>
    <row r="16" spans="1:33" ht="15" customHeight="1">
      <c r="A16" s="316" t="s">
        <v>612</v>
      </c>
      <c r="B16" s="493">
        <f>SUMIF('4-Basis ruimtestaat'!B:B,'2-Kosten per locatie'!A16,'4-Basis ruimtestaat'!J:J)-SUMIFS('4-Basis ruimtestaat'!J:J,'4-Basis ruimtestaat'!B:B,'2-Kosten per locatie'!A16,'4-Basis ruimtestaat'!L:L,"nio")</f>
        <v>255.67000000000002</v>
      </c>
      <c r="C16" s="233"/>
      <c r="D16" s="234">
        <f>_xlfn.MAXIFS('4-Basis ruimtestaat'!L:L,'4-Basis ruimtestaat'!B:B,'2-Kosten per locatie'!A16)</f>
        <v>255</v>
      </c>
      <c r="E16" s="495" t="e">
        <f>SUMIF('4-Basis ruimtestaat'!B:B,'2-Kosten per locatie'!A16,'4-Basis ruimtestaat'!M:M)</f>
        <v>#DIV/0!</v>
      </c>
      <c r="F16" s="495" t="e">
        <f>E16*$E$5</f>
        <v>#DIV/0!</v>
      </c>
      <c r="G16" s="42"/>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row>
    <row r="17" spans="1:33" ht="15" customHeight="1">
      <c r="A17" s="316" t="s">
        <v>613</v>
      </c>
      <c r="B17" s="493">
        <f>SUMIF('4-Basis ruimtestaat'!B:B,'2-Kosten per locatie'!A17,'4-Basis ruimtestaat'!J:J)-SUMIFS('4-Basis ruimtestaat'!J:J,'4-Basis ruimtestaat'!B:B,'2-Kosten per locatie'!A17,'4-Basis ruimtestaat'!L:L,"nio")</f>
        <v>441.70000000000005</v>
      </c>
      <c r="C17" s="233"/>
      <c r="D17" s="234">
        <f>_xlfn.MAXIFS('4-Basis ruimtestaat'!L:L,'4-Basis ruimtestaat'!B:B,'2-Kosten per locatie'!A17)</f>
        <v>255</v>
      </c>
      <c r="E17" s="495" t="e">
        <f>SUMIF('4-Basis ruimtestaat'!B:B,'2-Kosten per locatie'!A17,'4-Basis ruimtestaat'!M:M)</f>
        <v>#DIV/0!</v>
      </c>
      <c r="F17" s="495" t="e">
        <f>E17*$E$5</f>
        <v>#DIV/0!</v>
      </c>
      <c r="G17" s="42"/>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row>
    <row r="18" spans="1:33" ht="15" customHeight="1">
      <c r="A18" s="318" t="s">
        <v>0</v>
      </c>
      <c r="B18" s="493">
        <f>SUMIF('4-Basis ruimtestaat'!B:B,'2-Kosten per locatie'!A18,'4-Basis ruimtestaat'!J:J)</f>
        <v>0</v>
      </c>
      <c r="C18" s="233"/>
      <c r="D18" s="234">
        <f>_xlfn.MAXIFS('4-Basis ruimtestaat'!L:L,'4-Basis ruimtestaat'!B:B,'2-Kosten per locatie'!A18)</f>
        <v>0</v>
      </c>
      <c r="E18" s="495">
        <f>SUMIF('4-Basis ruimtestaat'!B:B,'2-Kosten per locatie'!A18,'4-Basis ruimtestaat'!M:M)</f>
        <v>0</v>
      </c>
      <c r="F18" s="495">
        <f>E18*$E$5</f>
        <v>0</v>
      </c>
      <c r="G18" s="42"/>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row>
    <row r="19" spans="1:33" s="56" customFormat="1" ht="15" customHeight="1">
      <c r="A19" s="319" t="s">
        <v>26</v>
      </c>
      <c r="B19" s="494">
        <f>SUM(B15:B18)</f>
        <v>10130.67001282692</v>
      </c>
      <c r="C19" s="235"/>
      <c r="D19" s="236"/>
      <c r="E19" s="496" t="e">
        <f t="shared" ref="E19:F19" si="0">SUM(E15:E18)</f>
        <v>#DIV/0!</v>
      </c>
      <c r="F19" s="496" t="e">
        <f t="shared" si="0"/>
        <v>#DIV/0!</v>
      </c>
      <c r="G19" s="42"/>
    </row>
    <row r="20" spans="1:33" s="53" customFormat="1" ht="14.1" customHeight="1">
      <c r="AD20" s="40"/>
    </row>
    <row r="21" spans="1:33" ht="83.4" customHeight="1">
      <c r="A21" s="249" t="s">
        <v>20</v>
      </c>
      <c r="B21" s="250" t="s">
        <v>27</v>
      </c>
      <c r="C21" s="250" t="s">
        <v>28</v>
      </c>
      <c r="D21" s="250" t="s">
        <v>29</v>
      </c>
      <c r="E21" s="250" t="s">
        <v>30</v>
      </c>
      <c r="F21" s="250" t="s">
        <v>31</v>
      </c>
      <c r="G21" s="250" t="s">
        <v>32</v>
      </c>
      <c r="H21" s="250" t="s">
        <v>33</v>
      </c>
      <c r="U21" s="53"/>
      <c r="V21" s="40"/>
      <c r="W21" s="40"/>
      <c r="X21" s="40"/>
      <c r="Y21" s="40"/>
      <c r="Z21" s="40"/>
      <c r="AA21" s="40"/>
      <c r="AB21" s="40"/>
      <c r="AC21" s="40"/>
      <c r="AD21" s="40"/>
      <c r="AE21" s="40"/>
      <c r="AF21" s="40"/>
      <c r="AG21" s="40"/>
    </row>
    <row r="22" spans="1:33" s="53" customFormat="1" ht="15" customHeight="1">
      <c r="A22" s="317" t="str">
        <f>A15</f>
        <v>Gemeentehuis</v>
      </c>
      <c r="B22" s="54" t="e">
        <f>(E15)*'6-Opbouw uurtarief productie'!$E$47</f>
        <v>#DIV/0!</v>
      </c>
      <c r="C22" s="55" t="e">
        <f>F15*'7-Opbouw uurtarief toezicht'!$E$46</f>
        <v>#DIV/0!</v>
      </c>
      <c r="D22" s="238">
        <f>SUMIF('10-Vloeronderhoud'!A:A,'2-Kosten per locatie'!A22,'10-Vloeronderhoud'!I:I)</f>
        <v>0</v>
      </c>
      <c r="E22" s="320">
        <f>SUMIF('8-Additionele kosten'!A:A,'2-Kosten per locatie'!A22,'8-Additionele kosten'!H:H)</f>
        <v>0</v>
      </c>
      <c r="F22" s="320" t="e">
        <f>SUMIF('11-Sanitaire voorzieningen'!A:A,'2-Kosten per locatie'!A22,'11-Sanitaire voorzieningen'!M:M)</f>
        <v>#DIV/0!</v>
      </c>
      <c r="G22" s="320" t="e">
        <f>B22+C22+D22+E22+F22</f>
        <v>#DIV/0!</v>
      </c>
      <c r="H22" s="320" t="e">
        <f>G22/12</f>
        <v>#DIV/0!</v>
      </c>
      <c r="I22" s="41"/>
      <c r="J22" s="41"/>
      <c r="K22" s="41"/>
      <c r="L22" s="41"/>
      <c r="M22" s="41"/>
    </row>
    <row r="23" spans="1:33" ht="15" customHeight="1">
      <c r="A23" s="317" t="str">
        <f>A16</f>
        <v>Gemeentewerf</v>
      </c>
      <c r="B23" s="54" t="e">
        <f>(E16)*'6-Opbouw uurtarief productie'!$E$47</f>
        <v>#DIV/0!</v>
      </c>
      <c r="C23" s="55" t="e">
        <f>F16*'7-Opbouw uurtarief toezicht'!$E$46</f>
        <v>#DIV/0!</v>
      </c>
      <c r="D23" s="238">
        <f>SUMIF('10-Vloeronderhoud'!A:A,'2-Kosten per locatie'!A23,'10-Vloeronderhoud'!I:I)</f>
        <v>0</v>
      </c>
      <c r="E23" s="320">
        <f>SUMIF('8-Additionele kosten'!A:A,'2-Kosten per locatie'!A23,'8-Additionele kosten'!H:H)</f>
        <v>0</v>
      </c>
      <c r="F23" s="320" t="e">
        <f>SUMIF('11-Sanitaire voorzieningen'!A:A,'2-Kosten per locatie'!A23,'11-Sanitaire voorzieningen'!M:M)</f>
        <v>#DIV/0!</v>
      </c>
      <c r="G23" s="320" t="e">
        <f t="shared" ref="G23:G25" si="1">B23+C23+D23+E23+F23</f>
        <v>#DIV/0!</v>
      </c>
      <c r="H23" s="320" t="e">
        <f t="shared" ref="H23:H24" si="2">G23/12</f>
        <v>#DIV/0!</v>
      </c>
      <c r="U23" s="53"/>
      <c r="V23" s="40"/>
      <c r="W23" s="40"/>
      <c r="X23" s="40"/>
      <c r="Y23" s="40"/>
      <c r="Z23" s="40"/>
      <c r="AA23" s="40"/>
      <c r="AB23" s="40"/>
      <c r="AC23" s="40"/>
      <c r="AD23" s="40"/>
      <c r="AE23" s="40"/>
      <c r="AF23" s="40"/>
      <c r="AG23" s="40"/>
    </row>
    <row r="24" spans="1:33" ht="15" customHeight="1">
      <c r="A24" s="317" t="str">
        <f>A17</f>
        <v>GIS</v>
      </c>
      <c r="B24" s="54" t="e">
        <f>(E17)*'6-Opbouw uurtarief productie'!$E$47</f>
        <v>#DIV/0!</v>
      </c>
      <c r="C24" s="55" t="e">
        <f>F17*'7-Opbouw uurtarief toezicht'!$E$46</f>
        <v>#DIV/0!</v>
      </c>
      <c r="D24" s="238">
        <f>SUMIF('10-Vloeronderhoud'!A:A,'2-Kosten per locatie'!A24,'10-Vloeronderhoud'!I:I)</f>
        <v>0</v>
      </c>
      <c r="E24" s="320">
        <f>SUMIF('8-Additionele kosten'!A:A,'2-Kosten per locatie'!A24,'8-Additionele kosten'!H:H)</f>
        <v>0</v>
      </c>
      <c r="F24" s="320" t="e">
        <f>SUMIF('11-Sanitaire voorzieningen'!A:A,'2-Kosten per locatie'!A24,'11-Sanitaire voorzieningen'!M:M)</f>
        <v>#DIV/0!</v>
      </c>
      <c r="G24" s="320" t="e">
        <f t="shared" si="1"/>
        <v>#DIV/0!</v>
      </c>
      <c r="H24" s="320" t="e">
        <f t="shared" si="2"/>
        <v>#DIV/0!</v>
      </c>
      <c r="U24" s="53"/>
      <c r="V24" s="40"/>
      <c r="W24" s="40"/>
      <c r="X24" s="40"/>
      <c r="Y24" s="40"/>
      <c r="Z24" s="40"/>
      <c r="AA24" s="40"/>
      <c r="AB24" s="40"/>
      <c r="AC24" s="40"/>
      <c r="AD24" s="40"/>
      <c r="AE24" s="40"/>
      <c r="AF24" s="40"/>
      <c r="AG24" s="40"/>
    </row>
    <row r="25" spans="1:33" ht="15" customHeight="1">
      <c r="A25" s="317" t="str">
        <f>A18</f>
        <v>Algemeen</v>
      </c>
      <c r="B25" s="54" t="e">
        <f>(E18)*'6-Opbouw uurtarief productie'!$E$47</f>
        <v>#DIV/0!</v>
      </c>
      <c r="C25" s="55" t="e">
        <f>F18*'7-Opbouw uurtarief toezicht'!$E$46</f>
        <v>#DIV/0!</v>
      </c>
      <c r="D25" s="238">
        <f>SUMIF('10-Vloeronderhoud'!A:A,'2-Kosten per locatie'!A25,'10-Vloeronderhoud'!I:I)</f>
        <v>0</v>
      </c>
      <c r="E25" s="320">
        <f>SUMIF('8-Additionele kosten'!A:A,'2-Kosten per locatie'!A25,'8-Additionele kosten'!H:H)</f>
        <v>0</v>
      </c>
      <c r="F25" s="320">
        <f>SUMIF('11-Sanitaire voorzieningen'!A:A,'2-Kosten per locatie'!A25,'11-Sanitaire voorzieningen'!M:M)</f>
        <v>0</v>
      </c>
      <c r="G25" s="320" t="e">
        <f t="shared" si="1"/>
        <v>#DIV/0!</v>
      </c>
      <c r="H25" s="320" t="e">
        <f t="shared" ref="H25" si="3">G25/12</f>
        <v>#DIV/0!</v>
      </c>
      <c r="Q25" s="53"/>
      <c r="R25" s="53"/>
      <c r="S25" s="53"/>
      <c r="T25" s="53"/>
      <c r="U25" s="53"/>
      <c r="V25" s="40"/>
      <c r="W25" s="40"/>
      <c r="X25" s="40"/>
      <c r="Y25" s="40"/>
      <c r="Z25" s="40"/>
      <c r="AA25" s="40"/>
      <c r="AB25" s="40"/>
      <c r="AC25" s="40"/>
      <c r="AD25" s="40"/>
      <c r="AE25" s="40"/>
      <c r="AF25" s="40"/>
      <c r="AG25" s="40"/>
    </row>
    <row r="26" spans="1:33" s="56" customFormat="1" ht="15" customHeight="1">
      <c r="A26" s="319" t="s">
        <v>26</v>
      </c>
      <c r="B26" s="321" t="e">
        <f>SUM(B22:B25)</f>
        <v>#DIV/0!</v>
      </c>
      <c r="C26" s="321" t="e">
        <f t="shared" ref="C26:H26" si="4">SUM(C22:C25)</f>
        <v>#DIV/0!</v>
      </c>
      <c r="D26" s="322">
        <f t="shared" si="4"/>
        <v>0</v>
      </c>
      <c r="E26" s="322">
        <f t="shared" si="4"/>
        <v>0</v>
      </c>
      <c r="F26" s="322" t="e">
        <f t="shared" si="4"/>
        <v>#DIV/0!</v>
      </c>
      <c r="G26" s="322" t="e">
        <f t="shared" si="4"/>
        <v>#DIV/0!</v>
      </c>
      <c r="H26" s="322" t="e">
        <f t="shared" si="4"/>
        <v>#DIV/0!</v>
      </c>
      <c r="Q26" s="53"/>
      <c r="R26" s="53"/>
      <c r="S26" s="53"/>
      <c r="T26" s="53"/>
      <c r="U26" s="53"/>
    </row>
    <row r="27" spans="1:33" ht="14.1" customHeight="1">
      <c r="AC27" s="53"/>
      <c r="AD27" s="53"/>
      <c r="AE27" s="53"/>
      <c r="AF27" s="53"/>
      <c r="AG27" s="53"/>
    </row>
    <row r="28" spans="1:33" ht="14.1" customHeight="1">
      <c r="B28" s="522"/>
    </row>
    <row r="29" spans="1:33" ht="14.1" customHeight="1">
      <c r="B29" s="522"/>
    </row>
  </sheetData>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32"/>
  <sheetViews>
    <sheetView showGridLines="0" zoomScale="70" zoomScaleNormal="70" workbookViewId="0">
      <pane ySplit="9" topLeftCell="A10" activePane="bottomLeft" state="frozen"/>
      <selection activeCell="B1" sqref="B1"/>
      <selection pane="bottomLeft" activeCell="M43" sqref="M43"/>
    </sheetView>
  </sheetViews>
  <sheetFormatPr defaultColWidth="9.109375" defaultRowHeight="13.2"/>
  <cols>
    <col min="1" max="1" width="29.6640625" style="57" customWidth="1"/>
    <col min="2" max="2" width="9.109375" style="57" customWidth="1"/>
    <col min="3" max="5" width="9.109375" style="57"/>
    <col min="6" max="6" width="14.5546875" style="57" customWidth="1"/>
    <col min="7" max="7" width="9" style="57" bestFit="1" customWidth="1"/>
    <col min="8" max="8" width="9.6640625" style="57" bestFit="1" customWidth="1"/>
    <col min="9" max="9" width="9.5546875" style="57" bestFit="1" customWidth="1"/>
    <col min="10" max="10" width="9.109375" style="58"/>
    <col min="11" max="11" width="10.109375" style="57" customWidth="1"/>
    <col min="12" max="12" width="11.6640625" style="57" customWidth="1"/>
    <col min="13" max="13" width="11" style="57" customWidth="1"/>
    <col min="14" max="14" width="3" style="57" customWidth="1"/>
    <col min="15" max="15" width="9.109375" style="58"/>
    <col min="16" max="16" width="9.109375" style="2"/>
    <col min="17" max="17" width="30.44140625" style="2" customWidth="1"/>
    <col min="18" max="16384" width="9.109375" style="2"/>
  </cols>
  <sheetData>
    <row r="1" spans="1:15">
      <c r="A1" s="502" t="s">
        <v>5</v>
      </c>
    </row>
    <row r="3" spans="1:15" ht="15.6">
      <c r="A3" s="38" t="str">
        <f>'2-Kosten per locatie'!A3</f>
        <v>Naam opdrachtgever</v>
      </c>
      <c r="B3" s="46" t="str">
        <f>'2-Kosten per locatie'!B3</f>
        <v>Gemeente Lansingerland</v>
      </c>
      <c r="C3" s="59"/>
    </row>
    <row r="4" spans="1:15" ht="15.6">
      <c r="A4" s="38" t="str">
        <f>'2-Kosten per locatie'!A4</f>
        <v>Calculatie onderdeel</v>
      </c>
      <c r="B4" s="46" t="str">
        <f ca="1">MID(CELL("bestandsnaam",$B$7),SEARCH("]",CELL("bestandsnaam",$B$7),1)+1,256)</f>
        <v>3-Productie normen</v>
      </c>
      <c r="C4" s="46"/>
    </row>
    <row r="5" spans="1:15" ht="15.6">
      <c r="A5" s="38" t="str">
        <f>'2-Kosten per locatie'!A5</f>
        <v>Onderdeel</v>
      </c>
      <c r="B5" s="46" t="str">
        <f>'2-Kosten per locatie'!B5</f>
        <v>Perceel 1 Schoonmaak</v>
      </c>
      <c r="C5" s="46"/>
    </row>
    <row r="6" spans="1:15" ht="15.6">
      <c r="A6" s="38" t="str">
        <f>'2-Kosten per locatie'!A6</f>
        <v>Referentie nummer</v>
      </c>
      <c r="B6" s="46" t="str">
        <f>'2-Kosten per locatie'!B6</f>
        <v>TN602303</v>
      </c>
      <c r="C6" s="46"/>
      <c r="E6" s="323" t="s">
        <v>34</v>
      </c>
      <c r="F6" s="324"/>
      <c r="G6" s="325" t="e">
        <f>SUM('4-Basis ruimtestaat'!R:R)/SUM('4-Basis ruimtestaat'!M:M)</f>
        <v>#DIV/0!</v>
      </c>
      <c r="H6" s="326" t="s">
        <v>35</v>
      </c>
    </row>
    <row r="7" spans="1:15">
      <c r="A7" s="60"/>
      <c r="B7" s="61"/>
      <c r="C7" s="61"/>
      <c r="D7" s="62"/>
      <c r="E7" s="63"/>
      <c r="F7" s="63"/>
      <c r="G7" s="64"/>
      <c r="H7" s="65"/>
      <c r="I7" s="66"/>
      <c r="K7" s="67"/>
      <c r="L7" s="67"/>
      <c r="M7" s="66"/>
      <c r="N7" s="66"/>
      <c r="O7" s="68"/>
    </row>
    <row r="8" spans="1:15" ht="27.75" customHeight="1">
      <c r="A8" s="327" t="s">
        <v>36</v>
      </c>
      <c r="B8" s="328">
        <v>2</v>
      </c>
      <c r="C8" s="328">
        <v>12</v>
      </c>
      <c r="D8" s="328">
        <v>156</v>
      </c>
      <c r="E8" s="328">
        <v>255</v>
      </c>
      <c r="F8" s="66"/>
      <c r="G8" s="207"/>
      <c r="H8" s="65"/>
      <c r="I8" s="66"/>
      <c r="K8" s="208"/>
      <c r="L8" s="68"/>
      <c r="M8" s="2"/>
      <c r="N8" s="2"/>
      <c r="O8" s="2"/>
    </row>
    <row r="9" spans="1:15" ht="69.599999999999994" customHeight="1">
      <c r="A9" s="329" t="s">
        <v>37</v>
      </c>
      <c r="B9" s="554" t="s">
        <v>38</v>
      </c>
      <c r="C9" s="555"/>
      <c r="D9" s="555"/>
      <c r="E9" s="556"/>
      <c r="F9" s="66"/>
      <c r="G9" s="330" t="s">
        <v>39</v>
      </c>
      <c r="H9" s="330" t="s">
        <v>40</v>
      </c>
      <c r="I9" s="66"/>
      <c r="K9" s="208"/>
      <c r="M9" s="2"/>
      <c r="N9" s="2"/>
      <c r="O9" s="2"/>
    </row>
    <row r="10" spans="1:15">
      <c r="A10" s="331" t="s">
        <v>41</v>
      </c>
      <c r="B10" s="529"/>
      <c r="C10" s="529"/>
      <c r="D10" s="332"/>
      <c r="E10" s="332"/>
      <c r="F10" s="251"/>
      <c r="G10" s="333">
        <f>SUMIF('4-Basis ruimtestaat'!G:G,'3-Productie normen'!A10,'4-Basis ruimtestaat'!J:J)</f>
        <v>3928.8999984741208</v>
      </c>
      <c r="H10" s="334" t="s">
        <v>42</v>
      </c>
      <c r="J10" s="66"/>
      <c r="K10" s="66"/>
      <c r="M10" s="2"/>
      <c r="N10" s="2"/>
      <c r="O10" s="2"/>
    </row>
    <row r="11" spans="1:15">
      <c r="A11" s="331" t="s">
        <v>43</v>
      </c>
      <c r="B11" s="529"/>
      <c r="C11" s="529"/>
      <c r="D11" s="332"/>
      <c r="E11" s="332"/>
      <c r="F11" s="251"/>
      <c r="G11" s="333">
        <f>SUMIF('4-Basis ruimtestaat'!G:G,'3-Productie normen'!A11,'4-Basis ruimtestaat'!J:J)</f>
        <v>304.97000429153434</v>
      </c>
      <c r="H11" s="334" t="s">
        <v>44</v>
      </c>
      <c r="J11" s="57"/>
      <c r="K11" s="66"/>
      <c r="M11" s="2"/>
      <c r="N11" s="2"/>
      <c r="O11" s="2"/>
    </row>
    <row r="12" spans="1:15">
      <c r="A12" s="331" t="s">
        <v>45</v>
      </c>
      <c r="B12" s="529"/>
      <c r="C12" s="529"/>
      <c r="D12" s="332"/>
      <c r="E12" s="332"/>
      <c r="F12" s="251"/>
      <c r="G12" s="333">
        <f>SUMIF('4-Basis ruimtestaat'!G:G,'3-Productie normen'!A12,'4-Basis ruimtestaat'!J:J)</f>
        <v>3441.299998998642</v>
      </c>
      <c r="H12" s="334" t="s">
        <v>46</v>
      </c>
      <c r="J12" s="57"/>
      <c r="M12" s="2"/>
      <c r="N12" s="2"/>
      <c r="O12" s="2"/>
    </row>
    <row r="13" spans="1:15">
      <c r="A13" s="331" t="s">
        <v>47</v>
      </c>
      <c r="B13" s="529"/>
      <c r="C13" s="529"/>
      <c r="D13" s="332"/>
      <c r="E13" s="332"/>
      <c r="F13" s="251"/>
      <c r="G13" s="333">
        <f>SUMIF('4-Basis ruimtestaat'!G:G,'3-Productie normen'!A13,'4-Basis ruimtestaat'!J:J)</f>
        <v>71.99999923706055</v>
      </c>
      <c r="H13" s="334" t="s">
        <v>46</v>
      </c>
      <c r="J13" s="57"/>
      <c r="M13" s="2"/>
      <c r="N13" s="2"/>
      <c r="O13" s="2"/>
    </row>
    <row r="14" spans="1:15">
      <c r="A14" s="335" t="s">
        <v>48</v>
      </c>
      <c r="B14" s="529"/>
      <c r="C14" s="529"/>
      <c r="D14" s="529"/>
      <c r="E14" s="332"/>
      <c r="F14" s="251"/>
      <c r="G14" s="333">
        <f>SUMIF('4-Basis ruimtestaat'!G:G,'3-Productie normen'!A14,'4-Basis ruimtestaat'!J:J)</f>
        <v>515.50000305175786</v>
      </c>
      <c r="H14" s="334" t="s">
        <v>46</v>
      </c>
      <c r="J14" s="57"/>
      <c r="M14" s="2"/>
      <c r="N14" s="2"/>
      <c r="O14" s="2"/>
    </row>
    <row r="15" spans="1:15">
      <c r="A15" s="331" t="s">
        <v>49</v>
      </c>
      <c r="B15" s="529"/>
      <c r="C15" s="529"/>
      <c r="D15" s="332"/>
      <c r="E15" s="332"/>
      <c r="F15" s="251"/>
      <c r="G15" s="333">
        <f>SUMIF('4-Basis ruimtestaat'!G:G,'3-Productie normen'!A15,'4-Basis ruimtestaat'!J:J)</f>
        <v>52.899999713897706</v>
      </c>
      <c r="H15" s="334" t="s">
        <v>46</v>
      </c>
      <c r="J15" s="57"/>
      <c r="M15" s="2"/>
      <c r="N15" s="2"/>
      <c r="O15" s="2"/>
    </row>
    <row r="16" spans="1:15">
      <c r="A16" s="331" t="s">
        <v>50</v>
      </c>
      <c r="B16" s="529"/>
      <c r="C16" s="529"/>
      <c r="D16" s="529"/>
      <c r="E16" s="332"/>
      <c r="F16" s="251"/>
      <c r="G16" s="333">
        <f>SUMIF('4-Basis ruimtestaat'!G:G,'3-Productie normen'!A16,'4-Basis ruimtestaat'!J:J)</f>
        <v>1159.8000068664551</v>
      </c>
      <c r="H16" s="334" t="s">
        <v>42</v>
      </c>
      <c r="J16" s="57"/>
      <c r="M16" s="2"/>
      <c r="N16" s="2"/>
      <c r="O16" s="2"/>
    </row>
    <row r="17" spans="1:15">
      <c r="A17" s="331" t="s">
        <v>51</v>
      </c>
      <c r="B17" s="529"/>
      <c r="C17" s="332"/>
      <c r="D17" s="529"/>
      <c r="E17" s="529"/>
      <c r="F17" s="251"/>
      <c r="G17" s="333">
        <f>SUMIF('4-Basis ruimtestaat'!G:G,'3-Productie normen'!A17,'4-Basis ruimtestaat'!J:J)</f>
        <v>10.200000000000001</v>
      </c>
      <c r="H17" s="334" t="s">
        <v>46</v>
      </c>
      <c r="J17" s="57"/>
      <c r="M17" s="2"/>
      <c r="N17" s="2"/>
      <c r="O17" s="2"/>
    </row>
    <row r="18" spans="1:15">
      <c r="A18" s="331" t="s">
        <v>52</v>
      </c>
      <c r="B18" s="529"/>
      <c r="C18" s="529"/>
      <c r="D18" s="332"/>
      <c r="E18" s="332"/>
      <c r="F18" s="251"/>
      <c r="G18" s="333">
        <f>SUMIF('4-Basis ruimtestaat'!G:G,'3-Productie normen'!A18,'4-Basis ruimtestaat'!J:J)</f>
        <v>290.10000000000002</v>
      </c>
      <c r="H18" s="334" t="s">
        <v>46</v>
      </c>
      <c r="J18" s="57"/>
      <c r="M18" s="2"/>
      <c r="N18" s="2"/>
      <c r="O18" s="2"/>
    </row>
    <row r="19" spans="1:15">
      <c r="A19" s="335" t="s">
        <v>53</v>
      </c>
      <c r="B19" s="529"/>
      <c r="C19" s="529"/>
      <c r="D19" s="529"/>
      <c r="E19" s="332"/>
      <c r="F19" s="251"/>
      <c r="G19" s="333">
        <f>SUMIF('4-Basis ruimtestaat'!G:G,'3-Productie normen'!A19,'4-Basis ruimtestaat'!J:J)</f>
        <v>13.399999904632569</v>
      </c>
      <c r="H19" s="334" t="s">
        <v>46</v>
      </c>
      <c r="J19" s="57"/>
      <c r="M19" s="2"/>
      <c r="N19" s="2"/>
      <c r="O19" s="2"/>
    </row>
    <row r="20" spans="1:15">
      <c r="A20" s="335" t="s">
        <v>54</v>
      </c>
      <c r="B20" s="529"/>
      <c r="C20" s="529"/>
      <c r="D20" s="332"/>
      <c r="E20" s="332"/>
      <c r="F20" s="251"/>
      <c r="G20" s="333">
        <f>SUMIF('4-Basis ruimtestaat'!G:G,'3-Productie normen'!A20,'4-Basis ruimtestaat'!J:J)</f>
        <v>320.60000228881825</v>
      </c>
      <c r="H20" s="334" t="s">
        <v>46</v>
      </c>
      <c r="J20" s="70"/>
      <c r="M20" s="2"/>
      <c r="N20" s="2"/>
      <c r="O20" s="2"/>
    </row>
    <row r="21" spans="1:15">
      <c r="A21" s="335" t="s">
        <v>55</v>
      </c>
      <c r="B21" s="529"/>
      <c r="C21" s="529"/>
      <c r="D21" s="332"/>
      <c r="E21" s="529"/>
      <c r="F21" s="251"/>
      <c r="G21" s="333">
        <f>SUMIF('4-Basis ruimtestaat'!G:G,'3-Productie normen'!A21,'4-Basis ruimtestaat'!J:J)</f>
        <v>21</v>
      </c>
      <c r="H21" s="334" t="s">
        <v>46</v>
      </c>
      <c r="J21" s="70"/>
      <c r="M21" s="2"/>
      <c r="N21" s="2"/>
      <c r="O21" s="2"/>
    </row>
    <row r="22" spans="1:15">
      <c r="A22" s="335" t="s">
        <v>56</v>
      </c>
      <c r="B22" s="336"/>
      <c r="C22" s="336"/>
      <c r="D22" s="336"/>
      <c r="E22" s="337"/>
      <c r="F22" s="251"/>
      <c r="G22" s="333">
        <f>SUMIF('4-Basis ruimtestaat'!G:G,'3-Productie normen'!A22,'4-Basis ruimtestaat'!J:J)</f>
        <v>11</v>
      </c>
      <c r="H22" s="334"/>
      <c r="J22" s="66"/>
      <c r="M22" s="2"/>
      <c r="N22" s="2"/>
      <c r="O22" s="2"/>
    </row>
    <row r="23" spans="1:15">
      <c r="A23" s="335"/>
      <c r="B23" s="338"/>
      <c r="C23" s="338"/>
      <c r="D23" s="338"/>
      <c r="E23" s="339"/>
      <c r="F23" s="251"/>
      <c r="G23" s="333"/>
      <c r="H23" s="334"/>
      <c r="J23" s="66"/>
      <c r="K23" s="69"/>
      <c r="M23" s="2"/>
      <c r="N23" s="2"/>
      <c r="O23" s="2"/>
    </row>
    <row r="24" spans="1:15">
      <c r="A24" s="340" t="s">
        <v>26</v>
      </c>
      <c r="B24" s="341"/>
      <c r="C24" s="341"/>
      <c r="D24" s="341"/>
      <c r="E24" s="342"/>
      <c r="F24" s="252"/>
      <c r="G24" s="343">
        <f>SUM(G10:G23)</f>
        <v>10141.67001282692</v>
      </c>
      <c r="H24" s="344"/>
      <c r="J24" s="66"/>
      <c r="K24" s="66"/>
      <c r="M24" s="2"/>
      <c r="N24" s="2"/>
      <c r="O24" s="2"/>
    </row>
    <row r="25" spans="1:15">
      <c r="J25" s="66"/>
      <c r="K25" s="66"/>
      <c r="M25" s="2"/>
      <c r="N25" s="2"/>
      <c r="O25" s="2"/>
    </row>
    <row r="26" spans="1:15" ht="16.2">
      <c r="A26" s="345" t="s">
        <v>57</v>
      </c>
      <c r="B26" s="346"/>
      <c r="C26" s="346">
        <v>3</v>
      </c>
      <c r="D26" s="346">
        <v>4</v>
      </c>
      <c r="E26" s="346">
        <v>5</v>
      </c>
      <c r="F26" s="66"/>
      <c r="G26" s="58"/>
      <c r="J26" s="66"/>
      <c r="L26" s="58"/>
      <c r="M26" s="2"/>
      <c r="N26" s="2"/>
      <c r="O26" s="2"/>
    </row>
    <row r="28" spans="1:15">
      <c r="A28" s="199" t="s">
        <v>58</v>
      </c>
      <c r="B28" s="199" t="s">
        <v>59</v>
      </c>
      <c r="C28" s="200" t="s">
        <v>60</v>
      </c>
    </row>
    <row r="29" spans="1:15">
      <c r="A29" s="71" t="s">
        <v>61</v>
      </c>
      <c r="B29" s="72">
        <v>2</v>
      </c>
      <c r="C29" s="209">
        <v>2</v>
      </c>
    </row>
    <row r="30" spans="1:15">
      <c r="A30" s="71" t="s">
        <v>62</v>
      </c>
      <c r="B30" s="72">
        <v>12</v>
      </c>
      <c r="C30" s="209">
        <v>3</v>
      </c>
    </row>
    <row r="31" spans="1:15">
      <c r="A31" s="71" t="s">
        <v>63</v>
      </c>
      <c r="B31" s="73">
        <v>156</v>
      </c>
      <c r="C31" s="209">
        <v>4</v>
      </c>
    </row>
    <row r="32" spans="1:15">
      <c r="A32" s="71" t="s">
        <v>64</v>
      </c>
      <c r="B32" s="73">
        <v>255</v>
      </c>
      <c r="C32" s="209">
        <v>5</v>
      </c>
    </row>
  </sheetData>
  <mergeCells count="1">
    <mergeCell ref="B9:E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647"/>
  <sheetViews>
    <sheetView showGridLines="0" showZeros="0" zoomScale="60" zoomScaleNormal="60" zoomScalePageLayoutView="75" workbookViewId="0">
      <pane xSplit="1" ySplit="9" topLeftCell="B22" activePane="bottomRight" state="frozen"/>
      <selection pane="topRight" activeCell="B1" sqref="B1"/>
      <selection pane="bottomLeft" activeCell="B1" sqref="B1"/>
      <selection pane="bottomRight" activeCell="A8" sqref="A8:A370"/>
    </sheetView>
  </sheetViews>
  <sheetFormatPr defaultColWidth="8.6640625" defaultRowHeight="14.1" customHeight="1"/>
  <cols>
    <col min="1" max="1" width="5.44140625" style="57" bestFit="1" customWidth="1"/>
    <col min="2" max="2" width="27.5546875" style="518" customWidth="1"/>
    <col min="3" max="3" width="35.44140625" style="57" customWidth="1"/>
    <col min="4" max="4" width="15.21875" style="57" bestFit="1" customWidth="1"/>
    <col min="5" max="5" width="20.33203125" style="254" bestFit="1" customWidth="1"/>
    <col min="6" max="6" width="23.44140625" style="57" customWidth="1"/>
    <col min="7" max="7" width="19.5546875" style="57" customWidth="1"/>
    <col min="8" max="8" width="15.5546875" style="57" bestFit="1" customWidth="1"/>
    <col min="9" max="9" width="33.109375" style="518" bestFit="1" customWidth="1"/>
    <col min="10" max="10" width="9" style="57" bestFit="1" customWidth="1"/>
    <col min="11" max="11" width="16.5546875" style="74" bestFit="1" customWidth="1"/>
    <col min="12" max="12" width="9.109375" style="101" customWidth="1"/>
    <col min="13" max="13" width="12.5546875" style="57" bestFit="1" customWidth="1"/>
    <col min="14" max="14" width="12" style="57" bestFit="1" customWidth="1"/>
    <col min="15" max="15" width="9.33203125" style="57" customWidth="1"/>
    <col min="16" max="16" width="35.109375" style="57" customWidth="1"/>
    <col min="17" max="17" width="3" style="57" customWidth="1"/>
    <col min="18" max="18" width="11.109375" style="57" customWidth="1"/>
    <col min="19" max="19" width="15.5546875" style="2" bestFit="1" customWidth="1"/>
    <col min="20" max="16384" width="8.6640625" style="2"/>
  </cols>
  <sheetData>
    <row r="1" spans="1:18" ht="13.2">
      <c r="B1" s="57"/>
      <c r="I1" s="57"/>
      <c r="L1" s="57"/>
    </row>
    <row r="2" spans="1:18" ht="14.1" customHeight="1">
      <c r="A2" s="75">
        <v>2</v>
      </c>
      <c r="B2" s="210"/>
      <c r="C2" s="76"/>
      <c r="D2" s="77"/>
      <c r="E2" s="255"/>
      <c r="F2" s="78"/>
      <c r="G2" s="78"/>
      <c r="H2" s="79"/>
      <c r="I2" s="79"/>
      <c r="J2" s="80"/>
      <c r="K2" s="81"/>
      <c r="L2" s="82"/>
      <c r="M2" s="79"/>
      <c r="N2" s="83"/>
      <c r="O2" s="78"/>
      <c r="P2" s="78"/>
    </row>
    <row r="3" spans="1:18" ht="14.1" customHeight="1">
      <c r="A3" s="75">
        <v>3</v>
      </c>
      <c r="B3" s="38" t="str">
        <f>'2-Kosten per locatie'!A3</f>
        <v>Naam opdrachtgever</v>
      </c>
      <c r="C3" s="46" t="str">
        <f>'2-Kosten per locatie'!B3</f>
        <v>Gemeente Lansingerland</v>
      </c>
      <c r="E3" s="256"/>
      <c r="H3" s="79"/>
      <c r="I3" s="79"/>
      <c r="J3" s="80"/>
      <c r="K3" s="81"/>
      <c r="L3" s="82"/>
      <c r="M3" s="79"/>
      <c r="N3" s="83"/>
      <c r="O3" s="78"/>
      <c r="P3" s="78"/>
    </row>
    <row r="4" spans="1:18" ht="14.1" customHeight="1">
      <c r="A4" s="75">
        <v>4</v>
      </c>
      <c r="B4" s="38" t="str">
        <f>'2-Kosten per locatie'!A4</f>
        <v>Calculatie onderdeel</v>
      </c>
      <c r="C4" s="46" t="str">
        <f ca="1">MID(CELL("bestandsnaam",$D$9),SEARCH("]",CELL("bestandsnaam",$D$9),1)+1,256)</f>
        <v>4-Basis ruimtestaat</v>
      </c>
      <c r="E4" s="257"/>
      <c r="F4" s="78"/>
      <c r="G4" s="78"/>
      <c r="H4" s="79"/>
      <c r="I4" s="79"/>
      <c r="J4" s="80"/>
      <c r="K4" s="81"/>
      <c r="L4" s="82"/>
      <c r="M4" s="79"/>
      <c r="N4" s="83"/>
      <c r="O4" s="78"/>
      <c r="P4" s="78"/>
    </row>
    <row r="5" spans="1:18" ht="14.1" customHeight="1">
      <c r="A5" s="75">
        <v>5</v>
      </c>
      <c r="B5" s="38" t="str">
        <f>'2-Kosten per locatie'!A5</f>
        <v>Onderdeel</v>
      </c>
      <c r="C5" s="46" t="str">
        <f>'2-Kosten per locatie'!B5</f>
        <v>Perceel 1 Schoonmaak</v>
      </c>
      <c r="E5" s="256"/>
      <c r="H5" s="79"/>
      <c r="I5" s="79"/>
      <c r="J5" s="80"/>
      <c r="K5" s="81"/>
      <c r="L5" s="82"/>
      <c r="M5" s="79"/>
      <c r="N5" s="83"/>
      <c r="O5" s="78"/>
      <c r="P5" s="78"/>
    </row>
    <row r="6" spans="1:18" ht="14.1" customHeight="1">
      <c r="A6" s="75">
        <v>6</v>
      </c>
      <c r="B6" s="38" t="str">
        <f>'2-Kosten per locatie'!A6</f>
        <v>Referentie nummer</v>
      </c>
      <c r="C6" s="46" t="str">
        <f>'2-Kosten per locatie'!B6</f>
        <v>TN602303</v>
      </c>
      <c r="E6" s="256"/>
      <c r="F6" s="78"/>
      <c r="G6" s="78"/>
      <c r="H6" s="79"/>
      <c r="I6" s="79"/>
      <c r="J6" s="80"/>
      <c r="K6" s="81"/>
      <c r="L6" s="82"/>
      <c r="M6" s="79"/>
      <c r="N6" s="83"/>
      <c r="O6" s="78"/>
      <c r="P6" s="78"/>
    </row>
    <row r="7" spans="1:18" ht="12.75" customHeight="1">
      <c r="A7" s="75">
        <v>7</v>
      </c>
      <c r="B7" s="38" t="str">
        <f>'2-Kosten per locatie'!A7</f>
        <v>Naam dienstverlener</v>
      </c>
      <c r="C7" s="46">
        <f>'2-Kosten per locatie'!B7</f>
        <v>0</v>
      </c>
      <c r="E7" s="256"/>
      <c r="H7" s="79"/>
      <c r="I7" s="79"/>
      <c r="J7" s="80"/>
      <c r="K7" s="81"/>
      <c r="L7" s="82"/>
      <c r="M7" s="79"/>
      <c r="N7" s="83"/>
      <c r="O7" s="78"/>
      <c r="P7" s="78"/>
    </row>
    <row r="8" spans="1:18" ht="14.1" customHeight="1">
      <c r="A8" s="75">
        <v>8</v>
      </c>
      <c r="B8" s="78"/>
      <c r="C8" s="78"/>
      <c r="D8" s="77"/>
      <c r="E8" s="255"/>
      <c r="F8" s="78"/>
      <c r="G8" s="78"/>
      <c r="H8" s="79"/>
      <c r="I8" s="79"/>
      <c r="J8" s="80"/>
      <c r="K8" s="81"/>
      <c r="L8" s="82"/>
      <c r="M8" s="79"/>
      <c r="N8" s="79"/>
      <c r="O8" s="78"/>
      <c r="P8" s="78"/>
    </row>
    <row r="9" spans="1:18" ht="86.4" customHeight="1">
      <c r="A9" s="75">
        <v>9</v>
      </c>
      <c r="B9" s="225" t="s">
        <v>65</v>
      </c>
      <c r="C9" s="225" t="s">
        <v>571</v>
      </c>
      <c r="D9" s="225" t="s">
        <v>66</v>
      </c>
      <c r="E9" s="225" t="s">
        <v>67</v>
      </c>
      <c r="F9" s="225" t="s">
        <v>68</v>
      </c>
      <c r="G9" s="225" t="s">
        <v>69</v>
      </c>
      <c r="H9" s="347" t="s">
        <v>70</v>
      </c>
      <c r="I9" s="347" t="s">
        <v>71</v>
      </c>
      <c r="J9" s="348" t="s">
        <v>72</v>
      </c>
      <c r="K9" s="349" t="s">
        <v>73</v>
      </c>
      <c r="L9" s="206" t="s">
        <v>74</v>
      </c>
      <c r="M9" s="349" t="s">
        <v>75</v>
      </c>
      <c r="N9" s="349" t="s">
        <v>76</v>
      </c>
      <c r="O9" s="211" t="s">
        <v>77</v>
      </c>
      <c r="P9" s="211" t="s">
        <v>78</v>
      </c>
      <c r="Q9" s="212"/>
      <c r="R9" s="211" t="s">
        <v>79</v>
      </c>
    </row>
    <row r="10" spans="1:18" ht="13.8" customHeight="1">
      <c r="A10" s="75">
        <v>10</v>
      </c>
      <c r="B10" s="515" t="s">
        <v>257</v>
      </c>
      <c r="C10" s="316" t="s">
        <v>572</v>
      </c>
      <c r="D10" s="350" t="s">
        <v>83</v>
      </c>
      <c r="E10" s="351" t="s">
        <v>258</v>
      </c>
      <c r="F10" s="316" t="s">
        <v>584</v>
      </c>
      <c r="G10" s="316" t="s">
        <v>45</v>
      </c>
      <c r="H10" s="71" t="s">
        <v>236</v>
      </c>
      <c r="I10" s="515" t="s">
        <v>86</v>
      </c>
      <c r="J10" s="352">
        <v>31.5</v>
      </c>
      <c r="K10" s="353">
        <f t="shared" ref="K10:K72" si="0">SUM(L10:L10)</f>
        <v>156</v>
      </c>
      <c r="L10" s="264">
        <v>156</v>
      </c>
      <c r="M10" s="263" t="e">
        <f>IF(L10="nio",0,IF(L10&gt;0,L10*J10/N10,0))*VLOOKUP(B10,'2-Kosten per locatie'!$A$14:$C$18,3,FALSE)</f>
        <v>#DIV/0!</v>
      </c>
      <c r="N10" s="354">
        <f>IF(L10="nio",0,IF(L10&gt;0,VLOOKUP(G10,'3-Productie normen'!A:L,VLOOKUP(L10,'3-Productie normen'!$B$29:$C$32,2,FALSE),FALSE)))</f>
        <v>0</v>
      </c>
      <c r="O10" s="355" t="str">
        <f>VLOOKUP(G10,'3-Productie normen'!A:H,8,FALSE)</f>
        <v>V</v>
      </c>
      <c r="P10" s="355"/>
      <c r="R10" s="356">
        <f t="shared" ref="R10:R72" si="1">K10*J10</f>
        <v>4914</v>
      </c>
    </row>
    <row r="11" spans="1:18" ht="14.1" customHeight="1">
      <c r="A11" s="75">
        <v>11</v>
      </c>
      <c r="B11" s="515" t="s">
        <v>257</v>
      </c>
      <c r="C11" s="316" t="s">
        <v>572</v>
      </c>
      <c r="D11" s="350" t="s">
        <v>83</v>
      </c>
      <c r="E11" s="351" t="s">
        <v>259</v>
      </c>
      <c r="F11" s="316" t="s">
        <v>584</v>
      </c>
      <c r="G11" s="316" t="s">
        <v>45</v>
      </c>
      <c r="H11" s="71" t="s">
        <v>236</v>
      </c>
      <c r="I11" s="515" t="s">
        <v>86</v>
      </c>
      <c r="J11" s="352">
        <v>32.900001525878906</v>
      </c>
      <c r="K11" s="353">
        <f t="shared" si="0"/>
        <v>156</v>
      </c>
      <c r="L11" s="264">
        <v>156</v>
      </c>
      <c r="M11" s="263" t="e">
        <f>IF(L11="nio",0,IF(L11&gt;0,L11*J11/N11,0))*VLOOKUP(B11,'2-Kosten per locatie'!$A$14:$C$18,3,FALSE)</f>
        <v>#DIV/0!</v>
      </c>
      <c r="N11" s="354">
        <f>IF(L11="nio",0,IF(L11&gt;0,VLOOKUP(G11,'3-Productie normen'!A:L,VLOOKUP(L11,'3-Productie normen'!$B$29:$C$32,2,FALSE),FALSE)))</f>
        <v>0</v>
      </c>
      <c r="O11" s="355" t="str">
        <f>VLOOKUP(G11,'3-Productie normen'!A:H,8,FALSE)</f>
        <v>V</v>
      </c>
      <c r="P11" s="355"/>
      <c r="R11" s="356">
        <f t="shared" si="1"/>
        <v>5132.4002380371094</v>
      </c>
    </row>
    <row r="12" spans="1:18" ht="14.1" customHeight="1">
      <c r="A12" s="75">
        <v>12</v>
      </c>
      <c r="B12" s="515" t="s">
        <v>257</v>
      </c>
      <c r="C12" s="316" t="s">
        <v>572</v>
      </c>
      <c r="D12" s="350" t="s">
        <v>83</v>
      </c>
      <c r="E12" s="351" t="s">
        <v>260</v>
      </c>
      <c r="F12" s="71" t="s">
        <v>584</v>
      </c>
      <c r="G12" s="316" t="s">
        <v>45</v>
      </c>
      <c r="H12" s="71" t="s">
        <v>236</v>
      </c>
      <c r="I12" s="515" t="s">
        <v>86</v>
      </c>
      <c r="J12" s="352">
        <v>43.5</v>
      </c>
      <c r="K12" s="353">
        <f t="shared" si="0"/>
        <v>156</v>
      </c>
      <c r="L12" s="264">
        <v>156</v>
      </c>
      <c r="M12" s="263" t="e">
        <f>IF(L12="nio",0,IF(L12&gt;0,L12*J12/N12,0))*VLOOKUP(B12,'2-Kosten per locatie'!$A$14:$C$18,3,FALSE)</f>
        <v>#DIV/0!</v>
      </c>
      <c r="N12" s="354">
        <f>IF(L12="nio",0,IF(L12&gt;0,VLOOKUP(G12,'3-Productie normen'!A:L,VLOOKUP(L12,'3-Productie normen'!$B$29:$C$32,2,FALSE),FALSE)))</f>
        <v>0</v>
      </c>
      <c r="O12" s="355" t="str">
        <f>VLOOKUP(G12,'3-Productie normen'!A:H,8,FALSE)</f>
        <v>V</v>
      </c>
      <c r="P12" s="355"/>
      <c r="R12" s="356">
        <f t="shared" si="1"/>
        <v>6786</v>
      </c>
    </row>
    <row r="13" spans="1:18" ht="14.1" customHeight="1">
      <c r="A13" s="75">
        <v>13</v>
      </c>
      <c r="B13" s="515" t="s">
        <v>257</v>
      </c>
      <c r="C13" s="316" t="s">
        <v>572</v>
      </c>
      <c r="D13" s="350" t="s">
        <v>83</v>
      </c>
      <c r="E13" s="258" t="s">
        <v>261</v>
      </c>
      <c r="F13" s="85" t="s">
        <v>55</v>
      </c>
      <c r="G13" s="331" t="s">
        <v>55</v>
      </c>
      <c r="H13" s="71" t="s">
        <v>600</v>
      </c>
      <c r="I13" s="515" t="s">
        <v>86</v>
      </c>
      <c r="J13" s="352">
        <v>4.5</v>
      </c>
      <c r="K13" s="353">
        <f t="shared" si="0"/>
        <v>156</v>
      </c>
      <c r="L13" s="264">
        <v>156</v>
      </c>
      <c r="M13" s="263" t="e">
        <f>IF(L13="nio",0,IF(L13&gt;0,L13*J13/N13,0))*VLOOKUP(B13,'2-Kosten per locatie'!$A$14:$C$18,3,FALSE)</f>
        <v>#DIV/0!</v>
      </c>
      <c r="N13" s="354">
        <f>IF(L13="nio",0,IF(L13&gt;0,VLOOKUP(G13,'3-Productie normen'!A:L,VLOOKUP(L13,'3-Productie normen'!$B$29:$C$32,2,FALSE),FALSE)))</f>
        <v>0</v>
      </c>
      <c r="O13" s="355" t="str">
        <f>VLOOKUP(G13,'3-Productie normen'!A:H,8,FALSE)</f>
        <v>V</v>
      </c>
      <c r="P13" s="355"/>
      <c r="R13" s="356">
        <f t="shared" si="1"/>
        <v>702</v>
      </c>
    </row>
    <row r="14" spans="1:18" ht="14.1" customHeight="1">
      <c r="A14" s="75">
        <v>14</v>
      </c>
      <c r="B14" s="515" t="s">
        <v>257</v>
      </c>
      <c r="C14" s="316" t="s">
        <v>572</v>
      </c>
      <c r="D14" s="350" t="s">
        <v>83</v>
      </c>
      <c r="E14" s="351" t="s">
        <v>262</v>
      </c>
      <c r="F14" s="316" t="s">
        <v>585</v>
      </c>
      <c r="G14" s="316" t="s">
        <v>54</v>
      </c>
      <c r="H14" s="71" t="s">
        <v>236</v>
      </c>
      <c r="I14" s="515" t="s">
        <v>86</v>
      </c>
      <c r="J14" s="352">
        <v>18.2000007629394</v>
      </c>
      <c r="K14" s="353">
        <f t="shared" si="0"/>
        <v>156</v>
      </c>
      <c r="L14" s="264">
        <v>156</v>
      </c>
      <c r="M14" s="263" t="e">
        <f>IF(L14="nio",0,IF(L14&gt;0,L14*J14/N14,0))*VLOOKUP(B14,'2-Kosten per locatie'!$A$14:$C$18,3,FALSE)</f>
        <v>#DIV/0!</v>
      </c>
      <c r="N14" s="354">
        <f>IF(L14="nio",0,IF(L14&gt;0,VLOOKUP(G14,'3-Productie normen'!A:L,VLOOKUP(L14,'3-Productie normen'!$B$29:$C$32,2,FALSE),FALSE)))</f>
        <v>0</v>
      </c>
      <c r="O14" s="355" t="str">
        <f>VLOOKUP(G14,'3-Productie normen'!A:H,8,FALSE)</f>
        <v>V</v>
      </c>
      <c r="P14" s="355"/>
      <c r="R14" s="356">
        <f t="shared" si="1"/>
        <v>2839.2001190185465</v>
      </c>
    </row>
    <row r="15" spans="1:18" ht="14.1" customHeight="1">
      <c r="A15" s="75">
        <v>15</v>
      </c>
      <c r="B15" s="515" t="s">
        <v>257</v>
      </c>
      <c r="C15" s="316" t="s">
        <v>572</v>
      </c>
      <c r="D15" s="350" t="s">
        <v>83</v>
      </c>
      <c r="E15" s="351" t="s">
        <v>263</v>
      </c>
      <c r="F15" s="316" t="s">
        <v>55</v>
      </c>
      <c r="G15" s="331" t="s">
        <v>55</v>
      </c>
      <c r="H15" s="71" t="s">
        <v>600</v>
      </c>
      <c r="I15" s="515" t="s">
        <v>86</v>
      </c>
      <c r="J15" s="352">
        <v>3</v>
      </c>
      <c r="K15" s="353">
        <f t="shared" si="0"/>
        <v>156</v>
      </c>
      <c r="L15" s="264">
        <v>156</v>
      </c>
      <c r="M15" s="263" t="e">
        <f>IF(L15="nio",0,IF(L15&gt;0,L15*J15/N15,0))*VLOOKUP(B15,'2-Kosten per locatie'!$A$14:$C$18,3,FALSE)</f>
        <v>#DIV/0!</v>
      </c>
      <c r="N15" s="354">
        <f>IF(L15="nio",0,IF(L15&gt;0,VLOOKUP(G15,'3-Productie normen'!A:L,VLOOKUP(L15,'3-Productie normen'!$B$29:$C$32,2,FALSE),FALSE)))</f>
        <v>0</v>
      </c>
      <c r="O15" s="355" t="str">
        <f>VLOOKUP(G15,'3-Productie normen'!A:H,8,FALSE)</f>
        <v>V</v>
      </c>
      <c r="P15" s="355"/>
      <c r="R15" s="356">
        <f t="shared" si="1"/>
        <v>468</v>
      </c>
    </row>
    <row r="16" spans="1:18" ht="14.1" customHeight="1">
      <c r="A16" s="75">
        <v>16</v>
      </c>
      <c r="B16" s="515" t="s">
        <v>257</v>
      </c>
      <c r="C16" s="316" t="s">
        <v>572</v>
      </c>
      <c r="D16" s="350" t="s">
        <v>83</v>
      </c>
      <c r="E16" s="351" t="s">
        <v>264</v>
      </c>
      <c r="F16" s="316" t="s">
        <v>81</v>
      </c>
      <c r="G16" s="316" t="s">
        <v>49</v>
      </c>
      <c r="H16" s="71" t="s">
        <v>601</v>
      </c>
      <c r="I16" s="515" t="s">
        <v>82</v>
      </c>
      <c r="J16" s="352">
        <v>8.6999998092651367</v>
      </c>
      <c r="K16" s="353">
        <f t="shared" si="0"/>
        <v>156</v>
      </c>
      <c r="L16" s="264">
        <v>156</v>
      </c>
      <c r="M16" s="263" t="e">
        <f>IF(L16="nio",0,IF(L16&gt;0,L16*J16/N16,0))*VLOOKUP(B16,'2-Kosten per locatie'!$A$14:$C$18,3,FALSE)</f>
        <v>#DIV/0!</v>
      </c>
      <c r="N16" s="354">
        <f>IF(L16="nio",0,IF(L16&gt;0,VLOOKUP(G16,'3-Productie normen'!A:L,VLOOKUP(L16,'3-Productie normen'!$B$29:$C$32,2,FALSE),FALSE)))</f>
        <v>0</v>
      </c>
      <c r="O16" s="355" t="str">
        <f>VLOOKUP(G16,'3-Productie normen'!A:H,8,FALSE)</f>
        <v>V</v>
      </c>
      <c r="P16" s="355"/>
      <c r="R16" s="356">
        <f t="shared" si="1"/>
        <v>1357.1999702453613</v>
      </c>
    </row>
    <row r="17" spans="1:18" ht="14.1" customHeight="1">
      <c r="A17" s="75">
        <v>17</v>
      </c>
      <c r="B17" s="515" t="s">
        <v>257</v>
      </c>
      <c r="C17" s="316" t="s">
        <v>572</v>
      </c>
      <c r="D17" s="350" t="s">
        <v>83</v>
      </c>
      <c r="E17" s="351" t="s">
        <v>265</v>
      </c>
      <c r="F17" s="71" t="s">
        <v>586</v>
      </c>
      <c r="G17" s="71" t="s">
        <v>43</v>
      </c>
      <c r="H17" s="71" t="s">
        <v>601</v>
      </c>
      <c r="I17" s="515" t="s">
        <v>82</v>
      </c>
      <c r="J17" s="352">
        <v>1.7000000476837158</v>
      </c>
      <c r="K17" s="353">
        <f t="shared" si="0"/>
        <v>156</v>
      </c>
      <c r="L17" s="264">
        <v>156</v>
      </c>
      <c r="M17" s="263" t="e">
        <f>IF(L17="nio",0,IF(L17&gt;0,L17*J17/N17,0))*VLOOKUP(B17,'2-Kosten per locatie'!$A$14:$C$18,3,FALSE)</f>
        <v>#DIV/0!</v>
      </c>
      <c r="N17" s="354">
        <f>IF(L17="nio",0,IF(L17&gt;0,VLOOKUP(G17,'3-Productie normen'!A:L,VLOOKUP(L17,'3-Productie normen'!$B$29:$C$32,2,FALSE),FALSE)))</f>
        <v>0</v>
      </c>
      <c r="O17" s="355" t="str">
        <f>VLOOKUP(G17,'3-Productie normen'!A:H,8,FALSE)</f>
        <v>S</v>
      </c>
      <c r="P17" s="355"/>
      <c r="R17" s="356">
        <f t="shared" si="1"/>
        <v>265.20000743865967</v>
      </c>
    </row>
    <row r="18" spans="1:18" ht="14.1" customHeight="1">
      <c r="A18" s="75">
        <v>18</v>
      </c>
      <c r="B18" s="515" t="s">
        <v>257</v>
      </c>
      <c r="C18" s="316" t="s">
        <v>572</v>
      </c>
      <c r="D18" s="350" t="s">
        <v>83</v>
      </c>
      <c r="E18" s="258" t="s">
        <v>266</v>
      </c>
      <c r="F18" s="85" t="s">
        <v>586</v>
      </c>
      <c r="G18" s="71" t="s">
        <v>43</v>
      </c>
      <c r="H18" s="71" t="s">
        <v>601</v>
      </c>
      <c r="I18" s="515" t="s">
        <v>82</v>
      </c>
      <c r="J18" s="352">
        <v>1.7000000476837158</v>
      </c>
      <c r="K18" s="353">
        <f t="shared" si="0"/>
        <v>156</v>
      </c>
      <c r="L18" s="264">
        <v>156</v>
      </c>
      <c r="M18" s="263" t="e">
        <f>IF(L18="nio",0,IF(L18&gt;0,L18*J18/N18,0))*VLOOKUP(B18,'2-Kosten per locatie'!$A$14:$C$18,3,FALSE)</f>
        <v>#DIV/0!</v>
      </c>
      <c r="N18" s="354">
        <f>IF(L18="nio",0,IF(L18&gt;0,VLOOKUP(G18,'3-Productie normen'!A:L,VLOOKUP(L18,'3-Productie normen'!$B$29:$C$32,2,FALSE),FALSE)))</f>
        <v>0</v>
      </c>
      <c r="O18" s="355" t="str">
        <f>VLOOKUP(G18,'3-Productie normen'!A:H,8,FALSE)</f>
        <v>S</v>
      </c>
      <c r="P18" s="355"/>
      <c r="R18" s="356">
        <f t="shared" si="1"/>
        <v>265.20000743865967</v>
      </c>
    </row>
    <row r="19" spans="1:18" ht="14.1" customHeight="1">
      <c r="A19" s="75">
        <v>19</v>
      </c>
      <c r="B19" s="515" t="s">
        <v>257</v>
      </c>
      <c r="C19" s="316" t="s">
        <v>572</v>
      </c>
      <c r="D19" s="350" t="s">
        <v>83</v>
      </c>
      <c r="E19" s="351" t="s">
        <v>267</v>
      </c>
      <c r="F19" s="316" t="s">
        <v>81</v>
      </c>
      <c r="G19" s="316" t="s">
        <v>49</v>
      </c>
      <c r="H19" s="71" t="s">
        <v>601</v>
      </c>
      <c r="I19" s="515" t="s">
        <v>82</v>
      </c>
      <c r="J19" s="352">
        <v>8.6999998092651367</v>
      </c>
      <c r="K19" s="353">
        <f t="shared" si="0"/>
        <v>156</v>
      </c>
      <c r="L19" s="264">
        <v>156</v>
      </c>
      <c r="M19" s="263" t="e">
        <f>IF(L19="nio",0,IF(L19&gt;0,L19*J19/N19,0))*VLOOKUP(B19,'2-Kosten per locatie'!$A$14:$C$18,3,FALSE)</f>
        <v>#DIV/0!</v>
      </c>
      <c r="N19" s="354">
        <f>IF(L19="nio",0,IF(L19&gt;0,VLOOKUP(G19,'3-Productie normen'!A:L,VLOOKUP(L19,'3-Productie normen'!$B$29:$C$32,2,FALSE),FALSE)))</f>
        <v>0</v>
      </c>
      <c r="O19" s="355" t="str">
        <f>VLOOKUP(G19,'3-Productie normen'!A:H,8,FALSE)</f>
        <v>V</v>
      </c>
      <c r="P19" s="355"/>
      <c r="R19" s="356">
        <f t="shared" si="1"/>
        <v>1357.1999702453613</v>
      </c>
    </row>
    <row r="20" spans="1:18" ht="14.1" customHeight="1">
      <c r="A20" s="75">
        <v>20</v>
      </c>
      <c r="B20" s="515" t="s">
        <v>257</v>
      </c>
      <c r="C20" s="316" t="s">
        <v>572</v>
      </c>
      <c r="D20" s="350" t="s">
        <v>83</v>
      </c>
      <c r="E20" s="351" t="s">
        <v>268</v>
      </c>
      <c r="F20" s="316" t="s">
        <v>586</v>
      </c>
      <c r="G20" s="71" t="s">
        <v>43</v>
      </c>
      <c r="H20" s="71" t="s">
        <v>601</v>
      </c>
      <c r="I20" s="515" t="s">
        <v>82</v>
      </c>
      <c r="J20" s="352">
        <v>1.7000000476837158</v>
      </c>
      <c r="K20" s="353">
        <f t="shared" si="0"/>
        <v>156</v>
      </c>
      <c r="L20" s="264">
        <v>156</v>
      </c>
      <c r="M20" s="263" t="e">
        <f>IF(L20="nio",0,IF(L20&gt;0,L20*J20/N20,0))*VLOOKUP(B20,'2-Kosten per locatie'!$A$14:$C$18,3,FALSE)</f>
        <v>#DIV/0!</v>
      </c>
      <c r="N20" s="354">
        <f>IF(L20="nio",0,IF(L20&gt;0,VLOOKUP(G20,'3-Productie normen'!A:L,VLOOKUP(L20,'3-Productie normen'!$B$29:$C$32,2,FALSE),FALSE)))</f>
        <v>0</v>
      </c>
      <c r="O20" s="355" t="str">
        <f>VLOOKUP(G20,'3-Productie normen'!A:H,8,FALSE)</f>
        <v>S</v>
      </c>
      <c r="P20" s="355"/>
      <c r="R20" s="356">
        <f t="shared" si="1"/>
        <v>265.20000743865967</v>
      </c>
    </row>
    <row r="21" spans="1:18" ht="14.1" customHeight="1">
      <c r="A21" s="75">
        <v>21</v>
      </c>
      <c r="B21" s="515" t="s">
        <v>257</v>
      </c>
      <c r="C21" s="316" t="s">
        <v>572</v>
      </c>
      <c r="D21" s="350" t="s">
        <v>83</v>
      </c>
      <c r="E21" s="351" t="s">
        <v>269</v>
      </c>
      <c r="F21" s="316" t="s">
        <v>586</v>
      </c>
      <c r="G21" s="71" t="s">
        <v>43</v>
      </c>
      <c r="H21" s="71" t="s">
        <v>601</v>
      </c>
      <c r="I21" s="515" t="s">
        <v>82</v>
      </c>
      <c r="J21" s="352">
        <v>1.7000000476837158</v>
      </c>
      <c r="K21" s="353">
        <f t="shared" si="0"/>
        <v>156</v>
      </c>
      <c r="L21" s="264">
        <v>156</v>
      </c>
      <c r="M21" s="263" t="e">
        <f>IF(L21="nio",0,IF(L21&gt;0,L21*J21/N21,0))*VLOOKUP(B21,'2-Kosten per locatie'!$A$14:$C$18,3,FALSE)</f>
        <v>#DIV/0!</v>
      </c>
      <c r="N21" s="354">
        <f>IF(L21="nio",0,IF(L21&gt;0,VLOOKUP(G21,'3-Productie normen'!A:L,VLOOKUP(L21,'3-Productie normen'!$B$29:$C$32,2,FALSE),FALSE)))</f>
        <v>0</v>
      </c>
      <c r="O21" s="355" t="str">
        <f>VLOOKUP(G21,'3-Productie normen'!A:H,8,FALSE)</f>
        <v>S</v>
      </c>
      <c r="P21" s="355"/>
      <c r="R21" s="356">
        <f t="shared" si="1"/>
        <v>265.20000743865967</v>
      </c>
    </row>
    <row r="22" spans="1:18" ht="14.1" customHeight="1">
      <c r="A22" s="75">
        <v>22</v>
      </c>
      <c r="B22" s="515" t="s">
        <v>257</v>
      </c>
      <c r="C22" s="316" t="s">
        <v>572</v>
      </c>
      <c r="D22" s="350" t="s">
        <v>83</v>
      </c>
      <c r="E22" s="351" t="s">
        <v>270</v>
      </c>
      <c r="F22" s="71" t="s">
        <v>587</v>
      </c>
      <c r="G22" s="71" t="s">
        <v>43</v>
      </c>
      <c r="H22" s="71" t="s">
        <v>601</v>
      </c>
      <c r="I22" s="515" t="s">
        <v>82</v>
      </c>
      <c r="J22" s="352">
        <v>1.7000000476837158</v>
      </c>
      <c r="K22" s="353">
        <f t="shared" si="0"/>
        <v>156</v>
      </c>
      <c r="L22" s="264">
        <v>156</v>
      </c>
      <c r="M22" s="263" t="e">
        <f>IF(L22="nio",0,IF(L22&gt;0,L22*J22/N22,0))*VLOOKUP(B22,'2-Kosten per locatie'!$A$14:$C$18,3,FALSE)</f>
        <v>#DIV/0!</v>
      </c>
      <c r="N22" s="354">
        <f>IF(L22="nio",0,IF(L22&gt;0,VLOOKUP(G22,'3-Productie normen'!A:L,VLOOKUP(L22,'3-Productie normen'!$B$29:$C$32,2,FALSE),FALSE)))</f>
        <v>0</v>
      </c>
      <c r="O22" s="355" t="str">
        <f>VLOOKUP(G22,'3-Productie normen'!A:H,8,FALSE)</f>
        <v>S</v>
      </c>
      <c r="P22" s="355"/>
      <c r="R22" s="356">
        <f t="shared" si="1"/>
        <v>265.20000743865967</v>
      </c>
    </row>
    <row r="23" spans="1:18" ht="14.1" customHeight="1">
      <c r="A23" s="75">
        <v>23</v>
      </c>
      <c r="B23" s="515" t="s">
        <v>257</v>
      </c>
      <c r="C23" s="316" t="s">
        <v>572</v>
      </c>
      <c r="D23" s="350" t="s">
        <v>83</v>
      </c>
      <c r="E23" s="258" t="s">
        <v>271</v>
      </c>
      <c r="F23" s="85" t="s">
        <v>588</v>
      </c>
      <c r="G23" s="71" t="s">
        <v>43</v>
      </c>
      <c r="H23" s="71" t="s">
        <v>601</v>
      </c>
      <c r="I23" s="515" t="s">
        <v>82</v>
      </c>
      <c r="J23" s="352">
        <v>1.7000000476837158</v>
      </c>
      <c r="K23" s="353">
        <f t="shared" si="0"/>
        <v>255</v>
      </c>
      <c r="L23" s="264">
        <v>255</v>
      </c>
      <c r="M23" s="263" t="e">
        <f>IF(L23="nio",0,IF(L23&gt;0,L23*J23/N23,0))*VLOOKUP(B23,'2-Kosten per locatie'!$A$14:$C$18,3,FALSE)</f>
        <v>#DIV/0!</v>
      </c>
      <c r="N23" s="354">
        <f>IF(L23="nio",0,IF(L23&gt;0,VLOOKUP(G23,'3-Productie normen'!A:L,VLOOKUP(L23,'3-Productie normen'!$B$29:$C$32,2,FALSE),FALSE)))</f>
        <v>0</v>
      </c>
      <c r="O23" s="355" t="str">
        <f>VLOOKUP(G23,'3-Productie normen'!A:H,8,FALSE)</f>
        <v>S</v>
      </c>
      <c r="P23" s="355"/>
      <c r="R23" s="356">
        <f t="shared" si="1"/>
        <v>433.50001215934753</v>
      </c>
    </row>
    <row r="24" spans="1:18" ht="14.1" customHeight="1">
      <c r="A24" s="75">
        <v>24</v>
      </c>
      <c r="B24" s="515" t="s">
        <v>257</v>
      </c>
      <c r="C24" s="316" t="s">
        <v>572</v>
      </c>
      <c r="D24" s="350" t="s">
        <v>83</v>
      </c>
      <c r="E24" s="351" t="s">
        <v>272</v>
      </c>
      <c r="F24" s="316" t="s">
        <v>587</v>
      </c>
      <c r="G24" s="71" t="s">
        <v>43</v>
      </c>
      <c r="H24" s="71" t="s">
        <v>601</v>
      </c>
      <c r="I24" s="515" t="s">
        <v>82</v>
      </c>
      <c r="J24" s="352">
        <v>1.7000000476837158</v>
      </c>
      <c r="K24" s="353">
        <f t="shared" si="0"/>
        <v>156</v>
      </c>
      <c r="L24" s="264">
        <v>156</v>
      </c>
      <c r="M24" s="263" t="e">
        <f>IF(L24="nio",0,IF(L24&gt;0,L24*J24/N24,0))*VLOOKUP(B24,'2-Kosten per locatie'!$A$14:$C$18,3,FALSE)</f>
        <v>#DIV/0!</v>
      </c>
      <c r="N24" s="354">
        <f>IF(L24="nio",0,IF(L24&gt;0,VLOOKUP(G24,'3-Productie normen'!A:L,VLOOKUP(L24,'3-Productie normen'!$B$29:$C$32,2,FALSE),FALSE)))</f>
        <v>0</v>
      </c>
      <c r="O24" s="355" t="str">
        <f>VLOOKUP(G24,'3-Productie normen'!A:H,8,FALSE)</f>
        <v>S</v>
      </c>
      <c r="P24" s="355"/>
      <c r="R24" s="356">
        <f t="shared" si="1"/>
        <v>265.20000743865967</v>
      </c>
    </row>
    <row r="25" spans="1:18" ht="14.1" customHeight="1">
      <c r="A25" s="75">
        <v>25</v>
      </c>
      <c r="B25" s="515" t="s">
        <v>257</v>
      </c>
      <c r="C25" s="316" t="s">
        <v>572</v>
      </c>
      <c r="D25" s="350" t="s">
        <v>83</v>
      </c>
      <c r="E25" s="351" t="s">
        <v>273</v>
      </c>
      <c r="F25" s="316" t="s">
        <v>588</v>
      </c>
      <c r="G25" s="71" t="s">
        <v>43</v>
      </c>
      <c r="H25" s="71" t="s">
        <v>601</v>
      </c>
      <c r="I25" s="515" t="s">
        <v>82</v>
      </c>
      <c r="J25" s="352">
        <v>1.7000000476837158</v>
      </c>
      <c r="K25" s="353">
        <f t="shared" si="0"/>
        <v>255</v>
      </c>
      <c r="L25" s="264">
        <v>255</v>
      </c>
      <c r="M25" s="263" t="e">
        <f>IF(L25="nio",0,IF(L25&gt;0,L25*J25/N25,0))*VLOOKUP(B25,'2-Kosten per locatie'!$A$14:$C$18,3,FALSE)</f>
        <v>#DIV/0!</v>
      </c>
      <c r="N25" s="354">
        <f>IF(L25="nio",0,IF(L25&gt;0,VLOOKUP(G25,'3-Productie normen'!A:L,VLOOKUP(L25,'3-Productie normen'!$B$29:$C$32,2,FALSE),FALSE)))</f>
        <v>0</v>
      </c>
      <c r="O25" s="355" t="str">
        <f>VLOOKUP(G25,'3-Productie normen'!A:H,8,FALSE)</f>
        <v>S</v>
      </c>
      <c r="P25" s="355"/>
      <c r="R25" s="356">
        <f t="shared" si="1"/>
        <v>433.50001215934753</v>
      </c>
    </row>
    <row r="26" spans="1:18" ht="14.1" customHeight="1">
      <c r="A26" s="75">
        <v>26</v>
      </c>
      <c r="B26" s="515" t="s">
        <v>257</v>
      </c>
      <c r="C26" s="316" t="s">
        <v>572</v>
      </c>
      <c r="D26" s="350" t="s">
        <v>83</v>
      </c>
      <c r="E26" s="351" t="s">
        <v>274</v>
      </c>
      <c r="F26" s="316" t="s">
        <v>585</v>
      </c>
      <c r="G26" s="316" t="s">
        <v>54</v>
      </c>
      <c r="H26" s="71" t="s">
        <v>600</v>
      </c>
      <c r="I26" s="515" t="s">
        <v>86</v>
      </c>
      <c r="J26" s="352">
        <v>17.5</v>
      </c>
      <c r="K26" s="353">
        <f t="shared" si="0"/>
        <v>156</v>
      </c>
      <c r="L26" s="264">
        <v>156</v>
      </c>
      <c r="M26" s="263" t="e">
        <f>IF(L26="nio",0,IF(L26&gt;0,L26*J26/N26,0))*VLOOKUP(B26,'2-Kosten per locatie'!$A$14:$C$18,3,FALSE)</f>
        <v>#DIV/0!</v>
      </c>
      <c r="N26" s="354">
        <f>IF(L26="nio",0,IF(L26&gt;0,VLOOKUP(G26,'3-Productie normen'!A:L,VLOOKUP(L26,'3-Productie normen'!$B$29:$C$32,2,FALSE),FALSE)))</f>
        <v>0</v>
      </c>
      <c r="O26" s="355" t="str">
        <f>VLOOKUP(G26,'3-Productie normen'!A:H,8,FALSE)</f>
        <v>V</v>
      </c>
      <c r="P26" s="355"/>
      <c r="R26" s="356">
        <f t="shared" si="1"/>
        <v>2730</v>
      </c>
    </row>
    <row r="27" spans="1:18" ht="14.1" customHeight="1">
      <c r="A27" s="75">
        <v>27</v>
      </c>
      <c r="B27" s="515" t="s">
        <v>257</v>
      </c>
      <c r="C27" s="316" t="s">
        <v>572</v>
      </c>
      <c r="D27" s="350" t="s">
        <v>83</v>
      </c>
      <c r="E27" s="351" t="s">
        <v>275</v>
      </c>
      <c r="F27" s="71" t="s">
        <v>589</v>
      </c>
      <c r="G27" s="71" t="s">
        <v>41</v>
      </c>
      <c r="H27" s="71" t="s">
        <v>84</v>
      </c>
      <c r="I27" s="515" t="s">
        <v>85</v>
      </c>
      <c r="J27" s="352">
        <v>23.5</v>
      </c>
      <c r="K27" s="353">
        <f t="shared" si="0"/>
        <v>255</v>
      </c>
      <c r="L27" s="264">
        <v>255</v>
      </c>
      <c r="M27" s="263" t="e">
        <f>IF(L27="nio",0,IF(L27&gt;0,L27*J27/N27,0))*VLOOKUP(B27,'2-Kosten per locatie'!$A$14:$C$18,3,FALSE)</f>
        <v>#DIV/0!</v>
      </c>
      <c r="N27" s="354">
        <f>IF(L27="nio",0,IF(L27&gt;0,VLOOKUP(G27,'3-Productie normen'!A:L,VLOOKUP(L27,'3-Productie normen'!$B$29:$C$32,2,FALSE),FALSE)))</f>
        <v>0</v>
      </c>
      <c r="O27" s="355" t="str">
        <f>VLOOKUP(G27,'3-Productie normen'!A:H,8,FALSE)</f>
        <v>B</v>
      </c>
      <c r="P27" s="355"/>
      <c r="R27" s="356">
        <f t="shared" si="1"/>
        <v>5992.5</v>
      </c>
    </row>
    <row r="28" spans="1:18" ht="14.1" customHeight="1">
      <c r="A28" s="75">
        <v>28</v>
      </c>
      <c r="B28" s="515" t="s">
        <v>257</v>
      </c>
      <c r="C28" s="316" t="s">
        <v>572</v>
      </c>
      <c r="D28" s="350" t="s">
        <v>83</v>
      </c>
      <c r="E28" s="258" t="s">
        <v>276</v>
      </c>
      <c r="F28" s="85" t="s">
        <v>590</v>
      </c>
      <c r="G28" s="71" t="s">
        <v>41</v>
      </c>
      <c r="H28" s="71" t="s">
        <v>84</v>
      </c>
      <c r="I28" s="515" t="s">
        <v>85</v>
      </c>
      <c r="J28" s="352">
        <v>23.5</v>
      </c>
      <c r="K28" s="353">
        <f t="shared" si="0"/>
        <v>156</v>
      </c>
      <c r="L28" s="264">
        <v>156</v>
      </c>
      <c r="M28" s="263" t="e">
        <f>IF(L28="nio",0,IF(L28&gt;0,L28*J28/N28,0))*VLOOKUP(B28,'2-Kosten per locatie'!$A$14:$C$18,3,FALSE)</f>
        <v>#DIV/0!</v>
      </c>
      <c r="N28" s="354">
        <f>IF(L28="nio",0,IF(L28&gt;0,VLOOKUP(G28,'3-Productie normen'!A:L,VLOOKUP(L28,'3-Productie normen'!$B$29:$C$32,2,FALSE),FALSE)))</f>
        <v>0</v>
      </c>
      <c r="O28" s="355" t="str">
        <f>VLOOKUP(G28,'3-Productie normen'!A:H,8,FALSE)</f>
        <v>B</v>
      </c>
      <c r="P28" s="355"/>
      <c r="R28" s="356">
        <f t="shared" si="1"/>
        <v>3666</v>
      </c>
    </row>
    <row r="29" spans="1:18" ht="14.1" customHeight="1">
      <c r="A29" s="75">
        <v>29</v>
      </c>
      <c r="B29" s="515" t="s">
        <v>257</v>
      </c>
      <c r="C29" s="316" t="s">
        <v>572</v>
      </c>
      <c r="D29" s="350" t="s">
        <v>83</v>
      </c>
      <c r="E29" s="351" t="s">
        <v>277</v>
      </c>
      <c r="F29" s="71" t="s">
        <v>589</v>
      </c>
      <c r="G29" s="71" t="s">
        <v>41</v>
      </c>
      <c r="H29" s="357" t="s">
        <v>84</v>
      </c>
      <c r="I29" s="515" t="s">
        <v>85</v>
      </c>
      <c r="J29" s="352">
        <v>35.5</v>
      </c>
      <c r="K29" s="353">
        <f t="shared" si="0"/>
        <v>255</v>
      </c>
      <c r="L29" s="264">
        <v>255</v>
      </c>
      <c r="M29" s="263" t="e">
        <f>IF(L29="nio",0,IF(L29&gt;0,L29*J29/N29,0))*VLOOKUP(B29,'2-Kosten per locatie'!$A$14:$C$18,3,FALSE)</f>
        <v>#DIV/0!</v>
      </c>
      <c r="N29" s="354">
        <f>IF(L29="nio",0,IF(L29&gt;0,VLOOKUP(G29,'3-Productie normen'!A:L,VLOOKUP(L29,'3-Productie normen'!$B$29:$C$32,2,FALSE),FALSE)))</f>
        <v>0</v>
      </c>
      <c r="O29" s="355" t="str">
        <f>VLOOKUP(G29,'3-Productie normen'!A:H,8,FALSE)</f>
        <v>B</v>
      </c>
      <c r="P29" s="355"/>
      <c r="R29" s="356">
        <f t="shared" si="1"/>
        <v>9052.5</v>
      </c>
    </row>
    <row r="30" spans="1:18" ht="14.1" customHeight="1">
      <c r="A30" s="75">
        <v>30</v>
      </c>
      <c r="B30" s="515" t="s">
        <v>257</v>
      </c>
      <c r="C30" s="316" t="s">
        <v>572</v>
      </c>
      <c r="D30" s="350" t="s">
        <v>83</v>
      </c>
      <c r="E30" s="258" t="s">
        <v>278</v>
      </c>
      <c r="F30" s="85" t="s">
        <v>589</v>
      </c>
      <c r="G30" s="71" t="s">
        <v>41</v>
      </c>
      <c r="H30" s="71" t="s">
        <v>84</v>
      </c>
      <c r="I30" s="515" t="s">
        <v>85</v>
      </c>
      <c r="J30" s="352">
        <v>115.7</v>
      </c>
      <c r="K30" s="353">
        <f t="shared" si="0"/>
        <v>255</v>
      </c>
      <c r="L30" s="264">
        <v>255</v>
      </c>
      <c r="M30" s="263" t="e">
        <f>IF(L30="nio",0,IF(L30&gt;0,L30*J30/N30,0))*VLOOKUP(B30,'2-Kosten per locatie'!$A$14:$C$18,3,FALSE)</f>
        <v>#DIV/0!</v>
      </c>
      <c r="N30" s="354">
        <f>IF(L30="nio",0,IF(L30&gt;0,VLOOKUP(G30,'3-Productie normen'!A:L,VLOOKUP(L30,'3-Productie normen'!$B$29:$C$32,2,FALSE),FALSE)))</f>
        <v>0</v>
      </c>
      <c r="O30" s="355" t="str">
        <f>VLOOKUP(G30,'3-Productie normen'!A:H,8,FALSE)</f>
        <v>B</v>
      </c>
      <c r="P30" s="355"/>
      <c r="R30" s="356">
        <f t="shared" si="1"/>
        <v>29503.5</v>
      </c>
    </row>
    <row r="31" spans="1:18" ht="14.1" customHeight="1">
      <c r="A31" s="75">
        <v>31</v>
      </c>
      <c r="B31" s="515" t="s">
        <v>257</v>
      </c>
      <c r="C31" s="316" t="s">
        <v>572</v>
      </c>
      <c r="D31" s="350" t="s">
        <v>83</v>
      </c>
      <c r="E31" s="351" t="s">
        <v>279</v>
      </c>
      <c r="F31" s="71" t="s">
        <v>589</v>
      </c>
      <c r="G31" s="71" t="s">
        <v>41</v>
      </c>
      <c r="H31" s="71" t="s">
        <v>602</v>
      </c>
      <c r="I31" s="515" t="s">
        <v>86</v>
      </c>
      <c r="J31" s="352">
        <v>18</v>
      </c>
      <c r="K31" s="353">
        <f t="shared" si="0"/>
        <v>255</v>
      </c>
      <c r="L31" s="264">
        <v>255</v>
      </c>
      <c r="M31" s="263" t="e">
        <f>IF(L31="nio",0,IF(L31&gt;0,L31*J31/N31,0))*VLOOKUP(B31,'2-Kosten per locatie'!$A$14:$C$18,3,FALSE)</f>
        <v>#DIV/0!</v>
      </c>
      <c r="N31" s="354">
        <f>IF(L31="nio",0,IF(L31&gt;0,VLOOKUP(G31,'3-Productie normen'!A:L,VLOOKUP(L31,'3-Productie normen'!$B$29:$C$32,2,FALSE),FALSE)))</f>
        <v>0</v>
      </c>
      <c r="O31" s="355" t="str">
        <f>VLOOKUP(G31,'3-Productie normen'!A:H,8,FALSE)</f>
        <v>B</v>
      </c>
      <c r="P31" s="355"/>
      <c r="R31" s="356">
        <f t="shared" si="1"/>
        <v>4590</v>
      </c>
    </row>
    <row r="32" spans="1:18" ht="14.1" customHeight="1">
      <c r="A32" s="75">
        <v>32</v>
      </c>
      <c r="B32" s="515" t="s">
        <v>257</v>
      </c>
      <c r="C32" s="316" t="s">
        <v>573</v>
      </c>
      <c r="D32" s="350" t="s">
        <v>580</v>
      </c>
      <c r="E32" s="351" t="s">
        <v>280</v>
      </c>
      <c r="F32" s="71" t="s">
        <v>591</v>
      </c>
      <c r="G32" s="331" t="s">
        <v>55</v>
      </c>
      <c r="H32" s="71" t="s">
        <v>603</v>
      </c>
      <c r="I32" s="515" t="s">
        <v>85</v>
      </c>
      <c r="J32" s="352">
        <v>2</v>
      </c>
      <c r="K32" s="353">
        <f t="shared" si="0"/>
        <v>156</v>
      </c>
      <c r="L32" s="264">
        <v>156</v>
      </c>
      <c r="M32" s="263" t="e">
        <f>IF(L32="nio",0,IF(L32&gt;0,L32*J32/N32,0))*VLOOKUP(B32,'2-Kosten per locatie'!$A$14:$C$18,3,FALSE)</f>
        <v>#DIV/0!</v>
      </c>
      <c r="N32" s="354">
        <f>IF(L32="nio",0,IF(L32&gt;0,VLOOKUP(G32,'3-Productie normen'!A:L,VLOOKUP(L32,'3-Productie normen'!$B$29:$C$32,2,FALSE),FALSE)))</f>
        <v>0</v>
      </c>
      <c r="O32" s="355" t="str">
        <f>VLOOKUP(G32,'3-Productie normen'!A:H,8,FALSE)</f>
        <v>V</v>
      </c>
      <c r="P32" s="355"/>
      <c r="R32" s="356">
        <f t="shared" si="1"/>
        <v>312</v>
      </c>
    </row>
    <row r="33" spans="1:18" ht="14.1" customHeight="1">
      <c r="A33" s="75">
        <v>33</v>
      </c>
      <c r="B33" s="515" t="s">
        <v>257</v>
      </c>
      <c r="C33" s="316" t="s">
        <v>573</v>
      </c>
      <c r="D33" s="350" t="s">
        <v>580</v>
      </c>
      <c r="E33" s="351" t="s">
        <v>280</v>
      </c>
      <c r="F33" s="71" t="s">
        <v>591</v>
      </c>
      <c r="G33" s="331" t="s">
        <v>55</v>
      </c>
      <c r="H33" s="71" t="s">
        <v>603</v>
      </c>
      <c r="I33" s="515" t="s">
        <v>85</v>
      </c>
      <c r="J33" s="352">
        <v>5.5</v>
      </c>
      <c r="K33" s="353">
        <f t="shared" si="0"/>
        <v>156</v>
      </c>
      <c r="L33" s="264">
        <v>156</v>
      </c>
      <c r="M33" s="263" t="e">
        <f>IF(L33="nio",0,IF(L33&gt;0,L33*J33/N33,0))*VLOOKUP(B33,'2-Kosten per locatie'!$A$14:$C$18,3,FALSE)</f>
        <v>#DIV/0!</v>
      </c>
      <c r="N33" s="354">
        <f>IF(L33="nio",0,IF(L33&gt;0,VLOOKUP(G33,'3-Productie normen'!A:L,VLOOKUP(L33,'3-Productie normen'!$B$29:$C$32,2,FALSE),FALSE)))</f>
        <v>0</v>
      </c>
      <c r="O33" s="355" t="str">
        <f>VLOOKUP(G33,'3-Productie normen'!A:H,8,FALSE)</f>
        <v>V</v>
      </c>
      <c r="P33" s="355"/>
      <c r="R33" s="356">
        <f t="shared" si="1"/>
        <v>858</v>
      </c>
    </row>
    <row r="34" spans="1:18" ht="14.1" customHeight="1">
      <c r="A34" s="75">
        <v>34</v>
      </c>
      <c r="B34" s="515" t="s">
        <v>257</v>
      </c>
      <c r="C34" s="316" t="s">
        <v>573</v>
      </c>
      <c r="D34" s="350" t="s">
        <v>580</v>
      </c>
      <c r="E34" s="351" t="s">
        <v>281</v>
      </c>
      <c r="F34" s="71" t="s">
        <v>592</v>
      </c>
      <c r="G34" s="316" t="s">
        <v>45</v>
      </c>
      <c r="H34" s="71" t="s">
        <v>604</v>
      </c>
      <c r="I34" s="515" t="s">
        <v>86</v>
      </c>
      <c r="J34" s="352">
        <v>730.29998779296875</v>
      </c>
      <c r="K34" s="353">
        <f t="shared" si="0"/>
        <v>255</v>
      </c>
      <c r="L34" s="264">
        <v>255</v>
      </c>
      <c r="M34" s="263" t="e">
        <f>IF(L34="nio",0,IF(L34&gt;0,L34*J34/N34,0))*VLOOKUP(B34,'2-Kosten per locatie'!$A$14:$C$18,3,FALSE)</f>
        <v>#DIV/0!</v>
      </c>
      <c r="N34" s="354">
        <f>IF(L34="nio",0,IF(L34&gt;0,VLOOKUP(G34,'3-Productie normen'!A:L,VLOOKUP(L34,'3-Productie normen'!$B$29:$C$32,2,FALSE),FALSE)))</f>
        <v>0</v>
      </c>
      <c r="O34" s="355" t="str">
        <f>VLOOKUP(G34,'3-Productie normen'!A:H,8,FALSE)</f>
        <v>V</v>
      </c>
      <c r="P34" s="355"/>
      <c r="R34" s="356">
        <f t="shared" si="1"/>
        <v>186226.49688720703</v>
      </c>
    </row>
    <row r="35" spans="1:18" ht="14.1" customHeight="1">
      <c r="A35" s="75">
        <v>35</v>
      </c>
      <c r="B35" s="515" t="s">
        <v>257</v>
      </c>
      <c r="C35" s="316" t="s">
        <v>573</v>
      </c>
      <c r="D35" s="350" t="s">
        <v>580</v>
      </c>
      <c r="E35" s="351" t="s">
        <v>282</v>
      </c>
      <c r="F35" s="71" t="s">
        <v>592</v>
      </c>
      <c r="G35" s="316" t="s">
        <v>45</v>
      </c>
      <c r="H35" s="71" t="s">
        <v>604</v>
      </c>
      <c r="I35" s="515" t="s">
        <v>86</v>
      </c>
      <c r="J35" s="352">
        <v>98</v>
      </c>
      <c r="K35" s="353">
        <f t="shared" si="0"/>
        <v>255</v>
      </c>
      <c r="L35" s="264">
        <v>255</v>
      </c>
      <c r="M35" s="263" t="e">
        <f>IF(L35="nio",0,IF(L35&gt;0,L35*J35/N35,0))*VLOOKUP(B35,'2-Kosten per locatie'!$A$14:$C$18,3,FALSE)</f>
        <v>#DIV/0!</v>
      </c>
      <c r="N35" s="354">
        <f>IF(L35="nio",0,IF(L35&gt;0,VLOOKUP(G35,'3-Productie normen'!A:L,VLOOKUP(L35,'3-Productie normen'!$B$29:$C$32,2,FALSE),FALSE)))</f>
        <v>0</v>
      </c>
      <c r="O35" s="355" t="str">
        <f>VLOOKUP(G35,'3-Productie normen'!A:H,8,FALSE)</f>
        <v>V</v>
      </c>
      <c r="P35" s="355"/>
      <c r="R35" s="356">
        <f t="shared" si="1"/>
        <v>24990</v>
      </c>
    </row>
    <row r="36" spans="1:18" ht="14.1" customHeight="1">
      <c r="A36" s="75">
        <v>36</v>
      </c>
      <c r="B36" s="515" t="s">
        <v>257</v>
      </c>
      <c r="C36" s="316" t="s">
        <v>573</v>
      </c>
      <c r="D36" s="350" t="s">
        <v>580</v>
      </c>
      <c r="E36" s="351" t="s">
        <v>283</v>
      </c>
      <c r="F36" s="71" t="s">
        <v>589</v>
      </c>
      <c r="G36" s="71" t="s">
        <v>41</v>
      </c>
      <c r="H36" s="71" t="s">
        <v>604</v>
      </c>
      <c r="I36" s="515" t="s">
        <v>86</v>
      </c>
      <c r="J36" s="352">
        <v>158.60000610351563</v>
      </c>
      <c r="K36" s="353">
        <f t="shared" si="0"/>
        <v>255</v>
      </c>
      <c r="L36" s="264">
        <v>255</v>
      </c>
      <c r="M36" s="263" t="e">
        <f>IF(L36="nio",0,IF(L36&gt;0,L36*J36/N36,0))*VLOOKUP(B36,'2-Kosten per locatie'!$A$14:$C$18,3,FALSE)</f>
        <v>#DIV/0!</v>
      </c>
      <c r="N36" s="354">
        <f>IF(L36="nio",0,IF(L36&gt;0,VLOOKUP(G36,'3-Productie normen'!A:L,VLOOKUP(L36,'3-Productie normen'!$B$29:$C$32,2,FALSE),FALSE)))</f>
        <v>0</v>
      </c>
      <c r="O36" s="355" t="str">
        <f>VLOOKUP(G36,'3-Productie normen'!A:H,8,FALSE)</f>
        <v>B</v>
      </c>
      <c r="P36" s="355"/>
      <c r="R36" s="356">
        <f t="shared" si="1"/>
        <v>40443.001556396484</v>
      </c>
    </row>
    <row r="37" spans="1:18" ht="14.1" customHeight="1">
      <c r="A37" s="75">
        <v>37</v>
      </c>
      <c r="B37" s="515" t="s">
        <v>257</v>
      </c>
      <c r="C37" s="316" t="s">
        <v>573</v>
      </c>
      <c r="D37" s="350" t="s">
        <v>580</v>
      </c>
      <c r="E37" s="351" t="s">
        <v>284</v>
      </c>
      <c r="F37" s="71" t="s">
        <v>593</v>
      </c>
      <c r="G37" s="71" t="s">
        <v>50</v>
      </c>
      <c r="H37" s="71" t="s">
        <v>604</v>
      </c>
      <c r="I37" s="515" t="s">
        <v>86</v>
      </c>
      <c r="J37" s="352">
        <v>49</v>
      </c>
      <c r="K37" s="353">
        <f t="shared" si="0"/>
        <v>255</v>
      </c>
      <c r="L37" s="264">
        <v>255</v>
      </c>
      <c r="M37" s="263" t="e">
        <f>IF(L37="nio",0,IF(L37&gt;0,L37*J37/N37,0))*VLOOKUP(B37,'2-Kosten per locatie'!$A$14:$C$18,3,FALSE)</f>
        <v>#DIV/0!</v>
      </c>
      <c r="N37" s="354">
        <f>IF(L37="nio",0,IF(L37&gt;0,VLOOKUP(G37,'3-Productie normen'!A:L,VLOOKUP(L37,'3-Productie normen'!$B$29:$C$32,2,FALSE),FALSE)))</f>
        <v>0</v>
      </c>
      <c r="O37" s="355" t="str">
        <f>VLOOKUP(G37,'3-Productie normen'!A:H,8,FALSE)</f>
        <v>B</v>
      </c>
      <c r="P37" s="355"/>
      <c r="R37" s="356">
        <f t="shared" si="1"/>
        <v>12495</v>
      </c>
    </row>
    <row r="38" spans="1:18" ht="14.1" customHeight="1">
      <c r="A38" s="75">
        <v>38</v>
      </c>
      <c r="B38" s="515" t="s">
        <v>257</v>
      </c>
      <c r="C38" s="316" t="s">
        <v>573</v>
      </c>
      <c r="D38" s="350" t="s">
        <v>580</v>
      </c>
      <c r="E38" s="351" t="s">
        <v>285</v>
      </c>
      <c r="F38" s="71" t="s">
        <v>593</v>
      </c>
      <c r="G38" s="71" t="s">
        <v>50</v>
      </c>
      <c r="H38" s="71" t="s">
        <v>84</v>
      </c>
      <c r="I38" s="515" t="s">
        <v>85</v>
      </c>
      <c r="J38" s="352">
        <v>134</v>
      </c>
      <c r="K38" s="353">
        <f t="shared" si="0"/>
        <v>255</v>
      </c>
      <c r="L38" s="264">
        <v>255</v>
      </c>
      <c r="M38" s="263" t="e">
        <f>IF(L38="nio",0,IF(L38&gt;0,L38*J38/N38,0))*VLOOKUP(B38,'2-Kosten per locatie'!$A$14:$C$18,3,FALSE)</f>
        <v>#DIV/0!</v>
      </c>
      <c r="N38" s="354">
        <f>IF(L38="nio",0,IF(L38&gt;0,VLOOKUP(G38,'3-Productie normen'!A:L,VLOOKUP(L38,'3-Productie normen'!$B$29:$C$32,2,FALSE),FALSE)))</f>
        <v>0</v>
      </c>
      <c r="O38" s="355" t="str">
        <f>VLOOKUP(G38,'3-Productie normen'!A:H,8,FALSE)</f>
        <v>B</v>
      </c>
      <c r="P38" s="355"/>
      <c r="R38" s="356">
        <f t="shared" si="1"/>
        <v>34170</v>
      </c>
    </row>
    <row r="39" spans="1:18" ht="14.1" customHeight="1">
      <c r="A39" s="75">
        <v>39</v>
      </c>
      <c r="B39" s="515" t="s">
        <v>257</v>
      </c>
      <c r="C39" s="316" t="s">
        <v>573</v>
      </c>
      <c r="D39" s="350" t="s">
        <v>580</v>
      </c>
      <c r="E39" s="351" t="s">
        <v>286</v>
      </c>
      <c r="F39" s="71" t="s">
        <v>53</v>
      </c>
      <c r="G39" s="71" t="s">
        <v>53</v>
      </c>
      <c r="H39" s="71" t="s">
        <v>605</v>
      </c>
      <c r="I39" s="515" t="s">
        <v>85</v>
      </c>
      <c r="J39" s="352">
        <v>7.0999999046325684</v>
      </c>
      <c r="K39" s="353">
        <f t="shared" si="0"/>
        <v>255</v>
      </c>
      <c r="L39" s="264">
        <v>255</v>
      </c>
      <c r="M39" s="263" t="e">
        <f>IF(L39="nio",0,IF(L39&gt;0,L39*J39/N39,0))*VLOOKUP(B39,'2-Kosten per locatie'!$A$14:$C$18,3,FALSE)</f>
        <v>#DIV/0!</v>
      </c>
      <c r="N39" s="354">
        <f>IF(L39="nio",0,IF(L39&gt;0,VLOOKUP(G39,'3-Productie normen'!A:L,VLOOKUP(L39,'3-Productie normen'!$B$29:$C$32,2,FALSE),FALSE)))</f>
        <v>0</v>
      </c>
      <c r="O39" s="355" t="str">
        <f>VLOOKUP(G39,'3-Productie normen'!A:H,8,FALSE)</f>
        <v>V</v>
      </c>
      <c r="P39" s="355"/>
      <c r="R39" s="356">
        <f t="shared" si="1"/>
        <v>1810.4999756813049</v>
      </c>
    </row>
    <row r="40" spans="1:18" ht="14.1" customHeight="1">
      <c r="A40" s="75">
        <v>40</v>
      </c>
      <c r="B40" s="515" t="s">
        <v>257</v>
      </c>
      <c r="C40" s="316" t="s">
        <v>573</v>
      </c>
      <c r="D40" s="350" t="s">
        <v>580</v>
      </c>
      <c r="E40" s="351" t="s">
        <v>287</v>
      </c>
      <c r="F40" s="71" t="s">
        <v>585</v>
      </c>
      <c r="G40" s="316" t="s">
        <v>54</v>
      </c>
      <c r="H40" s="71" t="s">
        <v>236</v>
      </c>
      <c r="I40" s="515" t="s">
        <v>86</v>
      </c>
      <c r="J40" s="352">
        <v>18.200000762939453</v>
      </c>
      <c r="K40" s="353">
        <f t="shared" si="0"/>
        <v>156</v>
      </c>
      <c r="L40" s="264">
        <v>156</v>
      </c>
      <c r="M40" s="263" t="e">
        <f>IF(L40="nio",0,IF(L40&gt;0,L40*J40/N40,0))*VLOOKUP(B40,'2-Kosten per locatie'!$A$14:$C$18,3,FALSE)</f>
        <v>#DIV/0!</v>
      </c>
      <c r="N40" s="354">
        <f>IF(L40="nio",0,IF(L40&gt;0,VLOOKUP(G40,'3-Productie normen'!A:L,VLOOKUP(L40,'3-Productie normen'!$B$29:$C$32,2,FALSE),FALSE)))</f>
        <v>0</v>
      </c>
      <c r="O40" s="355" t="str">
        <f>VLOOKUP(G40,'3-Productie normen'!A:H,8,FALSE)</f>
        <v>V</v>
      </c>
      <c r="P40" s="355"/>
      <c r="R40" s="356">
        <f t="shared" si="1"/>
        <v>2839.2001190185547</v>
      </c>
    </row>
    <row r="41" spans="1:18" ht="14.1" customHeight="1">
      <c r="A41" s="75">
        <v>41</v>
      </c>
      <c r="B41" s="515" t="s">
        <v>257</v>
      </c>
      <c r="C41" s="316" t="s">
        <v>573</v>
      </c>
      <c r="D41" s="350" t="s">
        <v>580</v>
      </c>
      <c r="E41" s="351" t="s">
        <v>288</v>
      </c>
      <c r="F41" s="71" t="s">
        <v>588</v>
      </c>
      <c r="G41" s="71" t="s">
        <v>43</v>
      </c>
      <c r="H41" s="71" t="s">
        <v>236</v>
      </c>
      <c r="I41" s="515" t="s">
        <v>82</v>
      </c>
      <c r="J41" s="352">
        <v>6</v>
      </c>
      <c r="K41" s="353">
        <f t="shared" si="0"/>
        <v>255</v>
      </c>
      <c r="L41" s="264">
        <v>255</v>
      </c>
      <c r="M41" s="263" t="e">
        <f>IF(L41="nio",0,IF(L41&gt;0,L41*J41/N41,0))*VLOOKUP(B41,'2-Kosten per locatie'!$A$14:$C$18,3,FALSE)</f>
        <v>#DIV/0!</v>
      </c>
      <c r="N41" s="354">
        <f>IF(L41="nio",0,IF(L41&gt;0,VLOOKUP(G41,'3-Productie normen'!A:L,VLOOKUP(L41,'3-Productie normen'!$B$29:$C$32,2,FALSE),FALSE)))</f>
        <v>0</v>
      </c>
      <c r="O41" s="355" t="str">
        <f>VLOOKUP(G41,'3-Productie normen'!A:H,8,FALSE)</f>
        <v>S</v>
      </c>
      <c r="P41" s="355"/>
      <c r="R41" s="356">
        <f t="shared" si="1"/>
        <v>1530</v>
      </c>
    </row>
    <row r="42" spans="1:18" ht="14.1" customHeight="1">
      <c r="A42" s="75">
        <v>42</v>
      </c>
      <c r="B42" s="515" t="s">
        <v>257</v>
      </c>
      <c r="C42" s="316" t="s">
        <v>573</v>
      </c>
      <c r="D42" s="350" t="s">
        <v>580</v>
      </c>
      <c r="E42" s="351" t="s">
        <v>289</v>
      </c>
      <c r="F42" s="71" t="s">
        <v>587</v>
      </c>
      <c r="G42" s="71" t="s">
        <v>43</v>
      </c>
      <c r="H42" s="71" t="s">
        <v>601</v>
      </c>
      <c r="I42" s="515" t="s">
        <v>82</v>
      </c>
      <c r="J42" s="352">
        <v>6</v>
      </c>
      <c r="K42" s="353">
        <f t="shared" si="0"/>
        <v>156</v>
      </c>
      <c r="L42" s="264">
        <v>156</v>
      </c>
      <c r="M42" s="263" t="e">
        <f>IF(L42="nio",0,IF(L42&gt;0,L42*J42/N42,0))*VLOOKUP(B42,'2-Kosten per locatie'!$A$14:$C$18,3,FALSE)</f>
        <v>#DIV/0!</v>
      </c>
      <c r="N42" s="354">
        <f>IF(L42="nio",0,IF(L42&gt;0,VLOOKUP(G42,'3-Productie normen'!A:L,VLOOKUP(L42,'3-Productie normen'!$B$29:$C$32,2,FALSE),FALSE)))</f>
        <v>0</v>
      </c>
      <c r="O42" s="355" t="str">
        <f>VLOOKUP(G42,'3-Productie normen'!A:H,8,FALSE)</f>
        <v>S</v>
      </c>
      <c r="P42" s="355"/>
      <c r="R42" s="356">
        <f t="shared" si="1"/>
        <v>936</v>
      </c>
    </row>
    <row r="43" spans="1:18" ht="14.1" customHeight="1">
      <c r="A43" s="75">
        <v>43</v>
      </c>
      <c r="B43" s="515" t="s">
        <v>257</v>
      </c>
      <c r="C43" s="316" t="s">
        <v>573</v>
      </c>
      <c r="D43" s="350" t="s">
        <v>580</v>
      </c>
      <c r="E43" s="351" t="s">
        <v>290</v>
      </c>
      <c r="F43" s="71" t="s">
        <v>588</v>
      </c>
      <c r="G43" s="71" t="s">
        <v>43</v>
      </c>
      <c r="H43" s="71" t="s">
        <v>601</v>
      </c>
      <c r="I43" s="515" t="s">
        <v>82</v>
      </c>
      <c r="J43" s="352">
        <v>1.7000000476837158</v>
      </c>
      <c r="K43" s="353">
        <f t="shared" si="0"/>
        <v>255</v>
      </c>
      <c r="L43" s="264">
        <v>255</v>
      </c>
      <c r="M43" s="263" t="e">
        <f>IF(L43="nio",0,IF(L43&gt;0,L43*J43/N43,0))*VLOOKUP(B43,'2-Kosten per locatie'!$A$14:$C$18,3,FALSE)</f>
        <v>#DIV/0!</v>
      </c>
      <c r="N43" s="354">
        <f>IF(L43="nio",0,IF(L43&gt;0,VLOOKUP(G43,'3-Productie normen'!A:L,VLOOKUP(L43,'3-Productie normen'!$B$29:$C$32,2,FALSE),FALSE)))</f>
        <v>0</v>
      </c>
      <c r="O43" s="355" t="str">
        <f>VLOOKUP(G43,'3-Productie normen'!A:H,8,FALSE)</f>
        <v>S</v>
      </c>
      <c r="P43" s="355"/>
      <c r="R43" s="356">
        <f t="shared" si="1"/>
        <v>433.50001215934753</v>
      </c>
    </row>
    <row r="44" spans="1:18" ht="14.1" customHeight="1">
      <c r="A44" s="75">
        <v>44</v>
      </c>
      <c r="B44" s="515" t="s">
        <v>257</v>
      </c>
      <c r="C44" s="316" t="s">
        <v>573</v>
      </c>
      <c r="D44" s="350" t="s">
        <v>580</v>
      </c>
      <c r="E44" s="351" t="s">
        <v>291</v>
      </c>
      <c r="F44" s="316" t="s">
        <v>588</v>
      </c>
      <c r="G44" s="71" t="s">
        <v>43</v>
      </c>
      <c r="H44" s="71" t="s">
        <v>601</v>
      </c>
      <c r="I44" s="515" t="s">
        <v>82</v>
      </c>
      <c r="J44" s="352">
        <v>1.7000000476837158</v>
      </c>
      <c r="K44" s="353">
        <f t="shared" si="0"/>
        <v>255</v>
      </c>
      <c r="L44" s="264">
        <v>255</v>
      </c>
      <c r="M44" s="263" t="e">
        <f>IF(L44="nio",0,IF(L44&gt;0,L44*J44/N44,0))*VLOOKUP(B44,'2-Kosten per locatie'!$A$14:$C$18,3,FALSE)</f>
        <v>#DIV/0!</v>
      </c>
      <c r="N44" s="354">
        <f>IF(L44="nio",0,IF(L44&gt;0,VLOOKUP(G44,'3-Productie normen'!A:L,VLOOKUP(L44,'3-Productie normen'!$B$29:$C$32,2,FALSE),FALSE)))</f>
        <v>0</v>
      </c>
      <c r="O44" s="355" t="str">
        <f>VLOOKUP(G44,'3-Productie normen'!A:H,8,FALSE)</f>
        <v>S</v>
      </c>
      <c r="P44" s="355"/>
      <c r="R44" s="356">
        <f t="shared" si="1"/>
        <v>433.50001215934753</v>
      </c>
    </row>
    <row r="45" spans="1:18" ht="14.1" customHeight="1">
      <c r="A45" s="75">
        <v>45</v>
      </c>
      <c r="B45" s="515" t="s">
        <v>257</v>
      </c>
      <c r="C45" s="316" t="s">
        <v>573</v>
      </c>
      <c r="D45" s="350" t="s">
        <v>580</v>
      </c>
      <c r="E45" s="351" t="s">
        <v>292</v>
      </c>
      <c r="F45" s="316" t="s">
        <v>588</v>
      </c>
      <c r="G45" s="71" t="s">
        <v>43</v>
      </c>
      <c r="H45" s="71" t="s">
        <v>601</v>
      </c>
      <c r="I45" s="515" t="s">
        <v>82</v>
      </c>
      <c r="J45" s="352">
        <v>1.7000000476837158</v>
      </c>
      <c r="K45" s="353">
        <f t="shared" si="0"/>
        <v>255</v>
      </c>
      <c r="L45" s="264">
        <v>255</v>
      </c>
      <c r="M45" s="263" t="e">
        <f>IF(L45="nio",0,IF(L45&gt;0,L45*J45/N45,0))*VLOOKUP(B45,'2-Kosten per locatie'!$A$14:$C$18,3,FALSE)</f>
        <v>#DIV/0!</v>
      </c>
      <c r="N45" s="354">
        <f>IF(L45="nio",0,IF(L45&gt;0,VLOOKUP(G45,'3-Productie normen'!A:L,VLOOKUP(L45,'3-Productie normen'!$B$29:$C$32,2,FALSE),FALSE)))</f>
        <v>0</v>
      </c>
      <c r="O45" s="355" t="str">
        <f>VLOOKUP(G45,'3-Productie normen'!A:H,8,FALSE)</f>
        <v>S</v>
      </c>
      <c r="P45" s="355"/>
      <c r="R45" s="356">
        <f t="shared" si="1"/>
        <v>433.50001215934753</v>
      </c>
    </row>
    <row r="46" spans="1:18" ht="14.1" customHeight="1">
      <c r="A46" s="75">
        <v>46</v>
      </c>
      <c r="B46" s="515" t="s">
        <v>257</v>
      </c>
      <c r="C46" s="316" t="s">
        <v>573</v>
      </c>
      <c r="D46" s="350" t="s">
        <v>580</v>
      </c>
      <c r="E46" s="351" t="s">
        <v>293</v>
      </c>
      <c r="F46" s="316" t="s">
        <v>587</v>
      </c>
      <c r="G46" s="71" t="s">
        <v>43</v>
      </c>
      <c r="H46" s="71" t="s">
        <v>601</v>
      </c>
      <c r="I46" s="515" t="s">
        <v>82</v>
      </c>
      <c r="J46" s="352">
        <v>4</v>
      </c>
      <c r="K46" s="353">
        <f t="shared" si="0"/>
        <v>156</v>
      </c>
      <c r="L46" s="264">
        <v>156</v>
      </c>
      <c r="M46" s="263" t="e">
        <f>IF(L46="nio",0,IF(L46&gt;0,L46*J46/N46,0))*VLOOKUP(B46,'2-Kosten per locatie'!$A$14:$C$18,3,FALSE)</f>
        <v>#DIV/0!</v>
      </c>
      <c r="N46" s="354">
        <f>IF(L46="nio",0,IF(L46&gt;0,VLOOKUP(G46,'3-Productie normen'!A:L,VLOOKUP(L46,'3-Productie normen'!$B$29:$C$32,2,FALSE),FALSE)))</f>
        <v>0</v>
      </c>
      <c r="O46" s="355" t="str">
        <f>VLOOKUP(G46,'3-Productie normen'!A:H,8,FALSE)</f>
        <v>S</v>
      </c>
      <c r="P46" s="355"/>
      <c r="R46" s="356">
        <f t="shared" si="1"/>
        <v>624</v>
      </c>
    </row>
    <row r="47" spans="1:18" ht="14.1" customHeight="1">
      <c r="A47" s="75">
        <v>47</v>
      </c>
      <c r="B47" s="515" t="s">
        <v>257</v>
      </c>
      <c r="C47" s="316" t="s">
        <v>573</v>
      </c>
      <c r="D47" s="350" t="s">
        <v>580</v>
      </c>
      <c r="E47" s="351" t="s">
        <v>294</v>
      </c>
      <c r="F47" s="71" t="s">
        <v>588</v>
      </c>
      <c r="G47" s="71" t="s">
        <v>43</v>
      </c>
      <c r="H47" s="71" t="s">
        <v>601</v>
      </c>
      <c r="I47" s="515" t="s">
        <v>82</v>
      </c>
      <c r="J47" s="352">
        <v>1.7000000476837158</v>
      </c>
      <c r="K47" s="353">
        <f t="shared" si="0"/>
        <v>255</v>
      </c>
      <c r="L47" s="264">
        <v>255</v>
      </c>
      <c r="M47" s="263" t="e">
        <f>IF(L47="nio",0,IF(L47&gt;0,L47*J47/N47,0))*VLOOKUP(B47,'2-Kosten per locatie'!$A$14:$C$18,3,FALSE)</f>
        <v>#DIV/0!</v>
      </c>
      <c r="N47" s="354">
        <f>IF(L47="nio",0,IF(L47&gt;0,VLOOKUP(G47,'3-Productie normen'!A:L,VLOOKUP(L47,'3-Productie normen'!$B$29:$C$32,2,FALSE),FALSE)))</f>
        <v>0</v>
      </c>
      <c r="O47" s="355" t="str">
        <f>VLOOKUP(G47,'3-Productie normen'!A:H,8,FALSE)</f>
        <v>S</v>
      </c>
      <c r="P47" s="355"/>
      <c r="R47" s="356">
        <f t="shared" si="1"/>
        <v>433.50001215934753</v>
      </c>
    </row>
    <row r="48" spans="1:18" ht="14.1" customHeight="1">
      <c r="A48" s="75">
        <v>48</v>
      </c>
      <c r="B48" s="515" t="s">
        <v>257</v>
      </c>
      <c r="C48" s="316" t="s">
        <v>573</v>
      </c>
      <c r="D48" s="350" t="s">
        <v>580</v>
      </c>
      <c r="E48" s="351" t="s">
        <v>295</v>
      </c>
      <c r="F48" s="71" t="s">
        <v>588</v>
      </c>
      <c r="G48" s="71" t="s">
        <v>43</v>
      </c>
      <c r="H48" s="71" t="s">
        <v>601</v>
      </c>
      <c r="I48" s="515" t="s">
        <v>82</v>
      </c>
      <c r="J48" s="352">
        <v>1.7000000476837158</v>
      </c>
      <c r="K48" s="353">
        <f t="shared" si="0"/>
        <v>255</v>
      </c>
      <c r="L48" s="264">
        <v>255</v>
      </c>
      <c r="M48" s="263" t="e">
        <f>IF(L48="nio",0,IF(L48&gt;0,L48*J48/N48,0))*VLOOKUP(B48,'2-Kosten per locatie'!$A$14:$C$18,3,FALSE)</f>
        <v>#DIV/0!</v>
      </c>
      <c r="N48" s="354">
        <f>IF(L48="nio",0,IF(L48&gt;0,VLOOKUP(G48,'3-Productie normen'!A:L,VLOOKUP(L48,'3-Productie normen'!$B$29:$C$32,2,FALSE),FALSE)))</f>
        <v>0</v>
      </c>
      <c r="O48" s="355" t="str">
        <f>VLOOKUP(G48,'3-Productie normen'!A:H,8,FALSE)</f>
        <v>S</v>
      </c>
      <c r="P48" s="355"/>
      <c r="R48" s="356">
        <f t="shared" si="1"/>
        <v>433.50001215934753</v>
      </c>
    </row>
    <row r="49" spans="1:18" ht="14.1" customHeight="1">
      <c r="A49" s="75">
        <v>49</v>
      </c>
      <c r="B49" s="515" t="s">
        <v>257</v>
      </c>
      <c r="C49" s="316" t="s">
        <v>573</v>
      </c>
      <c r="D49" s="350" t="s">
        <v>580</v>
      </c>
      <c r="E49" s="351" t="s">
        <v>296</v>
      </c>
      <c r="F49" s="71" t="s">
        <v>593</v>
      </c>
      <c r="G49" s="71" t="s">
        <v>50</v>
      </c>
      <c r="H49" s="71" t="s">
        <v>84</v>
      </c>
      <c r="I49" s="515" t="s">
        <v>85</v>
      </c>
      <c r="J49" s="352">
        <v>14.100000381469727</v>
      </c>
      <c r="K49" s="353">
        <f t="shared" si="0"/>
        <v>255</v>
      </c>
      <c r="L49" s="264">
        <v>255</v>
      </c>
      <c r="M49" s="263" t="e">
        <f>IF(L49="nio",0,IF(L49&gt;0,L49*J49/N49,0))*VLOOKUP(B49,'2-Kosten per locatie'!$A$14:$C$18,3,FALSE)</f>
        <v>#DIV/0!</v>
      </c>
      <c r="N49" s="354">
        <f>IF(L49="nio",0,IF(L49&gt;0,VLOOKUP(G49,'3-Productie normen'!A:L,VLOOKUP(L49,'3-Productie normen'!$B$29:$C$32,2,FALSE),FALSE)))</f>
        <v>0</v>
      </c>
      <c r="O49" s="355" t="str">
        <f>VLOOKUP(G49,'3-Productie normen'!A:H,8,FALSE)</f>
        <v>B</v>
      </c>
      <c r="P49" s="355"/>
      <c r="R49" s="356">
        <f t="shared" si="1"/>
        <v>3595.5000972747803</v>
      </c>
    </row>
    <row r="50" spans="1:18" ht="14.1" customHeight="1">
      <c r="A50" s="75">
        <v>50</v>
      </c>
      <c r="B50" s="515" t="s">
        <v>257</v>
      </c>
      <c r="C50" s="316" t="s">
        <v>573</v>
      </c>
      <c r="D50" s="350" t="s">
        <v>580</v>
      </c>
      <c r="E50" s="351" t="s">
        <v>297</v>
      </c>
      <c r="F50" s="71" t="s">
        <v>593</v>
      </c>
      <c r="G50" s="71" t="s">
        <v>50</v>
      </c>
      <c r="H50" s="71" t="s">
        <v>84</v>
      </c>
      <c r="I50" s="515" t="s">
        <v>85</v>
      </c>
      <c r="J50" s="352">
        <v>14.100000381469727</v>
      </c>
      <c r="K50" s="353">
        <f t="shared" si="0"/>
        <v>255</v>
      </c>
      <c r="L50" s="264">
        <v>255</v>
      </c>
      <c r="M50" s="263" t="e">
        <f>IF(L50="nio",0,IF(L50&gt;0,L50*J50/N50,0))*VLOOKUP(B50,'2-Kosten per locatie'!$A$14:$C$18,3,FALSE)</f>
        <v>#DIV/0!</v>
      </c>
      <c r="N50" s="354">
        <f>IF(L50="nio",0,IF(L50&gt;0,VLOOKUP(G50,'3-Productie normen'!A:L,VLOOKUP(L50,'3-Productie normen'!$B$29:$C$32,2,FALSE),FALSE)))</f>
        <v>0</v>
      </c>
      <c r="O50" s="355" t="str">
        <f>VLOOKUP(G50,'3-Productie normen'!A:H,8,FALSE)</f>
        <v>B</v>
      </c>
      <c r="P50" s="355"/>
      <c r="R50" s="356">
        <f t="shared" si="1"/>
        <v>3595.5000972747803</v>
      </c>
    </row>
    <row r="51" spans="1:18" ht="14.1" customHeight="1">
      <c r="A51" s="75">
        <v>51</v>
      </c>
      <c r="B51" s="515" t="s">
        <v>257</v>
      </c>
      <c r="C51" s="316" t="s">
        <v>573</v>
      </c>
      <c r="D51" s="350" t="s">
        <v>580</v>
      </c>
      <c r="E51" s="351" t="s">
        <v>298</v>
      </c>
      <c r="F51" s="358" t="s">
        <v>587</v>
      </c>
      <c r="G51" s="71" t="s">
        <v>43</v>
      </c>
      <c r="H51" s="71" t="s">
        <v>601</v>
      </c>
      <c r="I51" s="515" t="s">
        <v>82</v>
      </c>
      <c r="J51" s="352">
        <v>1.7000000476837158</v>
      </c>
      <c r="K51" s="526">
        <f t="shared" si="0"/>
        <v>156</v>
      </c>
      <c r="L51" s="264">
        <v>156</v>
      </c>
      <c r="M51" s="263" t="e">
        <f>IF(L51="nio",0,IF(L51&gt;0,L51*J51/N51,0))*VLOOKUP(B51,'2-Kosten per locatie'!$A$14:$C$18,3,FALSE)</f>
        <v>#DIV/0!</v>
      </c>
      <c r="N51" s="354">
        <f>IF(L51="nio",0,IF(L51&gt;0,VLOOKUP(G51,'3-Productie normen'!A:L,VLOOKUP(L51,'3-Productie normen'!$B$29:$C$32,2,FALSE),FALSE)))</f>
        <v>0</v>
      </c>
      <c r="O51" s="355" t="str">
        <f>VLOOKUP(G51,'3-Productie normen'!A:H,8,FALSE)</f>
        <v>S</v>
      </c>
      <c r="P51" s="355"/>
      <c r="R51" s="356">
        <f t="shared" si="1"/>
        <v>265.20000743865967</v>
      </c>
    </row>
    <row r="52" spans="1:18" ht="14.1" customHeight="1">
      <c r="A52" s="75">
        <v>52</v>
      </c>
      <c r="B52" s="515" t="s">
        <v>257</v>
      </c>
      <c r="C52" s="316" t="s">
        <v>573</v>
      </c>
      <c r="D52" s="350" t="s">
        <v>580</v>
      </c>
      <c r="E52" s="351" t="s">
        <v>299</v>
      </c>
      <c r="F52" s="71" t="s">
        <v>588</v>
      </c>
      <c r="G52" s="71" t="s">
        <v>43</v>
      </c>
      <c r="H52" s="357" t="s">
        <v>601</v>
      </c>
      <c r="I52" s="515" t="s">
        <v>82</v>
      </c>
      <c r="J52" s="352">
        <v>1.7000000476837158</v>
      </c>
      <c r="K52" s="353">
        <f t="shared" si="0"/>
        <v>255</v>
      </c>
      <c r="L52" s="264">
        <v>255</v>
      </c>
      <c r="M52" s="263" t="e">
        <f>IF(L52="nio",0,IF(L52&gt;0,L52*J52/N52,0))*VLOOKUP(B52,'2-Kosten per locatie'!$A$14:$C$18,3,FALSE)</f>
        <v>#DIV/0!</v>
      </c>
      <c r="N52" s="354">
        <f>IF(L52="nio",0,IF(L52&gt;0,VLOOKUP(G52,'3-Productie normen'!A:L,VLOOKUP(L52,'3-Productie normen'!$B$29:$C$32,2,FALSE),FALSE)))</f>
        <v>0</v>
      </c>
      <c r="O52" s="355" t="str">
        <f>VLOOKUP(G52,'3-Productie normen'!A:H,8,FALSE)</f>
        <v>S</v>
      </c>
      <c r="P52" s="355"/>
      <c r="R52" s="356">
        <f t="shared" si="1"/>
        <v>433.50001215934753</v>
      </c>
    </row>
    <row r="53" spans="1:18" ht="14.1" customHeight="1">
      <c r="A53" s="75">
        <v>53</v>
      </c>
      <c r="B53" s="515" t="s">
        <v>257</v>
      </c>
      <c r="C53" s="316" t="s">
        <v>573</v>
      </c>
      <c r="D53" s="350" t="s">
        <v>580</v>
      </c>
      <c r="E53" s="258" t="s">
        <v>300</v>
      </c>
      <c r="F53" s="85" t="s">
        <v>587</v>
      </c>
      <c r="G53" s="71" t="s">
        <v>43</v>
      </c>
      <c r="H53" s="71" t="s">
        <v>601</v>
      </c>
      <c r="I53" s="515" t="s">
        <v>82</v>
      </c>
      <c r="J53" s="352">
        <v>1.7000000476837158</v>
      </c>
      <c r="K53" s="353">
        <f t="shared" si="0"/>
        <v>156</v>
      </c>
      <c r="L53" s="264">
        <v>156</v>
      </c>
      <c r="M53" s="263" t="e">
        <f>IF(L53="nio",0,IF(L53&gt;0,L53*J53/N53,0))*VLOOKUP(B53,'2-Kosten per locatie'!$A$14:$C$18,3,FALSE)</f>
        <v>#DIV/0!</v>
      </c>
      <c r="N53" s="354">
        <f>IF(L53="nio",0,IF(L53&gt;0,VLOOKUP(G53,'3-Productie normen'!A:L,VLOOKUP(L53,'3-Productie normen'!$B$29:$C$32,2,FALSE),FALSE)))</f>
        <v>0</v>
      </c>
      <c r="O53" s="355" t="str">
        <f>VLOOKUP(G53,'3-Productie normen'!A:H,8,FALSE)</f>
        <v>S</v>
      </c>
      <c r="P53" s="355"/>
      <c r="R53" s="356">
        <f t="shared" si="1"/>
        <v>265.20000743865967</v>
      </c>
    </row>
    <row r="54" spans="1:18" ht="14.1" customHeight="1">
      <c r="A54" s="75">
        <v>54</v>
      </c>
      <c r="B54" s="515" t="s">
        <v>257</v>
      </c>
      <c r="C54" s="316" t="s">
        <v>573</v>
      </c>
      <c r="D54" s="350" t="s">
        <v>580</v>
      </c>
      <c r="E54" s="351" t="s">
        <v>301</v>
      </c>
      <c r="F54" s="71" t="s">
        <v>588</v>
      </c>
      <c r="G54" s="71" t="s">
        <v>43</v>
      </c>
      <c r="H54" s="71" t="s">
        <v>601</v>
      </c>
      <c r="I54" s="515" t="s">
        <v>82</v>
      </c>
      <c r="J54" s="352">
        <v>1.7000000476837158</v>
      </c>
      <c r="K54" s="353">
        <f t="shared" si="0"/>
        <v>255</v>
      </c>
      <c r="L54" s="264">
        <v>255</v>
      </c>
      <c r="M54" s="263" t="e">
        <f>IF(L54="nio",0,IF(L54&gt;0,L54*J54/N54,0))*VLOOKUP(B54,'2-Kosten per locatie'!$A$14:$C$18,3,FALSE)</f>
        <v>#DIV/0!</v>
      </c>
      <c r="N54" s="354">
        <f>IF(L54="nio",0,IF(L54&gt;0,VLOOKUP(G54,'3-Productie normen'!A:L,VLOOKUP(L54,'3-Productie normen'!$B$29:$C$32,2,FALSE),FALSE)))</f>
        <v>0</v>
      </c>
      <c r="O54" s="355" t="str">
        <f>VLOOKUP(G54,'3-Productie normen'!A:H,8,FALSE)</f>
        <v>S</v>
      </c>
      <c r="P54" s="355"/>
      <c r="R54" s="356">
        <f t="shared" si="1"/>
        <v>433.50001215934753</v>
      </c>
    </row>
    <row r="55" spans="1:18" ht="14.1" customHeight="1">
      <c r="A55" s="75">
        <v>55</v>
      </c>
      <c r="B55" s="515" t="s">
        <v>257</v>
      </c>
      <c r="C55" s="316" t="s">
        <v>573</v>
      </c>
      <c r="D55" s="350" t="s">
        <v>580</v>
      </c>
      <c r="E55" s="351" t="s">
        <v>302</v>
      </c>
      <c r="F55" s="71" t="s">
        <v>585</v>
      </c>
      <c r="G55" s="316" t="s">
        <v>54</v>
      </c>
      <c r="H55" s="71" t="s">
        <v>236</v>
      </c>
      <c r="I55" s="515" t="s">
        <v>86</v>
      </c>
      <c r="J55" s="352">
        <v>17.5</v>
      </c>
      <c r="K55" s="353">
        <f t="shared" si="0"/>
        <v>156</v>
      </c>
      <c r="L55" s="264">
        <v>156</v>
      </c>
      <c r="M55" s="263" t="e">
        <f>IF(L55="nio",0,IF(L55&gt;0,L55*J55/N55,0))*VLOOKUP(B55,'2-Kosten per locatie'!$A$14:$C$18,3,FALSE)</f>
        <v>#DIV/0!</v>
      </c>
      <c r="N55" s="354">
        <f>IF(L55="nio",0,IF(L55&gt;0,VLOOKUP(G55,'3-Productie normen'!A:L,VLOOKUP(L55,'3-Productie normen'!$B$29:$C$32,2,FALSE),FALSE)))</f>
        <v>0</v>
      </c>
      <c r="O55" s="355" t="str">
        <f>VLOOKUP(G55,'3-Productie normen'!A:H,8,FALSE)</f>
        <v>V</v>
      </c>
      <c r="P55" s="355"/>
      <c r="R55" s="356">
        <f t="shared" si="1"/>
        <v>2730</v>
      </c>
    </row>
    <row r="56" spans="1:18" ht="14.1" customHeight="1">
      <c r="A56" s="75">
        <v>56</v>
      </c>
      <c r="B56" s="515" t="s">
        <v>257</v>
      </c>
      <c r="C56" s="316" t="s">
        <v>573</v>
      </c>
      <c r="D56" s="350" t="s">
        <v>580</v>
      </c>
      <c r="E56" s="351" t="s">
        <v>303</v>
      </c>
      <c r="F56" s="71" t="s">
        <v>589</v>
      </c>
      <c r="G56" s="71" t="s">
        <v>41</v>
      </c>
      <c r="H56" s="71" t="s">
        <v>84</v>
      </c>
      <c r="I56" s="515" t="s">
        <v>85</v>
      </c>
      <c r="J56" s="352">
        <v>37.099998474121094</v>
      </c>
      <c r="K56" s="353">
        <f t="shared" si="0"/>
        <v>255</v>
      </c>
      <c r="L56" s="264">
        <v>255</v>
      </c>
      <c r="M56" s="263" t="e">
        <f>IF(L56="nio",0,IF(L56&gt;0,L56*J56/N56,0))*VLOOKUP(B56,'2-Kosten per locatie'!$A$14:$C$18,3,FALSE)</f>
        <v>#DIV/0!</v>
      </c>
      <c r="N56" s="354">
        <f>IF(L56="nio",0,IF(L56&gt;0,VLOOKUP(G56,'3-Productie normen'!A:L,VLOOKUP(L56,'3-Productie normen'!$B$29:$C$32,2,FALSE),FALSE)))</f>
        <v>0</v>
      </c>
      <c r="O56" s="355" t="str">
        <f>VLOOKUP(G56,'3-Productie normen'!A:H,8,FALSE)</f>
        <v>B</v>
      </c>
      <c r="P56" s="355"/>
      <c r="R56" s="356">
        <f t="shared" si="1"/>
        <v>9460.4996109008789</v>
      </c>
    </row>
    <row r="57" spans="1:18" ht="14.1" customHeight="1">
      <c r="A57" s="75">
        <v>57</v>
      </c>
      <c r="B57" s="515" t="s">
        <v>257</v>
      </c>
      <c r="C57" s="316" t="s">
        <v>573</v>
      </c>
      <c r="D57" s="350" t="s">
        <v>580</v>
      </c>
      <c r="E57" s="351" t="s">
        <v>304</v>
      </c>
      <c r="F57" s="71" t="s">
        <v>589</v>
      </c>
      <c r="G57" s="71" t="s">
        <v>41</v>
      </c>
      <c r="H57" s="71" t="s">
        <v>84</v>
      </c>
      <c r="I57" s="515" t="s">
        <v>85</v>
      </c>
      <c r="J57" s="352">
        <v>37.099998474121094</v>
      </c>
      <c r="K57" s="353">
        <f t="shared" si="0"/>
        <v>255</v>
      </c>
      <c r="L57" s="264">
        <v>255</v>
      </c>
      <c r="M57" s="263" t="e">
        <f>IF(L57="nio",0,IF(L57&gt;0,L57*J57/N57,0))*VLOOKUP(B57,'2-Kosten per locatie'!$A$14:$C$18,3,FALSE)</f>
        <v>#DIV/0!</v>
      </c>
      <c r="N57" s="354">
        <f>IF(L57="nio",0,IF(L57&gt;0,VLOOKUP(G57,'3-Productie normen'!A:L,VLOOKUP(L57,'3-Productie normen'!$B$29:$C$32,2,FALSE),FALSE)))</f>
        <v>0</v>
      </c>
      <c r="O57" s="355" t="str">
        <f>VLOOKUP(G57,'3-Productie normen'!A:H,8,FALSE)</f>
        <v>B</v>
      </c>
      <c r="P57" s="355"/>
      <c r="R57" s="356">
        <f t="shared" si="1"/>
        <v>9460.4996109008789</v>
      </c>
    </row>
    <row r="58" spans="1:18" ht="14.1" customHeight="1">
      <c r="A58" s="75">
        <v>58</v>
      </c>
      <c r="B58" s="515" t="s">
        <v>257</v>
      </c>
      <c r="C58" s="316" t="s">
        <v>573</v>
      </c>
      <c r="D58" s="350" t="s">
        <v>580</v>
      </c>
      <c r="E58" s="351" t="s">
        <v>305</v>
      </c>
      <c r="F58" s="71" t="s">
        <v>589</v>
      </c>
      <c r="G58" s="71" t="s">
        <v>41</v>
      </c>
      <c r="H58" s="71" t="s">
        <v>84</v>
      </c>
      <c r="I58" s="515" t="s">
        <v>85</v>
      </c>
      <c r="J58" s="352">
        <v>18.600000381469727</v>
      </c>
      <c r="K58" s="353">
        <f t="shared" si="0"/>
        <v>255</v>
      </c>
      <c r="L58" s="264">
        <v>255</v>
      </c>
      <c r="M58" s="263" t="e">
        <f>IF(L58="nio",0,IF(L58&gt;0,L58*J58/N58,0))*VLOOKUP(B58,'2-Kosten per locatie'!$A$14:$C$18,3,FALSE)</f>
        <v>#DIV/0!</v>
      </c>
      <c r="N58" s="354">
        <f>IF(L58="nio",0,IF(L58&gt;0,VLOOKUP(G58,'3-Productie normen'!A:L,VLOOKUP(L58,'3-Productie normen'!$B$29:$C$32,2,FALSE),FALSE)))</f>
        <v>0</v>
      </c>
      <c r="O58" s="355" t="str">
        <f>VLOOKUP(G58,'3-Productie normen'!A:H,8,FALSE)</f>
        <v>B</v>
      </c>
      <c r="P58" s="355"/>
      <c r="R58" s="356">
        <f t="shared" si="1"/>
        <v>4743.0000972747803</v>
      </c>
    </row>
    <row r="59" spans="1:18" ht="14.1" customHeight="1">
      <c r="A59" s="75">
        <v>59</v>
      </c>
      <c r="B59" s="515" t="s">
        <v>257</v>
      </c>
      <c r="C59" s="316" t="s">
        <v>573</v>
      </c>
      <c r="D59" s="350" t="s">
        <v>580</v>
      </c>
      <c r="E59" s="351" t="s">
        <v>306</v>
      </c>
      <c r="F59" s="71" t="s">
        <v>590</v>
      </c>
      <c r="G59" s="71" t="s">
        <v>41</v>
      </c>
      <c r="H59" s="71" t="s">
        <v>84</v>
      </c>
      <c r="I59" s="515" t="s">
        <v>85</v>
      </c>
      <c r="J59" s="352">
        <v>18.5</v>
      </c>
      <c r="K59" s="353">
        <f t="shared" si="0"/>
        <v>156</v>
      </c>
      <c r="L59" s="264">
        <v>156</v>
      </c>
      <c r="M59" s="263" t="e">
        <f>IF(L59="nio",0,IF(L59&gt;0,L59*J59/N59,0))*VLOOKUP(B59,'2-Kosten per locatie'!$A$14:$C$18,3,FALSE)</f>
        <v>#DIV/0!</v>
      </c>
      <c r="N59" s="354">
        <f>IF(L59="nio",0,IF(L59&gt;0,VLOOKUP(G59,'3-Productie normen'!A:L,VLOOKUP(L59,'3-Productie normen'!$B$29:$C$32,2,FALSE),FALSE)))</f>
        <v>0</v>
      </c>
      <c r="O59" s="355" t="str">
        <f>VLOOKUP(G59,'3-Productie normen'!A:H,8,FALSE)</f>
        <v>B</v>
      </c>
      <c r="P59" s="355"/>
      <c r="R59" s="356">
        <f t="shared" si="1"/>
        <v>2886</v>
      </c>
    </row>
    <row r="60" spans="1:18" ht="14.1" customHeight="1">
      <c r="A60" s="75">
        <v>60</v>
      </c>
      <c r="B60" s="515" t="s">
        <v>257</v>
      </c>
      <c r="C60" s="316" t="s">
        <v>573</v>
      </c>
      <c r="D60" s="350" t="s">
        <v>580</v>
      </c>
      <c r="E60" s="351" t="s">
        <v>307</v>
      </c>
      <c r="F60" s="71" t="s">
        <v>589</v>
      </c>
      <c r="G60" s="71" t="s">
        <v>41</v>
      </c>
      <c r="H60" s="71" t="s">
        <v>84</v>
      </c>
      <c r="I60" s="515" t="s">
        <v>85</v>
      </c>
      <c r="J60" s="352">
        <v>37.099998474121094</v>
      </c>
      <c r="K60" s="353">
        <f t="shared" si="0"/>
        <v>255</v>
      </c>
      <c r="L60" s="264">
        <v>255</v>
      </c>
      <c r="M60" s="263" t="e">
        <f>IF(L60="nio",0,IF(L60&gt;0,L60*J60/N60,0))*VLOOKUP(B60,'2-Kosten per locatie'!$A$14:$C$18,3,FALSE)</f>
        <v>#DIV/0!</v>
      </c>
      <c r="N60" s="354">
        <f>IF(L60="nio",0,IF(L60&gt;0,VLOOKUP(G60,'3-Productie normen'!A:L,VLOOKUP(L60,'3-Productie normen'!$B$29:$C$32,2,FALSE),FALSE)))</f>
        <v>0</v>
      </c>
      <c r="O60" s="355" t="str">
        <f>VLOOKUP(G60,'3-Productie normen'!A:H,8,FALSE)</f>
        <v>B</v>
      </c>
      <c r="P60" s="355"/>
      <c r="R60" s="356">
        <f t="shared" si="1"/>
        <v>9460.4996109008789</v>
      </c>
    </row>
    <row r="61" spans="1:18" ht="14.1" customHeight="1">
      <c r="A61" s="75">
        <v>61</v>
      </c>
      <c r="B61" s="515" t="s">
        <v>257</v>
      </c>
      <c r="C61" s="316" t="s">
        <v>573</v>
      </c>
      <c r="D61" s="350" t="s">
        <v>580</v>
      </c>
      <c r="E61" s="351" t="s">
        <v>308</v>
      </c>
      <c r="F61" s="71" t="s">
        <v>589</v>
      </c>
      <c r="G61" s="71" t="s">
        <v>41</v>
      </c>
      <c r="H61" s="71" t="s">
        <v>84</v>
      </c>
      <c r="I61" s="515" t="s">
        <v>85</v>
      </c>
      <c r="J61" s="352">
        <v>37.099998474121094</v>
      </c>
      <c r="K61" s="353">
        <f t="shared" si="0"/>
        <v>255</v>
      </c>
      <c r="L61" s="264">
        <v>255</v>
      </c>
      <c r="M61" s="263" t="e">
        <f>IF(L61="nio",0,IF(L61&gt;0,L61*J61/N61,0))*VLOOKUP(B61,'2-Kosten per locatie'!$A$14:$C$18,3,FALSE)</f>
        <v>#DIV/0!</v>
      </c>
      <c r="N61" s="354">
        <f>IF(L61="nio",0,IF(L61&gt;0,VLOOKUP(G61,'3-Productie normen'!A:L,VLOOKUP(L61,'3-Productie normen'!$B$29:$C$32,2,FALSE),FALSE)))</f>
        <v>0</v>
      </c>
      <c r="O61" s="355" t="str">
        <f>VLOOKUP(G61,'3-Productie normen'!A:H,8,FALSE)</f>
        <v>B</v>
      </c>
      <c r="P61" s="355"/>
      <c r="R61" s="356">
        <f t="shared" si="1"/>
        <v>9460.4996109008789</v>
      </c>
    </row>
    <row r="62" spans="1:18" ht="14.1" customHeight="1">
      <c r="A62" s="75">
        <v>62</v>
      </c>
      <c r="B62" s="515" t="s">
        <v>257</v>
      </c>
      <c r="C62" s="316" t="s">
        <v>574</v>
      </c>
      <c r="D62" s="350" t="s">
        <v>581</v>
      </c>
      <c r="E62" s="351" t="s">
        <v>309</v>
      </c>
      <c r="F62" s="71" t="s">
        <v>584</v>
      </c>
      <c r="G62" s="316" t="s">
        <v>45</v>
      </c>
      <c r="H62" s="71" t="s">
        <v>84</v>
      </c>
      <c r="I62" s="515" t="s">
        <v>85</v>
      </c>
      <c r="J62" s="352">
        <v>68.800003051757798</v>
      </c>
      <c r="K62" s="353">
        <f t="shared" si="0"/>
        <v>156</v>
      </c>
      <c r="L62" s="264">
        <v>156</v>
      </c>
      <c r="M62" s="263" t="e">
        <f>IF(L62="nio",0,IF(L62&gt;0,L62*J62/N62,0))*VLOOKUP(B62,'2-Kosten per locatie'!$A$14:$C$18,3,FALSE)</f>
        <v>#DIV/0!</v>
      </c>
      <c r="N62" s="354">
        <f>IF(L62="nio",0,IF(L62&gt;0,VLOOKUP(G62,'3-Productie normen'!A:L,VLOOKUP(L62,'3-Productie normen'!$B$29:$C$32,2,FALSE),FALSE)))</f>
        <v>0</v>
      </c>
      <c r="O62" s="355" t="str">
        <f>VLOOKUP(G62,'3-Productie normen'!A:H,8,FALSE)</f>
        <v>V</v>
      </c>
      <c r="P62" s="355"/>
      <c r="R62" s="356">
        <f t="shared" si="1"/>
        <v>10732.800476074217</v>
      </c>
    </row>
    <row r="63" spans="1:18" ht="14.1" customHeight="1">
      <c r="A63" s="75">
        <v>63</v>
      </c>
      <c r="B63" s="515" t="s">
        <v>257</v>
      </c>
      <c r="C63" s="316" t="s">
        <v>574</v>
      </c>
      <c r="D63" s="350" t="s">
        <v>581</v>
      </c>
      <c r="E63" s="351" t="s">
        <v>310</v>
      </c>
      <c r="F63" s="71" t="s">
        <v>584</v>
      </c>
      <c r="G63" s="316" t="s">
        <v>45</v>
      </c>
      <c r="H63" s="71" t="s">
        <v>84</v>
      </c>
      <c r="I63" s="515" t="s">
        <v>85</v>
      </c>
      <c r="J63" s="352">
        <v>240.19999694824219</v>
      </c>
      <c r="K63" s="353">
        <f t="shared" si="0"/>
        <v>156</v>
      </c>
      <c r="L63" s="264">
        <v>156</v>
      </c>
      <c r="M63" s="263" t="e">
        <f>IF(L63="nio",0,IF(L63&gt;0,L63*J63/N63,0))*VLOOKUP(B63,'2-Kosten per locatie'!$A$14:$C$18,3,FALSE)</f>
        <v>#DIV/0!</v>
      </c>
      <c r="N63" s="354">
        <f>IF(L63="nio",0,IF(L63&gt;0,VLOOKUP(G63,'3-Productie normen'!A:L,VLOOKUP(L63,'3-Productie normen'!$B$29:$C$32,2,FALSE),FALSE)))</f>
        <v>0</v>
      </c>
      <c r="O63" s="355" t="str">
        <f>VLOOKUP(G63,'3-Productie normen'!A:H,8,FALSE)</f>
        <v>V</v>
      </c>
      <c r="P63" s="355"/>
      <c r="R63" s="356">
        <f t="shared" si="1"/>
        <v>37471.199523925781</v>
      </c>
    </row>
    <row r="64" spans="1:18" ht="14.1" customHeight="1">
      <c r="A64" s="75">
        <v>64</v>
      </c>
      <c r="B64" s="515" t="s">
        <v>257</v>
      </c>
      <c r="C64" s="316" t="s">
        <v>574</v>
      </c>
      <c r="D64" s="350" t="s">
        <v>581</v>
      </c>
      <c r="E64" s="351" t="s">
        <v>311</v>
      </c>
      <c r="F64" s="71" t="s">
        <v>592</v>
      </c>
      <c r="G64" s="316" t="s">
        <v>45</v>
      </c>
      <c r="H64" s="71" t="s">
        <v>84</v>
      </c>
      <c r="I64" s="515" t="s">
        <v>85</v>
      </c>
      <c r="J64" s="352">
        <v>115.40000152587891</v>
      </c>
      <c r="K64" s="353">
        <f t="shared" si="0"/>
        <v>255</v>
      </c>
      <c r="L64" s="264">
        <v>255</v>
      </c>
      <c r="M64" s="263" t="e">
        <f>IF(L64="nio",0,IF(L64&gt;0,L64*J64/N64,0))*VLOOKUP(B64,'2-Kosten per locatie'!$A$14:$C$18,3,FALSE)</f>
        <v>#DIV/0!</v>
      </c>
      <c r="N64" s="354">
        <f>IF(L64="nio",0,IF(L64&gt;0,VLOOKUP(G64,'3-Productie normen'!A:L,VLOOKUP(L64,'3-Productie normen'!$B$29:$C$32,2,FALSE),FALSE)))</f>
        <v>0</v>
      </c>
      <c r="O64" s="355" t="str">
        <f>VLOOKUP(G64,'3-Productie normen'!A:H,8,FALSE)</f>
        <v>V</v>
      </c>
      <c r="P64" s="355"/>
      <c r="R64" s="356">
        <f t="shared" si="1"/>
        <v>29427.000389099121</v>
      </c>
    </row>
    <row r="65" spans="1:18" ht="14.1" customHeight="1">
      <c r="A65" s="75">
        <v>65</v>
      </c>
      <c r="B65" s="515" t="s">
        <v>257</v>
      </c>
      <c r="C65" s="316" t="s">
        <v>574</v>
      </c>
      <c r="D65" s="350" t="s">
        <v>581</v>
      </c>
      <c r="E65" s="351" t="s">
        <v>312</v>
      </c>
      <c r="F65" s="71" t="s">
        <v>592</v>
      </c>
      <c r="G65" s="316" t="s">
        <v>45</v>
      </c>
      <c r="H65" s="71" t="s">
        <v>236</v>
      </c>
      <c r="I65" s="515" t="s">
        <v>86</v>
      </c>
      <c r="J65" s="352">
        <v>9.6000003814697266</v>
      </c>
      <c r="K65" s="353">
        <f t="shared" si="0"/>
        <v>255</v>
      </c>
      <c r="L65" s="264">
        <v>255</v>
      </c>
      <c r="M65" s="263" t="e">
        <f>IF(L65="nio",0,IF(L65&gt;0,L65*J65/N65,0))*VLOOKUP(B65,'2-Kosten per locatie'!$A$14:$C$18,3,FALSE)</f>
        <v>#DIV/0!</v>
      </c>
      <c r="N65" s="354">
        <f>IF(L65="nio",0,IF(L65&gt;0,VLOOKUP(G65,'3-Productie normen'!A:L,VLOOKUP(L65,'3-Productie normen'!$B$29:$C$32,2,FALSE),FALSE)))</f>
        <v>0</v>
      </c>
      <c r="O65" s="355" t="str">
        <f>VLOOKUP(G65,'3-Productie normen'!A:H,8,FALSE)</f>
        <v>V</v>
      </c>
      <c r="P65" s="355"/>
      <c r="R65" s="356">
        <f t="shared" si="1"/>
        <v>2448.0000972747803</v>
      </c>
    </row>
    <row r="66" spans="1:18" ht="14.1" customHeight="1">
      <c r="A66" s="75">
        <v>66</v>
      </c>
      <c r="B66" s="515" t="s">
        <v>257</v>
      </c>
      <c r="C66" s="316" t="s">
        <v>574</v>
      </c>
      <c r="D66" s="350" t="s">
        <v>581</v>
      </c>
      <c r="E66" s="351" t="s">
        <v>313</v>
      </c>
      <c r="F66" s="71" t="s">
        <v>593</v>
      </c>
      <c r="G66" s="71" t="s">
        <v>50</v>
      </c>
      <c r="H66" s="71" t="s">
        <v>84</v>
      </c>
      <c r="I66" s="515" t="s">
        <v>85</v>
      </c>
      <c r="J66" s="352">
        <v>191.60000610351563</v>
      </c>
      <c r="K66" s="353">
        <f t="shared" si="0"/>
        <v>255</v>
      </c>
      <c r="L66" s="264">
        <v>255</v>
      </c>
      <c r="M66" s="263" t="e">
        <f>IF(L66="nio",0,IF(L66&gt;0,L66*J66/N66,0))*VLOOKUP(B66,'2-Kosten per locatie'!$A$14:$C$18,3,FALSE)</f>
        <v>#DIV/0!</v>
      </c>
      <c r="N66" s="354">
        <f>IF(L66="nio",0,IF(L66&gt;0,VLOOKUP(G66,'3-Productie normen'!A:L,VLOOKUP(L66,'3-Productie normen'!$B$29:$C$32,2,FALSE),FALSE)))</f>
        <v>0</v>
      </c>
      <c r="O66" s="355" t="str">
        <f>VLOOKUP(G66,'3-Productie normen'!A:H,8,FALSE)</f>
        <v>B</v>
      </c>
      <c r="P66" s="355"/>
      <c r="R66" s="356">
        <f t="shared" si="1"/>
        <v>48858.001556396484</v>
      </c>
    </row>
    <row r="67" spans="1:18" ht="14.1" customHeight="1">
      <c r="A67" s="75">
        <v>67</v>
      </c>
      <c r="B67" s="515" t="s">
        <v>257</v>
      </c>
      <c r="C67" s="316" t="s">
        <v>574</v>
      </c>
      <c r="D67" s="350" t="s">
        <v>581</v>
      </c>
      <c r="E67" s="351" t="s">
        <v>314</v>
      </c>
      <c r="F67" s="71" t="s">
        <v>585</v>
      </c>
      <c r="G67" s="316" t="s">
        <v>54</v>
      </c>
      <c r="H67" s="71" t="s">
        <v>236</v>
      </c>
      <c r="I67" s="515" t="s">
        <v>86</v>
      </c>
      <c r="J67" s="352">
        <v>18.200000762939453</v>
      </c>
      <c r="K67" s="353">
        <f t="shared" si="0"/>
        <v>156</v>
      </c>
      <c r="L67" s="264">
        <v>156</v>
      </c>
      <c r="M67" s="263" t="e">
        <f>IF(L67="nio",0,IF(L67&gt;0,L67*J67/N67,0))*VLOOKUP(B67,'2-Kosten per locatie'!$A$14:$C$18,3,FALSE)</f>
        <v>#DIV/0!</v>
      </c>
      <c r="N67" s="354">
        <f>IF(L67="nio",0,IF(L67&gt;0,VLOOKUP(G67,'3-Productie normen'!A:L,VLOOKUP(L67,'3-Productie normen'!$B$29:$C$32,2,FALSE),FALSE)))</f>
        <v>0</v>
      </c>
      <c r="O67" s="355" t="str">
        <f>VLOOKUP(G67,'3-Productie normen'!A:H,8,FALSE)</f>
        <v>V</v>
      </c>
      <c r="P67" s="355"/>
      <c r="R67" s="356">
        <f t="shared" si="1"/>
        <v>2839.2001190185547</v>
      </c>
    </row>
    <row r="68" spans="1:18" ht="14.1" customHeight="1">
      <c r="A68" s="75">
        <v>68</v>
      </c>
      <c r="B68" s="515" t="s">
        <v>257</v>
      </c>
      <c r="C68" s="316" t="s">
        <v>574</v>
      </c>
      <c r="D68" s="350" t="s">
        <v>581</v>
      </c>
      <c r="E68" s="351" t="s">
        <v>315</v>
      </c>
      <c r="F68" s="71" t="s">
        <v>588</v>
      </c>
      <c r="G68" s="71" t="s">
        <v>43</v>
      </c>
      <c r="H68" s="71" t="s">
        <v>601</v>
      </c>
      <c r="I68" s="515" t="s">
        <v>82</v>
      </c>
      <c r="J68" s="352">
        <v>6</v>
      </c>
      <c r="K68" s="353">
        <f t="shared" si="0"/>
        <v>255</v>
      </c>
      <c r="L68" s="264">
        <v>255</v>
      </c>
      <c r="M68" s="263" t="e">
        <f>IF(L68="nio",0,IF(L68&gt;0,L68*J68/N68,0))*VLOOKUP(B68,'2-Kosten per locatie'!$A$14:$C$18,3,FALSE)</f>
        <v>#DIV/0!</v>
      </c>
      <c r="N68" s="354">
        <f>IF(L68="nio",0,IF(L68&gt;0,VLOOKUP(G68,'3-Productie normen'!A:L,VLOOKUP(L68,'3-Productie normen'!$B$29:$C$32,2,FALSE),FALSE)))</f>
        <v>0</v>
      </c>
      <c r="O68" s="355" t="str">
        <f>VLOOKUP(G68,'3-Productie normen'!A:H,8,FALSE)</f>
        <v>S</v>
      </c>
      <c r="P68" s="355"/>
      <c r="R68" s="356">
        <f t="shared" si="1"/>
        <v>1530</v>
      </c>
    </row>
    <row r="69" spans="1:18" ht="14.1" customHeight="1">
      <c r="A69" s="75">
        <v>69</v>
      </c>
      <c r="B69" s="515" t="s">
        <v>257</v>
      </c>
      <c r="C69" s="316" t="s">
        <v>574</v>
      </c>
      <c r="D69" s="350" t="s">
        <v>581</v>
      </c>
      <c r="E69" s="351" t="s">
        <v>316</v>
      </c>
      <c r="F69" s="71" t="s">
        <v>587</v>
      </c>
      <c r="G69" s="71" t="s">
        <v>43</v>
      </c>
      <c r="H69" s="71" t="s">
        <v>601</v>
      </c>
      <c r="I69" s="515" t="s">
        <v>82</v>
      </c>
      <c r="J69" s="352">
        <v>6</v>
      </c>
      <c r="K69" s="353">
        <f t="shared" si="0"/>
        <v>156</v>
      </c>
      <c r="L69" s="264">
        <v>156</v>
      </c>
      <c r="M69" s="263" t="e">
        <f>IF(L69="nio",0,IF(L69&gt;0,L69*J69/N69,0))*VLOOKUP(B69,'2-Kosten per locatie'!$A$14:$C$18,3,FALSE)</f>
        <v>#DIV/0!</v>
      </c>
      <c r="N69" s="354">
        <f>IF(L69="nio",0,IF(L69&gt;0,VLOOKUP(G69,'3-Productie normen'!A:L,VLOOKUP(L69,'3-Productie normen'!$B$29:$C$32,2,FALSE),FALSE)))</f>
        <v>0</v>
      </c>
      <c r="O69" s="355" t="str">
        <f>VLOOKUP(G69,'3-Productie normen'!A:H,8,FALSE)</f>
        <v>S</v>
      </c>
      <c r="P69" s="355"/>
      <c r="R69" s="356">
        <f t="shared" si="1"/>
        <v>936</v>
      </c>
    </row>
    <row r="70" spans="1:18" ht="14.1" customHeight="1">
      <c r="A70" s="75">
        <v>70</v>
      </c>
      <c r="B70" s="515" t="s">
        <v>257</v>
      </c>
      <c r="C70" s="316" t="s">
        <v>574</v>
      </c>
      <c r="D70" s="350" t="s">
        <v>581</v>
      </c>
      <c r="E70" s="351" t="s">
        <v>317</v>
      </c>
      <c r="F70" s="71" t="s">
        <v>588</v>
      </c>
      <c r="G70" s="71" t="s">
        <v>43</v>
      </c>
      <c r="H70" s="71" t="s">
        <v>601</v>
      </c>
      <c r="I70" s="515" t="s">
        <v>82</v>
      </c>
      <c r="J70" s="352">
        <v>1.7000000476837158</v>
      </c>
      <c r="K70" s="353">
        <f t="shared" si="0"/>
        <v>255</v>
      </c>
      <c r="L70" s="264">
        <v>255</v>
      </c>
      <c r="M70" s="263" t="e">
        <f>IF(L70="nio",0,IF(L70&gt;0,L70*J70/N70,0))*VLOOKUP(B70,'2-Kosten per locatie'!$A$14:$C$18,3,FALSE)</f>
        <v>#DIV/0!</v>
      </c>
      <c r="N70" s="354">
        <f>IF(L70="nio",0,IF(L70&gt;0,VLOOKUP(G70,'3-Productie normen'!A:L,VLOOKUP(L70,'3-Productie normen'!$B$29:$C$32,2,FALSE),FALSE)))</f>
        <v>0</v>
      </c>
      <c r="O70" s="355" t="str">
        <f>VLOOKUP(G70,'3-Productie normen'!A:H,8,FALSE)</f>
        <v>S</v>
      </c>
      <c r="P70" s="355"/>
      <c r="R70" s="356">
        <f t="shared" si="1"/>
        <v>433.50001215934753</v>
      </c>
    </row>
    <row r="71" spans="1:18" ht="14.1" customHeight="1">
      <c r="A71" s="75">
        <v>71</v>
      </c>
      <c r="B71" s="515" t="s">
        <v>257</v>
      </c>
      <c r="C71" s="316" t="s">
        <v>574</v>
      </c>
      <c r="D71" s="350" t="s">
        <v>581</v>
      </c>
      <c r="E71" s="351" t="s">
        <v>318</v>
      </c>
      <c r="F71" s="71" t="s">
        <v>588</v>
      </c>
      <c r="G71" s="71" t="s">
        <v>43</v>
      </c>
      <c r="H71" s="71" t="s">
        <v>601</v>
      </c>
      <c r="I71" s="515" t="s">
        <v>82</v>
      </c>
      <c r="J71" s="352">
        <v>1.7000000476837158</v>
      </c>
      <c r="K71" s="353">
        <f t="shared" si="0"/>
        <v>255</v>
      </c>
      <c r="L71" s="264">
        <v>255</v>
      </c>
      <c r="M71" s="263" t="e">
        <f>IF(L71="nio",0,IF(L71&gt;0,L71*J71/N71,0))*VLOOKUP(B71,'2-Kosten per locatie'!$A$14:$C$18,3,FALSE)</f>
        <v>#DIV/0!</v>
      </c>
      <c r="N71" s="354">
        <f>IF(L71="nio",0,IF(L71&gt;0,VLOOKUP(G71,'3-Productie normen'!A:L,VLOOKUP(L71,'3-Productie normen'!$B$29:$C$32,2,FALSE),FALSE)))</f>
        <v>0</v>
      </c>
      <c r="O71" s="355" t="str">
        <f>VLOOKUP(G71,'3-Productie normen'!A:H,8,FALSE)</f>
        <v>S</v>
      </c>
      <c r="P71" s="355"/>
      <c r="R71" s="356">
        <f t="shared" si="1"/>
        <v>433.50001215934753</v>
      </c>
    </row>
    <row r="72" spans="1:18" ht="14.1" customHeight="1">
      <c r="A72" s="75">
        <v>72</v>
      </c>
      <c r="B72" s="515" t="s">
        <v>257</v>
      </c>
      <c r="C72" s="316" t="s">
        <v>574</v>
      </c>
      <c r="D72" s="350" t="s">
        <v>581</v>
      </c>
      <c r="E72" s="351" t="s">
        <v>319</v>
      </c>
      <c r="F72" s="71" t="s">
        <v>588</v>
      </c>
      <c r="G72" s="71" t="s">
        <v>43</v>
      </c>
      <c r="H72" s="71" t="s">
        <v>601</v>
      </c>
      <c r="I72" s="515" t="s">
        <v>82</v>
      </c>
      <c r="J72" s="352">
        <v>1.7000000476837158</v>
      </c>
      <c r="K72" s="353">
        <f t="shared" si="0"/>
        <v>255</v>
      </c>
      <c r="L72" s="264">
        <v>255</v>
      </c>
      <c r="M72" s="263" t="e">
        <f>IF(L72="nio",0,IF(L72&gt;0,L72*J72/N72,0))*VLOOKUP(B72,'2-Kosten per locatie'!$A$14:$C$18,3,FALSE)</f>
        <v>#DIV/0!</v>
      </c>
      <c r="N72" s="354">
        <f>IF(L72="nio",0,IF(L72&gt;0,VLOOKUP(G72,'3-Productie normen'!A:L,VLOOKUP(L72,'3-Productie normen'!$B$29:$C$32,2,FALSE),FALSE)))</f>
        <v>0</v>
      </c>
      <c r="O72" s="355" t="str">
        <f>VLOOKUP(G72,'3-Productie normen'!A:H,8,FALSE)</f>
        <v>S</v>
      </c>
      <c r="P72" s="355"/>
      <c r="R72" s="356">
        <f t="shared" si="1"/>
        <v>433.50001215934753</v>
      </c>
    </row>
    <row r="73" spans="1:18" ht="14.1" customHeight="1">
      <c r="A73" s="75">
        <v>73</v>
      </c>
      <c r="B73" s="515" t="s">
        <v>257</v>
      </c>
      <c r="C73" s="316" t="s">
        <v>574</v>
      </c>
      <c r="D73" s="350" t="s">
        <v>581</v>
      </c>
      <c r="E73" s="351" t="s">
        <v>320</v>
      </c>
      <c r="F73" s="71" t="s">
        <v>587</v>
      </c>
      <c r="G73" s="71" t="s">
        <v>43</v>
      </c>
      <c r="H73" s="71" t="s">
        <v>601</v>
      </c>
      <c r="I73" s="515" t="s">
        <v>82</v>
      </c>
      <c r="J73" s="352">
        <v>4</v>
      </c>
      <c r="K73" s="353">
        <f t="shared" ref="K73:K135" si="2">SUM(L73:L73)</f>
        <v>156</v>
      </c>
      <c r="L73" s="264">
        <v>156</v>
      </c>
      <c r="M73" s="263" t="e">
        <f>IF(L73="nio",0,IF(L73&gt;0,L73*J73/N73,0))*VLOOKUP(B73,'2-Kosten per locatie'!$A$14:$C$18,3,FALSE)</f>
        <v>#DIV/0!</v>
      </c>
      <c r="N73" s="354">
        <f>IF(L73="nio",0,IF(L73&gt;0,VLOOKUP(G73,'3-Productie normen'!A:L,VLOOKUP(L73,'3-Productie normen'!$B$29:$C$32,2,FALSE),FALSE)))</f>
        <v>0</v>
      </c>
      <c r="O73" s="355" t="str">
        <f>VLOOKUP(G73,'3-Productie normen'!A:H,8,FALSE)</f>
        <v>S</v>
      </c>
      <c r="P73" s="355"/>
      <c r="R73" s="356">
        <f t="shared" ref="R73:R135" si="3">K73*J73</f>
        <v>624</v>
      </c>
    </row>
    <row r="74" spans="1:18" ht="14.1" customHeight="1">
      <c r="A74" s="75">
        <v>74</v>
      </c>
      <c r="B74" s="515" t="s">
        <v>257</v>
      </c>
      <c r="C74" s="316" t="s">
        <v>574</v>
      </c>
      <c r="D74" s="350" t="s">
        <v>581</v>
      </c>
      <c r="E74" s="351" t="s">
        <v>321</v>
      </c>
      <c r="F74" s="71" t="s">
        <v>588</v>
      </c>
      <c r="G74" s="71" t="s">
        <v>43</v>
      </c>
      <c r="H74" s="71" t="s">
        <v>601</v>
      </c>
      <c r="I74" s="515" t="s">
        <v>82</v>
      </c>
      <c r="J74" s="352">
        <v>1.7000000476837158</v>
      </c>
      <c r="K74" s="353">
        <f t="shared" si="2"/>
        <v>255</v>
      </c>
      <c r="L74" s="264">
        <v>255</v>
      </c>
      <c r="M74" s="263" t="e">
        <f>IF(L74="nio",0,IF(L74&gt;0,L74*J74/N74,0))*VLOOKUP(B74,'2-Kosten per locatie'!$A$14:$C$18,3,FALSE)</f>
        <v>#DIV/0!</v>
      </c>
      <c r="N74" s="354">
        <f>IF(L74="nio",0,IF(L74&gt;0,VLOOKUP(G74,'3-Productie normen'!A:L,VLOOKUP(L74,'3-Productie normen'!$B$29:$C$32,2,FALSE),FALSE)))</f>
        <v>0</v>
      </c>
      <c r="O74" s="355" t="str">
        <f>VLOOKUP(G74,'3-Productie normen'!A:H,8,FALSE)</f>
        <v>S</v>
      </c>
      <c r="P74" s="355"/>
      <c r="R74" s="356">
        <f t="shared" si="3"/>
        <v>433.50001215934753</v>
      </c>
    </row>
    <row r="75" spans="1:18" ht="14.1" customHeight="1">
      <c r="A75" s="75">
        <v>75</v>
      </c>
      <c r="B75" s="515" t="s">
        <v>257</v>
      </c>
      <c r="C75" s="316" t="s">
        <v>574</v>
      </c>
      <c r="D75" s="350" t="s">
        <v>581</v>
      </c>
      <c r="E75" s="351" t="s">
        <v>322</v>
      </c>
      <c r="F75" s="71" t="s">
        <v>588</v>
      </c>
      <c r="G75" s="71" t="s">
        <v>43</v>
      </c>
      <c r="H75" s="71" t="s">
        <v>601</v>
      </c>
      <c r="I75" s="515" t="s">
        <v>82</v>
      </c>
      <c r="J75" s="352">
        <v>1.7000000476837158</v>
      </c>
      <c r="K75" s="353">
        <f t="shared" si="2"/>
        <v>255</v>
      </c>
      <c r="L75" s="264">
        <v>255</v>
      </c>
      <c r="M75" s="263" t="e">
        <f>IF(L75="nio",0,IF(L75&gt;0,L75*J75/N75,0))*VLOOKUP(B75,'2-Kosten per locatie'!$A$14:$C$18,3,FALSE)</f>
        <v>#DIV/0!</v>
      </c>
      <c r="N75" s="354">
        <f>IF(L75="nio",0,IF(L75&gt;0,VLOOKUP(G75,'3-Productie normen'!A:L,VLOOKUP(L75,'3-Productie normen'!$B$29:$C$32,2,FALSE),FALSE)))</f>
        <v>0</v>
      </c>
      <c r="O75" s="355" t="str">
        <f>VLOOKUP(G75,'3-Productie normen'!A:H,8,FALSE)</f>
        <v>S</v>
      </c>
      <c r="P75" s="355"/>
      <c r="R75" s="356">
        <f t="shared" si="3"/>
        <v>433.50001215934753</v>
      </c>
    </row>
    <row r="76" spans="1:18" ht="14.1" customHeight="1">
      <c r="A76" s="75">
        <v>76</v>
      </c>
      <c r="B76" s="515" t="s">
        <v>257</v>
      </c>
      <c r="C76" s="316" t="s">
        <v>574</v>
      </c>
      <c r="D76" s="350" t="s">
        <v>581</v>
      </c>
      <c r="E76" s="351" t="s">
        <v>323</v>
      </c>
      <c r="F76" s="71" t="s">
        <v>594</v>
      </c>
      <c r="G76" s="71" t="s">
        <v>45</v>
      </c>
      <c r="H76" s="71" t="s">
        <v>236</v>
      </c>
      <c r="I76" s="515" t="s">
        <v>86</v>
      </c>
      <c r="J76" s="352">
        <v>15.600000381469727</v>
      </c>
      <c r="K76" s="353">
        <f t="shared" si="2"/>
        <v>156</v>
      </c>
      <c r="L76" s="264">
        <v>156</v>
      </c>
      <c r="M76" s="263" t="e">
        <f>IF(L76="nio",0,IF(L76&gt;0,L76*J76/N76,0))*VLOOKUP(B76,'2-Kosten per locatie'!$A$14:$C$18,3,FALSE)</f>
        <v>#DIV/0!</v>
      </c>
      <c r="N76" s="354">
        <f>IF(L76="nio",0,IF(L76&gt;0,VLOOKUP(G76,'3-Productie normen'!A:L,VLOOKUP(L76,'3-Productie normen'!$B$29:$C$32,2,FALSE),FALSE)))</f>
        <v>0</v>
      </c>
      <c r="O76" s="355" t="str">
        <f>VLOOKUP(G76,'3-Productie normen'!A:H,8,FALSE)</f>
        <v>V</v>
      </c>
      <c r="P76" s="355"/>
      <c r="R76" s="356">
        <f t="shared" si="3"/>
        <v>2433.6000595092773</v>
      </c>
    </row>
    <row r="77" spans="1:18" ht="14.1" customHeight="1">
      <c r="A77" s="75">
        <v>77</v>
      </c>
      <c r="B77" s="515" t="s">
        <v>257</v>
      </c>
      <c r="C77" s="316" t="s">
        <v>574</v>
      </c>
      <c r="D77" s="350" t="s">
        <v>581</v>
      </c>
      <c r="E77" s="351" t="s">
        <v>324</v>
      </c>
      <c r="F77" s="71" t="s">
        <v>585</v>
      </c>
      <c r="G77" s="316" t="s">
        <v>54</v>
      </c>
      <c r="H77" s="71" t="s">
        <v>236</v>
      </c>
      <c r="I77" s="515" t="s">
        <v>86</v>
      </c>
      <c r="J77" s="352">
        <v>17.5</v>
      </c>
      <c r="K77" s="353">
        <f t="shared" si="2"/>
        <v>156</v>
      </c>
      <c r="L77" s="264">
        <v>156</v>
      </c>
      <c r="M77" s="263" t="e">
        <f>IF(L77="nio",0,IF(L77&gt;0,L77*J77/N77,0))*VLOOKUP(B77,'2-Kosten per locatie'!$A$14:$C$18,3,FALSE)</f>
        <v>#DIV/0!</v>
      </c>
      <c r="N77" s="354">
        <f>IF(L77="nio",0,IF(L77&gt;0,VLOOKUP(G77,'3-Productie normen'!A:L,VLOOKUP(L77,'3-Productie normen'!$B$29:$C$32,2,FALSE),FALSE)))</f>
        <v>0</v>
      </c>
      <c r="O77" s="355" t="str">
        <f>VLOOKUP(G77,'3-Productie normen'!A:H,8,FALSE)</f>
        <v>V</v>
      </c>
      <c r="P77" s="355"/>
      <c r="R77" s="356">
        <f t="shared" si="3"/>
        <v>2730</v>
      </c>
    </row>
    <row r="78" spans="1:18" ht="14.1" customHeight="1">
      <c r="A78" s="75">
        <v>78</v>
      </c>
      <c r="B78" s="515" t="s">
        <v>257</v>
      </c>
      <c r="C78" s="316" t="s">
        <v>574</v>
      </c>
      <c r="D78" s="350" t="s">
        <v>581</v>
      </c>
      <c r="E78" s="351" t="s">
        <v>325</v>
      </c>
      <c r="F78" s="71" t="s">
        <v>593</v>
      </c>
      <c r="G78" s="71" t="s">
        <v>50</v>
      </c>
      <c r="H78" s="71" t="s">
        <v>84</v>
      </c>
      <c r="I78" s="515" t="s">
        <v>85</v>
      </c>
      <c r="J78" s="352">
        <v>49</v>
      </c>
      <c r="K78" s="353">
        <f t="shared" si="2"/>
        <v>255</v>
      </c>
      <c r="L78" s="264">
        <v>255</v>
      </c>
      <c r="M78" s="263" t="e">
        <f>IF(L78="nio",0,IF(L78&gt;0,L78*J78/N78,0))*VLOOKUP(B78,'2-Kosten per locatie'!$A$14:$C$18,3,FALSE)</f>
        <v>#DIV/0!</v>
      </c>
      <c r="N78" s="354">
        <f>IF(L78="nio",0,IF(L78&gt;0,VLOOKUP(G78,'3-Productie normen'!A:L,VLOOKUP(L78,'3-Productie normen'!$B$29:$C$32,2,FALSE),FALSE)))</f>
        <v>0</v>
      </c>
      <c r="O78" s="355" t="str">
        <f>VLOOKUP(G78,'3-Productie normen'!A:H,8,FALSE)</f>
        <v>B</v>
      </c>
      <c r="P78" s="355"/>
      <c r="R78" s="356">
        <f t="shared" si="3"/>
        <v>12495</v>
      </c>
    </row>
    <row r="79" spans="1:18" ht="14.1" customHeight="1">
      <c r="A79" s="75">
        <v>79</v>
      </c>
      <c r="B79" s="515" t="s">
        <v>257</v>
      </c>
      <c r="C79" s="316" t="s">
        <v>574</v>
      </c>
      <c r="D79" s="350" t="s">
        <v>581</v>
      </c>
      <c r="E79" s="351" t="s">
        <v>326</v>
      </c>
      <c r="F79" s="71" t="s">
        <v>593</v>
      </c>
      <c r="G79" s="71" t="s">
        <v>50</v>
      </c>
      <c r="H79" s="71" t="s">
        <v>84</v>
      </c>
      <c r="I79" s="515" t="s">
        <v>85</v>
      </c>
      <c r="J79" s="352">
        <v>49</v>
      </c>
      <c r="K79" s="353">
        <f t="shared" si="2"/>
        <v>255</v>
      </c>
      <c r="L79" s="264">
        <v>255</v>
      </c>
      <c r="M79" s="263" t="e">
        <f>IF(L79="nio",0,IF(L79&gt;0,L79*J79/N79,0))*VLOOKUP(B79,'2-Kosten per locatie'!$A$14:$C$18,3,FALSE)</f>
        <v>#DIV/0!</v>
      </c>
      <c r="N79" s="354">
        <f>IF(L79="nio",0,IF(L79&gt;0,VLOOKUP(G79,'3-Productie normen'!A:L,VLOOKUP(L79,'3-Productie normen'!$B$29:$C$32,2,FALSE),FALSE)))</f>
        <v>0</v>
      </c>
      <c r="O79" s="355" t="str">
        <f>VLOOKUP(G79,'3-Productie normen'!A:H,8,FALSE)</f>
        <v>B</v>
      </c>
      <c r="P79" s="355"/>
      <c r="R79" s="356">
        <f t="shared" si="3"/>
        <v>12495</v>
      </c>
    </row>
    <row r="80" spans="1:18" ht="14.1" customHeight="1">
      <c r="A80" s="75">
        <v>80</v>
      </c>
      <c r="B80" s="515" t="s">
        <v>257</v>
      </c>
      <c r="C80" s="316" t="s">
        <v>574</v>
      </c>
      <c r="D80" s="350" t="s">
        <v>581</v>
      </c>
      <c r="E80" s="351" t="s">
        <v>327</v>
      </c>
      <c r="F80" s="71" t="s">
        <v>593</v>
      </c>
      <c r="G80" s="71" t="s">
        <v>50</v>
      </c>
      <c r="H80" s="71" t="s">
        <v>84</v>
      </c>
      <c r="I80" s="515" t="s">
        <v>85</v>
      </c>
      <c r="J80" s="352">
        <v>24.700000762939453</v>
      </c>
      <c r="K80" s="353">
        <f t="shared" si="2"/>
        <v>255</v>
      </c>
      <c r="L80" s="264">
        <v>255</v>
      </c>
      <c r="M80" s="263" t="e">
        <f>IF(L80="nio",0,IF(L80&gt;0,L80*J80/N80,0))*VLOOKUP(B80,'2-Kosten per locatie'!$A$14:$C$18,3,FALSE)</f>
        <v>#DIV/0!</v>
      </c>
      <c r="N80" s="354">
        <f>IF(L80="nio",0,IF(L80&gt;0,VLOOKUP(G80,'3-Productie normen'!A:L,VLOOKUP(L80,'3-Productie normen'!$B$29:$C$32,2,FALSE),FALSE)))</f>
        <v>0</v>
      </c>
      <c r="O80" s="355" t="str">
        <f>VLOOKUP(G80,'3-Productie normen'!A:H,8,FALSE)</f>
        <v>B</v>
      </c>
      <c r="P80" s="355"/>
      <c r="R80" s="356">
        <f t="shared" si="3"/>
        <v>6298.5001945495605</v>
      </c>
    </row>
    <row r="81" spans="1:18" ht="14.1" customHeight="1">
      <c r="A81" s="75">
        <v>81</v>
      </c>
      <c r="B81" s="515" t="s">
        <v>257</v>
      </c>
      <c r="C81" s="316" t="s">
        <v>574</v>
      </c>
      <c r="D81" s="350" t="s">
        <v>581</v>
      </c>
      <c r="E81" s="351" t="s">
        <v>328</v>
      </c>
      <c r="F81" s="71" t="s">
        <v>593</v>
      </c>
      <c r="G81" s="71" t="s">
        <v>50</v>
      </c>
      <c r="H81" s="71" t="s">
        <v>84</v>
      </c>
      <c r="I81" s="515" t="s">
        <v>85</v>
      </c>
      <c r="J81" s="352">
        <v>24.700000762939453</v>
      </c>
      <c r="K81" s="353">
        <f t="shared" si="2"/>
        <v>255</v>
      </c>
      <c r="L81" s="264">
        <v>255</v>
      </c>
      <c r="M81" s="263" t="e">
        <f>IF(L81="nio",0,IF(L81&gt;0,L81*J81/N81,0))*VLOOKUP(B81,'2-Kosten per locatie'!$A$14:$C$18,3,FALSE)</f>
        <v>#DIV/0!</v>
      </c>
      <c r="N81" s="354">
        <f>IF(L81="nio",0,IF(L81&gt;0,VLOOKUP(G81,'3-Productie normen'!A:L,VLOOKUP(L81,'3-Productie normen'!$B$29:$C$32,2,FALSE),FALSE)))</f>
        <v>0</v>
      </c>
      <c r="O81" s="355" t="str">
        <f>VLOOKUP(G81,'3-Productie normen'!A:H,8,FALSE)</f>
        <v>B</v>
      </c>
      <c r="P81" s="355"/>
      <c r="R81" s="356">
        <f t="shared" si="3"/>
        <v>6298.5001945495605</v>
      </c>
    </row>
    <row r="82" spans="1:18" ht="14.1" customHeight="1">
      <c r="A82" s="75">
        <v>82</v>
      </c>
      <c r="B82" s="515" t="s">
        <v>257</v>
      </c>
      <c r="C82" s="316" t="s">
        <v>574</v>
      </c>
      <c r="D82" s="350" t="s">
        <v>581</v>
      </c>
      <c r="E82" s="351" t="s">
        <v>329</v>
      </c>
      <c r="F82" s="71" t="s">
        <v>593</v>
      </c>
      <c r="G82" s="71" t="s">
        <v>50</v>
      </c>
      <c r="H82" s="71" t="s">
        <v>84</v>
      </c>
      <c r="I82" s="515" t="s">
        <v>85</v>
      </c>
      <c r="J82" s="352">
        <v>24.700000762939453</v>
      </c>
      <c r="K82" s="353">
        <f t="shared" si="2"/>
        <v>255</v>
      </c>
      <c r="L82" s="264">
        <v>255</v>
      </c>
      <c r="M82" s="263" t="e">
        <f>IF(L82="nio",0,IF(L82&gt;0,L82*J82/N82,0))*VLOOKUP(B82,'2-Kosten per locatie'!$A$14:$C$18,3,FALSE)</f>
        <v>#DIV/0!</v>
      </c>
      <c r="N82" s="354">
        <f>IF(L82="nio",0,IF(L82&gt;0,VLOOKUP(G82,'3-Productie normen'!A:L,VLOOKUP(L82,'3-Productie normen'!$B$29:$C$32,2,FALSE),FALSE)))</f>
        <v>0</v>
      </c>
      <c r="O82" s="355" t="str">
        <f>VLOOKUP(G82,'3-Productie normen'!A:H,8,FALSE)</f>
        <v>B</v>
      </c>
      <c r="P82" s="355"/>
      <c r="R82" s="356">
        <f t="shared" si="3"/>
        <v>6298.5001945495605</v>
      </c>
    </row>
    <row r="83" spans="1:18" ht="14.1" customHeight="1">
      <c r="A83" s="75">
        <v>83</v>
      </c>
      <c r="B83" s="515" t="s">
        <v>257</v>
      </c>
      <c r="C83" s="316" t="s">
        <v>574</v>
      </c>
      <c r="D83" s="350" t="s">
        <v>581</v>
      </c>
      <c r="E83" s="351" t="s">
        <v>330</v>
      </c>
      <c r="F83" s="71" t="s">
        <v>593</v>
      </c>
      <c r="G83" s="71" t="s">
        <v>50</v>
      </c>
      <c r="H83" s="71" t="s">
        <v>84</v>
      </c>
      <c r="I83" s="515" t="s">
        <v>85</v>
      </c>
      <c r="J83" s="352">
        <v>24.700000762939453</v>
      </c>
      <c r="K83" s="353">
        <f t="shared" si="2"/>
        <v>255</v>
      </c>
      <c r="L83" s="264">
        <v>255</v>
      </c>
      <c r="M83" s="263" t="e">
        <f>IF(L83="nio",0,IF(L83&gt;0,L83*J83/N83,0))*VLOOKUP(B83,'2-Kosten per locatie'!$A$14:$C$18,3,FALSE)</f>
        <v>#DIV/0!</v>
      </c>
      <c r="N83" s="354">
        <f>IF(L83="nio",0,IF(L83&gt;0,VLOOKUP(G83,'3-Productie normen'!A:L,VLOOKUP(L83,'3-Productie normen'!$B$29:$C$32,2,FALSE),FALSE)))</f>
        <v>0</v>
      </c>
      <c r="O83" s="355" t="str">
        <f>VLOOKUP(G83,'3-Productie normen'!A:H,8,FALSE)</f>
        <v>B</v>
      </c>
      <c r="P83" s="355"/>
      <c r="R83" s="356">
        <f t="shared" si="3"/>
        <v>6298.5001945495605</v>
      </c>
    </row>
    <row r="84" spans="1:18" ht="14.1" customHeight="1">
      <c r="A84" s="75">
        <v>84</v>
      </c>
      <c r="B84" s="515" t="s">
        <v>257</v>
      </c>
      <c r="C84" s="316" t="s">
        <v>574</v>
      </c>
      <c r="D84" s="350" t="s">
        <v>581</v>
      </c>
      <c r="E84" s="351" t="s">
        <v>331</v>
      </c>
      <c r="F84" s="71" t="s">
        <v>593</v>
      </c>
      <c r="G84" s="71" t="s">
        <v>50</v>
      </c>
      <c r="H84" s="71" t="s">
        <v>84</v>
      </c>
      <c r="I84" s="515" t="s">
        <v>85</v>
      </c>
      <c r="J84" s="352">
        <v>59.599998474121094</v>
      </c>
      <c r="K84" s="353">
        <f t="shared" si="2"/>
        <v>255</v>
      </c>
      <c r="L84" s="264">
        <v>255</v>
      </c>
      <c r="M84" s="263" t="e">
        <f>IF(L84="nio",0,IF(L84&gt;0,L84*J84/N84,0))*VLOOKUP(B84,'2-Kosten per locatie'!$A$14:$C$18,3,FALSE)</f>
        <v>#DIV/0!</v>
      </c>
      <c r="N84" s="354">
        <f>IF(L84="nio",0,IF(L84&gt;0,VLOOKUP(G84,'3-Productie normen'!A:L,VLOOKUP(L84,'3-Productie normen'!$B$29:$C$32,2,FALSE),FALSE)))</f>
        <v>0</v>
      </c>
      <c r="O84" s="355" t="str">
        <f>VLOOKUP(G84,'3-Productie normen'!A:H,8,FALSE)</f>
        <v>B</v>
      </c>
      <c r="P84" s="355"/>
      <c r="R84" s="356">
        <f t="shared" si="3"/>
        <v>15197.999610900879</v>
      </c>
    </row>
    <row r="85" spans="1:18" ht="14.1" customHeight="1">
      <c r="A85" s="75">
        <v>85</v>
      </c>
      <c r="B85" s="515" t="s">
        <v>257</v>
      </c>
      <c r="C85" s="316" t="s">
        <v>574</v>
      </c>
      <c r="D85" s="350" t="s">
        <v>581</v>
      </c>
      <c r="E85" s="351" t="s">
        <v>332</v>
      </c>
      <c r="F85" s="71" t="s">
        <v>593</v>
      </c>
      <c r="G85" s="71" t="s">
        <v>50</v>
      </c>
      <c r="H85" s="71" t="s">
        <v>84</v>
      </c>
      <c r="I85" s="515" t="s">
        <v>85</v>
      </c>
      <c r="J85" s="352">
        <v>36.400001525878906</v>
      </c>
      <c r="K85" s="353">
        <f t="shared" si="2"/>
        <v>255</v>
      </c>
      <c r="L85" s="264">
        <v>255</v>
      </c>
      <c r="M85" s="263" t="e">
        <f>IF(L85="nio",0,IF(L85&gt;0,L85*J85/N85,0))*VLOOKUP(B85,'2-Kosten per locatie'!$A$14:$C$18,3,FALSE)</f>
        <v>#DIV/0!</v>
      </c>
      <c r="N85" s="354">
        <f>IF(L85="nio",0,IF(L85&gt;0,VLOOKUP(G85,'3-Productie normen'!A:L,VLOOKUP(L85,'3-Productie normen'!$B$29:$C$32,2,FALSE),FALSE)))</f>
        <v>0</v>
      </c>
      <c r="O85" s="355" t="str">
        <f>VLOOKUP(G85,'3-Productie normen'!A:H,8,FALSE)</f>
        <v>B</v>
      </c>
      <c r="P85" s="355"/>
      <c r="R85" s="356">
        <f t="shared" si="3"/>
        <v>9282.0003890991211</v>
      </c>
    </row>
    <row r="86" spans="1:18" ht="14.1" customHeight="1">
      <c r="A86" s="75">
        <v>86</v>
      </c>
      <c r="B86" s="515" t="s">
        <v>257</v>
      </c>
      <c r="C86" s="316" t="s">
        <v>574</v>
      </c>
      <c r="D86" s="350" t="s">
        <v>581</v>
      </c>
      <c r="E86" s="351" t="s">
        <v>333</v>
      </c>
      <c r="F86" s="71" t="s">
        <v>593</v>
      </c>
      <c r="G86" s="71" t="s">
        <v>50</v>
      </c>
      <c r="H86" s="71" t="s">
        <v>84</v>
      </c>
      <c r="I86" s="515" t="s">
        <v>85</v>
      </c>
      <c r="J86" s="352">
        <v>21.299999237060547</v>
      </c>
      <c r="K86" s="353">
        <f t="shared" si="2"/>
        <v>255</v>
      </c>
      <c r="L86" s="264">
        <v>255</v>
      </c>
      <c r="M86" s="263" t="e">
        <f>IF(L86="nio",0,IF(L86&gt;0,L86*J86/N86,0))*VLOOKUP(B86,'2-Kosten per locatie'!$A$14:$C$18,3,FALSE)</f>
        <v>#DIV/0!</v>
      </c>
      <c r="N86" s="354">
        <f>IF(L86="nio",0,IF(L86&gt;0,VLOOKUP(G86,'3-Productie normen'!A:L,VLOOKUP(L86,'3-Productie normen'!$B$29:$C$32,2,FALSE),FALSE)))</f>
        <v>0</v>
      </c>
      <c r="O86" s="355" t="str">
        <f>VLOOKUP(G86,'3-Productie normen'!A:H,8,FALSE)</f>
        <v>B</v>
      </c>
      <c r="P86" s="355"/>
      <c r="R86" s="356">
        <f t="shared" si="3"/>
        <v>5431.4998054504395</v>
      </c>
    </row>
    <row r="87" spans="1:18" ht="14.1" customHeight="1">
      <c r="A87" s="75">
        <v>87</v>
      </c>
      <c r="B87" s="515" t="s">
        <v>257</v>
      </c>
      <c r="C87" s="316" t="s">
        <v>574</v>
      </c>
      <c r="D87" s="350" t="s">
        <v>581</v>
      </c>
      <c r="E87" s="351" t="s">
        <v>334</v>
      </c>
      <c r="F87" s="71" t="s">
        <v>593</v>
      </c>
      <c r="G87" s="71" t="s">
        <v>50</v>
      </c>
      <c r="H87" s="71" t="s">
        <v>84</v>
      </c>
      <c r="I87" s="515" t="s">
        <v>85</v>
      </c>
      <c r="J87" s="352">
        <v>21.299999237060547</v>
      </c>
      <c r="K87" s="353">
        <f t="shared" si="2"/>
        <v>255</v>
      </c>
      <c r="L87" s="264">
        <v>255</v>
      </c>
      <c r="M87" s="263" t="e">
        <f>IF(L87="nio",0,IF(L87&gt;0,L87*J87/N87,0))*VLOOKUP(B87,'2-Kosten per locatie'!$A$14:$C$18,3,FALSE)</f>
        <v>#DIV/0!</v>
      </c>
      <c r="N87" s="354">
        <f>IF(L87="nio",0,IF(L87&gt;0,VLOOKUP(G87,'3-Productie normen'!A:L,VLOOKUP(L87,'3-Productie normen'!$B$29:$C$32,2,FALSE),FALSE)))</f>
        <v>0</v>
      </c>
      <c r="O87" s="355" t="str">
        <f>VLOOKUP(G87,'3-Productie normen'!A:H,8,FALSE)</f>
        <v>B</v>
      </c>
      <c r="P87" s="355"/>
      <c r="R87" s="356">
        <f t="shared" si="3"/>
        <v>5431.4998054504395</v>
      </c>
    </row>
    <row r="88" spans="1:18" ht="14.1" customHeight="1">
      <c r="A88" s="75">
        <v>88</v>
      </c>
      <c r="B88" s="515" t="s">
        <v>257</v>
      </c>
      <c r="C88" s="316" t="s">
        <v>574</v>
      </c>
      <c r="D88" s="350" t="s">
        <v>581</v>
      </c>
      <c r="E88" s="351" t="s">
        <v>335</v>
      </c>
      <c r="F88" s="71" t="s">
        <v>593</v>
      </c>
      <c r="G88" s="71" t="s">
        <v>50</v>
      </c>
      <c r="H88" s="71" t="s">
        <v>84</v>
      </c>
      <c r="I88" s="515" t="s">
        <v>85</v>
      </c>
      <c r="J88" s="352">
        <v>117.40000152587891</v>
      </c>
      <c r="K88" s="353">
        <f t="shared" si="2"/>
        <v>255</v>
      </c>
      <c r="L88" s="264">
        <v>255</v>
      </c>
      <c r="M88" s="263" t="e">
        <f>IF(L88="nio",0,IF(L88&gt;0,L88*J88/N88,0))*VLOOKUP(B88,'2-Kosten per locatie'!$A$14:$C$18,3,FALSE)</f>
        <v>#DIV/0!</v>
      </c>
      <c r="N88" s="354">
        <f>IF(L88="nio",0,IF(L88&gt;0,VLOOKUP(G88,'3-Productie normen'!A:L,VLOOKUP(L88,'3-Productie normen'!$B$29:$C$32,2,FALSE),FALSE)))</f>
        <v>0</v>
      </c>
      <c r="O88" s="355" t="str">
        <f>VLOOKUP(G88,'3-Productie normen'!A:H,8,FALSE)</f>
        <v>B</v>
      </c>
      <c r="P88" s="355"/>
      <c r="R88" s="356">
        <f t="shared" si="3"/>
        <v>29937.000389099121</v>
      </c>
    </row>
    <row r="89" spans="1:18" ht="14.1" customHeight="1">
      <c r="A89" s="75">
        <v>89</v>
      </c>
      <c r="B89" s="515" t="s">
        <v>257</v>
      </c>
      <c r="C89" s="316" t="s">
        <v>574</v>
      </c>
      <c r="D89" s="350" t="s">
        <v>581</v>
      </c>
      <c r="E89" s="351" t="s">
        <v>336</v>
      </c>
      <c r="F89" s="71" t="s">
        <v>590</v>
      </c>
      <c r="G89" s="71" t="s">
        <v>41</v>
      </c>
      <c r="H89" s="71" t="s">
        <v>236</v>
      </c>
      <c r="I89" s="515" t="s">
        <v>86</v>
      </c>
      <c r="J89" s="352">
        <v>12.600000381469727</v>
      </c>
      <c r="K89" s="353">
        <f t="shared" si="2"/>
        <v>156</v>
      </c>
      <c r="L89" s="264">
        <v>156</v>
      </c>
      <c r="M89" s="263" t="e">
        <f>IF(L89="nio",0,IF(L89&gt;0,L89*J89/N89,0))*VLOOKUP(B89,'2-Kosten per locatie'!$A$14:$C$18,3,FALSE)</f>
        <v>#DIV/0!</v>
      </c>
      <c r="N89" s="354">
        <f>IF(L89="nio",0,IF(L89&gt;0,VLOOKUP(G89,'3-Productie normen'!A:L,VLOOKUP(L89,'3-Productie normen'!$B$29:$C$32,2,FALSE),FALSE)))</f>
        <v>0</v>
      </c>
      <c r="O89" s="355" t="str">
        <f>VLOOKUP(G89,'3-Productie normen'!A:H,8,FALSE)</f>
        <v>B</v>
      </c>
      <c r="P89" s="355"/>
      <c r="R89" s="356">
        <f t="shared" si="3"/>
        <v>1965.6000595092773</v>
      </c>
    </row>
    <row r="90" spans="1:18" ht="14.1" customHeight="1">
      <c r="A90" s="75">
        <v>90</v>
      </c>
      <c r="B90" s="515" t="s">
        <v>257</v>
      </c>
      <c r="C90" s="316" t="s">
        <v>574</v>
      </c>
      <c r="D90" s="350" t="s">
        <v>581</v>
      </c>
      <c r="E90" s="351" t="s">
        <v>337</v>
      </c>
      <c r="F90" s="71" t="s">
        <v>593</v>
      </c>
      <c r="G90" s="71" t="s">
        <v>50</v>
      </c>
      <c r="H90" s="71" t="s">
        <v>84</v>
      </c>
      <c r="I90" s="515" t="s">
        <v>85</v>
      </c>
      <c r="J90" s="352">
        <v>26</v>
      </c>
      <c r="K90" s="353">
        <f t="shared" si="2"/>
        <v>255</v>
      </c>
      <c r="L90" s="264">
        <v>255</v>
      </c>
      <c r="M90" s="263" t="e">
        <f>IF(L90="nio",0,IF(L90&gt;0,L90*J90/N90,0))*VLOOKUP(B90,'2-Kosten per locatie'!$A$14:$C$18,3,FALSE)</f>
        <v>#DIV/0!</v>
      </c>
      <c r="N90" s="354">
        <f>IF(L90="nio",0,IF(L90&gt;0,VLOOKUP(G90,'3-Productie normen'!A:L,VLOOKUP(L90,'3-Productie normen'!$B$29:$C$32,2,FALSE),FALSE)))</f>
        <v>0</v>
      </c>
      <c r="O90" s="355" t="str">
        <f>VLOOKUP(G90,'3-Productie normen'!A:H,8,FALSE)</f>
        <v>B</v>
      </c>
      <c r="P90" s="355"/>
      <c r="R90" s="356">
        <f t="shared" si="3"/>
        <v>6630</v>
      </c>
    </row>
    <row r="91" spans="1:18" ht="14.1" customHeight="1">
      <c r="A91" s="75">
        <v>91</v>
      </c>
      <c r="B91" s="515" t="s">
        <v>257</v>
      </c>
      <c r="C91" s="316" t="s">
        <v>574</v>
      </c>
      <c r="D91" s="350" t="s">
        <v>581</v>
      </c>
      <c r="E91" s="351" t="s">
        <v>338</v>
      </c>
      <c r="F91" s="71" t="s">
        <v>593</v>
      </c>
      <c r="G91" s="71" t="s">
        <v>50</v>
      </c>
      <c r="H91" s="71" t="s">
        <v>84</v>
      </c>
      <c r="I91" s="515" t="s">
        <v>85</v>
      </c>
      <c r="J91" s="352">
        <v>26</v>
      </c>
      <c r="K91" s="353">
        <f t="shared" si="2"/>
        <v>255</v>
      </c>
      <c r="L91" s="264">
        <v>255</v>
      </c>
      <c r="M91" s="263" t="e">
        <f>IF(L91="nio",0,IF(L91&gt;0,L91*J91/N91,0))*VLOOKUP(B91,'2-Kosten per locatie'!$A$14:$C$18,3,FALSE)</f>
        <v>#DIV/0!</v>
      </c>
      <c r="N91" s="354">
        <f>IF(L91="nio",0,IF(L91&gt;0,VLOOKUP(G91,'3-Productie normen'!A:L,VLOOKUP(L91,'3-Productie normen'!$B$29:$C$32,2,FALSE),FALSE)))</f>
        <v>0</v>
      </c>
      <c r="O91" s="355" t="str">
        <f>VLOOKUP(G91,'3-Productie normen'!A:H,8,FALSE)</f>
        <v>B</v>
      </c>
      <c r="P91" s="355"/>
      <c r="R91" s="356">
        <f t="shared" si="3"/>
        <v>6630</v>
      </c>
    </row>
    <row r="92" spans="1:18" ht="14.1" customHeight="1">
      <c r="A92" s="75">
        <v>92</v>
      </c>
      <c r="B92" s="515" t="s">
        <v>257</v>
      </c>
      <c r="C92" s="316" t="s">
        <v>574</v>
      </c>
      <c r="D92" s="350" t="s">
        <v>581</v>
      </c>
      <c r="E92" s="351" t="s">
        <v>339</v>
      </c>
      <c r="F92" s="71" t="s">
        <v>593</v>
      </c>
      <c r="G92" s="71" t="s">
        <v>50</v>
      </c>
      <c r="H92" s="71" t="s">
        <v>84</v>
      </c>
      <c r="I92" s="515" t="s">
        <v>85</v>
      </c>
      <c r="J92" s="352">
        <v>26</v>
      </c>
      <c r="K92" s="353">
        <f t="shared" si="2"/>
        <v>255</v>
      </c>
      <c r="L92" s="264">
        <v>255</v>
      </c>
      <c r="M92" s="263" t="e">
        <f>IF(L92="nio",0,IF(L92&gt;0,L92*J92/N92,0))*VLOOKUP(B92,'2-Kosten per locatie'!$A$14:$C$18,3,FALSE)</f>
        <v>#DIV/0!</v>
      </c>
      <c r="N92" s="354">
        <f>IF(L92="nio",0,IF(L92&gt;0,VLOOKUP(G92,'3-Productie normen'!A:L,VLOOKUP(L92,'3-Productie normen'!$B$29:$C$32,2,FALSE),FALSE)))</f>
        <v>0</v>
      </c>
      <c r="O92" s="355" t="str">
        <f>VLOOKUP(G92,'3-Productie normen'!A:H,8,FALSE)</f>
        <v>B</v>
      </c>
      <c r="P92" s="355"/>
      <c r="R92" s="356">
        <f t="shared" si="3"/>
        <v>6630</v>
      </c>
    </row>
    <row r="93" spans="1:18" ht="14.1" customHeight="1">
      <c r="A93" s="75">
        <v>93</v>
      </c>
      <c r="B93" s="515" t="s">
        <v>257</v>
      </c>
      <c r="C93" s="316" t="s">
        <v>574</v>
      </c>
      <c r="D93" s="350" t="s">
        <v>581</v>
      </c>
      <c r="E93" s="351" t="s">
        <v>340</v>
      </c>
      <c r="F93" s="71" t="s">
        <v>593</v>
      </c>
      <c r="G93" s="71" t="s">
        <v>50</v>
      </c>
      <c r="H93" s="71" t="s">
        <v>84</v>
      </c>
      <c r="I93" s="515" t="s">
        <v>85</v>
      </c>
      <c r="J93" s="352">
        <v>17.899999618530273</v>
      </c>
      <c r="K93" s="353">
        <f t="shared" si="2"/>
        <v>255</v>
      </c>
      <c r="L93" s="264">
        <v>255</v>
      </c>
      <c r="M93" s="263" t="e">
        <f>IF(L93="nio",0,IF(L93&gt;0,L93*J93/N93,0))*VLOOKUP(B93,'2-Kosten per locatie'!$A$14:$C$18,3,FALSE)</f>
        <v>#DIV/0!</v>
      </c>
      <c r="N93" s="354">
        <f>IF(L93="nio",0,IF(L93&gt;0,VLOOKUP(G93,'3-Productie normen'!A:L,VLOOKUP(L93,'3-Productie normen'!$B$29:$C$32,2,FALSE),FALSE)))</f>
        <v>0</v>
      </c>
      <c r="O93" s="355" t="str">
        <f>VLOOKUP(G93,'3-Productie normen'!A:H,8,FALSE)</f>
        <v>B</v>
      </c>
      <c r="P93" s="355"/>
      <c r="R93" s="356">
        <f t="shared" si="3"/>
        <v>4564.4999027252197</v>
      </c>
    </row>
    <row r="94" spans="1:18" ht="14.1" customHeight="1">
      <c r="A94" s="75">
        <v>94</v>
      </c>
      <c r="B94" s="515" t="s">
        <v>257</v>
      </c>
      <c r="C94" s="316" t="s">
        <v>574</v>
      </c>
      <c r="D94" s="350" t="s">
        <v>581</v>
      </c>
      <c r="E94" s="351" t="s">
        <v>341</v>
      </c>
      <c r="F94" s="71" t="s">
        <v>593</v>
      </c>
      <c r="G94" s="71" t="s">
        <v>50</v>
      </c>
      <c r="H94" s="71" t="s">
        <v>84</v>
      </c>
      <c r="I94" s="515" t="s">
        <v>85</v>
      </c>
      <c r="J94" s="352">
        <v>17.899999618530273</v>
      </c>
      <c r="K94" s="353">
        <f t="shared" si="2"/>
        <v>255</v>
      </c>
      <c r="L94" s="264">
        <v>255</v>
      </c>
      <c r="M94" s="263" t="e">
        <f>IF(L94="nio",0,IF(L94&gt;0,L94*J94/N94,0))*VLOOKUP(B94,'2-Kosten per locatie'!$A$14:$C$18,3,FALSE)</f>
        <v>#DIV/0!</v>
      </c>
      <c r="N94" s="354">
        <f>IF(L94="nio",0,IF(L94&gt;0,VLOOKUP(G94,'3-Productie normen'!A:L,VLOOKUP(L94,'3-Productie normen'!$B$29:$C$32,2,FALSE),FALSE)))</f>
        <v>0</v>
      </c>
      <c r="O94" s="355" t="str">
        <f>VLOOKUP(G94,'3-Productie normen'!A:H,8,FALSE)</f>
        <v>B</v>
      </c>
      <c r="P94" s="355"/>
      <c r="R94" s="356">
        <f t="shared" si="3"/>
        <v>4564.4999027252197</v>
      </c>
    </row>
    <row r="95" spans="1:18" ht="14.1" customHeight="1">
      <c r="A95" s="75">
        <v>95</v>
      </c>
      <c r="B95" s="515" t="s">
        <v>257</v>
      </c>
      <c r="C95" s="316" t="s">
        <v>574</v>
      </c>
      <c r="D95" s="350" t="s">
        <v>581</v>
      </c>
      <c r="E95" s="351" t="s">
        <v>342</v>
      </c>
      <c r="F95" s="71" t="s">
        <v>593</v>
      </c>
      <c r="G95" s="71" t="s">
        <v>50</v>
      </c>
      <c r="H95" s="71" t="s">
        <v>84</v>
      </c>
      <c r="I95" s="515" t="s">
        <v>85</v>
      </c>
      <c r="J95" s="352">
        <v>17.899999618530273</v>
      </c>
      <c r="K95" s="353">
        <f t="shared" si="2"/>
        <v>255</v>
      </c>
      <c r="L95" s="264">
        <v>255</v>
      </c>
      <c r="M95" s="263" t="e">
        <f>IF(L95="nio",0,IF(L95&gt;0,L95*J95/N95,0))*VLOOKUP(B95,'2-Kosten per locatie'!$A$14:$C$18,3,FALSE)</f>
        <v>#DIV/0!</v>
      </c>
      <c r="N95" s="354">
        <f>IF(L95="nio",0,IF(L95&gt;0,VLOOKUP(G95,'3-Productie normen'!A:L,VLOOKUP(L95,'3-Productie normen'!$B$29:$C$32,2,FALSE),FALSE)))</f>
        <v>0</v>
      </c>
      <c r="O95" s="355" t="str">
        <f>VLOOKUP(G95,'3-Productie normen'!A:H,8,FALSE)</f>
        <v>B</v>
      </c>
      <c r="P95" s="355"/>
      <c r="R95" s="356">
        <f t="shared" si="3"/>
        <v>4564.4999027252197</v>
      </c>
    </row>
    <row r="96" spans="1:18" ht="14.1" customHeight="1">
      <c r="A96" s="75">
        <v>96</v>
      </c>
      <c r="B96" s="515" t="s">
        <v>257</v>
      </c>
      <c r="C96" s="316" t="s">
        <v>574</v>
      </c>
      <c r="D96" s="350" t="s">
        <v>581</v>
      </c>
      <c r="E96" s="351" t="s">
        <v>343</v>
      </c>
      <c r="F96" s="71" t="s">
        <v>593</v>
      </c>
      <c r="G96" s="71" t="s">
        <v>50</v>
      </c>
      <c r="H96" s="71" t="s">
        <v>84</v>
      </c>
      <c r="I96" s="515" t="s">
        <v>85</v>
      </c>
      <c r="J96" s="352">
        <v>17.899999618530273</v>
      </c>
      <c r="K96" s="353">
        <f t="shared" si="2"/>
        <v>255</v>
      </c>
      <c r="L96" s="264">
        <v>255</v>
      </c>
      <c r="M96" s="263" t="e">
        <f>IF(L96="nio",0,IF(L96&gt;0,L96*J96/N96,0))*VLOOKUP(B96,'2-Kosten per locatie'!$A$14:$C$18,3,FALSE)</f>
        <v>#DIV/0!</v>
      </c>
      <c r="N96" s="354">
        <f>IF(L96="nio",0,IF(L96&gt;0,VLOOKUP(G96,'3-Productie normen'!A:L,VLOOKUP(L96,'3-Productie normen'!$B$29:$C$32,2,FALSE),FALSE)))</f>
        <v>0</v>
      </c>
      <c r="O96" s="355" t="str">
        <f>VLOOKUP(G96,'3-Productie normen'!A:H,8,FALSE)</f>
        <v>B</v>
      </c>
      <c r="P96" s="355"/>
      <c r="R96" s="356">
        <f t="shared" si="3"/>
        <v>4564.4999027252197</v>
      </c>
    </row>
    <row r="97" spans="1:18" ht="14.1" customHeight="1">
      <c r="A97" s="75">
        <v>97</v>
      </c>
      <c r="B97" s="515" t="s">
        <v>257</v>
      </c>
      <c r="C97" s="316" t="s">
        <v>574</v>
      </c>
      <c r="D97" s="350" t="s">
        <v>581</v>
      </c>
      <c r="E97" s="351" t="s">
        <v>344</v>
      </c>
      <c r="F97" s="71" t="s">
        <v>593</v>
      </c>
      <c r="G97" s="71" t="s">
        <v>50</v>
      </c>
      <c r="H97" s="71" t="s">
        <v>84</v>
      </c>
      <c r="I97" s="515" t="s">
        <v>85</v>
      </c>
      <c r="J97" s="352">
        <v>26</v>
      </c>
      <c r="K97" s="353">
        <f t="shared" si="2"/>
        <v>255</v>
      </c>
      <c r="L97" s="264">
        <v>255</v>
      </c>
      <c r="M97" s="263" t="e">
        <f>IF(L97="nio",0,IF(L97&gt;0,L97*J97/N97,0))*VLOOKUP(B97,'2-Kosten per locatie'!$A$14:$C$18,3,FALSE)</f>
        <v>#DIV/0!</v>
      </c>
      <c r="N97" s="354">
        <f>IF(L97="nio",0,IF(L97&gt;0,VLOOKUP(G97,'3-Productie normen'!A:L,VLOOKUP(L97,'3-Productie normen'!$B$29:$C$32,2,FALSE),FALSE)))</f>
        <v>0</v>
      </c>
      <c r="O97" s="355" t="str">
        <f>VLOOKUP(G97,'3-Productie normen'!A:H,8,FALSE)</f>
        <v>B</v>
      </c>
      <c r="P97" s="355"/>
      <c r="R97" s="356">
        <f t="shared" si="3"/>
        <v>6630</v>
      </c>
    </row>
    <row r="98" spans="1:18" ht="14.1" customHeight="1">
      <c r="A98" s="75">
        <v>98</v>
      </c>
      <c r="B98" s="515" t="s">
        <v>257</v>
      </c>
      <c r="C98" s="316" t="s">
        <v>574</v>
      </c>
      <c r="D98" s="350" t="s">
        <v>581</v>
      </c>
      <c r="E98" s="351" t="s">
        <v>345</v>
      </c>
      <c r="F98" s="71" t="s">
        <v>593</v>
      </c>
      <c r="G98" s="71" t="s">
        <v>50</v>
      </c>
      <c r="H98" s="71" t="s">
        <v>84</v>
      </c>
      <c r="I98" s="515" t="s">
        <v>85</v>
      </c>
      <c r="J98" s="352">
        <v>26</v>
      </c>
      <c r="K98" s="353">
        <f t="shared" si="2"/>
        <v>255</v>
      </c>
      <c r="L98" s="264">
        <v>255</v>
      </c>
      <c r="M98" s="263" t="e">
        <f>IF(L98="nio",0,IF(L98&gt;0,L98*J98/N98,0))*VLOOKUP(B98,'2-Kosten per locatie'!$A$14:$C$18,3,FALSE)</f>
        <v>#DIV/0!</v>
      </c>
      <c r="N98" s="354">
        <f>IF(L98="nio",0,IF(L98&gt;0,VLOOKUP(G98,'3-Productie normen'!A:L,VLOOKUP(L98,'3-Productie normen'!$B$29:$C$32,2,FALSE),FALSE)))</f>
        <v>0</v>
      </c>
      <c r="O98" s="355" t="str">
        <f>VLOOKUP(G98,'3-Productie normen'!A:H,8,FALSE)</f>
        <v>B</v>
      </c>
      <c r="P98" s="355"/>
      <c r="R98" s="356">
        <f t="shared" si="3"/>
        <v>6630</v>
      </c>
    </row>
    <row r="99" spans="1:18" ht="14.1" customHeight="1">
      <c r="A99" s="75">
        <v>99</v>
      </c>
      <c r="B99" s="515" t="s">
        <v>257</v>
      </c>
      <c r="C99" s="316" t="s">
        <v>575</v>
      </c>
      <c r="D99" s="350" t="s">
        <v>582</v>
      </c>
      <c r="E99" s="351" t="s">
        <v>346</v>
      </c>
      <c r="F99" s="71" t="s">
        <v>584</v>
      </c>
      <c r="G99" s="316" t="s">
        <v>45</v>
      </c>
      <c r="H99" s="71" t="s">
        <v>84</v>
      </c>
      <c r="I99" s="515" t="s">
        <v>85</v>
      </c>
      <c r="J99" s="352">
        <v>68.800003051757813</v>
      </c>
      <c r="K99" s="353">
        <f t="shared" si="2"/>
        <v>156</v>
      </c>
      <c r="L99" s="264">
        <v>156</v>
      </c>
      <c r="M99" s="263" t="e">
        <f>IF(L99="nio",0,IF(L99&gt;0,L99*J99/N99,0))*VLOOKUP(B99,'2-Kosten per locatie'!$A$14:$C$18,3,FALSE)</f>
        <v>#DIV/0!</v>
      </c>
      <c r="N99" s="354">
        <f>IF(L99="nio",0,IF(L99&gt;0,VLOOKUP(G99,'3-Productie normen'!A:L,VLOOKUP(L99,'3-Productie normen'!$B$29:$C$32,2,FALSE),FALSE)))</f>
        <v>0</v>
      </c>
      <c r="O99" s="355" t="str">
        <f>VLOOKUP(G99,'3-Productie normen'!A:H,8,FALSE)</f>
        <v>V</v>
      </c>
      <c r="P99" s="355"/>
      <c r="R99" s="356">
        <f t="shared" si="3"/>
        <v>10732.800476074219</v>
      </c>
    </row>
    <row r="100" spans="1:18" ht="14.1" customHeight="1">
      <c r="A100" s="75">
        <v>100</v>
      </c>
      <c r="B100" s="515" t="s">
        <v>257</v>
      </c>
      <c r="C100" s="316" t="s">
        <v>575</v>
      </c>
      <c r="D100" s="350" t="s">
        <v>582</v>
      </c>
      <c r="E100" s="351" t="s">
        <v>347</v>
      </c>
      <c r="F100" s="71" t="s">
        <v>584</v>
      </c>
      <c r="G100" s="316" t="s">
        <v>45</v>
      </c>
      <c r="H100" s="71" t="s">
        <v>84</v>
      </c>
      <c r="I100" s="515" t="s">
        <v>85</v>
      </c>
      <c r="J100" s="352">
        <v>237.89999389648438</v>
      </c>
      <c r="K100" s="353">
        <f t="shared" si="2"/>
        <v>156</v>
      </c>
      <c r="L100" s="264">
        <v>156</v>
      </c>
      <c r="M100" s="263" t="e">
        <f>IF(L100="nio",0,IF(L100&gt;0,L100*J100/N100,0))*VLOOKUP(B100,'2-Kosten per locatie'!$A$14:$C$18,3,FALSE)</f>
        <v>#DIV/0!</v>
      </c>
      <c r="N100" s="354">
        <f>IF(L100="nio",0,IF(L100&gt;0,VLOOKUP(G100,'3-Productie normen'!A:L,VLOOKUP(L100,'3-Productie normen'!$B$29:$C$32,2,FALSE),FALSE)))</f>
        <v>0</v>
      </c>
      <c r="O100" s="355" t="str">
        <f>VLOOKUP(G100,'3-Productie normen'!A:H,8,FALSE)</f>
        <v>V</v>
      </c>
      <c r="P100" s="355"/>
      <c r="R100" s="356">
        <f t="shared" si="3"/>
        <v>37112.399047851563</v>
      </c>
    </row>
    <row r="101" spans="1:18" ht="14.1" customHeight="1">
      <c r="A101" s="75">
        <v>101</v>
      </c>
      <c r="B101" s="515" t="s">
        <v>257</v>
      </c>
      <c r="C101" s="316" t="s">
        <v>575</v>
      </c>
      <c r="D101" s="350" t="s">
        <v>582</v>
      </c>
      <c r="E101" s="351" t="s">
        <v>348</v>
      </c>
      <c r="F101" s="71" t="s">
        <v>593</v>
      </c>
      <c r="G101" s="71" t="s">
        <v>50</v>
      </c>
      <c r="H101" s="71" t="s">
        <v>84</v>
      </c>
      <c r="I101" s="515" t="s">
        <v>85</v>
      </c>
      <c r="J101" s="352">
        <v>63.599998474121094</v>
      </c>
      <c r="K101" s="353">
        <f t="shared" si="2"/>
        <v>255</v>
      </c>
      <c r="L101" s="264">
        <v>255</v>
      </c>
      <c r="M101" s="263" t="e">
        <f>IF(L101="nio",0,IF(L101&gt;0,L101*J101/N101,0))*VLOOKUP(B101,'2-Kosten per locatie'!$A$14:$C$18,3,FALSE)</f>
        <v>#DIV/0!</v>
      </c>
      <c r="N101" s="354">
        <f>IF(L101="nio",0,IF(L101&gt;0,VLOOKUP(G101,'3-Productie normen'!A:L,VLOOKUP(L101,'3-Productie normen'!$B$29:$C$32,2,FALSE),FALSE)))</f>
        <v>0</v>
      </c>
      <c r="O101" s="355" t="str">
        <f>VLOOKUP(G101,'3-Productie normen'!A:H,8,FALSE)</f>
        <v>B</v>
      </c>
      <c r="P101" s="355"/>
      <c r="R101" s="356">
        <f t="shared" si="3"/>
        <v>16217.999610900879</v>
      </c>
    </row>
    <row r="102" spans="1:18" ht="14.1" customHeight="1">
      <c r="A102" s="75">
        <v>102</v>
      </c>
      <c r="B102" s="515" t="s">
        <v>257</v>
      </c>
      <c r="C102" s="316" t="s">
        <v>575</v>
      </c>
      <c r="D102" s="350" t="s">
        <v>582</v>
      </c>
      <c r="E102" s="351" t="s">
        <v>349</v>
      </c>
      <c r="F102" s="71" t="s">
        <v>585</v>
      </c>
      <c r="G102" s="316" t="s">
        <v>54</v>
      </c>
      <c r="H102" s="71" t="s">
        <v>236</v>
      </c>
      <c r="I102" s="515" t="s">
        <v>86</v>
      </c>
      <c r="J102" s="352">
        <v>18.200000762939453</v>
      </c>
      <c r="K102" s="353">
        <f t="shared" si="2"/>
        <v>156</v>
      </c>
      <c r="L102" s="264">
        <v>156</v>
      </c>
      <c r="M102" s="263" t="e">
        <f>IF(L102="nio",0,IF(L102&gt;0,L102*J102/N102,0))*VLOOKUP(B102,'2-Kosten per locatie'!$A$14:$C$18,3,FALSE)</f>
        <v>#DIV/0!</v>
      </c>
      <c r="N102" s="354">
        <f>IF(L102="nio",0,IF(L102&gt;0,VLOOKUP(G102,'3-Productie normen'!A:L,VLOOKUP(L102,'3-Productie normen'!$B$29:$C$32,2,FALSE),FALSE)))</f>
        <v>0</v>
      </c>
      <c r="O102" s="355" t="str">
        <f>VLOOKUP(G102,'3-Productie normen'!A:H,8,FALSE)</f>
        <v>V</v>
      </c>
      <c r="P102" s="355"/>
      <c r="R102" s="356">
        <f t="shared" si="3"/>
        <v>2839.2001190185547</v>
      </c>
    </row>
    <row r="103" spans="1:18" ht="14.1" customHeight="1">
      <c r="A103" s="75">
        <v>103</v>
      </c>
      <c r="B103" s="515" t="s">
        <v>257</v>
      </c>
      <c r="C103" s="316" t="s">
        <v>575</v>
      </c>
      <c r="D103" s="350" t="s">
        <v>582</v>
      </c>
      <c r="E103" s="351" t="s">
        <v>350</v>
      </c>
      <c r="F103" s="71" t="s">
        <v>588</v>
      </c>
      <c r="G103" s="71" t="s">
        <v>43</v>
      </c>
      <c r="H103" s="71" t="s">
        <v>601</v>
      </c>
      <c r="I103" s="515" t="s">
        <v>82</v>
      </c>
      <c r="J103" s="352">
        <v>6</v>
      </c>
      <c r="K103" s="353">
        <f t="shared" si="2"/>
        <v>255</v>
      </c>
      <c r="L103" s="264">
        <v>255</v>
      </c>
      <c r="M103" s="263" t="e">
        <f>IF(L103="nio",0,IF(L103&gt;0,L103*J103/N103,0))*VLOOKUP(B103,'2-Kosten per locatie'!$A$14:$C$18,3,FALSE)</f>
        <v>#DIV/0!</v>
      </c>
      <c r="N103" s="354">
        <f>IF(L103="nio",0,IF(L103&gt;0,VLOOKUP(G103,'3-Productie normen'!A:L,VLOOKUP(L103,'3-Productie normen'!$B$29:$C$32,2,FALSE),FALSE)))</f>
        <v>0</v>
      </c>
      <c r="O103" s="355" t="str">
        <f>VLOOKUP(G103,'3-Productie normen'!A:H,8,FALSE)</f>
        <v>S</v>
      </c>
      <c r="P103" s="355"/>
      <c r="R103" s="356">
        <f t="shared" si="3"/>
        <v>1530</v>
      </c>
    </row>
    <row r="104" spans="1:18" ht="14.1" customHeight="1">
      <c r="A104" s="75">
        <v>104</v>
      </c>
      <c r="B104" s="515" t="s">
        <v>257</v>
      </c>
      <c r="C104" s="316" t="s">
        <v>575</v>
      </c>
      <c r="D104" s="350" t="s">
        <v>582</v>
      </c>
      <c r="E104" s="351" t="s">
        <v>351</v>
      </c>
      <c r="F104" s="71" t="s">
        <v>590</v>
      </c>
      <c r="G104" s="71" t="s">
        <v>41</v>
      </c>
      <c r="H104" s="71" t="s">
        <v>236</v>
      </c>
      <c r="I104" s="515" t="s">
        <v>86</v>
      </c>
      <c r="J104" s="352">
        <v>18.200000762939453</v>
      </c>
      <c r="K104" s="353">
        <f t="shared" si="2"/>
        <v>156</v>
      </c>
      <c r="L104" s="264">
        <v>156</v>
      </c>
      <c r="M104" s="263" t="e">
        <f>IF(L104="nio",0,IF(L104&gt;0,L104*J104/N104,0))*VLOOKUP(B104,'2-Kosten per locatie'!$A$14:$C$18,3,FALSE)</f>
        <v>#DIV/0!</v>
      </c>
      <c r="N104" s="354">
        <f>IF(L104="nio",0,IF(L104&gt;0,VLOOKUP(G104,'3-Productie normen'!A:L,VLOOKUP(L104,'3-Productie normen'!$B$29:$C$32,2,FALSE),FALSE)))</f>
        <v>0</v>
      </c>
      <c r="O104" s="355" t="str">
        <f>VLOOKUP(G104,'3-Productie normen'!A:H,8,FALSE)</f>
        <v>B</v>
      </c>
      <c r="P104" s="355"/>
      <c r="R104" s="356">
        <f t="shared" si="3"/>
        <v>2839.2001190185547</v>
      </c>
    </row>
    <row r="105" spans="1:18" ht="14.1" customHeight="1">
      <c r="A105" s="75">
        <v>105</v>
      </c>
      <c r="B105" s="515" t="s">
        <v>257</v>
      </c>
      <c r="C105" s="316" t="s">
        <v>575</v>
      </c>
      <c r="D105" s="350" t="s">
        <v>582</v>
      </c>
      <c r="E105" s="351" t="s">
        <v>352</v>
      </c>
      <c r="F105" s="71" t="s">
        <v>587</v>
      </c>
      <c r="G105" s="71" t="s">
        <v>43</v>
      </c>
      <c r="H105" s="71" t="s">
        <v>601</v>
      </c>
      <c r="I105" s="515" t="s">
        <v>82</v>
      </c>
      <c r="J105" s="352">
        <v>6</v>
      </c>
      <c r="K105" s="353">
        <f t="shared" si="2"/>
        <v>156</v>
      </c>
      <c r="L105" s="264">
        <v>156</v>
      </c>
      <c r="M105" s="263" t="e">
        <f>IF(L105="nio",0,IF(L105&gt;0,L105*J105/N105,0))*VLOOKUP(B105,'2-Kosten per locatie'!$A$14:$C$18,3,FALSE)</f>
        <v>#DIV/0!</v>
      </c>
      <c r="N105" s="354">
        <f>IF(L105="nio",0,IF(L105&gt;0,VLOOKUP(G105,'3-Productie normen'!A:L,VLOOKUP(L105,'3-Productie normen'!$B$29:$C$32,2,FALSE),FALSE)))</f>
        <v>0</v>
      </c>
      <c r="O105" s="355" t="str">
        <f>VLOOKUP(G105,'3-Productie normen'!A:H,8,FALSE)</f>
        <v>S</v>
      </c>
      <c r="P105" s="355"/>
      <c r="R105" s="356">
        <f t="shared" si="3"/>
        <v>936</v>
      </c>
    </row>
    <row r="106" spans="1:18" ht="14.1" customHeight="1">
      <c r="A106" s="75">
        <v>106</v>
      </c>
      <c r="B106" s="515" t="s">
        <v>257</v>
      </c>
      <c r="C106" s="316" t="s">
        <v>575</v>
      </c>
      <c r="D106" s="350" t="s">
        <v>582</v>
      </c>
      <c r="E106" s="351" t="s">
        <v>353</v>
      </c>
      <c r="F106" s="71" t="s">
        <v>588</v>
      </c>
      <c r="G106" s="71" t="s">
        <v>43</v>
      </c>
      <c r="H106" s="71" t="s">
        <v>601</v>
      </c>
      <c r="I106" s="515" t="s">
        <v>82</v>
      </c>
      <c r="J106" s="352">
        <v>1.7000000476837158</v>
      </c>
      <c r="K106" s="353">
        <f t="shared" si="2"/>
        <v>255</v>
      </c>
      <c r="L106" s="264">
        <v>255</v>
      </c>
      <c r="M106" s="263" t="e">
        <f>IF(L106="nio",0,IF(L106&gt;0,L106*J106/N106,0))*VLOOKUP(B106,'2-Kosten per locatie'!$A$14:$C$18,3,FALSE)</f>
        <v>#DIV/0!</v>
      </c>
      <c r="N106" s="354">
        <f>IF(L106="nio",0,IF(L106&gt;0,VLOOKUP(G106,'3-Productie normen'!A:L,VLOOKUP(L106,'3-Productie normen'!$B$29:$C$32,2,FALSE),FALSE)))</f>
        <v>0</v>
      </c>
      <c r="O106" s="355" t="str">
        <f>VLOOKUP(G106,'3-Productie normen'!A:H,8,FALSE)</f>
        <v>S</v>
      </c>
      <c r="P106" s="355"/>
      <c r="R106" s="356">
        <f t="shared" si="3"/>
        <v>433.50001215934753</v>
      </c>
    </row>
    <row r="107" spans="1:18" ht="14.1" customHeight="1">
      <c r="A107" s="75">
        <v>107</v>
      </c>
      <c r="B107" s="515" t="s">
        <v>257</v>
      </c>
      <c r="C107" s="316" t="s">
        <v>575</v>
      </c>
      <c r="D107" s="350" t="s">
        <v>582</v>
      </c>
      <c r="E107" s="351" t="s">
        <v>354</v>
      </c>
      <c r="F107" s="71" t="s">
        <v>588</v>
      </c>
      <c r="G107" s="71" t="s">
        <v>43</v>
      </c>
      <c r="H107" s="71" t="s">
        <v>601</v>
      </c>
      <c r="I107" s="515" t="s">
        <v>82</v>
      </c>
      <c r="J107" s="352">
        <v>1.7000000476837158</v>
      </c>
      <c r="K107" s="353">
        <f t="shared" si="2"/>
        <v>255</v>
      </c>
      <c r="L107" s="264">
        <v>255</v>
      </c>
      <c r="M107" s="263" t="e">
        <f>IF(L107="nio",0,IF(L107&gt;0,L107*J107/N107,0))*VLOOKUP(B107,'2-Kosten per locatie'!$A$14:$C$18,3,FALSE)</f>
        <v>#DIV/0!</v>
      </c>
      <c r="N107" s="354">
        <f>IF(L107="nio",0,IF(L107&gt;0,VLOOKUP(G107,'3-Productie normen'!A:L,VLOOKUP(L107,'3-Productie normen'!$B$29:$C$32,2,FALSE),FALSE)))</f>
        <v>0</v>
      </c>
      <c r="O107" s="355" t="str">
        <f>VLOOKUP(G107,'3-Productie normen'!A:H,8,FALSE)</f>
        <v>S</v>
      </c>
      <c r="P107" s="355"/>
      <c r="R107" s="356">
        <f t="shared" si="3"/>
        <v>433.50001215934753</v>
      </c>
    </row>
    <row r="108" spans="1:18" ht="14.1" customHeight="1">
      <c r="A108" s="75">
        <v>108</v>
      </c>
      <c r="B108" s="515" t="s">
        <v>257</v>
      </c>
      <c r="C108" s="316" t="s">
        <v>575</v>
      </c>
      <c r="D108" s="350" t="s">
        <v>582</v>
      </c>
      <c r="E108" s="351" t="s">
        <v>355</v>
      </c>
      <c r="F108" s="71" t="s">
        <v>588</v>
      </c>
      <c r="G108" s="71" t="s">
        <v>43</v>
      </c>
      <c r="H108" s="71" t="s">
        <v>601</v>
      </c>
      <c r="I108" s="515" t="s">
        <v>82</v>
      </c>
      <c r="J108" s="352">
        <v>1.7000000476837158</v>
      </c>
      <c r="K108" s="353">
        <f t="shared" si="2"/>
        <v>255</v>
      </c>
      <c r="L108" s="264">
        <v>255</v>
      </c>
      <c r="M108" s="263" t="e">
        <f>IF(L108="nio",0,IF(L108&gt;0,L108*J108/N108,0))*VLOOKUP(B108,'2-Kosten per locatie'!$A$14:$C$18,3,FALSE)</f>
        <v>#DIV/0!</v>
      </c>
      <c r="N108" s="354">
        <f>IF(L108="nio",0,IF(L108&gt;0,VLOOKUP(G108,'3-Productie normen'!A:L,VLOOKUP(L108,'3-Productie normen'!$B$29:$C$32,2,FALSE),FALSE)))</f>
        <v>0</v>
      </c>
      <c r="O108" s="355" t="str">
        <f>VLOOKUP(G108,'3-Productie normen'!A:H,8,FALSE)</f>
        <v>S</v>
      </c>
      <c r="P108" s="355"/>
      <c r="R108" s="356">
        <f t="shared" si="3"/>
        <v>433.50001215934753</v>
      </c>
    </row>
    <row r="109" spans="1:18" ht="14.1" customHeight="1">
      <c r="A109" s="75">
        <v>109</v>
      </c>
      <c r="B109" s="515" t="s">
        <v>257</v>
      </c>
      <c r="C109" s="316" t="s">
        <v>575</v>
      </c>
      <c r="D109" s="350" t="s">
        <v>582</v>
      </c>
      <c r="E109" s="351" t="s">
        <v>356</v>
      </c>
      <c r="F109" s="71" t="s">
        <v>587</v>
      </c>
      <c r="G109" s="71" t="s">
        <v>43</v>
      </c>
      <c r="H109" s="71" t="s">
        <v>601</v>
      </c>
      <c r="I109" s="515" t="s">
        <v>82</v>
      </c>
      <c r="J109" s="352">
        <v>4</v>
      </c>
      <c r="K109" s="353">
        <f t="shared" si="2"/>
        <v>156</v>
      </c>
      <c r="L109" s="264">
        <v>156</v>
      </c>
      <c r="M109" s="263" t="e">
        <f>IF(L109="nio",0,IF(L109&gt;0,L109*J109/N109,0))*VLOOKUP(B109,'2-Kosten per locatie'!$A$14:$C$18,3,FALSE)</f>
        <v>#DIV/0!</v>
      </c>
      <c r="N109" s="354">
        <f>IF(L109="nio",0,IF(L109&gt;0,VLOOKUP(G109,'3-Productie normen'!A:L,VLOOKUP(L109,'3-Productie normen'!$B$29:$C$32,2,FALSE),FALSE)))</f>
        <v>0</v>
      </c>
      <c r="O109" s="355" t="str">
        <f>VLOOKUP(G109,'3-Productie normen'!A:H,8,FALSE)</f>
        <v>S</v>
      </c>
      <c r="P109" s="355"/>
      <c r="R109" s="356">
        <f t="shared" si="3"/>
        <v>624</v>
      </c>
    </row>
    <row r="110" spans="1:18" ht="14.1" customHeight="1">
      <c r="A110" s="75">
        <v>110</v>
      </c>
      <c r="B110" s="515" t="s">
        <v>257</v>
      </c>
      <c r="C110" s="316" t="s">
        <v>575</v>
      </c>
      <c r="D110" s="350" t="s">
        <v>582</v>
      </c>
      <c r="E110" s="351" t="s">
        <v>357</v>
      </c>
      <c r="F110" s="71" t="s">
        <v>588</v>
      </c>
      <c r="G110" s="71" t="s">
        <v>43</v>
      </c>
      <c r="H110" s="71" t="s">
        <v>601</v>
      </c>
      <c r="I110" s="515" t="s">
        <v>82</v>
      </c>
      <c r="J110" s="352">
        <v>1.7000000476837158</v>
      </c>
      <c r="K110" s="353">
        <f t="shared" si="2"/>
        <v>255</v>
      </c>
      <c r="L110" s="264">
        <v>255</v>
      </c>
      <c r="M110" s="263" t="e">
        <f>IF(L110="nio",0,IF(L110&gt;0,L110*J110/N110,0))*VLOOKUP(B110,'2-Kosten per locatie'!$A$14:$C$18,3,FALSE)</f>
        <v>#DIV/0!</v>
      </c>
      <c r="N110" s="354">
        <f>IF(L110="nio",0,IF(L110&gt;0,VLOOKUP(G110,'3-Productie normen'!A:L,VLOOKUP(L110,'3-Productie normen'!$B$29:$C$32,2,FALSE),FALSE)))</f>
        <v>0</v>
      </c>
      <c r="O110" s="355" t="str">
        <f>VLOOKUP(G110,'3-Productie normen'!A:H,8,FALSE)</f>
        <v>S</v>
      </c>
      <c r="P110" s="355"/>
      <c r="R110" s="356">
        <f t="shared" si="3"/>
        <v>433.50001215934753</v>
      </c>
    </row>
    <row r="111" spans="1:18" ht="14.1" customHeight="1">
      <c r="A111" s="75">
        <v>111</v>
      </c>
      <c r="B111" s="515" t="s">
        <v>257</v>
      </c>
      <c r="C111" s="316" t="s">
        <v>575</v>
      </c>
      <c r="D111" s="350" t="s">
        <v>582</v>
      </c>
      <c r="E111" s="351" t="s">
        <v>358</v>
      </c>
      <c r="F111" s="71" t="s">
        <v>588</v>
      </c>
      <c r="G111" s="71" t="s">
        <v>43</v>
      </c>
      <c r="H111" s="71" t="s">
        <v>601</v>
      </c>
      <c r="I111" s="515" t="s">
        <v>82</v>
      </c>
      <c r="J111" s="352">
        <v>1.7000000476837158</v>
      </c>
      <c r="K111" s="353">
        <f t="shared" si="2"/>
        <v>255</v>
      </c>
      <c r="L111" s="264">
        <v>255</v>
      </c>
      <c r="M111" s="263" t="e">
        <f>IF(L111="nio",0,IF(L111&gt;0,L111*J111/N111,0))*VLOOKUP(B111,'2-Kosten per locatie'!$A$14:$C$18,3,FALSE)</f>
        <v>#DIV/0!</v>
      </c>
      <c r="N111" s="354">
        <f>IF(L111="nio",0,IF(L111&gt;0,VLOOKUP(G111,'3-Productie normen'!A:L,VLOOKUP(L111,'3-Productie normen'!$B$29:$C$32,2,FALSE),FALSE)))</f>
        <v>0</v>
      </c>
      <c r="O111" s="355" t="str">
        <f>VLOOKUP(G111,'3-Productie normen'!A:H,8,FALSE)</f>
        <v>S</v>
      </c>
      <c r="P111" s="355"/>
      <c r="R111" s="356">
        <f t="shared" si="3"/>
        <v>433.50001215934753</v>
      </c>
    </row>
    <row r="112" spans="1:18" ht="14.1" customHeight="1">
      <c r="A112" s="75">
        <v>112</v>
      </c>
      <c r="B112" s="515" t="s">
        <v>257</v>
      </c>
      <c r="C112" s="316" t="s">
        <v>575</v>
      </c>
      <c r="D112" s="350" t="s">
        <v>582</v>
      </c>
      <c r="E112" s="351" t="s">
        <v>359</v>
      </c>
      <c r="F112" s="71" t="s">
        <v>594</v>
      </c>
      <c r="G112" s="71" t="s">
        <v>45</v>
      </c>
      <c r="H112" s="71" t="s">
        <v>236</v>
      </c>
      <c r="I112" s="515" t="s">
        <v>86</v>
      </c>
      <c r="J112" s="352">
        <v>15.600000381469727</v>
      </c>
      <c r="K112" s="353">
        <f t="shared" si="2"/>
        <v>156</v>
      </c>
      <c r="L112" s="264">
        <v>156</v>
      </c>
      <c r="M112" s="263" t="e">
        <f>IF(L112="nio",0,IF(L112&gt;0,L112*J112/N112,0))*VLOOKUP(B112,'2-Kosten per locatie'!$A$14:$C$18,3,FALSE)</f>
        <v>#DIV/0!</v>
      </c>
      <c r="N112" s="354">
        <f>IF(L112="nio",0,IF(L112&gt;0,VLOOKUP(G112,'3-Productie normen'!A:L,VLOOKUP(L112,'3-Productie normen'!$B$29:$C$32,2,FALSE),FALSE)))</f>
        <v>0</v>
      </c>
      <c r="O112" s="355" t="str">
        <f>VLOOKUP(G112,'3-Productie normen'!A:H,8,FALSE)</f>
        <v>V</v>
      </c>
      <c r="P112" s="355"/>
      <c r="R112" s="356">
        <f t="shared" si="3"/>
        <v>2433.6000595092773</v>
      </c>
    </row>
    <row r="113" spans="1:18" ht="14.1" customHeight="1">
      <c r="A113" s="75">
        <v>113</v>
      </c>
      <c r="B113" s="515" t="s">
        <v>257</v>
      </c>
      <c r="C113" s="316" t="s">
        <v>575</v>
      </c>
      <c r="D113" s="350" t="s">
        <v>582</v>
      </c>
      <c r="E113" s="351" t="s">
        <v>360</v>
      </c>
      <c r="F113" s="71" t="s">
        <v>585</v>
      </c>
      <c r="G113" s="316" t="s">
        <v>54</v>
      </c>
      <c r="H113" s="71" t="s">
        <v>236</v>
      </c>
      <c r="I113" s="515" t="s">
        <v>86</v>
      </c>
      <c r="J113" s="352">
        <v>17.5</v>
      </c>
      <c r="K113" s="353">
        <f t="shared" si="2"/>
        <v>156</v>
      </c>
      <c r="L113" s="264">
        <v>156</v>
      </c>
      <c r="M113" s="263" t="e">
        <f>IF(L113="nio",0,IF(L113&gt;0,L113*J113/N113,0))*VLOOKUP(B113,'2-Kosten per locatie'!$A$14:$C$18,3,FALSE)</f>
        <v>#DIV/0!</v>
      </c>
      <c r="N113" s="354">
        <f>IF(L113="nio",0,IF(L113&gt;0,VLOOKUP(G113,'3-Productie normen'!A:L,VLOOKUP(L113,'3-Productie normen'!$B$29:$C$32,2,FALSE),FALSE)))</f>
        <v>0</v>
      </c>
      <c r="O113" s="355" t="str">
        <f>VLOOKUP(G113,'3-Productie normen'!A:H,8,FALSE)</f>
        <v>V</v>
      </c>
      <c r="P113" s="355"/>
      <c r="R113" s="356">
        <f t="shared" si="3"/>
        <v>2730</v>
      </c>
    </row>
    <row r="114" spans="1:18" ht="14.1" customHeight="1">
      <c r="A114" s="75">
        <v>114</v>
      </c>
      <c r="B114" s="515" t="s">
        <v>257</v>
      </c>
      <c r="C114" s="316" t="s">
        <v>575</v>
      </c>
      <c r="D114" s="350" t="s">
        <v>582</v>
      </c>
      <c r="E114" s="351" t="s">
        <v>361</v>
      </c>
      <c r="F114" s="71" t="s">
        <v>589</v>
      </c>
      <c r="G114" s="71" t="s">
        <v>41</v>
      </c>
      <c r="H114" s="71" t="s">
        <v>84</v>
      </c>
      <c r="I114" s="515" t="s">
        <v>85</v>
      </c>
      <c r="J114" s="352">
        <v>25</v>
      </c>
      <c r="K114" s="353">
        <f t="shared" si="2"/>
        <v>255</v>
      </c>
      <c r="L114" s="264">
        <v>255</v>
      </c>
      <c r="M114" s="263" t="e">
        <f>IF(L114="nio",0,IF(L114&gt;0,L114*J114/N114,0))*VLOOKUP(B114,'2-Kosten per locatie'!$A$14:$C$18,3,FALSE)</f>
        <v>#DIV/0!</v>
      </c>
      <c r="N114" s="354">
        <f>IF(L114="nio",0,IF(L114&gt;0,VLOOKUP(G114,'3-Productie normen'!A:L,VLOOKUP(L114,'3-Productie normen'!$B$29:$C$32,2,FALSE),FALSE)))</f>
        <v>0</v>
      </c>
      <c r="O114" s="355" t="str">
        <f>VLOOKUP(G114,'3-Productie normen'!A:H,8,FALSE)</f>
        <v>B</v>
      </c>
      <c r="P114" s="355"/>
      <c r="R114" s="356">
        <f t="shared" si="3"/>
        <v>6375</v>
      </c>
    </row>
    <row r="115" spans="1:18" ht="14.1" customHeight="1">
      <c r="A115" s="75">
        <v>115</v>
      </c>
      <c r="B115" s="515" t="s">
        <v>257</v>
      </c>
      <c r="C115" s="316" t="s">
        <v>575</v>
      </c>
      <c r="D115" s="350" t="s">
        <v>582</v>
      </c>
      <c r="E115" s="351" t="s">
        <v>362</v>
      </c>
      <c r="F115" s="71" t="s">
        <v>589</v>
      </c>
      <c r="G115" s="71" t="s">
        <v>41</v>
      </c>
      <c r="H115" s="71" t="s">
        <v>84</v>
      </c>
      <c r="I115" s="515" t="s">
        <v>85</v>
      </c>
      <c r="J115" s="352">
        <v>37.099998474121094</v>
      </c>
      <c r="K115" s="353">
        <f t="shared" si="2"/>
        <v>255</v>
      </c>
      <c r="L115" s="264">
        <v>255</v>
      </c>
      <c r="M115" s="263" t="e">
        <f>IF(L115="nio",0,IF(L115&gt;0,L115*J115/N115,0))*VLOOKUP(B115,'2-Kosten per locatie'!$A$14:$C$18,3,FALSE)</f>
        <v>#DIV/0!</v>
      </c>
      <c r="N115" s="354">
        <f>IF(L115="nio",0,IF(L115&gt;0,VLOOKUP(G115,'3-Productie normen'!A:L,VLOOKUP(L115,'3-Productie normen'!$B$29:$C$32,2,FALSE),FALSE)))</f>
        <v>0</v>
      </c>
      <c r="O115" s="355" t="str">
        <f>VLOOKUP(G115,'3-Productie normen'!A:H,8,FALSE)</f>
        <v>B</v>
      </c>
      <c r="P115" s="355"/>
      <c r="R115" s="356">
        <f t="shared" si="3"/>
        <v>9460.4996109008789</v>
      </c>
    </row>
    <row r="116" spans="1:18" ht="14.1" customHeight="1">
      <c r="A116" s="75">
        <v>116</v>
      </c>
      <c r="B116" s="515" t="s">
        <v>257</v>
      </c>
      <c r="C116" s="316" t="s">
        <v>575</v>
      </c>
      <c r="D116" s="350" t="s">
        <v>582</v>
      </c>
      <c r="E116" s="351" t="s">
        <v>363</v>
      </c>
      <c r="F116" s="71" t="s">
        <v>589</v>
      </c>
      <c r="G116" s="71" t="s">
        <v>41</v>
      </c>
      <c r="H116" s="71" t="s">
        <v>84</v>
      </c>
      <c r="I116" s="515" t="s">
        <v>85</v>
      </c>
      <c r="J116" s="359">
        <v>24.700000762939453</v>
      </c>
      <c r="K116" s="353">
        <f t="shared" si="2"/>
        <v>255</v>
      </c>
      <c r="L116" s="264">
        <v>255</v>
      </c>
      <c r="M116" s="263" t="e">
        <f>IF(L116="nio",0,IF(L116&gt;0,L116*J116/N116,0))*VLOOKUP(B116,'2-Kosten per locatie'!$A$14:$C$18,3,FALSE)</f>
        <v>#DIV/0!</v>
      </c>
      <c r="N116" s="354">
        <f>IF(L116="nio",0,IF(L116&gt;0,VLOOKUP(G116,'3-Productie normen'!A:L,VLOOKUP(L116,'3-Productie normen'!$B$29:$C$32,2,FALSE),FALSE)))</f>
        <v>0</v>
      </c>
      <c r="O116" s="355" t="str">
        <f>VLOOKUP(G116,'3-Productie normen'!A:H,8,FALSE)</f>
        <v>B</v>
      </c>
      <c r="P116" s="355"/>
      <c r="R116" s="356">
        <f t="shared" si="3"/>
        <v>6298.5001945495605</v>
      </c>
    </row>
    <row r="117" spans="1:18" ht="14.1" customHeight="1">
      <c r="A117" s="75">
        <v>117</v>
      </c>
      <c r="B117" s="515" t="s">
        <v>257</v>
      </c>
      <c r="C117" s="316" t="s">
        <v>575</v>
      </c>
      <c r="D117" s="350" t="s">
        <v>582</v>
      </c>
      <c r="E117" s="258" t="s">
        <v>364</v>
      </c>
      <c r="F117" s="85" t="s">
        <v>589</v>
      </c>
      <c r="G117" s="71" t="s">
        <v>41</v>
      </c>
      <c r="H117" s="85" t="s">
        <v>84</v>
      </c>
      <c r="I117" s="515" t="s">
        <v>85</v>
      </c>
      <c r="J117" s="352">
        <v>37.099998474121094</v>
      </c>
      <c r="K117" s="353">
        <f t="shared" si="2"/>
        <v>255</v>
      </c>
      <c r="L117" s="264">
        <v>255</v>
      </c>
      <c r="M117" s="263" t="e">
        <f>IF(L117="nio",0,IF(L117&gt;0,L117*J117/N117,0))*VLOOKUP(B117,'2-Kosten per locatie'!$A$14:$C$18,3,FALSE)</f>
        <v>#DIV/0!</v>
      </c>
      <c r="N117" s="354">
        <f>IF(L117="nio",0,IF(L117&gt;0,VLOOKUP(G117,'3-Productie normen'!A:L,VLOOKUP(L117,'3-Productie normen'!$B$29:$C$32,2,FALSE),FALSE)))</f>
        <v>0</v>
      </c>
      <c r="O117" s="355" t="str">
        <f>VLOOKUP(G117,'3-Productie normen'!A:H,8,FALSE)</f>
        <v>B</v>
      </c>
      <c r="P117" s="355"/>
      <c r="R117" s="356">
        <f t="shared" si="3"/>
        <v>9460.4996109008789</v>
      </c>
    </row>
    <row r="118" spans="1:18" ht="14.1" customHeight="1">
      <c r="A118" s="75">
        <v>118</v>
      </c>
      <c r="B118" s="515" t="s">
        <v>257</v>
      </c>
      <c r="C118" s="316" t="s">
        <v>575</v>
      </c>
      <c r="D118" s="350" t="s">
        <v>582</v>
      </c>
      <c r="E118" s="351" t="s">
        <v>365</v>
      </c>
      <c r="F118" s="71" t="s">
        <v>589</v>
      </c>
      <c r="G118" s="71" t="s">
        <v>41</v>
      </c>
      <c r="H118" s="71" t="s">
        <v>84</v>
      </c>
      <c r="I118" s="515" t="s">
        <v>85</v>
      </c>
      <c r="J118" s="352">
        <v>24.700000762939453</v>
      </c>
      <c r="K118" s="353">
        <f t="shared" si="2"/>
        <v>255</v>
      </c>
      <c r="L118" s="264">
        <v>255</v>
      </c>
      <c r="M118" s="263" t="e">
        <f>IF(L118="nio",0,IF(L118&gt;0,L118*J118/N118,0))*VLOOKUP(B118,'2-Kosten per locatie'!$A$14:$C$18,3,FALSE)</f>
        <v>#DIV/0!</v>
      </c>
      <c r="N118" s="354">
        <f>IF(L118="nio",0,IF(L118&gt;0,VLOOKUP(G118,'3-Productie normen'!A:L,VLOOKUP(L118,'3-Productie normen'!$B$29:$C$32,2,FALSE),FALSE)))</f>
        <v>0</v>
      </c>
      <c r="O118" s="355" t="str">
        <f>VLOOKUP(G118,'3-Productie normen'!A:H,8,FALSE)</f>
        <v>B</v>
      </c>
      <c r="P118" s="355"/>
      <c r="R118" s="356">
        <f t="shared" si="3"/>
        <v>6298.5001945495605</v>
      </c>
    </row>
    <row r="119" spans="1:18" ht="14.1" customHeight="1">
      <c r="A119" s="75">
        <v>119</v>
      </c>
      <c r="B119" s="515" t="s">
        <v>257</v>
      </c>
      <c r="C119" s="316" t="s">
        <v>575</v>
      </c>
      <c r="D119" s="350" t="s">
        <v>582</v>
      </c>
      <c r="E119" s="351" t="s">
        <v>366</v>
      </c>
      <c r="F119" s="71" t="s">
        <v>589</v>
      </c>
      <c r="G119" s="71" t="s">
        <v>41</v>
      </c>
      <c r="H119" s="71" t="s">
        <v>84</v>
      </c>
      <c r="I119" s="515" t="s">
        <v>85</v>
      </c>
      <c r="J119" s="352">
        <v>37.099998474121094</v>
      </c>
      <c r="K119" s="353">
        <f t="shared" si="2"/>
        <v>255</v>
      </c>
      <c r="L119" s="264">
        <v>255</v>
      </c>
      <c r="M119" s="263" t="e">
        <f>IF(L119="nio",0,IF(L119&gt;0,L119*J119/N119,0))*VLOOKUP(B119,'2-Kosten per locatie'!$A$14:$C$18,3,FALSE)</f>
        <v>#DIV/0!</v>
      </c>
      <c r="N119" s="354">
        <f>IF(L119="nio",0,IF(L119&gt;0,VLOOKUP(G119,'3-Productie normen'!A:L,VLOOKUP(L119,'3-Productie normen'!$B$29:$C$32,2,FALSE),FALSE)))</f>
        <v>0</v>
      </c>
      <c r="O119" s="355" t="str">
        <f>VLOOKUP(G119,'3-Productie normen'!A:H,8,FALSE)</f>
        <v>B</v>
      </c>
      <c r="P119" s="355"/>
      <c r="R119" s="356">
        <f t="shared" si="3"/>
        <v>9460.4996109008789</v>
      </c>
    </row>
    <row r="120" spans="1:18" ht="14.1" customHeight="1">
      <c r="A120" s="75">
        <v>120</v>
      </c>
      <c r="B120" s="515" t="s">
        <v>257</v>
      </c>
      <c r="C120" s="316" t="s">
        <v>575</v>
      </c>
      <c r="D120" s="350" t="s">
        <v>582</v>
      </c>
      <c r="E120" s="351" t="s">
        <v>367</v>
      </c>
      <c r="F120" s="71" t="s">
        <v>589</v>
      </c>
      <c r="G120" s="71" t="s">
        <v>41</v>
      </c>
      <c r="H120" s="71" t="s">
        <v>84</v>
      </c>
      <c r="I120" s="515" t="s">
        <v>85</v>
      </c>
      <c r="J120" s="352">
        <v>24.700000762939453</v>
      </c>
      <c r="K120" s="353">
        <f t="shared" si="2"/>
        <v>255</v>
      </c>
      <c r="L120" s="264">
        <v>255</v>
      </c>
      <c r="M120" s="263" t="e">
        <f>IF(L120="nio",0,IF(L120&gt;0,L120*J120/N120,0))*VLOOKUP(B120,'2-Kosten per locatie'!$A$14:$C$18,3,FALSE)</f>
        <v>#DIV/0!</v>
      </c>
      <c r="N120" s="354">
        <f>IF(L120="nio",0,IF(L120&gt;0,VLOOKUP(G120,'3-Productie normen'!A:L,VLOOKUP(L120,'3-Productie normen'!$B$29:$C$32,2,FALSE),FALSE)))</f>
        <v>0</v>
      </c>
      <c r="O120" s="355" t="str">
        <f>VLOOKUP(G120,'3-Productie normen'!A:H,8,FALSE)</f>
        <v>B</v>
      </c>
      <c r="P120" s="355"/>
      <c r="R120" s="356">
        <f t="shared" si="3"/>
        <v>6298.5001945495605</v>
      </c>
    </row>
    <row r="121" spans="1:18" ht="14.1" customHeight="1">
      <c r="A121" s="75">
        <v>121</v>
      </c>
      <c r="B121" s="515" t="s">
        <v>257</v>
      </c>
      <c r="C121" s="316" t="s">
        <v>575</v>
      </c>
      <c r="D121" s="350" t="s">
        <v>582</v>
      </c>
      <c r="E121" s="351" t="s">
        <v>368</v>
      </c>
      <c r="F121" s="71" t="s">
        <v>589</v>
      </c>
      <c r="G121" s="71" t="s">
        <v>41</v>
      </c>
      <c r="H121" s="71" t="s">
        <v>84</v>
      </c>
      <c r="I121" s="515" t="s">
        <v>85</v>
      </c>
      <c r="J121" s="352">
        <v>25.799999237060547</v>
      </c>
      <c r="K121" s="353">
        <f t="shared" si="2"/>
        <v>255</v>
      </c>
      <c r="L121" s="264">
        <v>255</v>
      </c>
      <c r="M121" s="263" t="e">
        <f>IF(L121="nio",0,IF(L121&gt;0,L121*J121/N121,0))*VLOOKUP(B121,'2-Kosten per locatie'!$A$14:$C$18,3,FALSE)</f>
        <v>#DIV/0!</v>
      </c>
      <c r="N121" s="354">
        <f>IF(L121="nio",0,IF(L121&gt;0,VLOOKUP(G121,'3-Productie normen'!A:L,VLOOKUP(L121,'3-Productie normen'!$B$29:$C$32,2,FALSE),FALSE)))</f>
        <v>0</v>
      </c>
      <c r="O121" s="355" t="str">
        <f>VLOOKUP(G121,'3-Productie normen'!A:H,8,FALSE)</f>
        <v>B</v>
      </c>
      <c r="P121" s="355"/>
      <c r="R121" s="356">
        <f t="shared" si="3"/>
        <v>6578.9998054504395</v>
      </c>
    </row>
    <row r="122" spans="1:18" ht="14.1" customHeight="1">
      <c r="A122" s="75">
        <v>122</v>
      </c>
      <c r="B122" s="515" t="s">
        <v>257</v>
      </c>
      <c r="C122" s="316" t="s">
        <v>575</v>
      </c>
      <c r="D122" s="350" t="s">
        <v>582</v>
      </c>
      <c r="E122" s="351" t="s">
        <v>369</v>
      </c>
      <c r="F122" s="71" t="s">
        <v>589</v>
      </c>
      <c r="G122" s="71" t="s">
        <v>41</v>
      </c>
      <c r="H122" s="71" t="s">
        <v>84</v>
      </c>
      <c r="I122" s="515" t="s">
        <v>85</v>
      </c>
      <c r="J122" s="352">
        <v>31.600000381469702</v>
      </c>
      <c r="K122" s="353">
        <f t="shared" si="2"/>
        <v>255</v>
      </c>
      <c r="L122" s="264">
        <v>255</v>
      </c>
      <c r="M122" s="263" t="e">
        <f>IF(L122="nio",0,IF(L122&gt;0,L122*J122/N122,0))*VLOOKUP(B122,'2-Kosten per locatie'!$A$14:$C$18,3,FALSE)</f>
        <v>#DIV/0!</v>
      </c>
      <c r="N122" s="354">
        <f>IF(L122="nio",0,IF(L122&gt;0,VLOOKUP(G122,'3-Productie normen'!A:L,VLOOKUP(L122,'3-Productie normen'!$B$29:$C$32,2,FALSE),FALSE)))</f>
        <v>0</v>
      </c>
      <c r="O122" s="355" t="str">
        <f>VLOOKUP(G122,'3-Productie normen'!A:H,8,FALSE)</f>
        <v>B</v>
      </c>
      <c r="P122" s="355"/>
      <c r="R122" s="356">
        <f t="shared" si="3"/>
        <v>8058.0000972747739</v>
      </c>
    </row>
    <row r="123" spans="1:18" ht="14.1" customHeight="1">
      <c r="A123" s="75">
        <v>123</v>
      </c>
      <c r="B123" s="515" t="s">
        <v>257</v>
      </c>
      <c r="C123" s="316" t="s">
        <v>575</v>
      </c>
      <c r="D123" s="350" t="s">
        <v>582</v>
      </c>
      <c r="E123" s="351" t="s">
        <v>370</v>
      </c>
      <c r="F123" s="71" t="s">
        <v>589</v>
      </c>
      <c r="G123" s="71" t="s">
        <v>41</v>
      </c>
      <c r="H123" s="71" t="s">
        <v>84</v>
      </c>
      <c r="I123" s="515" t="s">
        <v>85</v>
      </c>
      <c r="J123" s="352">
        <v>21.299999237060547</v>
      </c>
      <c r="K123" s="353">
        <f t="shared" si="2"/>
        <v>255</v>
      </c>
      <c r="L123" s="264">
        <v>255</v>
      </c>
      <c r="M123" s="263" t="e">
        <f>IF(L123="nio",0,IF(L123&gt;0,L123*J123/N123,0))*VLOOKUP(B123,'2-Kosten per locatie'!$A$14:$C$18,3,FALSE)</f>
        <v>#DIV/0!</v>
      </c>
      <c r="N123" s="354">
        <f>IF(L123="nio",0,IF(L123&gt;0,VLOOKUP(G123,'3-Productie normen'!A:L,VLOOKUP(L123,'3-Productie normen'!$B$29:$C$32,2,FALSE),FALSE)))</f>
        <v>0</v>
      </c>
      <c r="O123" s="355" t="str">
        <f>VLOOKUP(G123,'3-Productie normen'!A:H,8,FALSE)</f>
        <v>B</v>
      </c>
      <c r="P123" s="355"/>
      <c r="R123" s="356">
        <f t="shared" si="3"/>
        <v>5431.4998054504395</v>
      </c>
    </row>
    <row r="124" spans="1:18" ht="14.1" customHeight="1">
      <c r="A124" s="75">
        <v>124</v>
      </c>
      <c r="B124" s="515" t="s">
        <v>257</v>
      </c>
      <c r="C124" s="316" t="s">
        <v>575</v>
      </c>
      <c r="D124" s="350" t="s">
        <v>582</v>
      </c>
      <c r="E124" s="351" t="s">
        <v>371</v>
      </c>
      <c r="F124" s="71" t="s">
        <v>589</v>
      </c>
      <c r="G124" s="71" t="s">
        <v>41</v>
      </c>
      <c r="H124" s="71" t="s">
        <v>84</v>
      </c>
      <c r="I124" s="515" t="s">
        <v>85</v>
      </c>
      <c r="J124" s="352">
        <v>21.3</v>
      </c>
      <c r="K124" s="353">
        <f t="shared" si="2"/>
        <v>255</v>
      </c>
      <c r="L124" s="264">
        <v>255</v>
      </c>
      <c r="M124" s="263" t="e">
        <f>IF(L124="nio",0,IF(L124&gt;0,L124*J124/N124,0))*VLOOKUP(B124,'2-Kosten per locatie'!$A$14:$C$18,3,FALSE)</f>
        <v>#DIV/0!</v>
      </c>
      <c r="N124" s="354">
        <f>IF(L124="nio",0,IF(L124&gt;0,VLOOKUP(G124,'3-Productie normen'!A:L,VLOOKUP(L124,'3-Productie normen'!$B$29:$C$32,2,FALSE),FALSE)))</f>
        <v>0</v>
      </c>
      <c r="O124" s="355" t="str">
        <f>VLOOKUP(G124,'3-Productie normen'!A:H,8,FALSE)</f>
        <v>B</v>
      </c>
      <c r="P124" s="355"/>
      <c r="R124" s="356">
        <f t="shared" si="3"/>
        <v>5431.5</v>
      </c>
    </row>
    <row r="125" spans="1:18" ht="14.1" customHeight="1">
      <c r="A125" s="75">
        <v>125</v>
      </c>
      <c r="B125" s="515" t="s">
        <v>257</v>
      </c>
      <c r="C125" s="316" t="s">
        <v>575</v>
      </c>
      <c r="D125" s="350" t="s">
        <v>582</v>
      </c>
      <c r="E125" s="351" t="s">
        <v>372</v>
      </c>
      <c r="F125" s="71" t="s">
        <v>589</v>
      </c>
      <c r="G125" s="71" t="s">
        <v>41</v>
      </c>
      <c r="H125" s="71" t="s">
        <v>84</v>
      </c>
      <c r="I125" s="515" t="s">
        <v>85</v>
      </c>
      <c r="J125" s="352">
        <v>21.299999237060547</v>
      </c>
      <c r="K125" s="353">
        <f t="shared" si="2"/>
        <v>255</v>
      </c>
      <c r="L125" s="264">
        <v>255</v>
      </c>
      <c r="M125" s="263" t="e">
        <f>IF(L125="nio",0,IF(L125&gt;0,L125*J125/N125,0))*VLOOKUP(B125,'2-Kosten per locatie'!$A$14:$C$18,3,FALSE)</f>
        <v>#DIV/0!</v>
      </c>
      <c r="N125" s="354">
        <f>IF(L125="nio",0,IF(L125&gt;0,VLOOKUP(G125,'3-Productie normen'!A:L,VLOOKUP(L125,'3-Productie normen'!$B$29:$C$32,2,FALSE),FALSE)))</f>
        <v>0</v>
      </c>
      <c r="O125" s="355" t="str">
        <f>VLOOKUP(G125,'3-Productie normen'!A:H,8,FALSE)</f>
        <v>B</v>
      </c>
      <c r="P125" s="355"/>
      <c r="R125" s="356">
        <f t="shared" si="3"/>
        <v>5431.4998054504395</v>
      </c>
    </row>
    <row r="126" spans="1:18" ht="14.1" customHeight="1">
      <c r="A126" s="75">
        <v>126</v>
      </c>
      <c r="B126" s="515" t="s">
        <v>257</v>
      </c>
      <c r="C126" s="316" t="s">
        <v>575</v>
      </c>
      <c r="D126" s="350" t="s">
        <v>582</v>
      </c>
      <c r="E126" s="351" t="s">
        <v>373</v>
      </c>
      <c r="F126" s="71" t="s">
        <v>589</v>
      </c>
      <c r="G126" s="71" t="s">
        <v>41</v>
      </c>
      <c r="H126" s="71" t="s">
        <v>84</v>
      </c>
      <c r="I126" s="515" t="s">
        <v>85</v>
      </c>
      <c r="J126" s="352">
        <v>32</v>
      </c>
      <c r="K126" s="353">
        <f t="shared" si="2"/>
        <v>255</v>
      </c>
      <c r="L126" s="264">
        <v>255</v>
      </c>
      <c r="M126" s="263" t="e">
        <f>IF(L126="nio",0,IF(L126&gt;0,L126*J126/N126,0))*VLOOKUP(B126,'2-Kosten per locatie'!$A$14:$C$18,3,FALSE)</f>
        <v>#DIV/0!</v>
      </c>
      <c r="N126" s="354">
        <f>IF(L126="nio",0,IF(L126&gt;0,VLOOKUP(G126,'3-Productie normen'!A:L,VLOOKUP(L126,'3-Productie normen'!$B$29:$C$32,2,FALSE),FALSE)))</f>
        <v>0</v>
      </c>
      <c r="O126" s="355" t="str">
        <f>VLOOKUP(G126,'3-Productie normen'!A:H,8,FALSE)</f>
        <v>B</v>
      </c>
      <c r="P126" s="355"/>
      <c r="R126" s="356">
        <f t="shared" si="3"/>
        <v>8160</v>
      </c>
    </row>
    <row r="127" spans="1:18" ht="14.1" customHeight="1">
      <c r="A127" s="75">
        <v>127</v>
      </c>
      <c r="B127" s="515" t="s">
        <v>257</v>
      </c>
      <c r="C127" s="316" t="s">
        <v>575</v>
      </c>
      <c r="D127" s="350" t="s">
        <v>582</v>
      </c>
      <c r="E127" s="351" t="s">
        <v>374</v>
      </c>
      <c r="F127" s="71" t="s">
        <v>589</v>
      </c>
      <c r="G127" s="71" t="s">
        <v>41</v>
      </c>
      <c r="H127" s="71" t="s">
        <v>84</v>
      </c>
      <c r="I127" s="515" t="s">
        <v>85</v>
      </c>
      <c r="J127" s="352">
        <v>32</v>
      </c>
      <c r="K127" s="353">
        <f t="shared" si="2"/>
        <v>255</v>
      </c>
      <c r="L127" s="264">
        <v>255</v>
      </c>
      <c r="M127" s="263" t="e">
        <f>IF(L127="nio",0,IF(L127&gt;0,L127*J127/N127,0))*VLOOKUP(B127,'2-Kosten per locatie'!$A$14:$C$18,3,FALSE)</f>
        <v>#DIV/0!</v>
      </c>
      <c r="N127" s="354">
        <f>IF(L127="nio",0,IF(L127&gt;0,VLOOKUP(G127,'3-Productie normen'!A:L,VLOOKUP(L127,'3-Productie normen'!$B$29:$C$32,2,FALSE),FALSE)))</f>
        <v>0</v>
      </c>
      <c r="O127" s="355" t="str">
        <f>VLOOKUP(G127,'3-Productie normen'!A:H,8,FALSE)</f>
        <v>B</v>
      </c>
      <c r="P127" s="355"/>
      <c r="R127" s="356">
        <f t="shared" si="3"/>
        <v>8160</v>
      </c>
    </row>
    <row r="128" spans="1:18" ht="14.1" customHeight="1">
      <c r="A128" s="75">
        <v>128</v>
      </c>
      <c r="B128" s="515" t="s">
        <v>257</v>
      </c>
      <c r="C128" s="316" t="s">
        <v>575</v>
      </c>
      <c r="D128" s="350" t="s">
        <v>582</v>
      </c>
      <c r="E128" s="351" t="s">
        <v>375</v>
      </c>
      <c r="F128" s="71" t="s">
        <v>589</v>
      </c>
      <c r="G128" s="71" t="s">
        <v>41</v>
      </c>
      <c r="H128" s="71" t="s">
        <v>84</v>
      </c>
      <c r="I128" s="515" t="s">
        <v>85</v>
      </c>
      <c r="J128" s="352">
        <v>42.599998474121094</v>
      </c>
      <c r="K128" s="353">
        <f t="shared" si="2"/>
        <v>255</v>
      </c>
      <c r="L128" s="264">
        <v>255</v>
      </c>
      <c r="M128" s="263" t="e">
        <f>IF(L128="nio",0,IF(L128&gt;0,L128*J128/N128,0))*VLOOKUP(B128,'2-Kosten per locatie'!$A$14:$C$18,3,FALSE)</f>
        <v>#DIV/0!</v>
      </c>
      <c r="N128" s="354">
        <f>IF(L128="nio",0,IF(L128&gt;0,VLOOKUP(G128,'3-Productie normen'!A:L,VLOOKUP(L128,'3-Productie normen'!$B$29:$C$32,2,FALSE),FALSE)))</f>
        <v>0</v>
      </c>
      <c r="O128" s="355" t="str">
        <f>VLOOKUP(G128,'3-Productie normen'!A:H,8,FALSE)</f>
        <v>B</v>
      </c>
      <c r="P128" s="355"/>
      <c r="R128" s="356">
        <f t="shared" si="3"/>
        <v>10862.999610900879</v>
      </c>
    </row>
    <row r="129" spans="1:18" ht="14.1" customHeight="1">
      <c r="A129" s="75">
        <v>129</v>
      </c>
      <c r="B129" s="515" t="s">
        <v>257</v>
      </c>
      <c r="C129" s="316" t="s">
        <v>575</v>
      </c>
      <c r="D129" s="350" t="s">
        <v>582</v>
      </c>
      <c r="E129" s="351" t="s">
        <v>376</v>
      </c>
      <c r="F129" s="71" t="s">
        <v>595</v>
      </c>
      <c r="G129" s="71" t="s">
        <v>45</v>
      </c>
      <c r="H129" s="71" t="s">
        <v>84</v>
      </c>
      <c r="I129" s="515" t="s">
        <v>85</v>
      </c>
      <c r="J129" s="352">
        <v>47.599998474121094</v>
      </c>
      <c r="K129" s="353">
        <f t="shared" si="2"/>
        <v>255</v>
      </c>
      <c r="L129" s="264">
        <v>255</v>
      </c>
      <c r="M129" s="263" t="e">
        <f>IF(L129="nio",0,IF(L129&gt;0,L129*J129/N129,0))*VLOOKUP(B129,'2-Kosten per locatie'!$A$14:$C$18,3,FALSE)</f>
        <v>#DIV/0!</v>
      </c>
      <c r="N129" s="354">
        <f>IF(L129="nio",0,IF(L129&gt;0,VLOOKUP(G129,'3-Productie normen'!A:L,VLOOKUP(L129,'3-Productie normen'!$B$29:$C$32,2,FALSE),FALSE)))</f>
        <v>0</v>
      </c>
      <c r="O129" s="355" t="str">
        <f>VLOOKUP(G129,'3-Productie normen'!A:H,8,FALSE)</f>
        <v>V</v>
      </c>
      <c r="P129" s="355"/>
      <c r="R129" s="356">
        <f t="shared" si="3"/>
        <v>12137.999610900879</v>
      </c>
    </row>
    <row r="130" spans="1:18" ht="14.1" customHeight="1">
      <c r="A130" s="75">
        <v>130</v>
      </c>
      <c r="B130" s="515" t="s">
        <v>257</v>
      </c>
      <c r="C130" s="316" t="s">
        <v>575</v>
      </c>
      <c r="D130" s="350" t="s">
        <v>582</v>
      </c>
      <c r="E130" s="351" t="s">
        <v>377</v>
      </c>
      <c r="F130" s="71" t="s">
        <v>589</v>
      </c>
      <c r="G130" s="71" t="s">
        <v>41</v>
      </c>
      <c r="H130" s="71" t="s">
        <v>84</v>
      </c>
      <c r="I130" s="515" t="s">
        <v>85</v>
      </c>
      <c r="J130" s="352">
        <v>53.099998474121094</v>
      </c>
      <c r="K130" s="353">
        <f t="shared" si="2"/>
        <v>255</v>
      </c>
      <c r="L130" s="264">
        <v>255</v>
      </c>
      <c r="M130" s="263" t="e">
        <f>IF(L130="nio",0,IF(L130&gt;0,L130*J130/N130,0))*VLOOKUP(B130,'2-Kosten per locatie'!$A$14:$C$18,3,FALSE)</f>
        <v>#DIV/0!</v>
      </c>
      <c r="N130" s="354">
        <f>IF(L130="nio",0,IF(L130&gt;0,VLOOKUP(G130,'3-Productie normen'!A:L,VLOOKUP(L130,'3-Productie normen'!$B$29:$C$32,2,FALSE),FALSE)))</f>
        <v>0</v>
      </c>
      <c r="O130" s="355" t="str">
        <f>VLOOKUP(G130,'3-Productie normen'!A:H,8,FALSE)</f>
        <v>B</v>
      </c>
      <c r="P130" s="355"/>
      <c r="R130" s="356">
        <f t="shared" si="3"/>
        <v>13540.499610900879</v>
      </c>
    </row>
    <row r="131" spans="1:18" ht="14.1" customHeight="1">
      <c r="A131" s="75">
        <v>131</v>
      </c>
      <c r="B131" s="515" t="s">
        <v>257</v>
      </c>
      <c r="C131" s="316" t="s">
        <v>575</v>
      </c>
      <c r="D131" s="350" t="s">
        <v>582</v>
      </c>
      <c r="E131" s="351" t="s">
        <v>378</v>
      </c>
      <c r="F131" s="71" t="s">
        <v>81</v>
      </c>
      <c r="G131" s="316" t="s">
        <v>49</v>
      </c>
      <c r="H131" s="71" t="s">
        <v>236</v>
      </c>
      <c r="I131" s="515" t="s">
        <v>82</v>
      </c>
      <c r="J131" s="352">
        <v>7.0999999046325684</v>
      </c>
      <c r="K131" s="353">
        <f t="shared" si="2"/>
        <v>156</v>
      </c>
      <c r="L131" s="264">
        <v>156</v>
      </c>
      <c r="M131" s="263" t="e">
        <f>IF(L131="nio",0,IF(L131&gt;0,L131*J131/N131,0))*VLOOKUP(B131,'2-Kosten per locatie'!$A$14:$C$18,3,FALSE)</f>
        <v>#DIV/0!</v>
      </c>
      <c r="N131" s="354">
        <f>IF(L131="nio",0,IF(L131&gt;0,VLOOKUP(G131,'3-Productie normen'!A:L,VLOOKUP(L131,'3-Productie normen'!$B$29:$C$32,2,FALSE),FALSE)))</f>
        <v>0</v>
      </c>
      <c r="O131" s="355" t="str">
        <f>VLOOKUP(G131,'3-Productie normen'!A:H,8,FALSE)</f>
        <v>V</v>
      </c>
      <c r="P131" s="355"/>
      <c r="R131" s="356">
        <f t="shared" si="3"/>
        <v>1107.5999851226807</v>
      </c>
    </row>
    <row r="132" spans="1:18" ht="14.1" customHeight="1">
      <c r="A132" s="75">
        <v>132</v>
      </c>
      <c r="B132" s="515" t="s">
        <v>257</v>
      </c>
      <c r="C132" s="316" t="s">
        <v>575</v>
      </c>
      <c r="D132" s="350" t="s">
        <v>582</v>
      </c>
      <c r="E132" s="351" t="s">
        <v>379</v>
      </c>
      <c r="F132" s="71" t="s">
        <v>589</v>
      </c>
      <c r="G132" s="71" t="s">
        <v>41</v>
      </c>
      <c r="H132" s="71" t="s">
        <v>84</v>
      </c>
      <c r="I132" s="515" t="s">
        <v>85</v>
      </c>
      <c r="J132" s="352">
        <v>53.599998474121094</v>
      </c>
      <c r="K132" s="353">
        <f t="shared" si="2"/>
        <v>255</v>
      </c>
      <c r="L132" s="264">
        <v>255</v>
      </c>
      <c r="M132" s="263" t="e">
        <f>IF(L132="nio",0,IF(L132&gt;0,L132*J132/N132,0))*VLOOKUP(B132,'2-Kosten per locatie'!$A$14:$C$18,3,FALSE)</f>
        <v>#DIV/0!</v>
      </c>
      <c r="N132" s="354">
        <f>IF(L132="nio",0,IF(L132&gt;0,VLOOKUP(G132,'3-Productie normen'!A:L,VLOOKUP(L132,'3-Productie normen'!$B$29:$C$32,2,FALSE),FALSE)))</f>
        <v>0</v>
      </c>
      <c r="O132" s="355" t="str">
        <f>VLOOKUP(G132,'3-Productie normen'!A:H,8,FALSE)</f>
        <v>B</v>
      </c>
      <c r="P132" s="355"/>
      <c r="R132" s="356">
        <f t="shared" si="3"/>
        <v>13667.999610900879</v>
      </c>
    </row>
    <row r="133" spans="1:18" ht="14.1" customHeight="1">
      <c r="A133" s="75">
        <v>133</v>
      </c>
      <c r="B133" s="515" t="s">
        <v>257</v>
      </c>
      <c r="C133" s="316" t="s">
        <v>575</v>
      </c>
      <c r="D133" s="350" t="s">
        <v>582</v>
      </c>
      <c r="E133" s="351" t="s">
        <v>380</v>
      </c>
      <c r="F133" s="71" t="s">
        <v>589</v>
      </c>
      <c r="G133" s="71" t="s">
        <v>41</v>
      </c>
      <c r="H133" s="71" t="s">
        <v>84</v>
      </c>
      <c r="I133" s="515" t="s">
        <v>85</v>
      </c>
      <c r="J133" s="352">
        <v>27</v>
      </c>
      <c r="K133" s="353">
        <f t="shared" si="2"/>
        <v>255</v>
      </c>
      <c r="L133" s="264">
        <v>255</v>
      </c>
      <c r="M133" s="263" t="e">
        <f>IF(L133="nio",0,IF(L133&gt;0,L133*J133/N133,0))*VLOOKUP(B133,'2-Kosten per locatie'!$A$14:$C$18,3,FALSE)</f>
        <v>#DIV/0!</v>
      </c>
      <c r="N133" s="354">
        <f>IF(L133="nio",0,IF(L133&gt;0,VLOOKUP(G133,'3-Productie normen'!A:L,VLOOKUP(L133,'3-Productie normen'!$B$29:$C$32,2,FALSE),FALSE)))</f>
        <v>0</v>
      </c>
      <c r="O133" s="355" t="str">
        <f>VLOOKUP(G133,'3-Productie normen'!A:H,8,FALSE)</f>
        <v>B</v>
      </c>
      <c r="P133" s="355"/>
      <c r="R133" s="356">
        <f t="shared" si="3"/>
        <v>6885</v>
      </c>
    </row>
    <row r="134" spans="1:18" ht="14.1" customHeight="1">
      <c r="A134" s="75">
        <v>134</v>
      </c>
      <c r="B134" s="515" t="s">
        <v>257</v>
      </c>
      <c r="C134" s="316" t="s">
        <v>575</v>
      </c>
      <c r="D134" s="350" t="s">
        <v>582</v>
      </c>
      <c r="E134" s="351" t="s">
        <v>381</v>
      </c>
      <c r="F134" s="71" t="s">
        <v>589</v>
      </c>
      <c r="G134" s="71" t="s">
        <v>41</v>
      </c>
      <c r="H134" s="71" t="s">
        <v>84</v>
      </c>
      <c r="I134" s="515" t="s">
        <v>85</v>
      </c>
      <c r="J134" s="352">
        <v>27</v>
      </c>
      <c r="K134" s="353">
        <f t="shared" si="2"/>
        <v>255</v>
      </c>
      <c r="L134" s="264">
        <v>255</v>
      </c>
      <c r="M134" s="263" t="e">
        <f>IF(L134="nio",0,IF(L134&gt;0,L134*J134/N134,0))*VLOOKUP(B134,'2-Kosten per locatie'!$A$14:$C$18,3,FALSE)</f>
        <v>#DIV/0!</v>
      </c>
      <c r="N134" s="354">
        <f>IF(L134="nio",0,IF(L134&gt;0,VLOOKUP(G134,'3-Productie normen'!A:L,VLOOKUP(L134,'3-Productie normen'!$B$29:$C$32,2,FALSE),FALSE)))</f>
        <v>0</v>
      </c>
      <c r="O134" s="355" t="str">
        <f>VLOOKUP(G134,'3-Productie normen'!A:H,8,FALSE)</f>
        <v>B</v>
      </c>
      <c r="P134" s="355"/>
      <c r="R134" s="356">
        <f t="shared" si="3"/>
        <v>6885</v>
      </c>
    </row>
    <row r="135" spans="1:18" ht="14.1" customHeight="1">
      <c r="A135" s="75">
        <v>135</v>
      </c>
      <c r="B135" s="515" t="s">
        <v>257</v>
      </c>
      <c r="C135" s="316" t="s">
        <v>575</v>
      </c>
      <c r="D135" s="350" t="s">
        <v>582</v>
      </c>
      <c r="E135" s="351" t="s">
        <v>382</v>
      </c>
      <c r="F135" s="71" t="s">
        <v>589</v>
      </c>
      <c r="G135" s="71" t="s">
        <v>41</v>
      </c>
      <c r="H135" s="71" t="s">
        <v>84</v>
      </c>
      <c r="I135" s="515" t="s">
        <v>85</v>
      </c>
      <c r="J135" s="352">
        <v>27</v>
      </c>
      <c r="K135" s="353">
        <f t="shared" si="2"/>
        <v>255</v>
      </c>
      <c r="L135" s="264">
        <v>255</v>
      </c>
      <c r="M135" s="263" t="e">
        <f>IF(L135="nio",0,IF(L135&gt;0,L135*J135/N135,0))*VLOOKUP(B135,'2-Kosten per locatie'!$A$14:$C$18,3,FALSE)</f>
        <v>#DIV/0!</v>
      </c>
      <c r="N135" s="354">
        <f>IF(L135="nio",0,IF(L135&gt;0,VLOOKUP(G135,'3-Productie normen'!A:L,VLOOKUP(L135,'3-Productie normen'!$B$29:$C$32,2,FALSE),FALSE)))</f>
        <v>0</v>
      </c>
      <c r="O135" s="355" t="str">
        <f>VLOOKUP(G135,'3-Productie normen'!A:H,8,FALSE)</f>
        <v>B</v>
      </c>
      <c r="P135" s="355"/>
      <c r="R135" s="356">
        <f t="shared" si="3"/>
        <v>6885</v>
      </c>
    </row>
    <row r="136" spans="1:18" ht="14.1" customHeight="1">
      <c r="A136" s="75">
        <v>136</v>
      </c>
      <c r="B136" s="515" t="s">
        <v>257</v>
      </c>
      <c r="C136" s="316" t="s">
        <v>575</v>
      </c>
      <c r="D136" s="350" t="s">
        <v>582</v>
      </c>
      <c r="E136" s="351" t="s">
        <v>383</v>
      </c>
      <c r="F136" s="71" t="s">
        <v>589</v>
      </c>
      <c r="G136" s="71" t="s">
        <v>41</v>
      </c>
      <c r="H136" s="71" t="s">
        <v>84</v>
      </c>
      <c r="I136" s="515" t="s">
        <v>85</v>
      </c>
      <c r="J136" s="352">
        <v>27</v>
      </c>
      <c r="K136" s="353">
        <f t="shared" ref="K136:K198" si="4">SUM(L136:L136)</f>
        <v>255</v>
      </c>
      <c r="L136" s="264">
        <v>255</v>
      </c>
      <c r="M136" s="263" t="e">
        <f>IF(L136="nio",0,IF(L136&gt;0,L136*J136/N136,0))*VLOOKUP(B136,'2-Kosten per locatie'!$A$14:$C$18,3,FALSE)</f>
        <v>#DIV/0!</v>
      </c>
      <c r="N136" s="354">
        <f>IF(L136="nio",0,IF(L136&gt;0,VLOOKUP(G136,'3-Productie normen'!A:L,VLOOKUP(L136,'3-Productie normen'!$B$29:$C$32,2,FALSE),FALSE)))</f>
        <v>0</v>
      </c>
      <c r="O136" s="355" t="str">
        <f>VLOOKUP(G136,'3-Productie normen'!A:H,8,FALSE)</f>
        <v>B</v>
      </c>
      <c r="P136" s="355"/>
      <c r="R136" s="356">
        <f t="shared" ref="R136:R198" si="5">K136*J136</f>
        <v>6885</v>
      </c>
    </row>
    <row r="137" spans="1:18" ht="14.1" customHeight="1">
      <c r="A137" s="75">
        <v>137</v>
      </c>
      <c r="B137" s="515" t="s">
        <v>257</v>
      </c>
      <c r="C137" s="316" t="s">
        <v>575</v>
      </c>
      <c r="D137" s="350" t="s">
        <v>582</v>
      </c>
      <c r="E137" s="351" t="s">
        <v>384</v>
      </c>
      <c r="F137" s="71" t="s">
        <v>589</v>
      </c>
      <c r="G137" s="71" t="s">
        <v>41</v>
      </c>
      <c r="H137" s="71" t="s">
        <v>84</v>
      </c>
      <c r="I137" s="515" t="s">
        <v>85</v>
      </c>
      <c r="J137" s="352">
        <v>27</v>
      </c>
      <c r="K137" s="353">
        <f t="shared" si="4"/>
        <v>255</v>
      </c>
      <c r="L137" s="264">
        <v>255</v>
      </c>
      <c r="M137" s="263" t="e">
        <f>IF(L137="nio",0,IF(L137&gt;0,L137*J137/N137,0))*VLOOKUP(B137,'2-Kosten per locatie'!$A$14:$C$18,3,FALSE)</f>
        <v>#DIV/0!</v>
      </c>
      <c r="N137" s="354">
        <f>IF(L137="nio",0,IF(L137&gt;0,VLOOKUP(G137,'3-Productie normen'!A:L,VLOOKUP(L137,'3-Productie normen'!$B$29:$C$32,2,FALSE),FALSE)))</f>
        <v>0</v>
      </c>
      <c r="O137" s="355" t="str">
        <f>VLOOKUP(G137,'3-Productie normen'!A:H,8,FALSE)</f>
        <v>B</v>
      </c>
      <c r="P137" s="355"/>
      <c r="R137" s="356">
        <f t="shared" si="5"/>
        <v>6885</v>
      </c>
    </row>
    <row r="138" spans="1:18" ht="14.1" customHeight="1">
      <c r="A138" s="75">
        <v>138</v>
      </c>
      <c r="B138" s="515" t="s">
        <v>257</v>
      </c>
      <c r="C138" s="316" t="s">
        <v>575</v>
      </c>
      <c r="D138" s="350" t="s">
        <v>582</v>
      </c>
      <c r="E138" s="351" t="s">
        <v>385</v>
      </c>
      <c r="F138" s="71" t="s">
        <v>589</v>
      </c>
      <c r="G138" s="71" t="s">
        <v>41</v>
      </c>
      <c r="H138" s="71" t="s">
        <v>84</v>
      </c>
      <c r="I138" s="515" t="s">
        <v>85</v>
      </c>
      <c r="J138" s="352">
        <v>27</v>
      </c>
      <c r="K138" s="353">
        <f t="shared" si="4"/>
        <v>255</v>
      </c>
      <c r="L138" s="264">
        <v>255</v>
      </c>
      <c r="M138" s="263" t="e">
        <f>IF(L138="nio",0,IF(L138&gt;0,L138*J138/N138,0))*VLOOKUP(B138,'2-Kosten per locatie'!$A$14:$C$18,3,FALSE)</f>
        <v>#DIV/0!</v>
      </c>
      <c r="N138" s="354">
        <f>IF(L138="nio",0,IF(L138&gt;0,VLOOKUP(G138,'3-Productie normen'!A:L,VLOOKUP(L138,'3-Productie normen'!$B$29:$C$32,2,FALSE),FALSE)))</f>
        <v>0</v>
      </c>
      <c r="O138" s="355" t="str">
        <f>VLOOKUP(G138,'3-Productie normen'!A:H,8,FALSE)</f>
        <v>B</v>
      </c>
      <c r="P138" s="355"/>
      <c r="R138" s="356">
        <f t="shared" si="5"/>
        <v>6885</v>
      </c>
    </row>
    <row r="139" spans="1:18" ht="14.1" customHeight="1">
      <c r="A139" s="75">
        <v>139</v>
      </c>
      <c r="B139" s="515" t="s">
        <v>257</v>
      </c>
      <c r="C139" s="316" t="s">
        <v>575</v>
      </c>
      <c r="D139" s="350" t="s">
        <v>582</v>
      </c>
      <c r="E139" s="351" t="s">
        <v>386</v>
      </c>
      <c r="F139" s="71" t="s">
        <v>589</v>
      </c>
      <c r="G139" s="71" t="s">
        <v>41</v>
      </c>
      <c r="H139" s="71" t="s">
        <v>84</v>
      </c>
      <c r="I139" s="515" t="s">
        <v>85</v>
      </c>
      <c r="J139" s="352">
        <v>27</v>
      </c>
      <c r="K139" s="353">
        <f t="shared" si="4"/>
        <v>255</v>
      </c>
      <c r="L139" s="264">
        <v>255</v>
      </c>
      <c r="M139" s="263" t="e">
        <f>IF(L139="nio",0,IF(L139&gt;0,L139*J139/N139,0))*VLOOKUP(B139,'2-Kosten per locatie'!$A$14:$C$18,3,FALSE)</f>
        <v>#DIV/0!</v>
      </c>
      <c r="N139" s="354">
        <f>IF(L139="nio",0,IF(L139&gt;0,VLOOKUP(G139,'3-Productie normen'!A:L,VLOOKUP(L139,'3-Productie normen'!$B$29:$C$32,2,FALSE),FALSE)))</f>
        <v>0</v>
      </c>
      <c r="O139" s="355" t="str">
        <f>VLOOKUP(G139,'3-Productie normen'!A:H,8,FALSE)</f>
        <v>B</v>
      </c>
      <c r="P139" s="355"/>
      <c r="R139" s="356">
        <f t="shared" si="5"/>
        <v>6885</v>
      </c>
    </row>
    <row r="140" spans="1:18" ht="14.1" customHeight="1">
      <c r="A140" s="75">
        <v>140</v>
      </c>
      <c r="B140" s="515" t="s">
        <v>257</v>
      </c>
      <c r="C140" s="316" t="s">
        <v>576</v>
      </c>
      <c r="D140" s="350" t="s">
        <v>583</v>
      </c>
      <c r="E140" s="351" t="s">
        <v>387</v>
      </c>
      <c r="F140" s="71" t="s">
        <v>584</v>
      </c>
      <c r="G140" s="316" t="s">
        <v>45</v>
      </c>
      <c r="H140" s="71" t="s">
        <v>84</v>
      </c>
      <c r="I140" s="515" t="s">
        <v>85</v>
      </c>
      <c r="J140" s="352">
        <v>48.299999237060547</v>
      </c>
      <c r="K140" s="353">
        <f t="shared" si="4"/>
        <v>156</v>
      </c>
      <c r="L140" s="264">
        <v>156</v>
      </c>
      <c r="M140" s="263" t="e">
        <f>IF(L140="nio",0,IF(L140&gt;0,L140*J140/N140,0))*VLOOKUP(B140,'2-Kosten per locatie'!$A$14:$C$18,3,FALSE)</f>
        <v>#DIV/0!</v>
      </c>
      <c r="N140" s="354">
        <f>IF(L140="nio",0,IF(L140&gt;0,VLOOKUP(G140,'3-Productie normen'!A:L,VLOOKUP(L140,'3-Productie normen'!$B$29:$C$32,2,FALSE),FALSE)))</f>
        <v>0</v>
      </c>
      <c r="O140" s="355" t="str">
        <f>VLOOKUP(G140,'3-Productie normen'!A:H,8,FALSE)</f>
        <v>V</v>
      </c>
      <c r="P140" s="355"/>
      <c r="R140" s="356">
        <f t="shared" si="5"/>
        <v>7534.7998809814453</v>
      </c>
    </row>
    <row r="141" spans="1:18" ht="14.1" customHeight="1">
      <c r="A141" s="75">
        <v>141</v>
      </c>
      <c r="B141" s="515" t="s">
        <v>257</v>
      </c>
      <c r="C141" s="316" t="s">
        <v>576</v>
      </c>
      <c r="D141" s="350" t="s">
        <v>583</v>
      </c>
      <c r="E141" s="351" t="s">
        <v>388</v>
      </c>
      <c r="F141" s="316" t="s">
        <v>584</v>
      </c>
      <c r="G141" s="316" t="s">
        <v>45</v>
      </c>
      <c r="H141" s="71" t="s">
        <v>84</v>
      </c>
      <c r="I141" s="515" t="s">
        <v>85</v>
      </c>
      <c r="J141" s="352">
        <v>3.7999999523162842</v>
      </c>
      <c r="K141" s="353">
        <f t="shared" si="4"/>
        <v>156</v>
      </c>
      <c r="L141" s="264">
        <v>156</v>
      </c>
      <c r="M141" s="263" t="e">
        <f>IF(L141="nio",0,IF(L141&gt;0,L141*J141/N141,0))*VLOOKUP(B141,'2-Kosten per locatie'!$A$14:$C$18,3,FALSE)</f>
        <v>#DIV/0!</v>
      </c>
      <c r="N141" s="354">
        <f>IF(L141="nio",0,IF(L141&gt;0,VLOOKUP(G141,'3-Productie normen'!A:L,VLOOKUP(L141,'3-Productie normen'!$B$29:$C$32,2,FALSE),FALSE)))</f>
        <v>0</v>
      </c>
      <c r="O141" s="355" t="str">
        <f>VLOOKUP(G141,'3-Productie normen'!A:H,8,FALSE)</f>
        <v>V</v>
      </c>
      <c r="P141" s="355"/>
      <c r="R141" s="356">
        <f t="shared" si="5"/>
        <v>592.79999256134033</v>
      </c>
    </row>
    <row r="142" spans="1:18" ht="14.1" customHeight="1">
      <c r="A142" s="75">
        <v>142</v>
      </c>
      <c r="B142" s="515" t="s">
        <v>257</v>
      </c>
      <c r="C142" s="316" t="s">
        <v>576</v>
      </c>
      <c r="D142" s="350" t="s">
        <v>583</v>
      </c>
      <c r="E142" s="351" t="s">
        <v>389</v>
      </c>
      <c r="F142" s="316" t="s">
        <v>584</v>
      </c>
      <c r="G142" s="316" t="s">
        <v>45</v>
      </c>
      <c r="H142" s="71" t="s">
        <v>601</v>
      </c>
      <c r="I142" s="515" t="s">
        <v>86</v>
      </c>
      <c r="J142" s="352">
        <v>4.3000001907348633</v>
      </c>
      <c r="K142" s="353">
        <f t="shared" si="4"/>
        <v>156</v>
      </c>
      <c r="L142" s="264">
        <v>156</v>
      </c>
      <c r="M142" s="263" t="e">
        <f>IF(L142="nio",0,IF(L142&gt;0,L142*J142/N142,0))*VLOOKUP(B142,'2-Kosten per locatie'!$A$14:$C$18,3,FALSE)</f>
        <v>#DIV/0!</v>
      </c>
      <c r="N142" s="354">
        <f>IF(L142="nio",0,IF(L142&gt;0,VLOOKUP(G142,'3-Productie normen'!A:L,VLOOKUP(L142,'3-Productie normen'!$B$29:$C$32,2,FALSE),FALSE)))</f>
        <v>0</v>
      </c>
      <c r="O142" s="355" t="str">
        <f>VLOOKUP(G142,'3-Productie normen'!A:H,8,FALSE)</f>
        <v>V</v>
      </c>
      <c r="P142" s="355"/>
      <c r="R142" s="356">
        <f t="shared" si="5"/>
        <v>670.80002975463867</v>
      </c>
    </row>
    <row r="143" spans="1:18" ht="14.1" customHeight="1">
      <c r="A143" s="75">
        <v>143</v>
      </c>
      <c r="B143" s="515" t="s">
        <v>257</v>
      </c>
      <c r="C143" s="316" t="s">
        <v>576</v>
      </c>
      <c r="D143" s="350" t="s">
        <v>583</v>
      </c>
      <c r="E143" s="351" t="s">
        <v>390</v>
      </c>
      <c r="F143" s="316" t="s">
        <v>596</v>
      </c>
      <c r="G143" s="316" t="s">
        <v>48</v>
      </c>
      <c r="H143" s="71" t="s">
        <v>601</v>
      </c>
      <c r="I143" s="515" t="s">
        <v>86</v>
      </c>
      <c r="J143" s="352">
        <v>268.5</v>
      </c>
      <c r="K143" s="353">
        <f t="shared" si="4"/>
        <v>255</v>
      </c>
      <c r="L143" s="264">
        <v>255</v>
      </c>
      <c r="M143" s="263" t="e">
        <f>IF(L143="nio",0,IF(L143&gt;0,L143*J143/N143,0))*VLOOKUP(B143,'2-Kosten per locatie'!$A$14:$C$18,3,FALSE)</f>
        <v>#DIV/0!</v>
      </c>
      <c r="N143" s="354">
        <f>IF(L143="nio",0,IF(L143&gt;0,VLOOKUP(G143,'3-Productie normen'!A:L,VLOOKUP(L143,'3-Productie normen'!$B$29:$C$32,2,FALSE),FALSE)))</f>
        <v>0</v>
      </c>
      <c r="O143" s="355" t="str">
        <f>VLOOKUP(G143,'3-Productie normen'!A:H,8,FALSE)</f>
        <v>V</v>
      </c>
      <c r="P143" s="355"/>
      <c r="R143" s="356">
        <f t="shared" si="5"/>
        <v>68467.5</v>
      </c>
    </row>
    <row r="144" spans="1:18" ht="14.1" customHeight="1">
      <c r="A144" s="75">
        <v>144</v>
      </c>
      <c r="B144" s="515" t="s">
        <v>257</v>
      </c>
      <c r="C144" s="316" t="s">
        <v>576</v>
      </c>
      <c r="D144" s="350" t="s">
        <v>583</v>
      </c>
      <c r="E144" s="351" t="s">
        <v>391</v>
      </c>
      <c r="F144" s="71" t="s">
        <v>596</v>
      </c>
      <c r="G144" s="316" t="s">
        <v>48</v>
      </c>
      <c r="H144" s="71" t="s">
        <v>606</v>
      </c>
      <c r="I144" s="515" t="s">
        <v>86</v>
      </c>
      <c r="J144" s="352">
        <v>161.80000305175781</v>
      </c>
      <c r="K144" s="353">
        <f t="shared" si="4"/>
        <v>255</v>
      </c>
      <c r="L144" s="264">
        <v>255</v>
      </c>
      <c r="M144" s="263" t="e">
        <f>IF(L144="nio",0,IF(L144&gt;0,L144*J144/N144,0))*VLOOKUP(B144,'2-Kosten per locatie'!$A$14:$C$18,3,FALSE)</f>
        <v>#DIV/0!</v>
      </c>
      <c r="N144" s="354">
        <f>IF(L144="nio",0,IF(L144&gt;0,VLOOKUP(G144,'3-Productie normen'!A:L,VLOOKUP(L144,'3-Productie normen'!$B$29:$C$32,2,FALSE),FALSE)))</f>
        <v>0</v>
      </c>
      <c r="O144" s="355" t="str">
        <f>VLOOKUP(G144,'3-Productie normen'!A:H,8,FALSE)</f>
        <v>V</v>
      </c>
      <c r="P144" s="355"/>
      <c r="R144" s="356">
        <f t="shared" si="5"/>
        <v>41259.000778198242</v>
      </c>
    </row>
    <row r="145" spans="1:18" ht="14.1" customHeight="1">
      <c r="A145" s="75">
        <v>145</v>
      </c>
      <c r="B145" s="515" t="s">
        <v>257</v>
      </c>
      <c r="C145" s="316" t="s">
        <v>576</v>
      </c>
      <c r="D145" s="350" t="s">
        <v>583</v>
      </c>
      <c r="E145" s="351" t="s">
        <v>392</v>
      </c>
      <c r="F145" s="71" t="s">
        <v>597</v>
      </c>
      <c r="G145" s="71" t="s">
        <v>47</v>
      </c>
      <c r="H145" s="71" t="s">
        <v>84</v>
      </c>
      <c r="I145" s="515" t="s">
        <v>85</v>
      </c>
      <c r="J145" s="352">
        <v>56.299999237060547</v>
      </c>
      <c r="K145" s="353">
        <f t="shared" si="4"/>
        <v>156</v>
      </c>
      <c r="L145" s="264">
        <v>156</v>
      </c>
      <c r="M145" s="263" t="e">
        <f>IF(L145="nio",0,IF(L145&gt;0,L145*J145/N145,0))*VLOOKUP(B145,'2-Kosten per locatie'!$A$14:$C$18,3,FALSE)</f>
        <v>#DIV/0!</v>
      </c>
      <c r="N145" s="354">
        <f>IF(L145="nio",0,IF(L145&gt;0,VLOOKUP(G145,'3-Productie normen'!A:L,VLOOKUP(L145,'3-Productie normen'!$B$29:$C$32,2,FALSE),FALSE)))</f>
        <v>0</v>
      </c>
      <c r="O145" s="355" t="str">
        <f>VLOOKUP(G145,'3-Productie normen'!A:H,8,FALSE)</f>
        <v>V</v>
      </c>
      <c r="P145" s="355"/>
      <c r="R145" s="356">
        <f t="shared" si="5"/>
        <v>8782.7998809814453</v>
      </c>
    </row>
    <row r="146" spans="1:18" ht="14.1" customHeight="1">
      <c r="A146" s="75">
        <v>146</v>
      </c>
      <c r="B146" s="515" t="s">
        <v>257</v>
      </c>
      <c r="C146" s="316" t="s">
        <v>576</v>
      </c>
      <c r="D146" s="350" t="s">
        <v>583</v>
      </c>
      <c r="E146" s="351" t="s">
        <v>393</v>
      </c>
      <c r="F146" s="71" t="s">
        <v>585</v>
      </c>
      <c r="G146" s="316" t="s">
        <v>54</v>
      </c>
      <c r="H146" s="71" t="s">
        <v>236</v>
      </c>
      <c r="I146" s="515" t="s">
        <v>86</v>
      </c>
      <c r="J146" s="352">
        <v>18.200000762939453</v>
      </c>
      <c r="K146" s="353">
        <f t="shared" si="4"/>
        <v>156</v>
      </c>
      <c r="L146" s="264">
        <v>156</v>
      </c>
      <c r="M146" s="263" t="e">
        <f>IF(L146="nio",0,IF(L146&gt;0,L146*J146/N146,0))*VLOOKUP(B146,'2-Kosten per locatie'!$A$14:$C$18,3,FALSE)</f>
        <v>#DIV/0!</v>
      </c>
      <c r="N146" s="354">
        <f>IF(L146="nio",0,IF(L146&gt;0,VLOOKUP(G146,'3-Productie normen'!A:L,VLOOKUP(L146,'3-Productie normen'!$B$29:$C$32,2,FALSE),FALSE)))</f>
        <v>0</v>
      </c>
      <c r="O146" s="355" t="str">
        <f>VLOOKUP(G146,'3-Productie normen'!A:H,8,FALSE)</f>
        <v>V</v>
      </c>
      <c r="P146" s="355"/>
      <c r="R146" s="356">
        <f t="shared" si="5"/>
        <v>2839.2001190185547</v>
      </c>
    </row>
    <row r="147" spans="1:18" ht="14.1" customHeight="1">
      <c r="A147" s="75">
        <v>147</v>
      </c>
      <c r="B147" s="515" t="s">
        <v>257</v>
      </c>
      <c r="C147" s="316" t="s">
        <v>576</v>
      </c>
      <c r="D147" s="350" t="s">
        <v>583</v>
      </c>
      <c r="E147" s="351" t="s">
        <v>394</v>
      </c>
      <c r="F147" s="358" t="s">
        <v>587</v>
      </c>
      <c r="G147" s="71" t="s">
        <v>43</v>
      </c>
      <c r="H147" s="71" t="s">
        <v>601</v>
      </c>
      <c r="I147" s="515" t="s">
        <v>82</v>
      </c>
      <c r="J147" s="352">
        <v>4.8000001907348633</v>
      </c>
      <c r="K147" s="353">
        <f t="shared" si="4"/>
        <v>156</v>
      </c>
      <c r="L147" s="264">
        <v>156</v>
      </c>
      <c r="M147" s="263" t="e">
        <f>IF(L147="nio",0,IF(L147&gt;0,L147*J147/N147,0))*VLOOKUP(B147,'2-Kosten per locatie'!$A$14:$C$18,3,FALSE)</f>
        <v>#DIV/0!</v>
      </c>
      <c r="N147" s="354">
        <f>IF(L147="nio",0,IF(L147&gt;0,VLOOKUP(G147,'3-Productie normen'!A:L,VLOOKUP(L147,'3-Productie normen'!$B$29:$C$32,2,FALSE),FALSE)))</f>
        <v>0</v>
      </c>
      <c r="O147" s="355" t="str">
        <f>VLOOKUP(G147,'3-Productie normen'!A:H,8,FALSE)</f>
        <v>S</v>
      </c>
      <c r="P147" s="355"/>
      <c r="R147" s="356">
        <f t="shared" si="5"/>
        <v>748.80002975463867</v>
      </c>
    </row>
    <row r="148" spans="1:18" ht="14.1" customHeight="1">
      <c r="A148" s="75">
        <v>148</v>
      </c>
      <c r="B148" s="515" t="s">
        <v>257</v>
      </c>
      <c r="C148" s="316" t="s">
        <v>576</v>
      </c>
      <c r="D148" s="350" t="s">
        <v>583</v>
      </c>
      <c r="E148" s="351" t="s">
        <v>395</v>
      </c>
      <c r="F148" s="71" t="s">
        <v>588</v>
      </c>
      <c r="G148" s="71" t="s">
        <v>43</v>
      </c>
      <c r="H148" s="357" t="s">
        <v>601</v>
      </c>
      <c r="I148" s="515" t="s">
        <v>82</v>
      </c>
      <c r="J148" s="352">
        <v>1.7000000476837158</v>
      </c>
      <c r="K148" s="353">
        <f t="shared" si="4"/>
        <v>255</v>
      </c>
      <c r="L148" s="264">
        <v>255</v>
      </c>
      <c r="M148" s="263" t="e">
        <f>IF(L148="nio",0,IF(L148&gt;0,L148*J148/N148,0))*VLOOKUP(B148,'2-Kosten per locatie'!$A$14:$C$18,3,FALSE)</f>
        <v>#DIV/0!</v>
      </c>
      <c r="N148" s="354">
        <f>IF(L148="nio",0,IF(L148&gt;0,VLOOKUP(G148,'3-Productie normen'!A:L,VLOOKUP(L148,'3-Productie normen'!$B$29:$C$32,2,FALSE),FALSE)))</f>
        <v>0</v>
      </c>
      <c r="O148" s="355" t="str">
        <f>VLOOKUP(G148,'3-Productie normen'!A:H,8,FALSE)</f>
        <v>S</v>
      </c>
      <c r="P148" s="355"/>
      <c r="R148" s="356">
        <f t="shared" si="5"/>
        <v>433.50001215934753</v>
      </c>
    </row>
    <row r="149" spans="1:18" ht="14.1" customHeight="1">
      <c r="A149" s="75">
        <v>149</v>
      </c>
      <c r="B149" s="515" t="s">
        <v>257</v>
      </c>
      <c r="C149" s="316" t="s">
        <v>576</v>
      </c>
      <c r="D149" s="350" t="s">
        <v>583</v>
      </c>
      <c r="E149" s="258" t="s">
        <v>396</v>
      </c>
      <c r="F149" s="85" t="s">
        <v>588</v>
      </c>
      <c r="G149" s="71" t="s">
        <v>43</v>
      </c>
      <c r="H149" s="71" t="s">
        <v>601</v>
      </c>
      <c r="I149" s="515" t="s">
        <v>82</v>
      </c>
      <c r="J149" s="352">
        <v>1.7000000476837158</v>
      </c>
      <c r="K149" s="353">
        <f t="shared" si="4"/>
        <v>255</v>
      </c>
      <c r="L149" s="264">
        <v>255</v>
      </c>
      <c r="M149" s="263" t="e">
        <f>IF(L149="nio",0,IF(L149&gt;0,L149*J149/N149,0))*VLOOKUP(B149,'2-Kosten per locatie'!$A$14:$C$18,3,FALSE)</f>
        <v>#DIV/0!</v>
      </c>
      <c r="N149" s="354">
        <f>IF(L149="nio",0,IF(L149&gt;0,VLOOKUP(G149,'3-Productie normen'!A:L,VLOOKUP(L149,'3-Productie normen'!$B$29:$C$32,2,FALSE),FALSE)))</f>
        <v>0</v>
      </c>
      <c r="O149" s="355" t="str">
        <f>VLOOKUP(G149,'3-Productie normen'!A:H,8,FALSE)</f>
        <v>S</v>
      </c>
      <c r="P149" s="355"/>
      <c r="R149" s="356">
        <f t="shared" si="5"/>
        <v>433.50001215934753</v>
      </c>
    </row>
    <row r="150" spans="1:18" ht="14.1" customHeight="1">
      <c r="A150" s="75">
        <v>150</v>
      </c>
      <c r="B150" s="515" t="s">
        <v>257</v>
      </c>
      <c r="C150" s="316" t="s">
        <v>576</v>
      </c>
      <c r="D150" s="350" t="s">
        <v>583</v>
      </c>
      <c r="E150" s="351" t="s">
        <v>397</v>
      </c>
      <c r="F150" s="71" t="s">
        <v>587</v>
      </c>
      <c r="G150" s="71" t="s">
        <v>43</v>
      </c>
      <c r="H150" s="71" t="s">
        <v>601</v>
      </c>
      <c r="I150" s="515" t="s">
        <v>82</v>
      </c>
      <c r="J150" s="352">
        <v>4</v>
      </c>
      <c r="K150" s="353">
        <f t="shared" si="4"/>
        <v>156</v>
      </c>
      <c r="L150" s="264">
        <v>156</v>
      </c>
      <c r="M150" s="263" t="e">
        <f>IF(L150="nio",0,IF(L150&gt;0,L150*J150/N150,0))*VLOOKUP(B150,'2-Kosten per locatie'!$A$14:$C$18,3,FALSE)</f>
        <v>#DIV/0!</v>
      </c>
      <c r="N150" s="354">
        <f>IF(L150="nio",0,IF(L150&gt;0,VLOOKUP(G150,'3-Productie normen'!A:L,VLOOKUP(L150,'3-Productie normen'!$B$29:$C$32,2,FALSE),FALSE)))</f>
        <v>0</v>
      </c>
      <c r="O150" s="355" t="str">
        <f>VLOOKUP(G150,'3-Productie normen'!A:H,8,FALSE)</f>
        <v>S</v>
      </c>
      <c r="P150" s="355"/>
      <c r="R150" s="356">
        <f t="shared" si="5"/>
        <v>624</v>
      </c>
    </row>
    <row r="151" spans="1:18" ht="14.1" customHeight="1">
      <c r="A151" s="75">
        <v>151</v>
      </c>
      <c r="B151" s="515" t="s">
        <v>257</v>
      </c>
      <c r="C151" s="316" t="s">
        <v>576</v>
      </c>
      <c r="D151" s="350" t="s">
        <v>583</v>
      </c>
      <c r="E151" s="351" t="s">
        <v>398</v>
      </c>
      <c r="F151" s="71" t="s">
        <v>588</v>
      </c>
      <c r="G151" s="71" t="s">
        <v>43</v>
      </c>
      <c r="H151" s="71" t="s">
        <v>601</v>
      </c>
      <c r="I151" s="515" t="s">
        <v>82</v>
      </c>
      <c r="J151" s="352">
        <v>1.7000000476837158</v>
      </c>
      <c r="K151" s="353">
        <f t="shared" si="4"/>
        <v>255</v>
      </c>
      <c r="L151" s="264">
        <v>255</v>
      </c>
      <c r="M151" s="263" t="e">
        <f>IF(L151="nio",0,IF(L151&gt;0,L151*J151/N151,0))*VLOOKUP(B151,'2-Kosten per locatie'!$A$14:$C$18,3,FALSE)</f>
        <v>#DIV/0!</v>
      </c>
      <c r="N151" s="354">
        <f>IF(L151="nio",0,IF(L151&gt;0,VLOOKUP(G151,'3-Productie normen'!A:L,VLOOKUP(L151,'3-Productie normen'!$B$29:$C$32,2,FALSE),FALSE)))</f>
        <v>0</v>
      </c>
      <c r="O151" s="355" t="str">
        <f>VLOOKUP(G151,'3-Productie normen'!A:H,8,FALSE)</f>
        <v>S</v>
      </c>
      <c r="P151" s="355"/>
      <c r="R151" s="356">
        <f t="shared" si="5"/>
        <v>433.50001215934753</v>
      </c>
    </row>
    <row r="152" spans="1:18" ht="14.1" customHeight="1">
      <c r="A152" s="75">
        <v>152</v>
      </c>
      <c r="B152" s="515" t="s">
        <v>257</v>
      </c>
      <c r="C152" s="316" t="s">
        <v>576</v>
      </c>
      <c r="D152" s="350" t="s">
        <v>583</v>
      </c>
      <c r="E152" s="351" t="s">
        <v>399</v>
      </c>
      <c r="F152" s="71" t="s">
        <v>588</v>
      </c>
      <c r="G152" s="71" t="s">
        <v>43</v>
      </c>
      <c r="H152" s="71" t="s">
        <v>601</v>
      </c>
      <c r="I152" s="515" t="s">
        <v>82</v>
      </c>
      <c r="J152" s="352">
        <v>1.7000000476837158</v>
      </c>
      <c r="K152" s="353">
        <f t="shared" si="4"/>
        <v>255</v>
      </c>
      <c r="L152" s="264">
        <v>255</v>
      </c>
      <c r="M152" s="263" t="e">
        <f>IF(L152="nio",0,IF(L152&gt;0,L152*J152/N152,0))*VLOOKUP(B152,'2-Kosten per locatie'!$A$14:$C$18,3,FALSE)</f>
        <v>#DIV/0!</v>
      </c>
      <c r="N152" s="354">
        <f>IF(L152="nio",0,IF(L152&gt;0,VLOOKUP(G152,'3-Productie normen'!A:L,VLOOKUP(L152,'3-Productie normen'!$B$29:$C$32,2,FALSE),FALSE)))</f>
        <v>0</v>
      </c>
      <c r="O152" s="355" t="str">
        <f>VLOOKUP(G152,'3-Productie normen'!A:H,8,FALSE)</f>
        <v>S</v>
      </c>
      <c r="P152" s="355"/>
      <c r="R152" s="356">
        <f t="shared" si="5"/>
        <v>433.50001215934753</v>
      </c>
    </row>
    <row r="153" spans="1:18" ht="14.1" customHeight="1">
      <c r="A153" s="75">
        <v>153</v>
      </c>
      <c r="B153" s="515" t="s">
        <v>257</v>
      </c>
      <c r="C153" s="316" t="s">
        <v>576</v>
      </c>
      <c r="D153" s="350" t="s">
        <v>583</v>
      </c>
      <c r="E153" s="351" t="s">
        <v>400</v>
      </c>
      <c r="F153" s="71" t="s">
        <v>585</v>
      </c>
      <c r="G153" s="316" t="s">
        <v>54</v>
      </c>
      <c r="H153" s="71" t="s">
        <v>236</v>
      </c>
      <c r="I153" s="515" t="s">
        <v>86</v>
      </c>
      <c r="J153" s="352">
        <v>17.5</v>
      </c>
      <c r="K153" s="353">
        <f t="shared" si="4"/>
        <v>156</v>
      </c>
      <c r="L153" s="264">
        <v>156</v>
      </c>
      <c r="M153" s="263" t="e">
        <f>IF(L153="nio",0,IF(L153&gt;0,L153*J153/N153,0))*VLOOKUP(B153,'2-Kosten per locatie'!$A$14:$C$18,3,FALSE)</f>
        <v>#DIV/0!</v>
      </c>
      <c r="N153" s="354">
        <f>IF(L153="nio",0,IF(L153&gt;0,VLOOKUP(G153,'3-Productie normen'!A:L,VLOOKUP(L153,'3-Productie normen'!$B$29:$C$32,2,FALSE),FALSE)))</f>
        <v>0</v>
      </c>
      <c r="O153" s="355" t="str">
        <f>VLOOKUP(G153,'3-Productie normen'!A:H,8,FALSE)</f>
        <v>V</v>
      </c>
      <c r="P153" s="355"/>
      <c r="R153" s="356">
        <f t="shared" si="5"/>
        <v>2730</v>
      </c>
    </row>
    <row r="154" spans="1:18" ht="14.1" customHeight="1">
      <c r="A154" s="75">
        <v>154</v>
      </c>
      <c r="B154" s="515" t="s">
        <v>257</v>
      </c>
      <c r="C154" s="316" t="s">
        <v>576</v>
      </c>
      <c r="D154" s="350" t="s">
        <v>583</v>
      </c>
      <c r="E154" s="351" t="s">
        <v>401</v>
      </c>
      <c r="F154" s="71" t="s">
        <v>589</v>
      </c>
      <c r="G154" s="71" t="s">
        <v>41</v>
      </c>
      <c r="H154" s="71" t="s">
        <v>84</v>
      </c>
      <c r="I154" s="515" t="s">
        <v>85</v>
      </c>
      <c r="J154" s="352">
        <v>20.299999237060547</v>
      </c>
      <c r="K154" s="353">
        <f t="shared" si="4"/>
        <v>255</v>
      </c>
      <c r="L154" s="264">
        <v>255</v>
      </c>
      <c r="M154" s="263" t="e">
        <f>IF(L154="nio",0,IF(L154&gt;0,L154*J154/N154,0))*VLOOKUP(B154,'2-Kosten per locatie'!$A$14:$C$18,3,FALSE)</f>
        <v>#DIV/0!</v>
      </c>
      <c r="N154" s="354">
        <f>IF(L154="nio",0,IF(L154&gt;0,VLOOKUP(G154,'3-Productie normen'!A:L,VLOOKUP(L154,'3-Productie normen'!$B$29:$C$32,2,FALSE),FALSE)))</f>
        <v>0</v>
      </c>
      <c r="O154" s="355" t="str">
        <f>VLOOKUP(G154,'3-Productie normen'!A:H,8,FALSE)</f>
        <v>B</v>
      </c>
      <c r="P154" s="355"/>
      <c r="R154" s="356">
        <f t="shared" si="5"/>
        <v>5176.4998054504395</v>
      </c>
    </row>
    <row r="155" spans="1:18" ht="14.1" customHeight="1">
      <c r="A155" s="75">
        <v>155</v>
      </c>
      <c r="B155" s="515" t="s">
        <v>257</v>
      </c>
      <c r="C155" s="316" t="s">
        <v>576</v>
      </c>
      <c r="D155" s="350" t="s">
        <v>583</v>
      </c>
      <c r="E155" s="351" t="s">
        <v>402</v>
      </c>
      <c r="F155" s="316" t="s">
        <v>589</v>
      </c>
      <c r="G155" s="71" t="s">
        <v>41</v>
      </c>
      <c r="H155" s="71" t="s">
        <v>84</v>
      </c>
      <c r="I155" s="515" t="s">
        <v>85</v>
      </c>
      <c r="J155" s="352">
        <v>34.700000762939453</v>
      </c>
      <c r="K155" s="353">
        <f t="shared" si="4"/>
        <v>255</v>
      </c>
      <c r="L155" s="264">
        <v>255</v>
      </c>
      <c r="M155" s="263" t="e">
        <f>IF(L155="nio",0,IF(L155&gt;0,L155*J155/N155,0))*VLOOKUP(B155,'2-Kosten per locatie'!$A$14:$C$18,3,FALSE)</f>
        <v>#DIV/0!</v>
      </c>
      <c r="N155" s="354">
        <f>IF(L155="nio",0,IF(L155&gt;0,VLOOKUP(G155,'3-Productie normen'!A:L,VLOOKUP(L155,'3-Productie normen'!$B$29:$C$32,2,FALSE),FALSE)))</f>
        <v>0</v>
      </c>
      <c r="O155" s="355" t="str">
        <f>VLOOKUP(G155,'3-Productie normen'!A:H,8,FALSE)</f>
        <v>B</v>
      </c>
      <c r="P155" s="355"/>
      <c r="R155" s="356">
        <f t="shared" si="5"/>
        <v>8848.5001945495605</v>
      </c>
    </row>
    <row r="156" spans="1:18" ht="14.1" customHeight="1">
      <c r="A156" s="75">
        <v>156</v>
      </c>
      <c r="B156" s="515" t="s">
        <v>257</v>
      </c>
      <c r="C156" s="316" t="s">
        <v>576</v>
      </c>
      <c r="D156" s="350" t="s">
        <v>583</v>
      </c>
      <c r="E156" s="351" t="s">
        <v>403</v>
      </c>
      <c r="F156" s="316" t="s">
        <v>589</v>
      </c>
      <c r="G156" s="71" t="s">
        <v>41</v>
      </c>
      <c r="H156" s="71" t="s">
        <v>84</v>
      </c>
      <c r="I156" s="515" t="s">
        <v>85</v>
      </c>
      <c r="J156" s="352">
        <v>22.100000381469727</v>
      </c>
      <c r="K156" s="353">
        <f t="shared" si="4"/>
        <v>255</v>
      </c>
      <c r="L156" s="264">
        <v>255</v>
      </c>
      <c r="M156" s="263" t="e">
        <f>IF(L156="nio",0,IF(L156&gt;0,L156*J156/N156,0))*VLOOKUP(B156,'2-Kosten per locatie'!$A$14:$C$18,3,FALSE)</f>
        <v>#DIV/0!</v>
      </c>
      <c r="N156" s="354">
        <f>IF(L156="nio",0,IF(L156&gt;0,VLOOKUP(G156,'3-Productie normen'!A:L,VLOOKUP(L156,'3-Productie normen'!$B$29:$C$32,2,FALSE),FALSE)))</f>
        <v>0</v>
      </c>
      <c r="O156" s="355" t="str">
        <f>VLOOKUP(G156,'3-Productie normen'!A:H,8,FALSE)</f>
        <v>B</v>
      </c>
      <c r="P156" s="355"/>
      <c r="R156" s="356">
        <f t="shared" si="5"/>
        <v>5635.5000972747803</v>
      </c>
    </row>
    <row r="157" spans="1:18" ht="14.1" customHeight="1">
      <c r="A157" s="75">
        <v>157</v>
      </c>
      <c r="B157" s="515" t="s">
        <v>257</v>
      </c>
      <c r="C157" s="316" t="s">
        <v>576</v>
      </c>
      <c r="D157" s="350" t="s">
        <v>583</v>
      </c>
      <c r="E157" s="351" t="s">
        <v>404</v>
      </c>
      <c r="F157" s="316" t="s">
        <v>589</v>
      </c>
      <c r="G157" s="71" t="s">
        <v>41</v>
      </c>
      <c r="H157" s="71" t="s">
        <v>84</v>
      </c>
      <c r="I157" s="515" t="s">
        <v>85</v>
      </c>
      <c r="J157" s="352">
        <v>22.100000381469727</v>
      </c>
      <c r="K157" s="353">
        <f t="shared" si="4"/>
        <v>255</v>
      </c>
      <c r="L157" s="264">
        <v>255</v>
      </c>
      <c r="M157" s="263" t="e">
        <f>IF(L157="nio",0,IF(L157&gt;0,L157*J157/N157,0))*VLOOKUP(B157,'2-Kosten per locatie'!$A$14:$C$18,3,FALSE)</f>
        <v>#DIV/0!</v>
      </c>
      <c r="N157" s="354">
        <f>IF(L157="nio",0,IF(L157&gt;0,VLOOKUP(G157,'3-Productie normen'!A:L,VLOOKUP(L157,'3-Productie normen'!$B$29:$C$32,2,FALSE),FALSE)))</f>
        <v>0</v>
      </c>
      <c r="O157" s="355" t="str">
        <f>VLOOKUP(G157,'3-Productie normen'!A:H,8,FALSE)</f>
        <v>B</v>
      </c>
      <c r="P157" s="355"/>
      <c r="R157" s="356">
        <f t="shared" si="5"/>
        <v>5635.5000972747803</v>
      </c>
    </row>
    <row r="158" spans="1:18" ht="14.1" customHeight="1">
      <c r="A158" s="75">
        <v>158</v>
      </c>
      <c r="B158" s="515" t="s">
        <v>257</v>
      </c>
      <c r="C158" s="316" t="s">
        <v>576</v>
      </c>
      <c r="D158" s="350" t="s">
        <v>583</v>
      </c>
      <c r="E158" s="351" t="s">
        <v>405</v>
      </c>
      <c r="F158" s="71" t="s">
        <v>589</v>
      </c>
      <c r="G158" s="71" t="s">
        <v>41</v>
      </c>
      <c r="H158" s="71" t="s">
        <v>84</v>
      </c>
      <c r="I158" s="515" t="s">
        <v>85</v>
      </c>
      <c r="J158" s="352">
        <v>32.799999237060547</v>
      </c>
      <c r="K158" s="353">
        <f t="shared" si="4"/>
        <v>255</v>
      </c>
      <c r="L158" s="264">
        <v>255</v>
      </c>
      <c r="M158" s="263" t="e">
        <f>IF(L158="nio",0,IF(L158&gt;0,L158*J158/N158,0))*VLOOKUP(B158,'2-Kosten per locatie'!$A$14:$C$18,3,FALSE)</f>
        <v>#DIV/0!</v>
      </c>
      <c r="N158" s="354">
        <f>IF(L158="nio",0,IF(L158&gt;0,VLOOKUP(G158,'3-Productie normen'!A:L,VLOOKUP(L158,'3-Productie normen'!$B$29:$C$32,2,FALSE),FALSE)))</f>
        <v>0</v>
      </c>
      <c r="O158" s="355" t="str">
        <f>VLOOKUP(G158,'3-Productie normen'!A:H,8,FALSE)</f>
        <v>B</v>
      </c>
      <c r="P158" s="355"/>
      <c r="R158" s="356">
        <f t="shared" si="5"/>
        <v>8363.9998054504395</v>
      </c>
    </row>
    <row r="159" spans="1:18" ht="14.1" customHeight="1">
      <c r="A159" s="75">
        <v>159</v>
      </c>
      <c r="B159" s="515" t="s">
        <v>257</v>
      </c>
      <c r="C159" s="316" t="s">
        <v>576</v>
      </c>
      <c r="D159" s="350" t="s">
        <v>583</v>
      </c>
      <c r="E159" s="351" t="s">
        <v>406</v>
      </c>
      <c r="F159" s="71" t="s">
        <v>589</v>
      </c>
      <c r="G159" s="71" t="s">
        <v>41</v>
      </c>
      <c r="H159" s="71" t="s">
        <v>84</v>
      </c>
      <c r="I159" s="515" t="s">
        <v>85</v>
      </c>
      <c r="J159" s="352">
        <v>22.100000381469727</v>
      </c>
      <c r="K159" s="353">
        <f t="shared" si="4"/>
        <v>255</v>
      </c>
      <c r="L159" s="264">
        <v>255</v>
      </c>
      <c r="M159" s="263" t="e">
        <f>IF(L159="nio",0,IF(L159&gt;0,L159*J159/N159,0))*VLOOKUP(B159,'2-Kosten per locatie'!$A$14:$C$18,3,FALSE)</f>
        <v>#DIV/0!</v>
      </c>
      <c r="N159" s="354">
        <f>IF(L159="nio",0,IF(L159&gt;0,VLOOKUP(G159,'3-Productie normen'!A:L,VLOOKUP(L159,'3-Productie normen'!$B$29:$C$32,2,FALSE),FALSE)))</f>
        <v>0</v>
      </c>
      <c r="O159" s="355" t="str">
        <f>VLOOKUP(G159,'3-Productie normen'!A:H,8,FALSE)</f>
        <v>B</v>
      </c>
      <c r="P159" s="355"/>
      <c r="R159" s="356">
        <f t="shared" si="5"/>
        <v>5635.5000972747803</v>
      </c>
    </row>
    <row r="160" spans="1:18" ht="14.1" customHeight="1">
      <c r="A160" s="75">
        <v>160</v>
      </c>
      <c r="B160" s="515" t="s">
        <v>257</v>
      </c>
      <c r="C160" s="316" t="s">
        <v>576</v>
      </c>
      <c r="D160" s="350" t="s">
        <v>583</v>
      </c>
      <c r="E160" s="351" t="s">
        <v>407</v>
      </c>
      <c r="F160" s="71" t="s">
        <v>589</v>
      </c>
      <c r="G160" s="71" t="s">
        <v>41</v>
      </c>
      <c r="H160" s="71" t="s">
        <v>84</v>
      </c>
      <c r="I160" s="515" t="s">
        <v>85</v>
      </c>
      <c r="J160" s="352">
        <v>32.799999237060547</v>
      </c>
      <c r="K160" s="353">
        <f t="shared" si="4"/>
        <v>255</v>
      </c>
      <c r="L160" s="264">
        <v>255</v>
      </c>
      <c r="M160" s="263" t="e">
        <f>IF(L160="nio",0,IF(L160&gt;0,L160*J160/N160,0))*VLOOKUP(B160,'2-Kosten per locatie'!$A$14:$C$18,3,FALSE)</f>
        <v>#DIV/0!</v>
      </c>
      <c r="N160" s="354">
        <f>IF(L160="nio",0,IF(L160&gt;0,VLOOKUP(G160,'3-Productie normen'!A:L,VLOOKUP(L160,'3-Productie normen'!$B$29:$C$32,2,FALSE),FALSE)))</f>
        <v>0</v>
      </c>
      <c r="O160" s="355" t="str">
        <f>VLOOKUP(G160,'3-Productie normen'!A:H,8,FALSE)</f>
        <v>B</v>
      </c>
      <c r="P160" s="355"/>
      <c r="R160" s="356">
        <f t="shared" si="5"/>
        <v>8363.9998054504395</v>
      </c>
    </row>
    <row r="161" spans="1:18" ht="14.1" customHeight="1">
      <c r="A161" s="75">
        <v>161</v>
      </c>
      <c r="B161" s="515" t="s">
        <v>257</v>
      </c>
      <c r="C161" s="316" t="s">
        <v>576</v>
      </c>
      <c r="D161" s="350" t="s">
        <v>583</v>
      </c>
      <c r="E161" s="351" t="s">
        <v>408</v>
      </c>
      <c r="F161" s="71" t="s">
        <v>589</v>
      </c>
      <c r="G161" s="71" t="s">
        <v>41</v>
      </c>
      <c r="H161" s="71" t="s">
        <v>84</v>
      </c>
      <c r="I161" s="515" t="s">
        <v>85</v>
      </c>
      <c r="J161" s="352">
        <v>22.100000381469727</v>
      </c>
      <c r="K161" s="353">
        <f t="shared" si="4"/>
        <v>255</v>
      </c>
      <c r="L161" s="264">
        <v>255</v>
      </c>
      <c r="M161" s="263" t="e">
        <f>IF(L161="nio",0,IF(L161&gt;0,L161*J161/N161,0))*VLOOKUP(B161,'2-Kosten per locatie'!$A$14:$C$18,3,FALSE)</f>
        <v>#DIV/0!</v>
      </c>
      <c r="N161" s="354">
        <f>IF(L161="nio",0,IF(L161&gt;0,VLOOKUP(G161,'3-Productie normen'!A:L,VLOOKUP(L161,'3-Productie normen'!$B$29:$C$32,2,FALSE),FALSE)))</f>
        <v>0</v>
      </c>
      <c r="O161" s="355" t="str">
        <f>VLOOKUP(G161,'3-Productie normen'!A:H,8,FALSE)</f>
        <v>B</v>
      </c>
      <c r="P161" s="355"/>
      <c r="R161" s="356">
        <f t="shared" si="5"/>
        <v>5635.5000972747803</v>
      </c>
    </row>
    <row r="162" spans="1:18" ht="14.1" customHeight="1">
      <c r="A162" s="75">
        <v>162</v>
      </c>
      <c r="B162" s="515" t="s">
        <v>257</v>
      </c>
      <c r="C162" s="316" t="s">
        <v>576</v>
      </c>
      <c r="D162" s="350" t="s">
        <v>583</v>
      </c>
      <c r="E162" s="351" t="s">
        <v>409</v>
      </c>
      <c r="F162" s="358" t="s">
        <v>589</v>
      </c>
      <c r="G162" s="71" t="s">
        <v>41</v>
      </c>
      <c r="H162" s="71" t="s">
        <v>84</v>
      </c>
      <c r="I162" s="515" t="s">
        <v>85</v>
      </c>
      <c r="J162" s="352">
        <v>56.700000762939453</v>
      </c>
      <c r="K162" s="353">
        <f t="shared" si="4"/>
        <v>255</v>
      </c>
      <c r="L162" s="264">
        <v>255</v>
      </c>
      <c r="M162" s="263" t="e">
        <f>IF(L162="nio",0,IF(L162&gt;0,L162*J162/N162,0))*VLOOKUP(B162,'2-Kosten per locatie'!$A$14:$C$18,3,FALSE)</f>
        <v>#DIV/0!</v>
      </c>
      <c r="N162" s="354">
        <f>IF(L162="nio",0,IF(L162&gt;0,VLOOKUP(G162,'3-Productie normen'!A:L,VLOOKUP(L162,'3-Productie normen'!$B$29:$C$32,2,FALSE),FALSE)))</f>
        <v>0</v>
      </c>
      <c r="O162" s="355" t="str">
        <f>VLOOKUP(G162,'3-Productie normen'!A:H,8,FALSE)</f>
        <v>B</v>
      </c>
      <c r="P162" s="355"/>
      <c r="R162" s="356">
        <f t="shared" si="5"/>
        <v>14458.500194549561</v>
      </c>
    </row>
    <row r="163" spans="1:18" ht="14.1" customHeight="1">
      <c r="A163" s="75">
        <v>163</v>
      </c>
      <c r="B163" s="515" t="s">
        <v>257</v>
      </c>
      <c r="C163" s="316" t="s">
        <v>576</v>
      </c>
      <c r="D163" s="350" t="s">
        <v>583</v>
      </c>
      <c r="E163" s="351" t="s">
        <v>410</v>
      </c>
      <c r="F163" s="71" t="s">
        <v>590</v>
      </c>
      <c r="G163" s="71" t="s">
        <v>41</v>
      </c>
      <c r="H163" s="357" t="s">
        <v>84</v>
      </c>
      <c r="I163" s="515" t="s">
        <v>85</v>
      </c>
      <c r="J163" s="352">
        <v>9</v>
      </c>
      <c r="K163" s="353">
        <f t="shared" si="4"/>
        <v>156</v>
      </c>
      <c r="L163" s="264">
        <v>156</v>
      </c>
      <c r="M163" s="263" t="e">
        <f>IF(L163="nio",0,IF(L163&gt;0,L163*J163/N163,0))*VLOOKUP(B163,'2-Kosten per locatie'!$A$14:$C$18,3,FALSE)</f>
        <v>#DIV/0!</v>
      </c>
      <c r="N163" s="354">
        <f>IF(L163="nio",0,IF(L163&gt;0,VLOOKUP(G163,'3-Productie normen'!A:L,VLOOKUP(L163,'3-Productie normen'!$B$29:$C$32,2,FALSE),FALSE)))</f>
        <v>0</v>
      </c>
      <c r="O163" s="355" t="str">
        <f>VLOOKUP(G163,'3-Productie normen'!A:H,8,FALSE)</f>
        <v>B</v>
      </c>
      <c r="P163" s="355"/>
      <c r="R163" s="356">
        <f t="shared" si="5"/>
        <v>1404</v>
      </c>
    </row>
    <row r="164" spans="1:18" ht="14.1" customHeight="1">
      <c r="A164" s="75">
        <v>164</v>
      </c>
      <c r="B164" s="515" t="s">
        <v>257</v>
      </c>
      <c r="C164" s="316" t="s">
        <v>576</v>
      </c>
      <c r="D164" s="350" t="s">
        <v>583</v>
      </c>
      <c r="E164" s="258" t="s">
        <v>411</v>
      </c>
      <c r="F164" s="85" t="s">
        <v>589</v>
      </c>
      <c r="G164" s="71" t="s">
        <v>41</v>
      </c>
      <c r="H164" s="71" t="s">
        <v>84</v>
      </c>
      <c r="I164" s="515" t="s">
        <v>85</v>
      </c>
      <c r="J164" s="352">
        <v>15.75</v>
      </c>
      <c r="K164" s="353">
        <f t="shared" si="4"/>
        <v>255</v>
      </c>
      <c r="L164" s="264">
        <v>255</v>
      </c>
      <c r="M164" s="263" t="e">
        <f>IF(L164="nio",0,IF(L164&gt;0,L164*J164/N164,0))*VLOOKUP(B164,'2-Kosten per locatie'!$A$14:$C$18,3,FALSE)</f>
        <v>#DIV/0!</v>
      </c>
      <c r="N164" s="354">
        <f>IF(L164="nio",0,IF(L164&gt;0,VLOOKUP(G164,'3-Productie normen'!A:L,VLOOKUP(L164,'3-Productie normen'!$B$29:$C$32,2,FALSE),FALSE)))</f>
        <v>0</v>
      </c>
      <c r="O164" s="355" t="str">
        <f>VLOOKUP(G164,'3-Productie normen'!A:H,8,FALSE)</f>
        <v>B</v>
      </c>
      <c r="P164" s="355"/>
      <c r="R164" s="356">
        <f t="shared" si="5"/>
        <v>4016.25</v>
      </c>
    </row>
    <row r="165" spans="1:18" ht="14.1" customHeight="1">
      <c r="A165" s="75">
        <v>165</v>
      </c>
      <c r="B165" s="515" t="s">
        <v>257</v>
      </c>
      <c r="C165" s="316" t="s">
        <v>576</v>
      </c>
      <c r="D165" s="350" t="s">
        <v>583</v>
      </c>
      <c r="E165" s="351" t="s">
        <v>412</v>
      </c>
      <c r="F165" s="71" t="s">
        <v>589</v>
      </c>
      <c r="G165" s="71" t="s">
        <v>41</v>
      </c>
      <c r="H165" s="71" t="s">
        <v>84</v>
      </c>
      <c r="I165" s="515" t="s">
        <v>85</v>
      </c>
      <c r="J165" s="352">
        <v>15.75</v>
      </c>
      <c r="K165" s="353">
        <f t="shared" si="4"/>
        <v>255</v>
      </c>
      <c r="L165" s="264">
        <v>255</v>
      </c>
      <c r="M165" s="263" t="e">
        <f>IF(L165="nio",0,IF(L165&gt;0,L165*J165/N165,0))*VLOOKUP(B165,'2-Kosten per locatie'!$A$14:$C$18,3,FALSE)</f>
        <v>#DIV/0!</v>
      </c>
      <c r="N165" s="354">
        <f>IF(L165="nio",0,IF(L165&gt;0,VLOOKUP(G165,'3-Productie normen'!A:L,VLOOKUP(L165,'3-Productie normen'!$B$29:$C$32,2,FALSE),FALSE)))</f>
        <v>0</v>
      </c>
      <c r="O165" s="355" t="str">
        <f>VLOOKUP(G165,'3-Productie normen'!A:H,8,FALSE)</f>
        <v>B</v>
      </c>
      <c r="P165" s="355"/>
      <c r="R165" s="356">
        <f t="shared" si="5"/>
        <v>4016.25</v>
      </c>
    </row>
    <row r="166" spans="1:18" ht="14.1" customHeight="1">
      <c r="A166" s="75">
        <v>166</v>
      </c>
      <c r="B166" s="515" t="s">
        <v>257</v>
      </c>
      <c r="C166" s="316" t="s">
        <v>577</v>
      </c>
      <c r="D166" s="350" t="s">
        <v>580</v>
      </c>
      <c r="E166" s="351" t="s">
        <v>413</v>
      </c>
      <c r="F166" s="71" t="s">
        <v>585</v>
      </c>
      <c r="G166" s="316" t="s">
        <v>54</v>
      </c>
      <c r="H166" s="71" t="s">
        <v>236</v>
      </c>
      <c r="I166" s="515" t="s">
        <v>86</v>
      </c>
      <c r="J166" s="352">
        <v>13.399999618530273</v>
      </c>
      <c r="K166" s="353">
        <f t="shared" si="4"/>
        <v>156</v>
      </c>
      <c r="L166" s="264">
        <v>156</v>
      </c>
      <c r="M166" s="263" t="e">
        <f>IF(L166="nio",0,IF(L166&gt;0,L166*J166/N166,0))*VLOOKUP(B166,'2-Kosten per locatie'!$A$14:$C$18,3,FALSE)</f>
        <v>#DIV/0!</v>
      </c>
      <c r="N166" s="354">
        <f>IF(L166="nio",0,IF(L166&gt;0,VLOOKUP(G166,'3-Productie normen'!A:L,VLOOKUP(L166,'3-Productie normen'!$B$29:$C$32,2,FALSE),FALSE)))</f>
        <v>0</v>
      </c>
      <c r="O166" s="355" t="str">
        <f>VLOOKUP(G166,'3-Productie normen'!A:H,8,FALSE)</f>
        <v>V</v>
      </c>
      <c r="P166" s="355"/>
      <c r="R166" s="356">
        <f t="shared" si="5"/>
        <v>2090.3999404907227</v>
      </c>
    </row>
    <row r="167" spans="1:18" ht="14.1" customHeight="1">
      <c r="A167" s="75">
        <v>167</v>
      </c>
      <c r="B167" s="515" t="s">
        <v>257</v>
      </c>
      <c r="C167" s="316" t="s">
        <v>577</v>
      </c>
      <c r="D167" s="350" t="s">
        <v>580</v>
      </c>
      <c r="E167" s="351" t="s">
        <v>414</v>
      </c>
      <c r="F167" s="71" t="s">
        <v>587</v>
      </c>
      <c r="G167" s="71" t="s">
        <v>43</v>
      </c>
      <c r="H167" s="71" t="s">
        <v>601</v>
      </c>
      <c r="I167" s="515" t="s">
        <v>82</v>
      </c>
      <c r="J167" s="352">
        <v>5.4000000953674316</v>
      </c>
      <c r="K167" s="353">
        <f t="shared" si="4"/>
        <v>156</v>
      </c>
      <c r="L167" s="264">
        <v>156</v>
      </c>
      <c r="M167" s="263" t="e">
        <f>IF(L167="nio",0,IF(L167&gt;0,L167*J167/N167,0))*VLOOKUP(B167,'2-Kosten per locatie'!$A$14:$C$18,3,FALSE)</f>
        <v>#DIV/0!</v>
      </c>
      <c r="N167" s="354">
        <f>IF(L167="nio",0,IF(L167&gt;0,VLOOKUP(G167,'3-Productie normen'!A:L,VLOOKUP(L167,'3-Productie normen'!$B$29:$C$32,2,FALSE),FALSE)))</f>
        <v>0</v>
      </c>
      <c r="O167" s="355" t="str">
        <f>VLOOKUP(G167,'3-Productie normen'!A:H,8,FALSE)</f>
        <v>S</v>
      </c>
      <c r="P167" s="355"/>
      <c r="R167" s="356">
        <f t="shared" si="5"/>
        <v>842.40001487731934</v>
      </c>
    </row>
    <row r="168" spans="1:18" ht="14.1" customHeight="1">
      <c r="A168" s="75">
        <v>168</v>
      </c>
      <c r="B168" s="515" t="s">
        <v>257</v>
      </c>
      <c r="C168" s="316" t="s">
        <v>577</v>
      </c>
      <c r="D168" s="350" t="s">
        <v>580</v>
      </c>
      <c r="E168" s="351" t="s">
        <v>415</v>
      </c>
      <c r="F168" s="71" t="s">
        <v>588</v>
      </c>
      <c r="G168" s="71" t="s">
        <v>43</v>
      </c>
      <c r="H168" s="71" t="s">
        <v>601</v>
      </c>
      <c r="I168" s="515" t="s">
        <v>82</v>
      </c>
      <c r="J168" s="352">
        <v>1.7000000476837158</v>
      </c>
      <c r="K168" s="353">
        <f t="shared" si="4"/>
        <v>255</v>
      </c>
      <c r="L168" s="264">
        <v>255</v>
      </c>
      <c r="M168" s="263" t="e">
        <f>IF(L168="nio",0,IF(L168&gt;0,L168*J168/N168,0))*VLOOKUP(B168,'2-Kosten per locatie'!$A$14:$C$18,3,FALSE)</f>
        <v>#DIV/0!</v>
      </c>
      <c r="N168" s="354">
        <f>IF(L168="nio",0,IF(L168&gt;0,VLOOKUP(G168,'3-Productie normen'!A:L,VLOOKUP(L168,'3-Productie normen'!$B$29:$C$32,2,FALSE),FALSE)))</f>
        <v>0</v>
      </c>
      <c r="O168" s="355" t="str">
        <f>VLOOKUP(G168,'3-Productie normen'!A:H,8,FALSE)</f>
        <v>S</v>
      </c>
      <c r="P168" s="355"/>
      <c r="R168" s="356">
        <f t="shared" si="5"/>
        <v>433.50001215934753</v>
      </c>
    </row>
    <row r="169" spans="1:18" ht="14.1" customHeight="1">
      <c r="A169" s="75">
        <v>169</v>
      </c>
      <c r="B169" s="515" t="s">
        <v>257</v>
      </c>
      <c r="C169" s="316" t="s">
        <v>577</v>
      </c>
      <c r="D169" s="350" t="s">
        <v>580</v>
      </c>
      <c r="E169" s="351" t="s">
        <v>416</v>
      </c>
      <c r="F169" s="71" t="s">
        <v>588</v>
      </c>
      <c r="G169" s="71" t="s">
        <v>43</v>
      </c>
      <c r="H169" s="71" t="s">
        <v>601</v>
      </c>
      <c r="I169" s="515" t="s">
        <v>82</v>
      </c>
      <c r="J169" s="352">
        <v>1.7000000476837158</v>
      </c>
      <c r="K169" s="353">
        <f t="shared" si="4"/>
        <v>255</v>
      </c>
      <c r="L169" s="264">
        <v>255</v>
      </c>
      <c r="M169" s="263" t="e">
        <f>IF(L169="nio",0,IF(L169&gt;0,L169*J169/N169,0))*VLOOKUP(B169,'2-Kosten per locatie'!$A$14:$C$18,3,FALSE)</f>
        <v>#DIV/0!</v>
      </c>
      <c r="N169" s="354">
        <f>IF(L169="nio",0,IF(L169&gt;0,VLOOKUP(G169,'3-Productie normen'!A:L,VLOOKUP(L169,'3-Productie normen'!$B$29:$C$32,2,FALSE),FALSE)))</f>
        <v>0</v>
      </c>
      <c r="O169" s="355" t="str">
        <f>VLOOKUP(G169,'3-Productie normen'!A:H,8,FALSE)</f>
        <v>S</v>
      </c>
      <c r="P169" s="355"/>
      <c r="R169" s="356">
        <f t="shared" si="5"/>
        <v>433.50001215934753</v>
      </c>
    </row>
    <row r="170" spans="1:18" ht="14.1" customHeight="1">
      <c r="A170" s="75">
        <v>170</v>
      </c>
      <c r="B170" s="515" t="s">
        <v>257</v>
      </c>
      <c r="C170" s="316" t="s">
        <v>577</v>
      </c>
      <c r="D170" s="350" t="s">
        <v>580</v>
      </c>
      <c r="E170" s="351" t="s">
        <v>417</v>
      </c>
      <c r="F170" s="316" t="s">
        <v>590</v>
      </c>
      <c r="G170" s="71" t="s">
        <v>41</v>
      </c>
      <c r="H170" s="71" t="s">
        <v>236</v>
      </c>
      <c r="I170" s="515" t="s">
        <v>86</v>
      </c>
      <c r="J170" s="352">
        <v>37.799999237060547</v>
      </c>
      <c r="K170" s="353">
        <f t="shared" si="4"/>
        <v>156</v>
      </c>
      <c r="L170" s="264">
        <v>156</v>
      </c>
      <c r="M170" s="263" t="e">
        <f>IF(L170="nio",0,IF(L170&gt;0,L170*J170/N170,0))*VLOOKUP(B170,'2-Kosten per locatie'!$A$14:$C$18,3,FALSE)</f>
        <v>#DIV/0!</v>
      </c>
      <c r="N170" s="354">
        <f>IF(L170="nio",0,IF(L170&gt;0,VLOOKUP(G170,'3-Productie normen'!A:L,VLOOKUP(L170,'3-Productie normen'!$B$29:$C$32,2,FALSE),FALSE)))</f>
        <v>0</v>
      </c>
      <c r="O170" s="355" t="str">
        <f>VLOOKUP(G170,'3-Productie normen'!A:H,8,FALSE)</f>
        <v>B</v>
      </c>
      <c r="P170" s="355"/>
      <c r="R170" s="356">
        <f t="shared" si="5"/>
        <v>5896.7998809814453</v>
      </c>
    </row>
    <row r="171" spans="1:18" ht="14.1" customHeight="1">
      <c r="A171" s="75">
        <v>171</v>
      </c>
      <c r="B171" s="515" t="s">
        <v>257</v>
      </c>
      <c r="C171" s="316" t="s">
        <v>577</v>
      </c>
      <c r="D171" s="350" t="s">
        <v>580</v>
      </c>
      <c r="E171" s="351" t="s">
        <v>418</v>
      </c>
      <c r="F171" s="316" t="s">
        <v>587</v>
      </c>
      <c r="G171" s="71" t="s">
        <v>43</v>
      </c>
      <c r="H171" s="71" t="s">
        <v>601</v>
      </c>
      <c r="I171" s="515" t="s">
        <v>82</v>
      </c>
      <c r="J171" s="352">
        <v>5.4000000953674316</v>
      </c>
      <c r="K171" s="353">
        <f t="shared" si="4"/>
        <v>156</v>
      </c>
      <c r="L171" s="264">
        <v>156</v>
      </c>
      <c r="M171" s="263" t="e">
        <f>IF(L171="nio",0,IF(L171&gt;0,L171*J171/N171,0))*VLOOKUP(B171,'2-Kosten per locatie'!$A$14:$C$18,3,FALSE)</f>
        <v>#DIV/0!</v>
      </c>
      <c r="N171" s="354">
        <f>IF(L171="nio",0,IF(L171&gt;0,VLOOKUP(G171,'3-Productie normen'!A:L,VLOOKUP(L171,'3-Productie normen'!$B$29:$C$32,2,FALSE),FALSE)))</f>
        <v>0</v>
      </c>
      <c r="O171" s="355" t="str">
        <f>VLOOKUP(G171,'3-Productie normen'!A:H,8,FALSE)</f>
        <v>S</v>
      </c>
      <c r="P171" s="355"/>
      <c r="R171" s="356">
        <f t="shared" si="5"/>
        <v>842.40001487731934</v>
      </c>
    </row>
    <row r="172" spans="1:18" ht="14.1" customHeight="1">
      <c r="A172" s="75">
        <v>172</v>
      </c>
      <c r="B172" s="515" t="s">
        <v>257</v>
      </c>
      <c r="C172" s="316" t="s">
        <v>577</v>
      </c>
      <c r="D172" s="350" t="s">
        <v>580</v>
      </c>
      <c r="E172" s="351" t="s">
        <v>419</v>
      </c>
      <c r="F172" s="316" t="s">
        <v>588</v>
      </c>
      <c r="G172" s="71" t="s">
        <v>43</v>
      </c>
      <c r="H172" s="71" t="s">
        <v>601</v>
      </c>
      <c r="I172" s="515" t="s">
        <v>82</v>
      </c>
      <c r="J172" s="352">
        <v>1.7000000476837158</v>
      </c>
      <c r="K172" s="353">
        <f t="shared" si="4"/>
        <v>255</v>
      </c>
      <c r="L172" s="264">
        <v>255</v>
      </c>
      <c r="M172" s="263" t="e">
        <f>IF(L172="nio",0,IF(L172&gt;0,L172*J172/N172,0))*VLOOKUP(B172,'2-Kosten per locatie'!$A$14:$C$18,3,FALSE)</f>
        <v>#DIV/0!</v>
      </c>
      <c r="N172" s="354">
        <f>IF(L172="nio",0,IF(L172&gt;0,VLOOKUP(G172,'3-Productie normen'!A:L,VLOOKUP(L172,'3-Productie normen'!$B$29:$C$32,2,FALSE),FALSE)))</f>
        <v>0</v>
      </c>
      <c r="O172" s="355" t="str">
        <f>VLOOKUP(G172,'3-Productie normen'!A:H,8,FALSE)</f>
        <v>S</v>
      </c>
      <c r="P172" s="355"/>
      <c r="R172" s="356">
        <f t="shared" si="5"/>
        <v>433.50001215934753</v>
      </c>
    </row>
    <row r="173" spans="1:18" ht="14.1" customHeight="1">
      <c r="A173" s="75">
        <v>173</v>
      </c>
      <c r="B173" s="515" t="s">
        <v>257</v>
      </c>
      <c r="C173" s="316" t="s">
        <v>577</v>
      </c>
      <c r="D173" s="350" t="s">
        <v>580</v>
      </c>
      <c r="E173" s="351" t="s">
        <v>420</v>
      </c>
      <c r="F173" s="71" t="s">
        <v>588</v>
      </c>
      <c r="G173" s="71" t="s">
        <v>43</v>
      </c>
      <c r="H173" s="71" t="s">
        <v>601</v>
      </c>
      <c r="I173" s="515" t="s">
        <v>82</v>
      </c>
      <c r="J173" s="352">
        <v>1.7000000476837158</v>
      </c>
      <c r="K173" s="353">
        <f t="shared" si="4"/>
        <v>255</v>
      </c>
      <c r="L173" s="264">
        <v>255</v>
      </c>
      <c r="M173" s="263" t="e">
        <f>IF(L173="nio",0,IF(L173&gt;0,L173*J173/N173,0))*VLOOKUP(B173,'2-Kosten per locatie'!$A$14:$C$18,3,FALSE)</f>
        <v>#DIV/0!</v>
      </c>
      <c r="N173" s="354">
        <f>IF(L173="nio",0,IF(L173&gt;0,VLOOKUP(G173,'3-Productie normen'!A:L,VLOOKUP(L173,'3-Productie normen'!$B$29:$C$32,2,FALSE),FALSE)))</f>
        <v>0</v>
      </c>
      <c r="O173" s="355" t="str">
        <f>VLOOKUP(G173,'3-Productie normen'!A:H,8,FALSE)</f>
        <v>S</v>
      </c>
      <c r="P173" s="355"/>
      <c r="R173" s="356">
        <f t="shared" si="5"/>
        <v>433.50001215934753</v>
      </c>
    </row>
    <row r="174" spans="1:18" ht="14.1" customHeight="1">
      <c r="A174" s="75">
        <v>174</v>
      </c>
      <c r="B174" s="515" t="s">
        <v>257</v>
      </c>
      <c r="C174" s="316" t="s">
        <v>577</v>
      </c>
      <c r="D174" s="350" t="s">
        <v>580</v>
      </c>
      <c r="E174" s="351" t="s">
        <v>421</v>
      </c>
      <c r="F174" s="71" t="s">
        <v>588</v>
      </c>
      <c r="G174" s="71" t="s">
        <v>43</v>
      </c>
      <c r="H174" s="71" t="s">
        <v>601</v>
      </c>
      <c r="I174" s="515" t="s">
        <v>82</v>
      </c>
      <c r="J174" s="352">
        <v>1.7000000476837158</v>
      </c>
      <c r="K174" s="353">
        <f t="shared" si="4"/>
        <v>255</v>
      </c>
      <c r="L174" s="264">
        <v>255</v>
      </c>
      <c r="M174" s="263" t="e">
        <f>IF(L174="nio",0,IF(L174&gt;0,L174*J174/N174,0))*VLOOKUP(B174,'2-Kosten per locatie'!$A$14:$C$18,3,FALSE)</f>
        <v>#DIV/0!</v>
      </c>
      <c r="N174" s="354">
        <f>IF(L174="nio",0,IF(L174&gt;0,VLOOKUP(G174,'3-Productie normen'!A:L,VLOOKUP(L174,'3-Productie normen'!$B$29:$C$32,2,FALSE),FALSE)))</f>
        <v>0</v>
      </c>
      <c r="O174" s="355" t="str">
        <f>VLOOKUP(G174,'3-Productie normen'!A:H,8,FALSE)</f>
        <v>S</v>
      </c>
      <c r="P174" s="355"/>
      <c r="R174" s="356">
        <f t="shared" si="5"/>
        <v>433.50001215934753</v>
      </c>
    </row>
    <row r="175" spans="1:18" ht="14.1" customHeight="1">
      <c r="A175" s="75">
        <v>175</v>
      </c>
      <c r="B175" s="515" t="s">
        <v>257</v>
      </c>
      <c r="C175" s="316" t="s">
        <v>577</v>
      </c>
      <c r="D175" s="350" t="s">
        <v>580</v>
      </c>
      <c r="E175" s="351" t="s">
        <v>422</v>
      </c>
      <c r="F175" s="71" t="s">
        <v>584</v>
      </c>
      <c r="G175" s="316" t="s">
        <v>45</v>
      </c>
      <c r="H175" s="71" t="s">
        <v>84</v>
      </c>
      <c r="I175" s="515" t="s">
        <v>85</v>
      </c>
      <c r="J175" s="352">
        <v>75.400001525878906</v>
      </c>
      <c r="K175" s="353">
        <f t="shared" si="4"/>
        <v>156</v>
      </c>
      <c r="L175" s="264">
        <v>156</v>
      </c>
      <c r="M175" s="263" t="e">
        <f>IF(L175="nio",0,IF(L175&gt;0,L175*J175/N175,0))*VLOOKUP(B175,'2-Kosten per locatie'!$A$14:$C$18,3,FALSE)</f>
        <v>#DIV/0!</v>
      </c>
      <c r="N175" s="354">
        <f>IF(L175="nio",0,IF(L175&gt;0,VLOOKUP(G175,'3-Productie normen'!A:L,VLOOKUP(L175,'3-Productie normen'!$B$29:$C$32,2,FALSE),FALSE)))</f>
        <v>0</v>
      </c>
      <c r="O175" s="355" t="str">
        <f>VLOOKUP(G175,'3-Productie normen'!A:H,8,FALSE)</f>
        <v>V</v>
      </c>
      <c r="P175" s="355"/>
      <c r="R175" s="356">
        <f t="shared" si="5"/>
        <v>11762.400238037109</v>
      </c>
    </row>
    <row r="176" spans="1:18" ht="14.1" customHeight="1">
      <c r="A176" s="75">
        <v>176</v>
      </c>
      <c r="B176" s="515" t="s">
        <v>257</v>
      </c>
      <c r="C176" s="316" t="s">
        <v>577</v>
      </c>
      <c r="D176" s="350" t="s">
        <v>580</v>
      </c>
      <c r="E176" s="351" t="s">
        <v>423</v>
      </c>
      <c r="F176" s="71" t="s">
        <v>585</v>
      </c>
      <c r="G176" s="316" t="s">
        <v>54</v>
      </c>
      <c r="H176" s="71" t="s">
        <v>236</v>
      </c>
      <c r="I176" s="515" t="s">
        <v>86</v>
      </c>
      <c r="J176" s="352">
        <v>17.100000381469702</v>
      </c>
      <c r="K176" s="353">
        <f t="shared" si="4"/>
        <v>156</v>
      </c>
      <c r="L176" s="264">
        <v>156</v>
      </c>
      <c r="M176" s="263" t="e">
        <f>IF(L176="nio",0,IF(L176&gt;0,L176*J176/N176,0))*VLOOKUP(B176,'2-Kosten per locatie'!$A$14:$C$18,3,FALSE)</f>
        <v>#DIV/0!</v>
      </c>
      <c r="N176" s="354">
        <f>IF(L176="nio",0,IF(L176&gt;0,VLOOKUP(G176,'3-Productie normen'!A:L,VLOOKUP(L176,'3-Productie normen'!$B$29:$C$32,2,FALSE),FALSE)))</f>
        <v>0</v>
      </c>
      <c r="O176" s="355" t="str">
        <f>VLOOKUP(G176,'3-Productie normen'!A:H,8,FALSE)</f>
        <v>V</v>
      </c>
      <c r="P176" s="355"/>
      <c r="R176" s="356">
        <f t="shared" si="5"/>
        <v>2667.6000595092733</v>
      </c>
    </row>
    <row r="177" spans="1:18" ht="14.1" customHeight="1">
      <c r="A177" s="75">
        <v>177</v>
      </c>
      <c r="B177" s="515" t="s">
        <v>257</v>
      </c>
      <c r="C177" s="316" t="s">
        <v>577</v>
      </c>
      <c r="D177" s="350" t="s">
        <v>580</v>
      </c>
      <c r="E177" s="351" t="s">
        <v>424</v>
      </c>
      <c r="F177" s="358" t="s">
        <v>55</v>
      </c>
      <c r="G177" s="331" t="s">
        <v>55</v>
      </c>
      <c r="H177" s="71" t="s">
        <v>236</v>
      </c>
      <c r="I177" s="515" t="s">
        <v>86</v>
      </c>
      <c r="J177" s="352">
        <v>3</v>
      </c>
      <c r="K177" s="353">
        <f t="shared" si="4"/>
        <v>156</v>
      </c>
      <c r="L177" s="264">
        <v>156</v>
      </c>
      <c r="M177" s="263" t="e">
        <f>IF(L177="nio",0,IF(L177&gt;0,L177*J177/N177,0))*VLOOKUP(B177,'2-Kosten per locatie'!$A$14:$C$18,3,FALSE)</f>
        <v>#DIV/0!</v>
      </c>
      <c r="N177" s="354">
        <f>IF(L177="nio",0,IF(L177&gt;0,VLOOKUP(G177,'3-Productie normen'!A:L,VLOOKUP(L177,'3-Productie normen'!$B$29:$C$32,2,FALSE),FALSE)))</f>
        <v>0</v>
      </c>
      <c r="O177" s="355" t="str">
        <f>VLOOKUP(G177,'3-Productie normen'!A:H,8,FALSE)</f>
        <v>V</v>
      </c>
      <c r="P177" s="355"/>
      <c r="R177" s="356">
        <f t="shared" si="5"/>
        <v>468</v>
      </c>
    </row>
    <row r="178" spans="1:18" ht="14.1" customHeight="1">
      <c r="A178" s="75">
        <v>178</v>
      </c>
      <c r="B178" s="515" t="s">
        <v>257</v>
      </c>
      <c r="C178" s="316" t="s">
        <v>577</v>
      </c>
      <c r="D178" s="350" t="s">
        <v>580</v>
      </c>
      <c r="E178" s="351" t="s">
        <v>425</v>
      </c>
      <c r="F178" s="71" t="s">
        <v>587</v>
      </c>
      <c r="G178" s="71" t="s">
        <v>43</v>
      </c>
      <c r="H178" s="357" t="s">
        <v>601</v>
      </c>
      <c r="I178" s="515" t="s">
        <v>82</v>
      </c>
      <c r="J178" s="352">
        <v>5.4000000953674316</v>
      </c>
      <c r="K178" s="353">
        <f t="shared" si="4"/>
        <v>156</v>
      </c>
      <c r="L178" s="264">
        <v>156</v>
      </c>
      <c r="M178" s="263" t="e">
        <f>IF(L178="nio",0,IF(L178&gt;0,L178*J178/N178,0))*VLOOKUP(B178,'2-Kosten per locatie'!$A$14:$C$18,3,FALSE)</f>
        <v>#DIV/0!</v>
      </c>
      <c r="N178" s="354">
        <f>IF(L178="nio",0,IF(L178&gt;0,VLOOKUP(G178,'3-Productie normen'!A:L,VLOOKUP(L178,'3-Productie normen'!$B$29:$C$32,2,FALSE),FALSE)))</f>
        <v>0</v>
      </c>
      <c r="O178" s="355" t="str">
        <f>VLOOKUP(G178,'3-Productie normen'!A:H,8,FALSE)</f>
        <v>S</v>
      </c>
      <c r="P178" s="355"/>
      <c r="R178" s="356">
        <f t="shared" si="5"/>
        <v>842.40001487731934</v>
      </c>
    </row>
    <row r="179" spans="1:18" ht="14.1" customHeight="1">
      <c r="A179" s="75">
        <v>179</v>
      </c>
      <c r="B179" s="515" t="s">
        <v>257</v>
      </c>
      <c r="C179" s="316" t="s">
        <v>577</v>
      </c>
      <c r="D179" s="350" t="s">
        <v>580</v>
      </c>
      <c r="E179" s="258" t="s">
        <v>426</v>
      </c>
      <c r="F179" s="85" t="s">
        <v>588</v>
      </c>
      <c r="G179" s="71" t="s">
        <v>43</v>
      </c>
      <c r="H179" s="71" t="s">
        <v>601</v>
      </c>
      <c r="I179" s="515" t="s">
        <v>82</v>
      </c>
      <c r="J179" s="352">
        <v>1.7000000476837158</v>
      </c>
      <c r="K179" s="353">
        <f t="shared" si="4"/>
        <v>255</v>
      </c>
      <c r="L179" s="264">
        <v>255</v>
      </c>
      <c r="M179" s="263" t="e">
        <f>IF(L179="nio",0,IF(L179&gt;0,L179*J179/N179,0))*VLOOKUP(B179,'2-Kosten per locatie'!$A$14:$C$18,3,FALSE)</f>
        <v>#DIV/0!</v>
      </c>
      <c r="N179" s="354">
        <f>IF(L179="nio",0,IF(L179&gt;0,VLOOKUP(G179,'3-Productie normen'!A:L,VLOOKUP(L179,'3-Productie normen'!$B$29:$C$32,2,FALSE),FALSE)))</f>
        <v>0</v>
      </c>
      <c r="O179" s="355" t="str">
        <f>VLOOKUP(G179,'3-Productie normen'!A:H,8,FALSE)</f>
        <v>S</v>
      </c>
      <c r="P179" s="355"/>
      <c r="R179" s="356">
        <f t="shared" si="5"/>
        <v>433.50001215934753</v>
      </c>
    </row>
    <row r="180" spans="1:18" ht="14.1" customHeight="1">
      <c r="A180" s="75">
        <v>180</v>
      </c>
      <c r="B180" s="515" t="s">
        <v>257</v>
      </c>
      <c r="C180" s="316" t="s">
        <v>577</v>
      </c>
      <c r="D180" s="350" t="s">
        <v>580</v>
      </c>
      <c r="E180" s="351" t="s">
        <v>427</v>
      </c>
      <c r="F180" s="71" t="s">
        <v>588</v>
      </c>
      <c r="G180" s="71" t="s">
        <v>43</v>
      </c>
      <c r="H180" s="71" t="s">
        <v>601</v>
      </c>
      <c r="I180" s="515" t="s">
        <v>82</v>
      </c>
      <c r="J180" s="352">
        <v>1.7000000476837158</v>
      </c>
      <c r="K180" s="353">
        <f t="shared" si="4"/>
        <v>255</v>
      </c>
      <c r="L180" s="264">
        <v>255</v>
      </c>
      <c r="M180" s="263" t="e">
        <f>IF(L180="nio",0,IF(L180&gt;0,L180*J180/N180,0))*VLOOKUP(B180,'2-Kosten per locatie'!$A$14:$C$18,3,FALSE)</f>
        <v>#DIV/0!</v>
      </c>
      <c r="N180" s="354">
        <f>IF(L180="nio",0,IF(L180&gt;0,VLOOKUP(G180,'3-Productie normen'!A:L,VLOOKUP(L180,'3-Productie normen'!$B$29:$C$32,2,FALSE),FALSE)))</f>
        <v>0</v>
      </c>
      <c r="O180" s="355" t="str">
        <f>VLOOKUP(G180,'3-Productie normen'!A:H,8,FALSE)</f>
        <v>S</v>
      </c>
      <c r="P180" s="355"/>
      <c r="R180" s="356">
        <f t="shared" si="5"/>
        <v>433.50001215934753</v>
      </c>
    </row>
    <row r="181" spans="1:18" ht="14.1" customHeight="1">
      <c r="A181" s="75">
        <v>181</v>
      </c>
      <c r="B181" s="515" t="s">
        <v>257</v>
      </c>
      <c r="C181" s="316" t="s">
        <v>577</v>
      </c>
      <c r="D181" s="350" t="s">
        <v>580</v>
      </c>
      <c r="E181" s="351" t="s">
        <v>428</v>
      </c>
      <c r="F181" s="316" t="s">
        <v>588</v>
      </c>
      <c r="G181" s="71" t="s">
        <v>43</v>
      </c>
      <c r="H181" s="71" t="s">
        <v>601</v>
      </c>
      <c r="I181" s="515" t="s">
        <v>82</v>
      </c>
      <c r="J181" s="352">
        <v>1.7000000476837158</v>
      </c>
      <c r="K181" s="353">
        <f t="shared" si="4"/>
        <v>255</v>
      </c>
      <c r="L181" s="264">
        <v>255</v>
      </c>
      <c r="M181" s="263" t="e">
        <f>IF(L181="nio",0,IF(L181&gt;0,L181*J181/N181,0))*VLOOKUP(B181,'2-Kosten per locatie'!$A$14:$C$18,3,FALSE)</f>
        <v>#DIV/0!</v>
      </c>
      <c r="N181" s="354">
        <f>IF(L181="nio",0,IF(L181&gt;0,VLOOKUP(G181,'3-Productie normen'!A:L,VLOOKUP(L181,'3-Productie normen'!$B$29:$C$32,2,FALSE),FALSE)))</f>
        <v>0</v>
      </c>
      <c r="O181" s="355" t="str">
        <f>VLOOKUP(G181,'3-Productie normen'!A:H,8,FALSE)</f>
        <v>S</v>
      </c>
      <c r="P181" s="355"/>
      <c r="R181" s="356">
        <f t="shared" si="5"/>
        <v>433.50001215934753</v>
      </c>
    </row>
    <row r="182" spans="1:18" ht="14.1" customHeight="1">
      <c r="A182" s="75">
        <v>182</v>
      </c>
      <c r="B182" s="515" t="s">
        <v>257</v>
      </c>
      <c r="C182" s="316" t="s">
        <v>577</v>
      </c>
      <c r="D182" s="350" t="s">
        <v>580</v>
      </c>
      <c r="E182" s="351" t="s">
        <v>429</v>
      </c>
      <c r="F182" s="316" t="s">
        <v>590</v>
      </c>
      <c r="G182" s="71" t="s">
        <v>41</v>
      </c>
      <c r="H182" s="71" t="s">
        <v>236</v>
      </c>
      <c r="I182" s="515" t="s">
        <v>86</v>
      </c>
      <c r="J182" s="352">
        <v>37.799999237060547</v>
      </c>
      <c r="K182" s="353">
        <f t="shared" si="4"/>
        <v>156</v>
      </c>
      <c r="L182" s="264">
        <v>156</v>
      </c>
      <c r="M182" s="263" t="e">
        <f>IF(L182="nio",0,IF(L182&gt;0,L182*J182/N182,0))*VLOOKUP(B182,'2-Kosten per locatie'!$A$14:$C$18,3,FALSE)</f>
        <v>#DIV/0!</v>
      </c>
      <c r="N182" s="354">
        <f>IF(L182="nio",0,IF(L182&gt;0,VLOOKUP(G182,'3-Productie normen'!A:L,VLOOKUP(L182,'3-Productie normen'!$B$29:$C$32,2,FALSE),FALSE)))</f>
        <v>0</v>
      </c>
      <c r="O182" s="355" t="str">
        <f>VLOOKUP(G182,'3-Productie normen'!A:H,8,FALSE)</f>
        <v>B</v>
      </c>
      <c r="P182" s="355"/>
      <c r="R182" s="356">
        <f t="shared" si="5"/>
        <v>5896.7998809814453</v>
      </c>
    </row>
    <row r="183" spans="1:18" ht="14.1" customHeight="1">
      <c r="A183" s="75">
        <v>183</v>
      </c>
      <c r="B183" s="515" t="s">
        <v>257</v>
      </c>
      <c r="C183" s="316" t="s">
        <v>577</v>
      </c>
      <c r="D183" s="350" t="s">
        <v>580</v>
      </c>
      <c r="E183" s="351" t="s">
        <v>430</v>
      </c>
      <c r="F183" s="316" t="s">
        <v>587</v>
      </c>
      <c r="G183" s="71" t="s">
        <v>43</v>
      </c>
      <c r="H183" s="71" t="s">
        <v>601</v>
      </c>
      <c r="I183" s="515" t="s">
        <v>82</v>
      </c>
      <c r="J183" s="352">
        <v>5.4000000953674316</v>
      </c>
      <c r="K183" s="353">
        <f t="shared" si="4"/>
        <v>156</v>
      </c>
      <c r="L183" s="264">
        <v>156</v>
      </c>
      <c r="M183" s="263" t="e">
        <f>IF(L183="nio",0,IF(L183&gt;0,L183*J183/N183,0))*VLOOKUP(B183,'2-Kosten per locatie'!$A$14:$C$18,3,FALSE)</f>
        <v>#DIV/0!</v>
      </c>
      <c r="N183" s="354">
        <f>IF(L183="nio",0,IF(L183&gt;0,VLOOKUP(G183,'3-Productie normen'!A:L,VLOOKUP(L183,'3-Productie normen'!$B$29:$C$32,2,FALSE),FALSE)))</f>
        <v>0</v>
      </c>
      <c r="O183" s="355" t="str">
        <f>VLOOKUP(G183,'3-Productie normen'!A:H,8,FALSE)</f>
        <v>S</v>
      </c>
      <c r="P183" s="355"/>
      <c r="R183" s="356">
        <f t="shared" si="5"/>
        <v>842.40001487731934</v>
      </c>
    </row>
    <row r="184" spans="1:18" ht="14.1" customHeight="1">
      <c r="A184" s="75">
        <v>184</v>
      </c>
      <c r="B184" s="515" t="s">
        <v>257</v>
      </c>
      <c r="C184" s="316" t="s">
        <v>577</v>
      </c>
      <c r="D184" s="350" t="s">
        <v>580</v>
      </c>
      <c r="E184" s="351" t="s">
        <v>431</v>
      </c>
      <c r="F184" s="71" t="s">
        <v>588</v>
      </c>
      <c r="G184" s="71" t="s">
        <v>43</v>
      </c>
      <c r="H184" s="71" t="s">
        <v>601</v>
      </c>
      <c r="I184" s="515" t="s">
        <v>82</v>
      </c>
      <c r="J184" s="352">
        <v>1.7000000476837158</v>
      </c>
      <c r="K184" s="353">
        <f t="shared" si="4"/>
        <v>255</v>
      </c>
      <c r="L184" s="264">
        <v>255</v>
      </c>
      <c r="M184" s="263" t="e">
        <f>IF(L184="nio",0,IF(L184&gt;0,L184*J184/N184,0))*VLOOKUP(B184,'2-Kosten per locatie'!$A$14:$C$18,3,FALSE)</f>
        <v>#DIV/0!</v>
      </c>
      <c r="N184" s="354">
        <f>IF(L184="nio",0,IF(L184&gt;0,VLOOKUP(G184,'3-Productie normen'!A:L,VLOOKUP(L184,'3-Productie normen'!$B$29:$C$32,2,FALSE),FALSE)))</f>
        <v>0</v>
      </c>
      <c r="O184" s="355" t="str">
        <f>VLOOKUP(G184,'3-Productie normen'!A:H,8,FALSE)</f>
        <v>S</v>
      </c>
      <c r="P184" s="355"/>
      <c r="R184" s="356">
        <f t="shared" si="5"/>
        <v>433.50001215934753</v>
      </c>
    </row>
    <row r="185" spans="1:18" ht="14.1" customHeight="1">
      <c r="A185" s="75">
        <v>185</v>
      </c>
      <c r="B185" s="515" t="s">
        <v>257</v>
      </c>
      <c r="C185" s="316" t="s">
        <v>577</v>
      </c>
      <c r="D185" s="350" t="s">
        <v>580</v>
      </c>
      <c r="E185" s="351" t="s">
        <v>432</v>
      </c>
      <c r="F185" s="71" t="s">
        <v>588</v>
      </c>
      <c r="G185" s="71" t="s">
        <v>43</v>
      </c>
      <c r="H185" s="71" t="s">
        <v>601</v>
      </c>
      <c r="I185" s="515" t="s">
        <v>82</v>
      </c>
      <c r="J185" s="352">
        <v>1.7000000476837158</v>
      </c>
      <c r="K185" s="353">
        <f t="shared" si="4"/>
        <v>255</v>
      </c>
      <c r="L185" s="264">
        <v>255</v>
      </c>
      <c r="M185" s="263" t="e">
        <f>IF(L185="nio",0,IF(L185&gt;0,L185*J185/N185,0))*VLOOKUP(B185,'2-Kosten per locatie'!$A$14:$C$18,3,FALSE)</f>
        <v>#DIV/0!</v>
      </c>
      <c r="N185" s="354">
        <f>IF(L185="nio",0,IF(L185&gt;0,VLOOKUP(G185,'3-Productie normen'!A:L,VLOOKUP(L185,'3-Productie normen'!$B$29:$C$32,2,FALSE),FALSE)))</f>
        <v>0</v>
      </c>
      <c r="O185" s="355" t="str">
        <f>VLOOKUP(G185,'3-Productie normen'!A:H,8,FALSE)</f>
        <v>S</v>
      </c>
      <c r="P185" s="355"/>
      <c r="R185" s="356">
        <f t="shared" si="5"/>
        <v>433.50001215934753</v>
      </c>
    </row>
    <row r="186" spans="1:18" ht="14.1" customHeight="1">
      <c r="A186" s="75">
        <v>186</v>
      </c>
      <c r="B186" s="515" t="s">
        <v>257</v>
      </c>
      <c r="C186" s="316" t="s">
        <v>577</v>
      </c>
      <c r="D186" s="350" t="s">
        <v>580</v>
      </c>
      <c r="E186" s="351" t="s">
        <v>433</v>
      </c>
      <c r="F186" s="71" t="s">
        <v>588</v>
      </c>
      <c r="G186" s="71" t="s">
        <v>43</v>
      </c>
      <c r="H186" s="71" t="s">
        <v>601</v>
      </c>
      <c r="I186" s="515" t="s">
        <v>82</v>
      </c>
      <c r="J186" s="352">
        <v>1.7000000476837158</v>
      </c>
      <c r="K186" s="353">
        <f t="shared" si="4"/>
        <v>255</v>
      </c>
      <c r="L186" s="264">
        <v>255</v>
      </c>
      <c r="M186" s="263" t="e">
        <f>IF(L186="nio",0,IF(L186&gt;0,L186*J186/N186,0))*VLOOKUP(B186,'2-Kosten per locatie'!$A$14:$C$18,3,FALSE)</f>
        <v>#DIV/0!</v>
      </c>
      <c r="N186" s="354">
        <f>IF(L186="nio",0,IF(L186&gt;0,VLOOKUP(G186,'3-Productie normen'!A:L,VLOOKUP(L186,'3-Productie normen'!$B$29:$C$32,2,FALSE),FALSE)))</f>
        <v>0</v>
      </c>
      <c r="O186" s="355" t="str">
        <f>VLOOKUP(G186,'3-Productie normen'!A:H,8,FALSE)</f>
        <v>S</v>
      </c>
      <c r="P186" s="355"/>
      <c r="R186" s="356">
        <f t="shared" si="5"/>
        <v>433.50001215934753</v>
      </c>
    </row>
    <row r="187" spans="1:18" ht="14.1" customHeight="1">
      <c r="A187" s="75">
        <v>187</v>
      </c>
      <c r="B187" s="515" t="s">
        <v>257</v>
      </c>
      <c r="C187" s="316" t="s">
        <v>577</v>
      </c>
      <c r="D187" s="350" t="s">
        <v>580</v>
      </c>
      <c r="E187" s="351" t="s">
        <v>434</v>
      </c>
      <c r="F187" s="71" t="s">
        <v>584</v>
      </c>
      <c r="G187" s="316" t="s">
        <v>45</v>
      </c>
      <c r="H187" s="71" t="s">
        <v>84</v>
      </c>
      <c r="I187" s="515" t="s">
        <v>85</v>
      </c>
      <c r="J187" s="352">
        <v>75.400001525878906</v>
      </c>
      <c r="K187" s="353">
        <f t="shared" si="4"/>
        <v>156</v>
      </c>
      <c r="L187" s="264">
        <v>156</v>
      </c>
      <c r="M187" s="263" t="e">
        <f>IF(L187="nio",0,IF(L187&gt;0,L187*J187/N187,0))*VLOOKUP(B187,'2-Kosten per locatie'!$A$14:$C$18,3,FALSE)</f>
        <v>#DIV/0!</v>
      </c>
      <c r="N187" s="354">
        <f>IF(L187="nio",0,IF(L187&gt;0,VLOOKUP(G187,'3-Productie normen'!A:L,VLOOKUP(L187,'3-Productie normen'!$B$29:$C$32,2,FALSE),FALSE)))</f>
        <v>0</v>
      </c>
      <c r="O187" s="355" t="str">
        <f>VLOOKUP(G187,'3-Productie normen'!A:H,8,FALSE)</f>
        <v>V</v>
      </c>
      <c r="P187" s="355"/>
      <c r="R187" s="356">
        <f t="shared" si="5"/>
        <v>11762.400238037109</v>
      </c>
    </row>
    <row r="188" spans="1:18" ht="14.1" customHeight="1">
      <c r="A188" s="75">
        <v>188</v>
      </c>
      <c r="B188" s="515" t="s">
        <v>257</v>
      </c>
      <c r="C188" s="316" t="s">
        <v>577</v>
      </c>
      <c r="D188" s="350" t="s">
        <v>580</v>
      </c>
      <c r="E188" s="351" t="s">
        <v>435</v>
      </c>
      <c r="F188" s="358" t="s">
        <v>585</v>
      </c>
      <c r="G188" s="316" t="s">
        <v>54</v>
      </c>
      <c r="H188" s="71" t="s">
        <v>236</v>
      </c>
      <c r="I188" s="515" t="s">
        <v>86</v>
      </c>
      <c r="J188" s="352">
        <v>17.100000381469727</v>
      </c>
      <c r="K188" s="353">
        <f t="shared" si="4"/>
        <v>156</v>
      </c>
      <c r="L188" s="264">
        <v>156</v>
      </c>
      <c r="M188" s="263" t="e">
        <f>IF(L188="nio",0,IF(L188&gt;0,L188*J188/N188,0))*VLOOKUP(B188,'2-Kosten per locatie'!$A$14:$C$18,3,FALSE)</f>
        <v>#DIV/0!</v>
      </c>
      <c r="N188" s="354">
        <f>IF(L188="nio",0,IF(L188&gt;0,VLOOKUP(G188,'3-Productie normen'!A:L,VLOOKUP(L188,'3-Productie normen'!$B$29:$C$32,2,FALSE),FALSE)))</f>
        <v>0</v>
      </c>
      <c r="O188" s="355" t="str">
        <f>VLOOKUP(G188,'3-Productie normen'!A:H,8,FALSE)</f>
        <v>V</v>
      </c>
      <c r="P188" s="355"/>
      <c r="R188" s="356">
        <f t="shared" si="5"/>
        <v>2667.6000595092773</v>
      </c>
    </row>
    <row r="189" spans="1:18" ht="14.1" customHeight="1">
      <c r="A189" s="75">
        <v>189</v>
      </c>
      <c r="B189" s="515" t="s">
        <v>257</v>
      </c>
      <c r="C189" s="316" t="s">
        <v>577</v>
      </c>
      <c r="D189" s="350" t="s">
        <v>580</v>
      </c>
      <c r="E189" s="351" t="s">
        <v>436</v>
      </c>
      <c r="F189" s="71" t="s">
        <v>55</v>
      </c>
      <c r="G189" s="331" t="s">
        <v>55</v>
      </c>
      <c r="H189" s="357" t="s">
        <v>236</v>
      </c>
      <c r="I189" s="515" t="s">
        <v>86</v>
      </c>
      <c r="J189" s="352">
        <v>3</v>
      </c>
      <c r="K189" s="353">
        <f t="shared" si="4"/>
        <v>156</v>
      </c>
      <c r="L189" s="264">
        <v>156</v>
      </c>
      <c r="M189" s="263" t="e">
        <f>IF(L189="nio",0,IF(L189&gt;0,L189*J189/N189,0))*VLOOKUP(B189,'2-Kosten per locatie'!$A$14:$C$18,3,FALSE)</f>
        <v>#DIV/0!</v>
      </c>
      <c r="N189" s="354">
        <f>IF(L189="nio",0,IF(L189&gt;0,VLOOKUP(G189,'3-Productie normen'!A:L,VLOOKUP(L189,'3-Productie normen'!$B$29:$C$32,2,FALSE),FALSE)))</f>
        <v>0</v>
      </c>
      <c r="O189" s="355" t="str">
        <f>VLOOKUP(G189,'3-Productie normen'!A:H,8,FALSE)</f>
        <v>V</v>
      </c>
      <c r="P189" s="355"/>
      <c r="R189" s="356">
        <f t="shared" si="5"/>
        <v>468</v>
      </c>
    </row>
    <row r="190" spans="1:18" ht="14.1" customHeight="1">
      <c r="A190" s="75">
        <v>190</v>
      </c>
      <c r="B190" s="515" t="s">
        <v>257</v>
      </c>
      <c r="C190" s="316" t="s">
        <v>577</v>
      </c>
      <c r="D190" s="350" t="s">
        <v>580</v>
      </c>
      <c r="E190" s="351" t="s">
        <v>437</v>
      </c>
      <c r="F190" s="316" t="s">
        <v>585</v>
      </c>
      <c r="G190" s="316" t="s">
        <v>54</v>
      </c>
      <c r="H190" s="71" t="s">
        <v>236</v>
      </c>
      <c r="I190" s="515" t="s">
        <v>86</v>
      </c>
      <c r="J190" s="352">
        <v>13.399999618530273</v>
      </c>
      <c r="K190" s="353">
        <f t="shared" si="4"/>
        <v>156</v>
      </c>
      <c r="L190" s="264">
        <v>156</v>
      </c>
      <c r="M190" s="263" t="e">
        <f>IF(L190="nio",0,IF(L190&gt;0,L190*J190/N190,0))*VLOOKUP(B190,'2-Kosten per locatie'!$A$14:$C$18,3,FALSE)</f>
        <v>#DIV/0!</v>
      </c>
      <c r="N190" s="354">
        <f>IF(L190="nio",0,IF(L190&gt;0,VLOOKUP(G190,'3-Productie normen'!A:L,VLOOKUP(L190,'3-Productie normen'!$B$29:$C$32,2,FALSE),FALSE)))</f>
        <v>0</v>
      </c>
      <c r="O190" s="355" t="str">
        <f>VLOOKUP(G190,'3-Productie normen'!A:H,8,FALSE)</f>
        <v>V</v>
      </c>
      <c r="P190" s="355"/>
      <c r="R190" s="356">
        <f t="shared" si="5"/>
        <v>2090.3999404907227</v>
      </c>
    </row>
    <row r="191" spans="1:18" ht="14.1" customHeight="1">
      <c r="A191" s="75">
        <v>191</v>
      </c>
      <c r="B191" s="515" t="s">
        <v>257</v>
      </c>
      <c r="C191" s="316" t="s">
        <v>578</v>
      </c>
      <c r="D191" s="350" t="s">
        <v>581</v>
      </c>
      <c r="E191" s="351" t="s">
        <v>438</v>
      </c>
      <c r="F191" s="316" t="s">
        <v>585</v>
      </c>
      <c r="G191" s="316" t="s">
        <v>54</v>
      </c>
      <c r="H191" s="71" t="s">
        <v>236</v>
      </c>
      <c r="I191" s="515" t="s">
        <v>86</v>
      </c>
      <c r="J191" s="352">
        <v>13.399999618530273</v>
      </c>
      <c r="K191" s="353">
        <f t="shared" si="4"/>
        <v>156</v>
      </c>
      <c r="L191" s="264">
        <v>156</v>
      </c>
      <c r="M191" s="263" t="e">
        <f>IF(L191="nio",0,IF(L191&gt;0,L191*J191/N191,0))*VLOOKUP(B191,'2-Kosten per locatie'!$A$14:$C$18,3,FALSE)</f>
        <v>#DIV/0!</v>
      </c>
      <c r="N191" s="354">
        <f>IF(L191="nio",0,IF(L191&gt;0,VLOOKUP(G191,'3-Productie normen'!A:L,VLOOKUP(L191,'3-Productie normen'!$B$29:$C$32,2,FALSE),FALSE)))</f>
        <v>0</v>
      </c>
      <c r="O191" s="355" t="str">
        <f>VLOOKUP(G191,'3-Productie normen'!A:H,8,FALSE)</f>
        <v>V</v>
      </c>
      <c r="P191" s="355"/>
      <c r="R191" s="356">
        <f t="shared" si="5"/>
        <v>2090.3999404907227</v>
      </c>
    </row>
    <row r="192" spans="1:18" ht="14.1" customHeight="1">
      <c r="A192" s="75">
        <v>192</v>
      </c>
      <c r="B192" s="515" t="s">
        <v>257</v>
      </c>
      <c r="C192" s="316" t="s">
        <v>578</v>
      </c>
      <c r="D192" s="350" t="s">
        <v>581</v>
      </c>
      <c r="E192" s="351" t="s">
        <v>439</v>
      </c>
      <c r="F192" s="316" t="s">
        <v>587</v>
      </c>
      <c r="G192" s="71" t="s">
        <v>43</v>
      </c>
      <c r="H192" s="71" t="s">
        <v>601</v>
      </c>
      <c r="I192" s="515" t="s">
        <v>82</v>
      </c>
      <c r="J192" s="352">
        <v>5.4000000953674316</v>
      </c>
      <c r="K192" s="353">
        <f t="shared" si="4"/>
        <v>156</v>
      </c>
      <c r="L192" s="264">
        <v>156</v>
      </c>
      <c r="M192" s="263" t="e">
        <f>IF(L192="nio",0,IF(L192&gt;0,L192*J192/N192,0))*VLOOKUP(B192,'2-Kosten per locatie'!$A$14:$C$18,3,FALSE)</f>
        <v>#DIV/0!</v>
      </c>
      <c r="N192" s="354">
        <f>IF(L192="nio",0,IF(L192&gt;0,VLOOKUP(G192,'3-Productie normen'!A:L,VLOOKUP(L192,'3-Productie normen'!$B$29:$C$32,2,FALSE),FALSE)))</f>
        <v>0</v>
      </c>
      <c r="O192" s="355" t="str">
        <f>VLOOKUP(G192,'3-Productie normen'!A:H,8,FALSE)</f>
        <v>S</v>
      </c>
      <c r="P192" s="355"/>
      <c r="R192" s="356">
        <f t="shared" si="5"/>
        <v>842.40001487731934</v>
      </c>
    </row>
    <row r="193" spans="1:18" ht="14.1" customHeight="1">
      <c r="A193" s="75">
        <v>193</v>
      </c>
      <c r="B193" s="515" t="s">
        <v>257</v>
      </c>
      <c r="C193" s="316" t="s">
        <v>578</v>
      </c>
      <c r="D193" s="350" t="s">
        <v>581</v>
      </c>
      <c r="E193" s="351" t="s">
        <v>440</v>
      </c>
      <c r="F193" s="71" t="s">
        <v>588</v>
      </c>
      <c r="G193" s="71" t="s">
        <v>43</v>
      </c>
      <c r="H193" s="71" t="s">
        <v>601</v>
      </c>
      <c r="I193" s="515" t="s">
        <v>82</v>
      </c>
      <c r="J193" s="352">
        <v>1.7000000476837158</v>
      </c>
      <c r="K193" s="353">
        <f t="shared" si="4"/>
        <v>255</v>
      </c>
      <c r="L193" s="264">
        <v>255</v>
      </c>
      <c r="M193" s="263" t="e">
        <f>IF(L193="nio",0,IF(L193&gt;0,L193*J193/N193,0))*VLOOKUP(B193,'2-Kosten per locatie'!$A$14:$C$18,3,FALSE)</f>
        <v>#DIV/0!</v>
      </c>
      <c r="N193" s="354">
        <f>IF(L193="nio",0,IF(L193&gt;0,VLOOKUP(G193,'3-Productie normen'!A:L,VLOOKUP(L193,'3-Productie normen'!$B$29:$C$32,2,FALSE),FALSE)))</f>
        <v>0</v>
      </c>
      <c r="O193" s="355" t="str">
        <f>VLOOKUP(G193,'3-Productie normen'!A:H,8,FALSE)</f>
        <v>S</v>
      </c>
      <c r="P193" s="355"/>
      <c r="R193" s="356">
        <f t="shared" si="5"/>
        <v>433.50001215934753</v>
      </c>
    </row>
    <row r="194" spans="1:18" ht="14.1" customHeight="1">
      <c r="A194" s="75">
        <v>194</v>
      </c>
      <c r="B194" s="515" t="s">
        <v>257</v>
      </c>
      <c r="C194" s="316" t="s">
        <v>578</v>
      </c>
      <c r="D194" s="350" t="s">
        <v>581</v>
      </c>
      <c r="E194" s="351" t="s">
        <v>441</v>
      </c>
      <c r="F194" s="71" t="s">
        <v>588</v>
      </c>
      <c r="G194" s="71" t="s">
        <v>43</v>
      </c>
      <c r="H194" s="71" t="s">
        <v>601</v>
      </c>
      <c r="I194" s="515" t="s">
        <v>82</v>
      </c>
      <c r="J194" s="352">
        <v>1.7000000476837158</v>
      </c>
      <c r="K194" s="353">
        <f t="shared" si="4"/>
        <v>255</v>
      </c>
      <c r="L194" s="264">
        <v>255</v>
      </c>
      <c r="M194" s="263" t="e">
        <f>IF(L194="nio",0,IF(L194&gt;0,L194*J194/N194,0))*VLOOKUP(B194,'2-Kosten per locatie'!$A$14:$C$18,3,FALSE)</f>
        <v>#DIV/0!</v>
      </c>
      <c r="N194" s="354">
        <f>IF(L194="nio",0,IF(L194&gt;0,VLOOKUP(G194,'3-Productie normen'!A:L,VLOOKUP(L194,'3-Productie normen'!$B$29:$C$32,2,FALSE),FALSE)))</f>
        <v>0</v>
      </c>
      <c r="O194" s="355" t="str">
        <f>VLOOKUP(G194,'3-Productie normen'!A:H,8,FALSE)</f>
        <v>S</v>
      </c>
      <c r="P194" s="355"/>
      <c r="R194" s="356">
        <f t="shared" si="5"/>
        <v>433.50001215934753</v>
      </c>
    </row>
    <row r="195" spans="1:18" ht="14.1" customHeight="1">
      <c r="A195" s="75">
        <v>195</v>
      </c>
      <c r="B195" s="515" t="s">
        <v>257</v>
      </c>
      <c r="C195" s="316" t="s">
        <v>578</v>
      </c>
      <c r="D195" s="350" t="s">
        <v>581</v>
      </c>
      <c r="E195" s="351" t="s">
        <v>442</v>
      </c>
      <c r="F195" s="71" t="s">
        <v>588</v>
      </c>
      <c r="G195" s="71" t="s">
        <v>43</v>
      </c>
      <c r="H195" s="71" t="s">
        <v>601</v>
      </c>
      <c r="I195" s="515" t="s">
        <v>82</v>
      </c>
      <c r="J195" s="352">
        <v>1.7000000476837158</v>
      </c>
      <c r="K195" s="353">
        <f t="shared" si="4"/>
        <v>255</v>
      </c>
      <c r="L195" s="264">
        <v>255</v>
      </c>
      <c r="M195" s="263" t="e">
        <f>IF(L195="nio",0,IF(L195&gt;0,L195*J195/N195,0))*VLOOKUP(B195,'2-Kosten per locatie'!$A$14:$C$18,3,FALSE)</f>
        <v>#DIV/0!</v>
      </c>
      <c r="N195" s="354">
        <f>IF(L195="nio",0,IF(L195&gt;0,VLOOKUP(G195,'3-Productie normen'!A:L,VLOOKUP(L195,'3-Productie normen'!$B$29:$C$32,2,FALSE),FALSE)))</f>
        <v>0</v>
      </c>
      <c r="O195" s="355" t="str">
        <f>VLOOKUP(G195,'3-Productie normen'!A:H,8,FALSE)</f>
        <v>S</v>
      </c>
      <c r="P195" s="355"/>
      <c r="R195" s="356">
        <f t="shared" si="5"/>
        <v>433.50001215934753</v>
      </c>
    </row>
    <row r="196" spans="1:18" ht="14.1" customHeight="1">
      <c r="A196" s="75">
        <v>196</v>
      </c>
      <c r="B196" s="515" t="s">
        <v>257</v>
      </c>
      <c r="C196" s="316" t="s">
        <v>578</v>
      </c>
      <c r="D196" s="350" t="s">
        <v>581</v>
      </c>
      <c r="E196" s="351" t="s">
        <v>443</v>
      </c>
      <c r="F196" s="71" t="s">
        <v>590</v>
      </c>
      <c r="G196" s="71" t="s">
        <v>41</v>
      </c>
      <c r="H196" s="71" t="s">
        <v>236</v>
      </c>
      <c r="I196" s="515" t="s">
        <v>86</v>
      </c>
      <c r="J196" s="352">
        <v>37.799999237060547</v>
      </c>
      <c r="K196" s="353">
        <f t="shared" si="4"/>
        <v>156</v>
      </c>
      <c r="L196" s="264">
        <v>156</v>
      </c>
      <c r="M196" s="263" t="e">
        <f>IF(L196="nio",0,IF(L196&gt;0,L196*J196/N196,0))*VLOOKUP(B196,'2-Kosten per locatie'!$A$14:$C$18,3,FALSE)</f>
        <v>#DIV/0!</v>
      </c>
      <c r="N196" s="354">
        <f>IF(L196="nio",0,IF(L196&gt;0,VLOOKUP(G196,'3-Productie normen'!A:L,VLOOKUP(L196,'3-Productie normen'!$B$29:$C$32,2,FALSE),FALSE)))</f>
        <v>0</v>
      </c>
      <c r="O196" s="355" t="str">
        <f>VLOOKUP(G196,'3-Productie normen'!A:H,8,FALSE)</f>
        <v>B</v>
      </c>
      <c r="P196" s="355"/>
      <c r="R196" s="356">
        <f t="shared" si="5"/>
        <v>5896.7998809814453</v>
      </c>
    </row>
    <row r="197" spans="1:18" ht="14.1" customHeight="1">
      <c r="A197" s="75">
        <v>197</v>
      </c>
      <c r="B197" s="515" t="s">
        <v>257</v>
      </c>
      <c r="C197" s="316" t="s">
        <v>578</v>
      </c>
      <c r="D197" s="350" t="s">
        <v>581</v>
      </c>
      <c r="E197" s="351" t="s">
        <v>444</v>
      </c>
      <c r="F197" s="358" t="s">
        <v>587</v>
      </c>
      <c r="G197" s="71" t="s">
        <v>43</v>
      </c>
      <c r="H197" s="71" t="s">
        <v>601</v>
      </c>
      <c r="I197" s="515" t="s">
        <v>82</v>
      </c>
      <c r="J197" s="352">
        <v>5.4000000953674316</v>
      </c>
      <c r="K197" s="353">
        <f t="shared" si="4"/>
        <v>156</v>
      </c>
      <c r="L197" s="264">
        <v>156</v>
      </c>
      <c r="M197" s="263" t="e">
        <f>IF(L197="nio",0,IF(L197&gt;0,L197*J197/N197,0))*VLOOKUP(B197,'2-Kosten per locatie'!$A$14:$C$18,3,FALSE)</f>
        <v>#DIV/0!</v>
      </c>
      <c r="N197" s="354">
        <f>IF(L197="nio",0,IF(L197&gt;0,VLOOKUP(G197,'3-Productie normen'!A:L,VLOOKUP(L197,'3-Productie normen'!$B$29:$C$32,2,FALSE),FALSE)))</f>
        <v>0</v>
      </c>
      <c r="O197" s="355" t="str">
        <f>VLOOKUP(G197,'3-Productie normen'!A:H,8,FALSE)</f>
        <v>S</v>
      </c>
      <c r="P197" s="355"/>
      <c r="R197" s="356">
        <f t="shared" si="5"/>
        <v>842.40001487731934</v>
      </c>
    </row>
    <row r="198" spans="1:18" ht="14.1" customHeight="1">
      <c r="A198" s="75">
        <v>198</v>
      </c>
      <c r="B198" s="515" t="s">
        <v>257</v>
      </c>
      <c r="C198" s="316" t="s">
        <v>578</v>
      </c>
      <c r="D198" s="350" t="s">
        <v>581</v>
      </c>
      <c r="E198" s="351" t="s">
        <v>445</v>
      </c>
      <c r="F198" s="71" t="s">
        <v>588</v>
      </c>
      <c r="G198" s="71" t="s">
        <v>43</v>
      </c>
      <c r="H198" s="357" t="s">
        <v>601</v>
      </c>
      <c r="I198" s="515" t="s">
        <v>82</v>
      </c>
      <c r="J198" s="352">
        <v>1.7000000476837158</v>
      </c>
      <c r="K198" s="353">
        <f t="shared" si="4"/>
        <v>255</v>
      </c>
      <c r="L198" s="264">
        <v>255</v>
      </c>
      <c r="M198" s="263" t="e">
        <f>IF(L198="nio",0,IF(L198&gt;0,L198*J198/N198,0))*VLOOKUP(B198,'2-Kosten per locatie'!$A$14:$C$18,3,FALSE)</f>
        <v>#DIV/0!</v>
      </c>
      <c r="N198" s="354">
        <f>IF(L198="nio",0,IF(L198&gt;0,VLOOKUP(G198,'3-Productie normen'!A:L,VLOOKUP(L198,'3-Productie normen'!$B$29:$C$32,2,FALSE),FALSE)))</f>
        <v>0</v>
      </c>
      <c r="O198" s="355" t="str">
        <f>VLOOKUP(G198,'3-Productie normen'!A:H,8,FALSE)</f>
        <v>S</v>
      </c>
      <c r="P198" s="355"/>
      <c r="R198" s="356">
        <f t="shared" si="5"/>
        <v>433.50001215934753</v>
      </c>
    </row>
    <row r="199" spans="1:18" ht="14.1" customHeight="1">
      <c r="A199" s="75">
        <v>199</v>
      </c>
      <c r="B199" s="515" t="s">
        <v>257</v>
      </c>
      <c r="C199" s="316" t="s">
        <v>578</v>
      </c>
      <c r="D199" s="350" t="s">
        <v>581</v>
      </c>
      <c r="E199" s="258" t="s">
        <v>446</v>
      </c>
      <c r="F199" s="85" t="s">
        <v>588</v>
      </c>
      <c r="G199" s="71" t="s">
        <v>43</v>
      </c>
      <c r="H199" s="71" t="s">
        <v>601</v>
      </c>
      <c r="I199" s="515" t="s">
        <v>82</v>
      </c>
      <c r="J199" s="352">
        <v>1.7000000476837158</v>
      </c>
      <c r="K199" s="353">
        <f t="shared" ref="K199:K262" si="6">SUM(L199:L199)</f>
        <v>255</v>
      </c>
      <c r="L199" s="264">
        <v>255</v>
      </c>
      <c r="M199" s="263" t="e">
        <f>IF(L199="nio",0,IF(L199&gt;0,L199*J199/N199,0))*VLOOKUP(B199,'2-Kosten per locatie'!$A$14:$C$18,3,FALSE)</f>
        <v>#DIV/0!</v>
      </c>
      <c r="N199" s="354">
        <f>IF(L199="nio",0,IF(L199&gt;0,VLOOKUP(G199,'3-Productie normen'!A:L,VLOOKUP(L199,'3-Productie normen'!$B$29:$C$32,2,FALSE),FALSE)))</f>
        <v>0</v>
      </c>
      <c r="O199" s="355" t="str">
        <f>VLOOKUP(G199,'3-Productie normen'!A:H,8,FALSE)</f>
        <v>S</v>
      </c>
      <c r="P199" s="355"/>
      <c r="R199" s="356">
        <f t="shared" ref="R199:R262" si="7">K199*J199</f>
        <v>433.50001215934753</v>
      </c>
    </row>
    <row r="200" spans="1:18" ht="14.1" customHeight="1">
      <c r="A200" s="75">
        <v>200</v>
      </c>
      <c r="B200" s="515" t="s">
        <v>257</v>
      </c>
      <c r="C200" s="316" t="s">
        <v>578</v>
      </c>
      <c r="D200" s="350" t="s">
        <v>581</v>
      </c>
      <c r="E200" s="351" t="s">
        <v>447</v>
      </c>
      <c r="F200" s="71" t="s">
        <v>588</v>
      </c>
      <c r="G200" s="71" t="s">
        <v>43</v>
      </c>
      <c r="H200" s="71" t="s">
        <v>601</v>
      </c>
      <c r="I200" s="515" t="s">
        <v>82</v>
      </c>
      <c r="J200" s="352">
        <v>1.7000000476837158</v>
      </c>
      <c r="K200" s="353">
        <f t="shared" si="6"/>
        <v>255</v>
      </c>
      <c r="L200" s="264">
        <v>255</v>
      </c>
      <c r="M200" s="263" t="e">
        <f>IF(L200="nio",0,IF(L200&gt;0,L200*J200/N200,0))*VLOOKUP(B200,'2-Kosten per locatie'!$A$14:$C$18,3,FALSE)</f>
        <v>#DIV/0!</v>
      </c>
      <c r="N200" s="354">
        <f>IF(L200="nio",0,IF(L200&gt;0,VLOOKUP(G200,'3-Productie normen'!A:L,VLOOKUP(L200,'3-Productie normen'!$B$29:$C$32,2,FALSE),FALSE)))</f>
        <v>0</v>
      </c>
      <c r="O200" s="355" t="str">
        <f>VLOOKUP(G200,'3-Productie normen'!A:H,8,FALSE)</f>
        <v>S</v>
      </c>
      <c r="P200" s="355"/>
      <c r="R200" s="356">
        <f t="shared" si="7"/>
        <v>433.50001215934753</v>
      </c>
    </row>
    <row r="201" spans="1:18" ht="14.1" customHeight="1">
      <c r="A201" s="75">
        <v>201</v>
      </c>
      <c r="B201" s="515" t="s">
        <v>257</v>
      </c>
      <c r="C201" s="316" t="s">
        <v>578</v>
      </c>
      <c r="D201" s="350" t="s">
        <v>581</v>
      </c>
      <c r="E201" s="351" t="s">
        <v>448</v>
      </c>
      <c r="F201" s="316" t="s">
        <v>584</v>
      </c>
      <c r="G201" s="316" t="s">
        <v>45</v>
      </c>
      <c r="H201" s="71" t="s">
        <v>84</v>
      </c>
      <c r="I201" s="515" t="s">
        <v>85</v>
      </c>
      <c r="J201" s="352">
        <v>75.400001525878906</v>
      </c>
      <c r="K201" s="353">
        <f t="shared" si="6"/>
        <v>156</v>
      </c>
      <c r="L201" s="264">
        <v>156</v>
      </c>
      <c r="M201" s="263" t="e">
        <f>IF(L201="nio",0,IF(L201&gt;0,L201*J201/N201,0))*VLOOKUP(B201,'2-Kosten per locatie'!$A$14:$C$18,3,FALSE)</f>
        <v>#DIV/0!</v>
      </c>
      <c r="N201" s="354">
        <f>IF(L201="nio",0,IF(L201&gt;0,VLOOKUP(G201,'3-Productie normen'!A:L,VLOOKUP(L201,'3-Productie normen'!$B$29:$C$32,2,FALSE),FALSE)))</f>
        <v>0</v>
      </c>
      <c r="O201" s="355" t="str">
        <f>VLOOKUP(G201,'3-Productie normen'!A:H,8,FALSE)</f>
        <v>V</v>
      </c>
      <c r="P201" s="355"/>
      <c r="R201" s="356">
        <f t="shared" si="7"/>
        <v>11762.400238037109</v>
      </c>
    </row>
    <row r="202" spans="1:18" ht="14.1" customHeight="1">
      <c r="A202" s="75">
        <v>202</v>
      </c>
      <c r="B202" s="515" t="s">
        <v>257</v>
      </c>
      <c r="C202" s="316" t="s">
        <v>578</v>
      </c>
      <c r="D202" s="350" t="s">
        <v>581</v>
      </c>
      <c r="E202" s="351" t="s">
        <v>449</v>
      </c>
      <c r="F202" s="316" t="s">
        <v>589</v>
      </c>
      <c r="G202" s="71" t="s">
        <v>41</v>
      </c>
      <c r="H202" s="71" t="s">
        <v>236</v>
      </c>
      <c r="I202" s="515" t="s">
        <v>86</v>
      </c>
      <c r="J202" s="352">
        <v>15.800000190734863</v>
      </c>
      <c r="K202" s="353">
        <f t="shared" si="6"/>
        <v>255</v>
      </c>
      <c r="L202" s="264">
        <v>255</v>
      </c>
      <c r="M202" s="263" t="e">
        <f>IF(L202="nio",0,IF(L202&gt;0,L202*J202/N202,0))*VLOOKUP(B202,'2-Kosten per locatie'!$A$14:$C$18,3,FALSE)</f>
        <v>#DIV/0!</v>
      </c>
      <c r="N202" s="354">
        <f>IF(L202="nio",0,IF(L202&gt;0,VLOOKUP(G202,'3-Productie normen'!A:L,VLOOKUP(L202,'3-Productie normen'!$B$29:$C$32,2,FALSE),FALSE)))</f>
        <v>0</v>
      </c>
      <c r="O202" s="355" t="str">
        <f>VLOOKUP(G202,'3-Productie normen'!A:H,8,FALSE)</f>
        <v>B</v>
      </c>
      <c r="P202" s="355"/>
      <c r="R202" s="356">
        <f t="shared" si="7"/>
        <v>4029.0000486373901</v>
      </c>
    </row>
    <row r="203" spans="1:18" ht="14.1" customHeight="1">
      <c r="A203" s="75">
        <v>203</v>
      </c>
      <c r="B203" s="515" t="s">
        <v>257</v>
      </c>
      <c r="C203" s="316" t="s">
        <v>578</v>
      </c>
      <c r="D203" s="350" t="s">
        <v>581</v>
      </c>
      <c r="E203" s="351" t="s">
        <v>450</v>
      </c>
      <c r="F203" s="316" t="s">
        <v>589</v>
      </c>
      <c r="G203" s="71" t="s">
        <v>41</v>
      </c>
      <c r="H203" s="71" t="s">
        <v>236</v>
      </c>
      <c r="I203" s="515" t="s">
        <v>86</v>
      </c>
      <c r="J203" s="352">
        <v>8.1000003814697266</v>
      </c>
      <c r="K203" s="353">
        <f t="shared" si="6"/>
        <v>255</v>
      </c>
      <c r="L203" s="264">
        <v>255</v>
      </c>
      <c r="M203" s="263" t="e">
        <f>IF(L203="nio",0,IF(L203&gt;0,L203*J203/N203,0))*VLOOKUP(B203,'2-Kosten per locatie'!$A$14:$C$18,3,FALSE)</f>
        <v>#DIV/0!</v>
      </c>
      <c r="N203" s="354">
        <f>IF(L203="nio",0,IF(L203&gt;0,VLOOKUP(G203,'3-Productie normen'!A:L,VLOOKUP(L203,'3-Productie normen'!$B$29:$C$32,2,FALSE),FALSE)))</f>
        <v>0</v>
      </c>
      <c r="O203" s="355" t="str">
        <f>VLOOKUP(G203,'3-Productie normen'!A:H,8,FALSE)</f>
        <v>B</v>
      </c>
      <c r="P203" s="355"/>
      <c r="R203" s="356">
        <f t="shared" si="7"/>
        <v>2065.5000972747803</v>
      </c>
    </row>
    <row r="204" spans="1:18" ht="14.1" customHeight="1">
      <c r="A204" s="75">
        <v>204</v>
      </c>
      <c r="B204" s="515" t="s">
        <v>257</v>
      </c>
      <c r="C204" s="316" t="s">
        <v>578</v>
      </c>
      <c r="D204" s="350" t="s">
        <v>581</v>
      </c>
      <c r="E204" s="351" t="s">
        <v>451</v>
      </c>
      <c r="F204" s="71" t="s">
        <v>584</v>
      </c>
      <c r="G204" s="316" t="s">
        <v>45</v>
      </c>
      <c r="H204" s="71" t="s">
        <v>236</v>
      </c>
      <c r="I204" s="515" t="s">
        <v>86</v>
      </c>
      <c r="J204" s="352">
        <v>8.1000003814697266</v>
      </c>
      <c r="K204" s="353">
        <f t="shared" si="6"/>
        <v>156</v>
      </c>
      <c r="L204" s="264">
        <v>156</v>
      </c>
      <c r="M204" s="263" t="e">
        <f>IF(L204="nio",0,IF(L204&gt;0,L204*J204/N204,0))*VLOOKUP(B204,'2-Kosten per locatie'!$A$14:$C$18,3,FALSE)</f>
        <v>#DIV/0!</v>
      </c>
      <c r="N204" s="354">
        <f>IF(L204="nio",0,IF(L204&gt;0,VLOOKUP(G204,'3-Productie normen'!A:L,VLOOKUP(L204,'3-Productie normen'!$B$29:$C$32,2,FALSE),FALSE)))</f>
        <v>0</v>
      </c>
      <c r="O204" s="355" t="str">
        <f>VLOOKUP(G204,'3-Productie normen'!A:H,8,FALSE)</f>
        <v>V</v>
      </c>
      <c r="P204" s="355"/>
      <c r="R204" s="356">
        <f t="shared" si="7"/>
        <v>1263.6000595092773</v>
      </c>
    </row>
    <row r="205" spans="1:18" ht="14.1" customHeight="1">
      <c r="A205" s="75">
        <v>205</v>
      </c>
      <c r="B205" s="515" t="s">
        <v>257</v>
      </c>
      <c r="C205" s="316" t="s">
        <v>578</v>
      </c>
      <c r="D205" s="350" t="s">
        <v>581</v>
      </c>
      <c r="E205" s="351" t="s">
        <v>452</v>
      </c>
      <c r="F205" s="71" t="s">
        <v>587</v>
      </c>
      <c r="G205" s="71" t="s">
        <v>43</v>
      </c>
      <c r="H205" s="71" t="s">
        <v>601</v>
      </c>
      <c r="I205" s="515" t="s">
        <v>82</v>
      </c>
      <c r="J205" s="352">
        <v>5.4000000953674316</v>
      </c>
      <c r="K205" s="353">
        <f t="shared" si="6"/>
        <v>156</v>
      </c>
      <c r="L205" s="264">
        <v>156</v>
      </c>
      <c r="M205" s="263" t="e">
        <f>IF(L205="nio",0,IF(L205&gt;0,L205*J205/N205,0))*VLOOKUP(B205,'2-Kosten per locatie'!$A$14:$C$18,3,FALSE)</f>
        <v>#DIV/0!</v>
      </c>
      <c r="N205" s="354">
        <f>IF(L205="nio",0,IF(L205&gt;0,VLOOKUP(G205,'3-Productie normen'!A:L,VLOOKUP(L205,'3-Productie normen'!$B$29:$C$32,2,FALSE),FALSE)))</f>
        <v>0</v>
      </c>
      <c r="O205" s="355" t="str">
        <f>VLOOKUP(G205,'3-Productie normen'!A:H,8,FALSE)</f>
        <v>S</v>
      </c>
      <c r="P205" s="355"/>
      <c r="R205" s="356">
        <f t="shared" si="7"/>
        <v>842.40001487731934</v>
      </c>
    </row>
    <row r="206" spans="1:18" ht="14.1" customHeight="1">
      <c r="A206" s="75">
        <v>206</v>
      </c>
      <c r="B206" s="515" t="s">
        <v>257</v>
      </c>
      <c r="C206" s="316" t="s">
        <v>578</v>
      </c>
      <c r="D206" s="350" t="s">
        <v>581</v>
      </c>
      <c r="E206" s="351" t="s">
        <v>453</v>
      </c>
      <c r="F206" s="71" t="s">
        <v>588</v>
      </c>
      <c r="G206" s="71" t="s">
        <v>43</v>
      </c>
      <c r="H206" s="71" t="s">
        <v>601</v>
      </c>
      <c r="I206" s="515" t="s">
        <v>82</v>
      </c>
      <c r="J206" s="352">
        <v>1.7000000476837158</v>
      </c>
      <c r="K206" s="353">
        <f t="shared" si="6"/>
        <v>255</v>
      </c>
      <c r="L206" s="264">
        <v>255</v>
      </c>
      <c r="M206" s="263" t="e">
        <f>IF(L206="nio",0,IF(L206&gt;0,L206*J206/N206,0))*VLOOKUP(B206,'2-Kosten per locatie'!$A$14:$C$18,3,FALSE)</f>
        <v>#DIV/0!</v>
      </c>
      <c r="N206" s="354">
        <f>IF(L206="nio",0,IF(L206&gt;0,VLOOKUP(G206,'3-Productie normen'!A:L,VLOOKUP(L206,'3-Productie normen'!$B$29:$C$32,2,FALSE),FALSE)))</f>
        <v>0</v>
      </c>
      <c r="O206" s="355" t="str">
        <f>VLOOKUP(G206,'3-Productie normen'!A:H,8,FALSE)</f>
        <v>S</v>
      </c>
      <c r="P206" s="355"/>
      <c r="R206" s="356">
        <f t="shared" si="7"/>
        <v>433.50001215934753</v>
      </c>
    </row>
    <row r="207" spans="1:18" ht="14.1" customHeight="1">
      <c r="A207" s="75">
        <v>207</v>
      </c>
      <c r="B207" s="515" t="s">
        <v>257</v>
      </c>
      <c r="C207" s="316" t="s">
        <v>578</v>
      </c>
      <c r="D207" s="350" t="s">
        <v>581</v>
      </c>
      <c r="E207" s="351" t="s">
        <v>454</v>
      </c>
      <c r="F207" s="71" t="s">
        <v>588</v>
      </c>
      <c r="G207" s="71" t="s">
        <v>43</v>
      </c>
      <c r="H207" s="71" t="s">
        <v>601</v>
      </c>
      <c r="I207" s="515" t="s">
        <v>82</v>
      </c>
      <c r="J207" s="352">
        <v>1.7000000476837158</v>
      </c>
      <c r="K207" s="353">
        <f t="shared" si="6"/>
        <v>255</v>
      </c>
      <c r="L207" s="264">
        <v>255</v>
      </c>
      <c r="M207" s="263" t="e">
        <f>IF(L207="nio",0,IF(L207&gt;0,L207*J207/N207,0))*VLOOKUP(B207,'2-Kosten per locatie'!$A$14:$C$18,3,FALSE)</f>
        <v>#DIV/0!</v>
      </c>
      <c r="N207" s="354">
        <f>IF(L207="nio",0,IF(L207&gt;0,VLOOKUP(G207,'3-Productie normen'!A:L,VLOOKUP(L207,'3-Productie normen'!$B$29:$C$32,2,FALSE),FALSE)))</f>
        <v>0</v>
      </c>
      <c r="O207" s="355" t="str">
        <f>VLOOKUP(G207,'3-Productie normen'!A:H,8,FALSE)</f>
        <v>S</v>
      </c>
      <c r="P207" s="355"/>
      <c r="R207" s="356">
        <f t="shared" si="7"/>
        <v>433.50001215934753</v>
      </c>
    </row>
    <row r="208" spans="1:18" ht="14.1" customHeight="1">
      <c r="A208" s="75">
        <v>208</v>
      </c>
      <c r="B208" s="515" t="s">
        <v>257</v>
      </c>
      <c r="C208" s="316" t="s">
        <v>578</v>
      </c>
      <c r="D208" s="350" t="s">
        <v>581</v>
      </c>
      <c r="E208" s="351" t="s">
        <v>455</v>
      </c>
      <c r="F208" s="316" t="s">
        <v>588</v>
      </c>
      <c r="G208" s="71" t="s">
        <v>43</v>
      </c>
      <c r="H208" s="71" t="s">
        <v>601</v>
      </c>
      <c r="I208" s="515" t="s">
        <v>82</v>
      </c>
      <c r="J208" s="352">
        <v>3.7999999523162842</v>
      </c>
      <c r="K208" s="353">
        <f t="shared" si="6"/>
        <v>255</v>
      </c>
      <c r="L208" s="264">
        <v>255</v>
      </c>
      <c r="M208" s="263" t="e">
        <f>IF(L208="nio",0,IF(L208&gt;0,L208*J208/N208,0))*VLOOKUP(B208,'2-Kosten per locatie'!$A$14:$C$18,3,FALSE)</f>
        <v>#DIV/0!</v>
      </c>
      <c r="N208" s="354">
        <f>IF(L208="nio",0,IF(L208&gt;0,VLOOKUP(G208,'3-Productie normen'!A:L,VLOOKUP(L208,'3-Productie normen'!$B$29:$C$32,2,FALSE),FALSE)))</f>
        <v>0</v>
      </c>
      <c r="O208" s="355" t="str">
        <f>VLOOKUP(G208,'3-Productie normen'!A:H,8,FALSE)</f>
        <v>S</v>
      </c>
      <c r="P208" s="355"/>
      <c r="R208" s="356">
        <f t="shared" si="7"/>
        <v>968.99998784065247</v>
      </c>
    </row>
    <row r="209" spans="1:18" ht="14.1" customHeight="1">
      <c r="A209" s="75">
        <v>209</v>
      </c>
      <c r="B209" s="515" t="s">
        <v>257</v>
      </c>
      <c r="C209" s="316" t="s">
        <v>578</v>
      </c>
      <c r="D209" s="350" t="s">
        <v>581</v>
      </c>
      <c r="E209" s="351" t="s">
        <v>456</v>
      </c>
      <c r="F209" s="316" t="s">
        <v>590</v>
      </c>
      <c r="G209" s="71" t="s">
        <v>41</v>
      </c>
      <c r="H209" s="71" t="s">
        <v>236</v>
      </c>
      <c r="I209" s="515" t="s">
        <v>86</v>
      </c>
      <c r="J209" s="352">
        <v>37.799999237060547</v>
      </c>
      <c r="K209" s="353">
        <f t="shared" si="6"/>
        <v>156</v>
      </c>
      <c r="L209" s="264">
        <v>156</v>
      </c>
      <c r="M209" s="263" t="e">
        <f>IF(L209="nio",0,IF(L209&gt;0,L209*J209/N209,0))*VLOOKUP(B209,'2-Kosten per locatie'!$A$14:$C$18,3,FALSE)</f>
        <v>#DIV/0!</v>
      </c>
      <c r="N209" s="354">
        <f>IF(L209="nio",0,IF(L209&gt;0,VLOOKUP(G209,'3-Productie normen'!A:L,VLOOKUP(L209,'3-Productie normen'!$B$29:$C$32,2,FALSE),FALSE)))</f>
        <v>0</v>
      </c>
      <c r="O209" s="355" t="str">
        <f>VLOOKUP(G209,'3-Productie normen'!A:H,8,FALSE)</f>
        <v>B</v>
      </c>
      <c r="P209" s="355"/>
      <c r="R209" s="356">
        <f t="shared" si="7"/>
        <v>5896.7998809814453</v>
      </c>
    </row>
    <row r="210" spans="1:18" ht="14.1" customHeight="1">
      <c r="A210" s="75">
        <v>210</v>
      </c>
      <c r="B210" s="515" t="s">
        <v>257</v>
      </c>
      <c r="C210" s="316" t="s">
        <v>578</v>
      </c>
      <c r="D210" s="350" t="s">
        <v>581</v>
      </c>
      <c r="E210" s="351" t="s">
        <v>457</v>
      </c>
      <c r="F210" s="316" t="s">
        <v>587</v>
      </c>
      <c r="G210" s="71" t="s">
        <v>43</v>
      </c>
      <c r="H210" s="71" t="s">
        <v>601</v>
      </c>
      <c r="I210" s="515" t="s">
        <v>82</v>
      </c>
      <c r="J210" s="352">
        <v>5.4000000953674316</v>
      </c>
      <c r="K210" s="353">
        <f t="shared" si="6"/>
        <v>156</v>
      </c>
      <c r="L210" s="264">
        <v>156</v>
      </c>
      <c r="M210" s="263" t="e">
        <f>IF(L210="nio",0,IF(L210&gt;0,L210*J210/N210,0))*VLOOKUP(B210,'2-Kosten per locatie'!$A$14:$C$18,3,FALSE)</f>
        <v>#DIV/0!</v>
      </c>
      <c r="N210" s="354">
        <f>IF(L210="nio",0,IF(L210&gt;0,VLOOKUP(G210,'3-Productie normen'!A:L,VLOOKUP(L210,'3-Productie normen'!$B$29:$C$32,2,FALSE),FALSE)))</f>
        <v>0</v>
      </c>
      <c r="O210" s="355" t="str">
        <f>VLOOKUP(G210,'3-Productie normen'!A:H,8,FALSE)</f>
        <v>S</v>
      </c>
      <c r="P210" s="355"/>
      <c r="R210" s="356">
        <f t="shared" si="7"/>
        <v>842.40001487731934</v>
      </c>
    </row>
    <row r="211" spans="1:18" ht="14.1" customHeight="1">
      <c r="A211" s="75">
        <v>211</v>
      </c>
      <c r="B211" s="515" t="s">
        <v>257</v>
      </c>
      <c r="C211" s="316" t="s">
        <v>578</v>
      </c>
      <c r="D211" s="350" t="s">
        <v>581</v>
      </c>
      <c r="E211" s="351" t="s">
        <v>458</v>
      </c>
      <c r="F211" s="71" t="s">
        <v>588</v>
      </c>
      <c r="G211" s="71" t="s">
        <v>43</v>
      </c>
      <c r="H211" s="71" t="s">
        <v>601</v>
      </c>
      <c r="I211" s="515" t="s">
        <v>82</v>
      </c>
      <c r="J211" s="352">
        <v>1.7000000476837158</v>
      </c>
      <c r="K211" s="353">
        <f t="shared" si="6"/>
        <v>255</v>
      </c>
      <c r="L211" s="264">
        <v>255</v>
      </c>
      <c r="M211" s="263" t="e">
        <f>IF(L211="nio",0,IF(L211&gt;0,L211*J211/N211,0))*VLOOKUP(B211,'2-Kosten per locatie'!$A$14:$C$18,3,FALSE)</f>
        <v>#DIV/0!</v>
      </c>
      <c r="N211" s="354">
        <f>IF(L211="nio",0,IF(L211&gt;0,VLOOKUP(G211,'3-Productie normen'!A:L,VLOOKUP(L211,'3-Productie normen'!$B$29:$C$32,2,FALSE),FALSE)))</f>
        <v>0</v>
      </c>
      <c r="O211" s="355" t="str">
        <f>VLOOKUP(G211,'3-Productie normen'!A:H,8,FALSE)</f>
        <v>S</v>
      </c>
      <c r="P211" s="355"/>
      <c r="R211" s="356">
        <f t="shared" si="7"/>
        <v>433.50001215934753</v>
      </c>
    </row>
    <row r="212" spans="1:18" ht="14.1" customHeight="1">
      <c r="A212" s="75">
        <v>212</v>
      </c>
      <c r="B212" s="515" t="s">
        <v>257</v>
      </c>
      <c r="C212" s="316" t="s">
        <v>578</v>
      </c>
      <c r="D212" s="350" t="s">
        <v>581</v>
      </c>
      <c r="E212" s="351" t="s">
        <v>459</v>
      </c>
      <c r="F212" s="71" t="s">
        <v>588</v>
      </c>
      <c r="G212" s="71" t="s">
        <v>43</v>
      </c>
      <c r="H212" s="71" t="s">
        <v>601</v>
      </c>
      <c r="I212" s="515" t="s">
        <v>82</v>
      </c>
      <c r="J212" s="352">
        <v>1.7000000476837158</v>
      </c>
      <c r="K212" s="353">
        <f t="shared" si="6"/>
        <v>255</v>
      </c>
      <c r="L212" s="264">
        <v>255</v>
      </c>
      <c r="M212" s="263" t="e">
        <f>IF(L212="nio",0,IF(L212&gt;0,L212*J212/N212,0))*VLOOKUP(B212,'2-Kosten per locatie'!$A$14:$C$18,3,FALSE)</f>
        <v>#DIV/0!</v>
      </c>
      <c r="N212" s="354">
        <f>IF(L212="nio",0,IF(L212&gt;0,VLOOKUP(G212,'3-Productie normen'!A:L,VLOOKUP(L212,'3-Productie normen'!$B$29:$C$32,2,FALSE),FALSE)))</f>
        <v>0</v>
      </c>
      <c r="O212" s="355" t="str">
        <f>VLOOKUP(G212,'3-Productie normen'!A:H,8,FALSE)</f>
        <v>S</v>
      </c>
      <c r="P212" s="355"/>
      <c r="R212" s="356">
        <f t="shared" si="7"/>
        <v>433.50001215934753</v>
      </c>
    </row>
    <row r="213" spans="1:18" ht="14.1" customHeight="1">
      <c r="A213" s="75">
        <v>213</v>
      </c>
      <c r="B213" s="515" t="s">
        <v>257</v>
      </c>
      <c r="C213" s="316" t="s">
        <v>578</v>
      </c>
      <c r="D213" s="350" t="s">
        <v>581</v>
      </c>
      <c r="E213" s="351" t="s">
        <v>460</v>
      </c>
      <c r="F213" s="71" t="s">
        <v>588</v>
      </c>
      <c r="G213" s="71" t="s">
        <v>43</v>
      </c>
      <c r="H213" s="71" t="s">
        <v>601</v>
      </c>
      <c r="I213" s="515" t="s">
        <v>82</v>
      </c>
      <c r="J213" s="352">
        <v>1.7000000476837158</v>
      </c>
      <c r="K213" s="353">
        <f t="shared" si="6"/>
        <v>255</v>
      </c>
      <c r="L213" s="264">
        <v>255</v>
      </c>
      <c r="M213" s="263" t="e">
        <f>IF(L213="nio",0,IF(L213&gt;0,L213*J213/N213,0))*VLOOKUP(B213,'2-Kosten per locatie'!$A$14:$C$18,3,FALSE)</f>
        <v>#DIV/0!</v>
      </c>
      <c r="N213" s="354">
        <f>IF(L213="nio",0,IF(L213&gt;0,VLOOKUP(G213,'3-Productie normen'!A:L,VLOOKUP(L213,'3-Productie normen'!$B$29:$C$32,2,FALSE),FALSE)))</f>
        <v>0</v>
      </c>
      <c r="O213" s="355" t="str">
        <f>VLOOKUP(G213,'3-Productie normen'!A:H,8,FALSE)</f>
        <v>S</v>
      </c>
      <c r="P213" s="355"/>
      <c r="R213" s="356">
        <f t="shared" si="7"/>
        <v>433.50001215934753</v>
      </c>
    </row>
    <row r="214" spans="1:18" ht="14.1" customHeight="1">
      <c r="A214" s="75">
        <v>214</v>
      </c>
      <c r="B214" s="515" t="s">
        <v>257</v>
      </c>
      <c r="C214" s="316" t="s">
        <v>578</v>
      </c>
      <c r="D214" s="350" t="s">
        <v>581</v>
      </c>
      <c r="E214" s="351" t="s">
        <v>461</v>
      </c>
      <c r="F214" s="71" t="s">
        <v>584</v>
      </c>
      <c r="G214" s="316" t="s">
        <v>45</v>
      </c>
      <c r="H214" s="71" t="s">
        <v>84</v>
      </c>
      <c r="I214" s="515" t="s">
        <v>85</v>
      </c>
      <c r="J214" s="352">
        <v>75.400001525878906</v>
      </c>
      <c r="K214" s="353">
        <f t="shared" si="6"/>
        <v>156</v>
      </c>
      <c r="L214" s="264">
        <v>156</v>
      </c>
      <c r="M214" s="263" t="e">
        <f>IF(L214="nio",0,IF(L214&gt;0,L214*J214/N214,0))*VLOOKUP(B214,'2-Kosten per locatie'!$A$14:$C$18,3,FALSE)</f>
        <v>#DIV/0!</v>
      </c>
      <c r="N214" s="354">
        <f>IF(L214="nio",0,IF(L214&gt;0,VLOOKUP(G214,'3-Productie normen'!A:L,VLOOKUP(L214,'3-Productie normen'!$B$29:$C$32,2,FALSE),FALSE)))</f>
        <v>0</v>
      </c>
      <c r="O214" s="355" t="str">
        <f>VLOOKUP(G214,'3-Productie normen'!A:H,8,FALSE)</f>
        <v>V</v>
      </c>
      <c r="P214" s="355"/>
      <c r="R214" s="356">
        <f t="shared" si="7"/>
        <v>11762.400238037109</v>
      </c>
    </row>
    <row r="215" spans="1:18" ht="14.1" customHeight="1">
      <c r="A215" s="75">
        <v>215</v>
      </c>
      <c r="B215" s="515" t="s">
        <v>257</v>
      </c>
      <c r="C215" s="316" t="s">
        <v>578</v>
      </c>
      <c r="D215" s="350" t="s">
        <v>581</v>
      </c>
      <c r="E215" s="351" t="s">
        <v>462</v>
      </c>
      <c r="F215" s="358" t="s">
        <v>590</v>
      </c>
      <c r="G215" s="71" t="s">
        <v>41</v>
      </c>
      <c r="H215" s="71" t="s">
        <v>236</v>
      </c>
      <c r="I215" s="515" t="s">
        <v>86</v>
      </c>
      <c r="J215" s="352">
        <v>15.800000190734863</v>
      </c>
      <c r="K215" s="353">
        <f t="shared" si="6"/>
        <v>156</v>
      </c>
      <c r="L215" s="264">
        <v>156</v>
      </c>
      <c r="M215" s="263" t="e">
        <f>IF(L215="nio",0,IF(L215&gt;0,L215*J215/N215,0))*VLOOKUP(B215,'2-Kosten per locatie'!$A$14:$C$18,3,FALSE)</f>
        <v>#DIV/0!</v>
      </c>
      <c r="N215" s="354">
        <f>IF(L215="nio",0,IF(L215&gt;0,VLOOKUP(G215,'3-Productie normen'!A:L,VLOOKUP(L215,'3-Productie normen'!$B$29:$C$32,2,FALSE),FALSE)))</f>
        <v>0</v>
      </c>
      <c r="O215" s="355" t="str">
        <f>VLOOKUP(G215,'3-Productie normen'!A:H,8,FALSE)</f>
        <v>B</v>
      </c>
      <c r="P215" s="355"/>
      <c r="R215" s="356">
        <f t="shared" si="7"/>
        <v>2464.8000297546387</v>
      </c>
    </row>
    <row r="216" spans="1:18" ht="14.1" customHeight="1">
      <c r="A216" s="75">
        <v>216</v>
      </c>
      <c r="B216" s="515" t="s">
        <v>257</v>
      </c>
      <c r="C216" s="316" t="s">
        <v>578</v>
      </c>
      <c r="D216" s="350" t="s">
        <v>581</v>
      </c>
      <c r="E216" s="351" t="s">
        <v>463</v>
      </c>
      <c r="F216" s="71" t="s">
        <v>584</v>
      </c>
      <c r="G216" s="316" t="s">
        <v>45</v>
      </c>
      <c r="H216" s="357" t="s">
        <v>236</v>
      </c>
      <c r="I216" s="515" t="s">
        <v>86</v>
      </c>
      <c r="J216" s="352">
        <v>8.1000003814697266</v>
      </c>
      <c r="K216" s="353">
        <f t="shared" si="6"/>
        <v>156</v>
      </c>
      <c r="L216" s="264">
        <v>156</v>
      </c>
      <c r="M216" s="263" t="e">
        <f>IF(L216="nio",0,IF(L216&gt;0,L216*J216/N216,0))*VLOOKUP(B216,'2-Kosten per locatie'!$A$14:$C$18,3,FALSE)</f>
        <v>#DIV/0!</v>
      </c>
      <c r="N216" s="354">
        <f>IF(L216="nio",0,IF(L216&gt;0,VLOOKUP(G216,'3-Productie normen'!A:L,VLOOKUP(L216,'3-Productie normen'!$B$29:$C$32,2,FALSE),FALSE)))</f>
        <v>0</v>
      </c>
      <c r="O216" s="355" t="str">
        <f>VLOOKUP(G216,'3-Productie normen'!A:H,8,FALSE)</f>
        <v>V</v>
      </c>
      <c r="P216" s="355"/>
      <c r="R216" s="356">
        <f t="shared" si="7"/>
        <v>1263.6000595092773</v>
      </c>
    </row>
    <row r="217" spans="1:18" ht="14.1" customHeight="1">
      <c r="A217" s="75">
        <v>217</v>
      </c>
      <c r="B217" s="515" t="s">
        <v>257</v>
      </c>
      <c r="C217" s="316" t="s">
        <v>578</v>
      </c>
      <c r="D217" s="350" t="s">
        <v>581</v>
      </c>
      <c r="E217" s="258" t="s">
        <v>464</v>
      </c>
      <c r="F217" s="85" t="s">
        <v>585</v>
      </c>
      <c r="G217" s="316" t="s">
        <v>54</v>
      </c>
      <c r="H217" s="71" t="s">
        <v>236</v>
      </c>
      <c r="I217" s="515" t="s">
        <v>86</v>
      </c>
      <c r="J217" s="352">
        <v>13.399999618530273</v>
      </c>
      <c r="K217" s="353">
        <f t="shared" si="6"/>
        <v>156</v>
      </c>
      <c r="L217" s="264">
        <v>156</v>
      </c>
      <c r="M217" s="263" t="e">
        <f>IF(L217="nio",0,IF(L217&gt;0,L217*J217/N217,0))*VLOOKUP(B217,'2-Kosten per locatie'!$A$14:$C$18,3,FALSE)</f>
        <v>#DIV/0!</v>
      </c>
      <c r="N217" s="354">
        <f>IF(L217="nio",0,IF(L217&gt;0,VLOOKUP(G217,'3-Productie normen'!A:L,VLOOKUP(L217,'3-Productie normen'!$B$29:$C$32,2,FALSE),FALSE)))</f>
        <v>0</v>
      </c>
      <c r="O217" s="355" t="str">
        <f>VLOOKUP(G217,'3-Productie normen'!A:H,8,FALSE)</f>
        <v>V</v>
      </c>
      <c r="P217" s="355"/>
      <c r="R217" s="356">
        <f t="shared" si="7"/>
        <v>2090.3999404907227</v>
      </c>
    </row>
    <row r="218" spans="1:18" ht="14.1" customHeight="1">
      <c r="A218" s="75">
        <v>218</v>
      </c>
      <c r="B218" s="515" t="s">
        <v>257</v>
      </c>
      <c r="C218" s="316" t="s">
        <v>578</v>
      </c>
      <c r="D218" s="350" t="s">
        <v>581</v>
      </c>
      <c r="E218" s="351" t="s">
        <v>465</v>
      </c>
      <c r="F218" s="71" t="s">
        <v>589</v>
      </c>
      <c r="G218" s="71" t="s">
        <v>41</v>
      </c>
      <c r="H218" s="71" t="s">
        <v>84</v>
      </c>
      <c r="I218" s="515" t="s">
        <v>85</v>
      </c>
      <c r="J218" s="352">
        <v>39.099998474121001</v>
      </c>
      <c r="K218" s="353">
        <f t="shared" si="6"/>
        <v>255</v>
      </c>
      <c r="L218" s="264">
        <v>255</v>
      </c>
      <c r="M218" s="263" t="e">
        <f>IF(L218="nio",0,IF(L218&gt;0,L218*J218/N218,0))*VLOOKUP(B218,'2-Kosten per locatie'!$A$14:$C$18,3,FALSE)</f>
        <v>#DIV/0!</v>
      </c>
      <c r="N218" s="354">
        <f>IF(L218="nio",0,IF(L218&gt;0,VLOOKUP(G218,'3-Productie normen'!A:L,VLOOKUP(L218,'3-Productie normen'!$B$29:$C$32,2,FALSE),FALSE)))</f>
        <v>0</v>
      </c>
      <c r="O218" s="355" t="str">
        <f>VLOOKUP(G218,'3-Productie normen'!A:H,8,FALSE)</f>
        <v>B</v>
      </c>
      <c r="P218" s="355"/>
      <c r="R218" s="356">
        <f t="shared" si="7"/>
        <v>9970.4996109008553</v>
      </c>
    </row>
    <row r="219" spans="1:18" ht="14.1" customHeight="1">
      <c r="A219" s="75">
        <v>219</v>
      </c>
      <c r="B219" s="515" t="s">
        <v>257</v>
      </c>
      <c r="C219" s="316" t="s">
        <v>578</v>
      </c>
      <c r="D219" s="350" t="s">
        <v>581</v>
      </c>
      <c r="E219" s="351" t="s">
        <v>466</v>
      </c>
      <c r="F219" s="71" t="s">
        <v>589</v>
      </c>
      <c r="G219" s="71" t="s">
        <v>41</v>
      </c>
      <c r="H219" s="71" t="s">
        <v>84</v>
      </c>
      <c r="I219" s="515" t="s">
        <v>85</v>
      </c>
      <c r="J219" s="352">
        <v>39.099998474121094</v>
      </c>
      <c r="K219" s="353">
        <f t="shared" si="6"/>
        <v>255</v>
      </c>
      <c r="L219" s="264">
        <v>255</v>
      </c>
      <c r="M219" s="263" t="e">
        <f>IF(L219="nio",0,IF(L219&gt;0,L219*J219/N219,0))*VLOOKUP(B219,'2-Kosten per locatie'!$A$14:$C$18,3,FALSE)</f>
        <v>#DIV/0!</v>
      </c>
      <c r="N219" s="354">
        <f>IF(L219="nio",0,IF(L219&gt;0,VLOOKUP(G219,'3-Productie normen'!A:L,VLOOKUP(L219,'3-Productie normen'!$B$29:$C$32,2,FALSE),FALSE)))</f>
        <v>0</v>
      </c>
      <c r="O219" s="355" t="str">
        <f>VLOOKUP(G219,'3-Productie normen'!A:H,8,FALSE)</f>
        <v>B</v>
      </c>
      <c r="P219" s="355"/>
      <c r="R219" s="356">
        <f t="shared" si="7"/>
        <v>9970.4996109008789</v>
      </c>
    </row>
    <row r="220" spans="1:18" ht="14.1" customHeight="1">
      <c r="A220" s="75">
        <v>220</v>
      </c>
      <c r="B220" s="515" t="s">
        <v>257</v>
      </c>
      <c r="C220" s="316" t="s">
        <v>578</v>
      </c>
      <c r="D220" s="350" t="s">
        <v>581</v>
      </c>
      <c r="E220" s="351" t="s">
        <v>467</v>
      </c>
      <c r="F220" s="71" t="s">
        <v>589</v>
      </c>
      <c r="G220" s="71" t="s">
        <v>41</v>
      </c>
      <c r="H220" s="71" t="s">
        <v>84</v>
      </c>
      <c r="I220" s="515" t="s">
        <v>85</v>
      </c>
      <c r="J220" s="352">
        <v>15.800000190734863</v>
      </c>
      <c r="K220" s="353">
        <f t="shared" si="6"/>
        <v>255</v>
      </c>
      <c r="L220" s="264">
        <v>255</v>
      </c>
      <c r="M220" s="263" t="e">
        <f>IF(L220="nio",0,IF(L220&gt;0,L220*J220/N220,0))*VLOOKUP(B220,'2-Kosten per locatie'!$A$14:$C$18,3,FALSE)</f>
        <v>#DIV/0!</v>
      </c>
      <c r="N220" s="354">
        <f>IF(L220="nio",0,IF(L220&gt;0,VLOOKUP(G220,'3-Productie normen'!A:L,VLOOKUP(L220,'3-Productie normen'!$B$29:$C$32,2,FALSE),FALSE)))</f>
        <v>0</v>
      </c>
      <c r="O220" s="355" t="str">
        <f>VLOOKUP(G220,'3-Productie normen'!A:H,8,FALSE)</f>
        <v>B</v>
      </c>
      <c r="P220" s="355"/>
      <c r="R220" s="356">
        <f t="shared" si="7"/>
        <v>4029.0000486373901</v>
      </c>
    </row>
    <row r="221" spans="1:18" ht="14.1" customHeight="1">
      <c r="A221" s="75">
        <v>221</v>
      </c>
      <c r="B221" s="515" t="s">
        <v>257</v>
      </c>
      <c r="C221" s="316" t="s">
        <v>578</v>
      </c>
      <c r="D221" s="350" t="s">
        <v>581</v>
      </c>
      <c r="E221" s="351" t="s">
        <v>468</v>
      </c>
      <c r="F221" s="71" t="s">
        <v>589</v>
      </c>
      <c r="G221" s="71" t="s">
        <v>41</v>
      </c>
      <c r="H221" s="71" t="s">
        <v>84</v>
      </c>
      <c r="I221" s="515" t="s">
        <v>85</v>
      </c>
      <c r="J221" s="352">
        <v>24</v>
      </c>
      <c r="K221" s="353">
        <f t="shared" si="6"/>
        <v>255</v>
      </c>
      <c r="L221" s="264">
        <v>255</v>
      </c>
      <c r="M221" s="263" t="e">
        <f>IF(L221="nio",0,IF(L221&gt;0,L221*J221/N221,0))*VLOOKUP(B221,'2-Kosten per locatie'!$A$14:$C$18,3,FALSE)</f>
        <v>#DIV/0!</v>
      </c>
      <c r="N221" s="354">
        <f>IF(L221="nio",0,IF(L221&gt;0,VLOOKUP(G221,'3-Productie normen'!A:L,VLOOKUP(L221,'3-Productie normen'!$B$29:$C$32,2,FALSE),FALSE)))</f>
        <v>0</v>
      </c>
      <c r="O221" s="355" t="str">
        <f>VLOOKUP(G221,'3-Productie normen'!A:H,8,FALSE)</f>
        <v>B</v>
      </c>
      <c r="P221" s="355"/>
      <c r="R221" s="356">
        <f t="shared" si="7"/>
        <v>6120</v>
      </c>
    </row>
    <row r="222" spans="1:18" ht="14.1" customHeight="1">
      <c r="A222" s="75">
        <v>222</v>
      </c>
      <c r="B222" s="515" t="s">
        <v>257</v>
      </c>
      <c r="C222" s="316" t="s">
        <v>578</v>
      </c>
      <c r="D222" s="350" t="s">
        <v>581</v>
      </c>
      <c r="E222" s="351" t="s">
        <v>469</v>
      </c>
      <c r="F222" s="71" t="s">
        <v>589</v>
      </c>
      <c r="G222" s="71" t="s">
        <v>41</v>
      </c>
      <c r="H222" s="71" t="s">
        <v>84</v>
      </c>
      <c r="I222" s="515" t="s">
        <v>85</v>
      </c>
      <c r="J222" s="352">
        <v>24</v>
      </c>
      <c r="K222" s="353">
        <f t="shared" si="6"/>
        <v>255</v>
      </c>
      <c r="L222" s="264">
        <v>255</v>
      </c>
      <c r="M222" s="263" t="e">
        <f>IF(L222="nio",0,IF(L222&gt;0,L222*J222/N222,0))*VLOOKUP(B222,'2-Kosten per locatie'!$A$14:$C$18,3,FALSE)</f>
        <v>#DIV/0!</v>
      </c>
      <c r="N222" s="354">
        <f>IF(L222="nio",0,IF(L222&gt;0,VLOOKUP(G222,'3-Productie normen'!A:L,VLOOKUP(L222,'3-Productie normen'!$B$29:$C$32,2,FALSE),FALSE)))</f>
        <v>0</v>
      </c>
      <c r="O222" s="355" t="str">
        <f>VLOOKUP(G222,'3-Productie normen'!A:H,8,FALSE)</f>
        <v>B</v>
      </c>
      <c r="P222" s="355"/>
      <c r="R222" s="356">
        <f t="shared" si="7"/>
        <v>6120</v>
      </c>
    </row>
    <row r="223" spans="1:18" ht="14.1" customHeight="1">
      <c r="A223" s="75">
        <v>223</v>
      </c>
      <c r="B223" s="515" t="s">
        <v>257</v>
      </c>
      <c r="C223" s="316" t="s">
        <v>578</v>
      </c>
      <c r="D223" s="350" t="s">
        <v>581</v>
      </c>
      <c r="E223" s="351" t="s">
        <v>470</v>
      </c>
      <c r="F223" s="71" t="s">
        <v>589</v>
      </c>
      <c r="G223" s="71" t="s">
        <v>41</v>
      </c>
      <c r="H223" s="71" t="s">
        <v>84</v>
      </c>
      <c r="I223" s="515" t="s">
        <v>85</v>
      </c>
      <c r="J223" s="352">
        <v>24</v>
      </c>
      <c r="K223" s="353">
        <f t="shared" si="6"/>
        <v>255</v>
      </c>
      <c r="L223" s="264">
        <v>255</v>
      </c>
      <c r="M223" s="263" t="e">
        <f>IF(L223="nio",0,IF(L223&gt;0,L223*J223/N223,0))*VLOOKUP(B223,'2-Kosten per locatie'!$A$14:$C$18,3,FALSE)</f>
        <v>#DIV/0!</v>
      </c>
      <c r="N223" s="354">
        <f>IF(L223="nio",0,IF(L223&gt;0,VLOOKUP(G223,'3-Productie normen'!A:L,VLOOKUP(L223,'3-Productie normen'!$B$29:$C$32,2,FALSE),FALSE)))</f>
        <v>0</v>
      </c>
      <c r="O223" s="355" t="str">
        <f>VLOOKUP(G223,'3-Productie normen'!A:H,8,FALSE)</f>
        <v>B</v>
      </c>
      <c r="P223" s="355"/>
      <c r="R223" s="356">
        <f t="shared" si="7"/>
        <v>6120</v>
      </c>
    </row>
    <row r="224" spans="1:18" ht="14.1" customHeight="1">
      <c r="A224" s="75">
        <v>224</v>
      </c>
      <c r="B224" s="515" t="s">
        <v>257</v>
      </c>
      <c r="C224" s="316" t="s">
        <v>578</v>
      </c>
      <c r="D224" s="350" t="s">
        <v>581</v>
      </c>
      <c r="E224" s="351" t="s">
        <v>471</v>
      </c>
      <c r="F224" s="71" t="s">
        <v>589</v>
      </c>
      <c r="G224" s="71" t="s">
        <v>41</v>
      </c>
      <c r="H224" s="71" t="s">
        <v>84</v>
      </c>
      <c r="I224" s="515" t="s">
        <v>85</v>
      </c>
      <c r="J224" s="352">
        <v>24</v>
      </c>
      <c r="K224" s="353">
        <f t="shared" si="6"/>
        <v>255</v>
      </c>
      <c r="L224" s="264">
        <v>255</v>
      </c>
      <c r="M224" s="263" t="e">
        <f>IF(L224="nio",0,IF(L224&gt;0,L224*J224/N224,0))*VLOOKUP(B224,'2-Kosten per locatie'!$A$14:$C$18,3,FALSE)</f>
        <v>#DIV/0!</v>
      </c>
      <c r="N224" s="354">
        <f>IF(L224="nio",0,IF(L224&gt;0,VLOOKUP(G224,'3-Productie normen'!A:L,VLOOKUP(L224,'3-Productie normen'!$B$29:$C$32,2,FALSE),FALSE)))</f>
        <v>0</v>
      </c>
      <c r="O224" s="355" t="str">
        <f>VLOOKUP(G224,'3-Productie normen'!A:H,8,FALSE)</f>
        <v>B</v>
      </c>
      <c r="P224" s="355"/>
      <c r="R224" s="356">
        <f t="shared" si="7"/>
        <v>6120</v>
      </c>
    </row>
    <row r="225" spans="1:18" ht="14.1" customHeight="1">
      <c r="A225" s="75">
        <v>225</v>
      </c>
      <c r="B225" s="515" t="s">
        <v>257</v>
      </c>
      <c r="C225" s="316" t="s">
        <v>578</v>
      </c>
      <c r="D225" s="350" t="s">
        <v>581</v>
      </c>
      <c r="E225" s="351" t="s">
        <v>472</v>
      </c>
      <c r="F225" s="71" t="s">
        <v>589</v>
      </c>
      <c r="G225" s="71" t="s">
        <v>41</v>
      </c>
      <c r="H225" s="71" t="s">
        <v>84</v>
      </c>
      <c r="I225" s="515" t="s">
        <v>85</v>
      </c>
      <c r="J225" s="352">
        <v>63.200000762939453</v>
      </c>
      <c r="K225" s="353">
        <f t="shared" si="6"/>
        <v>255</v>
      </c>
      <c r="L225" s="264">
        <v>255</v>
      </c>
      <c r="M225" s="263" t="e">
        <f>IF(L225="nio",0,IF(L225&gt;0,L225*J225/N225,0))*VLOOKUP(B225,'2-Kosten per locatie'!$A$14:$C$18,3,FALSE)</f>
        <v>#DIV/0!</v>
      </c>
      <c r="N225" s="354">
        <f>IF(L225="nio",0,IF(L225&gt;0,VLOOKUP(G225,'3-Productie normen'!A:L,VLOOKUP(L225,'3-Productie normen'!$B$29:$C$32,2,FALSE),FALSE)))</f>
        <v>0</v>
      </c>
      <c r="O225" s="355" t="str">
        <f>VLOOKUP(G225,'3-Productie normen'!A:H,8,FALSE)</f>
        <v>B</v>
      </c>
      <c r="P225" s="355"/>
      <c r="R225" s="356">
        <f t="shared" si="7"/>
        <v>16116.000194549561</v>
      </c>
    </row>
    <row r="226" spans="1:18" ht="14.1" customHeight="1">
      <c r="A226" s="75">
        <v>226</v>
      </c>
      <c r="B226" s="515" t="s">
        <v>257</v>
      </c>
      <c r="C226" s="316" t="s">
        <v>578</v>
      </c>
      <c r="D226" s="350" t="s">
        <v>581</v>
      </c>
      <c r="E226" s="351" t="s">
        <v>473</v>
      </c>
      <c r="F226" s="71" t="s">
        <v>589</v>
      </c>
      <c r="G226" s="71" t="s">
        <v>41</v>
      </c>
      <c r="H226" s="71" t="s">
        <v>84</v>
      </c>
      <c r="I226" s="515" t="s">
        <v>85</v>
      </c>
      <c r="J226" s="352">
        <v>47.400001525878906</v>
      </c>
      <c r="K226" s="353">
        <f t="shared" si="6"/>
        <v>255</v>
      </c>
      <c r="L226" s="264">
        <v>255</v>
      </c>
      <c r="M226" s="263" t="e">
        <f>IF(L226="nio",0,IF(L226&gt;0,L226*J226/N226,0))*VLOOKUP(B226,'2-Kosten per locatie'!$A$14:$C$18,3,FALSE)</f>
        <v>#DIV/0!</v>
      </c>
      <c r="N226" s="354">
        <f>IF(L226="nio",0,IF(L226&gt;0,VLOOKUP(G226,'3-Productie normen'!A:L,VLOOKUP(L226,'3-Productie normen'!$B$29:$C$32,2,FALSE),FALSE)))</f>
        <v>0</v>
      </c>
      <c r="O226" s="355" t="str">
        <f>VLOOKUP(G226,'3-Productie normen'!A:H,8,FALSE)</f>
        <v>B</v>
      </c>
      <c r="P226" s="355"/>
      <c r="R226" s="356">
        <f t="shared" si="7"/>
        <v>12087.000389099121</v>
      </c>
    </row>
    <row r="227" spans="1:18" ht="14.1" customHeight="1">
      <c r="A227" s="75">
        <v>227</v>
      </c>
      <c r="B227" s="515" t="s">
        <v>257</v>
      </c>
      <c r="C227" s="316" t="s">
        <v>578</v>
      </c>
      <c r="D227" s="350" t="s">
        <v>581</v>
      </c>
      <c r="E227" s="351" t="s">
        <v>474</v>
      </c>
      <c r="F227" s="71" t="s">
        <v>589</v>
      </c>
      <c r="G227" s="71" t="s">
        <v>41</v>
      </c>
      <c r="H227" s="71" t="s">
        <v>84</v>
      </c>
      <c r="I227" s="515" t="s">
        <v>85</v>
      </c>
      <c r="J227" s="352">
        <v>15.800000190734863</v>
      </c>
      <c r="K227" s="353">
        <f t="shared" si="6"/>
        <v>255</v>
      </c>
      <c r="L227" s="264">
        <v>255</v>
      </c>
      <c r="M227" s="263" t="e">
        <f>IF(L227="nio",0,IF(L227&gt;0,L227*J227/N227,0))*VLOOKUP(B227,'2-Kosten per locatie'!$A$14:$C$18,3,FALSE)</f>
        <v>#DIV/0!</v>
      </c>
      <c r="N227" s="354">
        <f>IF(L227="nio",0,IF(L227&gt;0,VLOOKUP(G227,'3-Productie normen'!A:L,VLOOKUP(L227,'3-Productie normen'!$B$29:$C$32,2,FALSE),FALSE)))</f>
        <v>0</v>
      </c>
      <c r="O227" s="355" t="str">
        <f>VLOOKUP(G227,'3-Productie normen'!A:H,8,FALSE)</f>
        <v>B</v>
      </c>
      <c r="P227" s="355"/>
      <c r="R227" s="356">
        <f t="shared" si="7"/>
        <v>4029.0000486373901</v>
      </c>
    </row>
    <row r="228" spans="1:18" ht="14.1" customHeight="1">
      <c r="A228" s="75">
        <v>228</v>
      </c>
      <c r="B228" s="515" t="s">
        <v>257</v>
      </c>
      <c r="C228" s="316" t="s">
        <v>578</v>
      </c>
      <c r="D228" s="350" t="s">
        <v>581</v>
      </c>
      <c r="E228" s="351" t="s">
        <v>475</v>
      </c>
      <c r="F228" s="71" t="s">
        <v>589</v>
      </c>
      <c r="G228" s="71" t="s">
        <v>41</v>
      </c>
      <c r="H228" s="71" t="s">
        <v>84</v>
      </c>
      <c r="I228" s="515" t="s">
        <v>85</v>
      </c>
      <c r="J228" s="352">
        <v>24</v>
      </c>
      <c r="K228" s="353">
        <f t="shared" si="6"/>
        <v>255</v>
      </c>
      <c r="L228" s="264">
        <v>255</v>
      </c>
      <c r="M228" s="263" t="e">
        <f>IF(L228="nio",0,IF(L228&gt;0,L228*J228/N228,0))*VLOOKUP(B228,'2-Kosten per locatie'!$A$14:$C$18,3,FALSE)</f>
        <v>#DIV/0!</v>
      </c>
      <c r="N228" s="354">
        <f>IF(L228="nio",0,IF(L228&gt;0,VLOOKUP(G228,'3-Productie normen'!A:L,VLOOKUP(L228,'3-Productie normen'!$B$29:$C$32,2,FALSE),FALSE)))</f>
        <v>0</v>
      </c>
      <c r="O228" s="355" t="str">
        <f>VLOOKUP(G228,'3-Productie normen'!A:H,8,FALSE)</f>
        <v>B</v>
      </c>
      <c r="P228" s="355"/>
      <c r="R228" s="356">
        <f t="shared" si="7"/>
        <v>6120</v>
      </c>
    </row>
    <row r="229" spans="1:18" ht="14.1" customHeight="1">
      <c r="A229" s="75">
        <v>229</v>
      </c>
      <c r="B229" s="515" t="s">
        <v>257</v>
      </c>
      <c r="C229" s="316" t="s">
        <v>578</v>
      </c>
      <c r="D229" s="350" t="s">
        <v>581</v>
      </c>
      <c r="E229" s="351" t="s">
        <v>476</v>
      </c>
      <c r="F229" s="316" t="s">
        <v>589</v>
      </c>
      <c r="G229" s="71" t="s">
        <v>41</v>
      </c>
      <c r="H229" s="71" t="s">
        <v>84</v>
      </c>
      <c r="I229" s="515" t="s">
        <v>85</v>
      </c>
      <c r="J229" s="352">
        <v>15.800000190734863</v>
      </c>
      <c r="K229" s="353">
        <f t="shared" si="6"/>
        <v>255</v>
      </c>
      <c r="L229" s="264">
        <v>255</v>
      </c>
      <c r="M229" s="263" t="e">
        <f>IF(L229="nio",0,IF(L229&gt;0,L229*J229/N229,0))*VLOOKUP(B229,'2-Kosten per locatie'!$A$14:$C$18,3,FALSE)</f>
        <v>#DIV/0!</v>
      </c>
      <c r="N229" s="354">
        <f>IF(L229="nio",0,IF(L229&gt;0,VLOOKUP(G229,'3-Productie normen'!A:L,VLOOKUP(L229,'3-Productie normen'!$B$29:$C$32,2,FALSE),FALSE)))</f>
        <v>0</v>
      </c>
      <c r="O229" s="355" t="str">
        <f>VLOOKUP(G229,'3-Productie normen'!A:H,8,FALSE)</f>
        <v>B</v>
      </c>
      <c r="P229" s="355"/>
      <c r="R229" s="356">
        <f t="shared" si="7"/>
        <v>4029.0000486373901</v>
      </c>
    </row>
    <row r="230" spans="1:18" ht="14.1" customHeight="1">
      <c r="A230" s="75">
        <v>230</v>
      </c>
      <c r="B230" s="515" t="s">
        <v>257</v>
      </c>
      <c r="C230" s="316" t="s">
        <v>578</v>
      </c>
      <c r="D230" s="350" t="s">
        <v>581</v>
      </c>
      <c r="E230" s="351" t="s">
        <v>477</v>
      </c>
      <c r="F230" s="316" t="s">
        <v>589</v>
      </c>
      <c r="G230" s="71" t="s">
        <v>41</v>
      </c>
      <c r="H230" s="71" t="s">
        <v>84</v>
      </c>
      <c r="I230" s="515" t="s">
        <v>85</v>
      </c>
      <c r="J230" s="352">
        <v>15.800000190734863</v>
      </c>
      <c r="K230" s="353">
        <f t="shared" si="6"/>
        <v>255</v>
      </c>
      <c r="L230" s="264">
        <v>255</v>
      </c>
      <c r="M230" s="263" t="e">
        <f>IF(L230="nio",0,IF(L230&gt;0,L230*J230/N230,0))*VLOOKUP(B230,'2-Kosten per locatie'!$A$14:$C$18,3,FALSE)</f>
        <v>#DIV/0!</v>
      </c>
      <c r="N230" s="354">
        <f>IF(L230="nio",0,IF(L230&gt;0,VLOOKUP(G230,'3-Productie normen'!A:L,VLOOKUP(L230,'3-Productie normen'!$B$29:$C$32,2,FALSE),FALSE)))</f>
        <v>0</v>
      </c>
      <c r="O230" s="355" t="str">
        <f>VLOOKUP(G230,'3-Productie normen'!A:H,8,FALSE)</f>
        <v>B</v>
      </c>
      <c r="P230" s="355"/>
      <c r="R230" s="356">
        <f t="shared" si="7"/>
        <v>4029.0000486373901</v>
      </c>
    </row>
    <row r="231" spans="1:18" ht="14.1" customHeight="1">
      <c r="A231" s="75">
        <v>231</v>
      </c>
      <c r="B231" s="515" t="s">
        <v>257</v>
      </c>
      <c r="C231" s="316" t="s">
        <v>578</v>
      </c>
      <c r="D231" s="350" t="s">
        <v>581</v>
      </c>
      <c r="E231" s="351" t="s">
        <v>478</v>
      </c>
      <c r="F231" s="316" t="s">
        <v>589</v>
      </c>
      <c r="G231" s="71" t="s">
        <v>41</v>
      </c>
      <c r="H231" s="71" t="s">
        <v>84</v>
      </c>
      <c r="I231" s="515" t="s">
        <v>85</v>
      </c>
      <c r="J231" s="352">
        <v>24</v>
      </c>
      <c r="K231" s="353">
        <f t="shared" si="6"/>
        <v>255</v>
      </c>
      <c r="L231" s="264">
        <v>255</v>
      </c>
      <c r="M231" s="263" t="e">
        <f>IF(L231="nio",0,IF(L231&gt;0,L231*J231/N231,0))*VLOOKUP(B231,'2-Kosten per locatie'!$A$14:$C$18,3,FALSE)</f>
        <v>#DIV/0!</v>
      </c>
      <c r="N231" s="354">
        <f>IF(L231="nio",0,IF(L231&gt;0,VLOOKUP(G231,'3-Productie normen'!A:L,VLOOKUP(L231,'3-Productie normen'!$B$29:$C$32,2,FALSE),FALSE)))</f>
        <v>0</v>
      </c>
      <c r="O231" s="355" t="str">
        <f>VLOOKUP(G231,'3-Productie normen'!A:H,8,FALSE)</f>
        <v>B</v>
      </c>
      <c r="P231" s="355"/>
      <c r="R231" s="356">
        <f t="shared" si="7"/>
        <v>6120</v>
      </c>
    </row>
    <row r="232" spans="1:18" ht="14.1" customHeight="1">
      <c r="A232" s="75">
        <v>232</v>
      </c>
      <c r="B232" s="515" t="s">
        <v>257</v>
      </c>
      <c r="C232" s="316" t="s">
        <v>578</v>
      </c>
      <c r="D232" s="350" t="s">
        <v>581</v>
      </c>
      <c r="E232" s="351" t="s">
        <v>479</v>
      </c>
      <c r="F232" s="71" t="s">
        <v>589</v>
      </c>
      <c r="G232" s="71" t="s">
        <v>41</v>
      </c>
      <c r="H232" s="71" t="s">
        <v>84</v>
      </c>
      <c r="I232" s="515" t="s">
        <v>85</v>
      </c>
      <c r="J232" s="352">
        <v>24</v>
      </c>
      <c r="K232" s="353">
        <f t="shared" si="6"/>
        <v>255</v>
      </c>
      <c r="L232" s="264">
        <v>255</v>
      </c>
      <c r="M232" s="263" t="e">
        <f>IF(L232="nio",0,IF(L232&gt;0,L232*J232/N232,0))*VLOOKUP(B232,'2-Kosten per locatie'!$A$14:$C$18,3,FALSE)</f>
        <v>#DIV/0!</v>
      </c>
      <c r="N232" s="354">
        <f>IF(L232="nio",0,IF(L232&gt;0,VLOOKUP(G232,'3-Productie normen'!A:L,VLOOKUP(L232,'3-Productie normen'!$B$29:$C$32,2,FALSE),FALSE)))</f>
        <v>0</v>
      </c>
      <c r="O232" s="355" t="str">
        <f>VLOOKUP(G232,'3-Productie normen'!A:H,8,FALSE)</f>
        <v>B</v>
      </c>
      <c r="P232" s="355"/>
      <c r="R232" s="356">
        <f t="shared" si="7"/>
        <v>6120</v>
      </c>
    </row>
    <row r="233" spans="1:18" ht="14.1" customHeight="1">
      <c r="A233" s="75">
        <v>233</v>
      </c>
      <c r="B233" s="515" t="s">
        <v>257</v>
      </c>
      <c r="C233" s="316" t="s">
        <v>578</v>
      </c>
      <c r="D233" s="350" t="s">
        <v>581</v>
      </c>
      <c r="E233" s="351" t="s">
        <v>480</v>
      </c>
      <c r="F233" s="71" t="s">
        <v>589</v>
      </c>
      <c r="G233" s="71" t="s">
        <v>41</v>
      </c>
      <c r="H233" s="71" t="s">
        <v>84</v>
      </c>
      <c r="I233" s="515" t="s">
        <v>85</v>
      </c>
      <c r="J233" s="352">
        <v>47.400001525878906</v>
      </c>
      <c r="K233" s="353">
        <f t="shared" si="6"/>
        <v>255</v>
      </c>
      <c r="L233" s="264">
        <v>255</v>
      </c>
      <c r="M233" s="263" t="e">
        <f>IF(L233="nio",0,IF(L233&gt;0,L233*J233/N233,0))*VLOOKUP(B233,'2-Kosten per locatie'!$A$14:$C$18,3,FALSE)</f>
        <v>#DIV/0!</v>
      </c>
      <c r="N233" s="354">
        <f>IF(L233="nio",0,IF(L233&gt;0,VLOOKUP(G233,'3-Productie normen'!A:L,VLOOKUP(L233,'3-Productie normen'!$B$29:$C$32,2,FALSE),FALSE)))</f>
        <v>0</v>
      </c>
      <c r="O233" s="355" t="str">
        <f>VLOOKUP(G233,'3-Productie normen'!A:H,8,FALSE)</f>
        <v>B</v>
      </c>
      <c r="P233" s="355"/>
      <c r="R233" s="356">
        <f t="shared" si="7"/>
        <v>12087.000389099121</v>
      </c>
    </row>
    <row r="234" spans="1:18" ht="14.1" customHeight="1">
      <c r="A234" s="75">
        <v>234</v>
      </c>
      <c r="B234" s="515" t="s">
        <v>257</v>
      </c>
      <c r="C234" s="316" t="s">
        <v>578</v>
      </c>
      <c r="D234" s="350" t="s">
        <v>581</v>
      </c>
      <c r="E234" s="351" t="s">
        <v>457</v>
      </c>
      <c r="F234" s="71" t="s">
        <v>589</v>
      </c>
      <c r="G234" s="71" t="s">
        <v>41</v>
      </c>
      <c r="H234" s="71" t="s">
        <v>84</v>
      </c>
      <c r="I234" s="515" t="s">
        <v>85</v>
      </c>
      <c r="J234" s="352">
        <v>24</v>
      </c>
      <c r="K234" s="353">
        <f t="shared" si="6"/>
        <v>255</v>
      </c>
      <c r="L234" s="264">
        <v>255</v>
      </c>
      <c r="M234" s="263" t="e">
        <f>IF(L234="nio",0,IF(L234&gt;0,L234*J234/N234,0))*VLOOKUP(B234,'2-Kosten per locatie'!$A$14:$C$18,3,FALSE)</f>
        <v>#DIV/0!</v>
      </c>
      <c r="N234" s="354">
        <f>IF(L234="nio",0,IF(L234&gt;0,VLOOKUP(G234,'3-Productie normen'!A:L,VLOOKUP(L234,'3-Productie normen'!$B$29:$C$32,2,FALSE),FALSE)))</f>
        <v>0</v>
      </c>
      <c r="O234" s="355" t="str">
        <f>VLOOKUP(G234,'3-Productie normen'!A:H,8,FALSE)</f>
        <v>B</v>
      </c>
      <c r="P234" s="355"/>
      <c r="R234" s="356">
        <f t="shared" si="7"/>
        <v>6120</v>
      </c>
    </row>
    <row r="235" spans="1:18" ht="14.1" customHeight="1">
      <c r="A235" s="75">
        <v>235</v>
      </c>
      <c r="B235" s="515" t="s">
        <v>257</v>
      </c>
      <c r="C235" s="316" t="s">
        <v>578</v>
      </c>
      <c r="D235" s="350" t="s">
        <v>581</v>
      </c>
      <c r="E235" s="351" t="s">
        <v>455</v>
      </c>
      <c r="F235" s="71" t="s">
        <v>589</v>
      </c>
      <c r="G235" s="71" t="s">
        <v>41</v>
      </c>
      <c r="H235" s="71" t="s">
        <v>84</v>
      </c>
      <c r="I235" s="515" t="s">
        <v>85</v>
      </c>
      <c r="J235" s="352">
        <v>24</v>
      </c>
      <c r="K235" s="353">
        <f t="shared" si="6"/>
        <v>255</v>
      </c>
      <c r="L235" s="264">
        <v>255</v>
      </c>
      <c r="M235" s="263" t="e">
        <f>IF(L235="nio",0,IF(L235&gt;0,L235*J235/N235,0))*VLOOKUP(B235,'2-Kosten per locatie'!$A$14:$C$18,3,FALSE)</f>
        <v>#DIV/0!</v>
      </c>
      <c r="N235" s="354">
        <f>IF(L235="nio",0,IF(L235&gt;0,VLOOKUP(G235,'3-Productie normen'!A:L,VLOOKUP(L235,'3-Productie normen'!$B$29:$C$32,2,FALSE),FALSE)))</f>
        <v>0</v>
      </c>
      <c r="O235" s="355" t="str">
        <f>VLOOKUP(G235,'3-Productie normen'!A:H,8,FALSE)</f>
        <v>B</v>
      </c>
      <c r="P235" s="355"/>
      <c r="R235" s="356">
        <f t="shared" si="7"/>
        <v>6120</v>
      </c>
    </row>
    <row r="236" spans="1:18" ht="14.1" customHeight="1">
      <c r="A236" s="75">
        <v>236</v>
      </c>
      <c r="B236" s="515" t="s">
        <v>257</v>
      </c>
      <c r="C236" s="316" t="s">
        <v>578</v>
      </c>
      <c r="D236" s="350" t="s">
        <v>581</v>
      </c>
      <c r="E236" s="259" t="s">
        <v>481</v>
      </c>
      <c r="F236" s="86" t="s">
        <v>589</v>
      </c>
      <c r="G236" s="71" t="s">
        <v>41</v>
      </c>
      <c r="H236" s="87" t="s">
        <v>84</v>
      </c>
      <c r="I236" s="515" t="s">
        <v>85</v>
      </c>
      <c r="J236" s="524">
        <v>32</v>
      </c>
      <c r="K236" s="353">
        <f t="shared" si="6"/>
        <v>255</v>
      </c>
      <c r="L236" s="264">
        <v>255</v>
      </c>
      <c r="M236" s="263" t="e">
        <f>IF(L236="nio",0,IF(L236&gt;0,L236*J236/N236,0))*VLOOKUP(B236,'2-Kosten per locatie'!$A$14:$C$18,3,FALSE)</f>
        <v>#DIV/0!</v>
      </c>
      <c r="N236" s="354">
        <f>IF(L236="nio",0,IF(L236&gt;0,VLOOKUP(G236,'3-Productie normen'!A:L,VLOOKUP(L236,'3-Productie normen'!$B$29:$C$32,2,FALSE),FALSE)))</f>
        <v>0</v>
      </c>
      <c r="O236" s="355" t="str">
        <f>VLOOKUP(G236,'3-Productie normen'!A:H,8,FALSE)</f>
        <v>B</v>
      </c>
      <c r="P236" s="355"/>
      <c r="R236" s="356">
        <f t="shared" si="7"/>
        <v>8160</v>
      </c>
    </row>
    <row r="237" spans="1:18" ht="14.1" customHeight="1">
      <c r="A237" s="75">
        <v>237</v>
      </c>
      <c r="B237" s="515" t="s">
        <v>257</v>
      </c>
      <c r="C237" s="316" t="s">
        <v>578</v>
      </c>
      <c r="D237" s="350" t="s">
        <v>581</v>
      </c>
      <c r="E237" s="259" t="s">
        <v>456</v>
      </c>
      <c r="F237" s="86" t="s">
        <v>589</v>
      </c>
      <c r="G237" s="71" t="s">
        <v>41</v>
      </c>
      <c r="H237" s="87" t="s">
        <v>84</v>
      </c>
      <c r="I237" s="515" t="s">
        <v>85</v>
      </c>
      <c r="J237" s="524">
        <v>24</v>
      </c>
      <c r="K237" s="353">
        <f t="shared" si="6"/>
        <v>255</v>
      </c>
      <c r="L237" s="264">
        <v>255</v>
      </c>
      <c r="M237" s="263" t="e">
        <f>IF(L237="nio",0,IF(L237&gt;0,L237*J237/N237,0))*VLOOKUP(B237,'2-Kosten per locatie'!$A$14:$C$18,3,FALSE)</f>
        <v>#DIV/0!</v>
      </c>
      <c r="N237" s="354">
        <f>IF(L237="nio",0,IF(L237&gt;0,VLOOKUP(G237,'3-Productie normen'!A:L,VLOOKUP(L237,'3-Productie normen'!$B$29:$C$32,2,FALSE),FALSE)))</f>
        <v>0</v>
      </c>
      <c r="O237" s="355" t="str">
        <f>VLOOKUP(G237,'3-Productie normen'!A:H,8,FALSE)</f>
        <v>B</v>
      </c>
      <c r="P237" s="355"/>
      <c r="R237" s="356">
        <f t="shared" si="7"/>
        <v>6120</v>
      </c>
    </row>
    <row r="238" spans="1:18" ht="14.1" customHeight="1">
      <c r="A238" s="75">
        <v>238</v>
      </c>
      <c r="B238" s="515" t="s">
        <v>257</v>
      </c>
      <c r="C238" s="316" t="s">
        <v>578</v>
      </c>
      <c r="D238" s="350" t="s">
        <v>581</v>
      </c>
      <c r="E238" s="259" t="s">
        <v>482</v>
      </c>
      <c r="F238" s="86" t="s">
        <v>589</v>
      </c>
      <c r="G238" s="71" t="s">
        <v>41</v>
      </c>
      <c r="H238" s="87" t="s">
        <v>84</v>
      </c>
      <c r="I238" s="515" t="s">
        <v>85</v>
      </c>
      <c r="J238" s="524">
        <v>15.800000190734863</v>
      </c>
      <c r="K238" s="353">
        <f t="shared" si="6"/>
        <v>255</v>
      </c>
      <c r="L238" s="264">
        <v>255</v>
      </c>
      <c r="M238" s="263" t="e">
        <f>IF(L238="nio",0,IF(L238&gt;0,L238*J238/N238,0))*VLOOKUP(B238,'2-Kosten per locatie'!$A$14:$C$18,3,FALSE)</f>
        <v>#DIV/0!</v>
      </c>
      <c r="N238" s="354">
        <f>IF(L238="nio",0,IF(L238&gt;0,VLOOKUP(G238,'3-Productie normen'!A:L,VLOOKUP(L238,'3-Productie normen'!$B$29:$C$32,2,FALSE),FALSE)))</f>
        <v>0</v>
      </c>
      <c r="O238" s="355" t="str">
        <f>VLOOKUP(G238,'3-Productie normen'!A:H,8,FALSE)</f>
        <v>B</v>
      </c>
      <c r="P238" s="355"/>
      <c r="R238" s="356">
        <f t="shared" si="7"/>
        <v>4029.0000486373901</v>
      </c>
    </row>
    <row r="239" spans="1:18" ht="14.1" customHeight="1">
      <c r="A239" s="75">
        <v>239</v>
      </c>
      <c r="B239" s="515" t="s">
        <v>257</v>
      </c>
      <c r="C239" s="316" t="s">
        <v>578</v>
      </c>
      <c r="D239" s="350" t="s">
        <v>581</v>
      </c>
      <c r="E239" s="259" t="s">
        <v>483</v>
      </c>
      <c r="F239" s="86" t="s">
        <v>589</v>
      </c>
      <c r="G239" s="71" t="s">
        <v>41</v>
      </c>
      <c r="H239" s="87" t="s">
        <v>84</v>
      </c>
      <c r="I239" s="515" t="s">
        <v>85</v>
      </c>
      <c r="J239" s="524">
        <v>24</v>
      </c>
      <c r="K239" s="353">
        <f t="shared" si="6"/>
        <v>255</v>
      </c>
      <c r="L239" s="264">
        <v>255</v>
      </c>
      <c r="M239" s="263" t="e">
        <f>IF(L239="nio",0,IF(L239&gt;0,L239*J239/N239,0))*VLOOKUP(B239,'2-Kosten per locatie'!$A$14:$C$18,3,FALSE)</f>
        <v>#DIV/0!</v>
      </c>
      <c r="N239" s="354">
        <f>IF(L239="nio",0,IF(L239&gt;0,VLOOKUP(G239,'3-Productie normen'!A:L,VLOOKUP(L239,'3-Productie normen'!$B$29:$C$32,2,FALSE),FALSE)))</f>
        <v>0</v>
      </c>
      <c r="O239" s="355" t="str">
        <f>VLOOKUP(G239,'3-Productie normen'!A:H,8,FALSE)</f>
        <v>B</v>
      </c>
      <c r="P239" s="355"/>
      <c r="R239" s="356">
        <f t="shared" si="7"/>
        <v>6120</v>
      </c>
    </row>
    <row r="240" spans="1:18" ht="14.1" customHeight="1">
      <c r="A240" s="75">
        <v>240</v>
      </c>
      <c r="B240" s="515" t="s">
        <v>257</v>
      </c>
      <c r="C240" s="316" t="s">
        <v>578</v>
      </c>
      <c r="D240" s="350" t="s">
        <v>581</v>
      </c>
      <c r="E240" s="259" t="s">
        <v>484</v>
      </c>
      <c r="F240" s="86" t="s">
        <v>589</v>
      </c>
      <c r="G240" s="71" t="s">
        <v>41</v>
      </c>
      <c r="H240" s="87" t="s">
        <v>84</v>
      </c>
      <c r="I240" s="515" t="s">
        <v>85</v>
      </c>
      <c r="J240" s="524">
        <v>47.400001525878899</v>
      </c>
      <c r="K240" s="353">
        <f t="shared" si="6"/>
        <v>255</v>
      </c>
      <c r="L240" s="264">
        <v>255</v>
      </c>
      <c r="M240" s="263" t="e">
        <f>IF(L240="nio",0,IF(L240&gt;0,L240*J240/N240,0))*VLOOKUP(B240,'2-Kosten per locatie'!$A$14:$C$18,3,FALSE)</f>
        <v>#DIV/0!</v>
      </c>
      <c r="N240" s="354">
        <f>IF(L240="nio",0,IF(L240&gt;0,VLOOKUP(G240,'3-Productie normen'!A:L,VLOOKUP(L240,'3-Productie normen'!$B$29:$C$32,2,FALSE),FALSE)))</f>
        <v>0</v>
      </c>
      <c r="O240" s="355" t="str">
        <f>VLOOKUP(G240,'3-Productie normen'!A:H,8,FALSE)</f>
        <v>B</v>
      </c>
      <c r="P240" s="355"/>
      <c r="R240" s="356">
        <f t="shared" si="7"/>
        <v>12087.000389099119</v>
      </c>
    </row>
    <row r="241" spans="1:18" ht="14.1" customHeight="1">
      <c r="A241" s="75">
        <v>241</v>
      </c>
      <c r="B241" s="515" t="s">
        <v>257</v>
      </c>
      <c r="C241" s="316" t="s">
        <v>578</v>
      </c>
      <c r="D241" s="350" t="s">
        <v>581</v>
      </c>
      <c r="E241" s="259" t="s">
        <v>485</v>
      </c>
      <c r="F241" s="86" t="s">
        <v>589</v>
      </c>
      <c r="G241" s="71" t="s">
        <v>41</v>
      </c>
      <c r="H241" s="86" t="s">
        <v>84</v>
      </c>
      <c r="I241" s="515" t="s">
        <v>85</v>
      </c>
      <c r="J241" s="524">
        <v>47.400001525878906</v>
      </c>
      <c r="K241" s="353">
        <f t="shared" si="6"/>
        <v>255</v>
      </c>
      <c r="L241" s="264">
        <v>255</v>
      </c>
      <c r="M241" s="263" t="e">
        <f>IF(L241="nio",0,IF(L241&gt;0,L241*J241/N241,0))*VLOOKUP(B241,'2-Kosten per locatie'!$A$14:$C$18,3,FALSE)</f>
        <v>#DIV/0!</v>
      </c>
      <c r="N241" s="354">
        <f>IF(L241="nio",0,IF(L241&gt;0,VLOOKUP(G241,'3-Productie normen'!A:L,VLOOKUP(L241,'3-Productie normen'!$B$29:$C$32,2,FALSE),FALSE)))</f>
        <v>0</v>
      </c>
      <c r="O241" s="355" t="str">
        <f>VLOOKUP(G241,'3-Productie normen'!A:H,8,FALSE)</f>
        <v>B</v>
      </c>
      <c r="P241" s="355"/>
      <c r="R241" s="356">
        <f t="shared" si="7"/>
        <v>12087.000389099121</v>
      </c>
    </row>
    <row r="242" spans="1:18" ht="14.1" customHeight="1">
      <c r="A242" s="75">
        <v>242</v>
      </c>
      <c r="B242" s="515" t="s">
        <v>257</v>
      </c>
      <c r="C242" s="316" t="s">
        <v>578</v>
      </c>
      <c r="D242" s="350" t="s">
        <v>581</v>
      </c>
      <c r="E242" s="259" t="s">
        <v>486</v>
      </c>
      <c r="F242" s="86" t="s">
        <v>589</v>
      </c>
      <c r="G242" s="71" t="s">
        <v>41</v>
      </c>
      <c r="H242" s="86" t="s">
        <v>84</v>
      </c>
      <c r="I242" s="515" t="s">
        <v>85</v>
      </c>
      <c r="J242" s="524">
        <v>47.400001525878906</v>
      </c>
      <c r="K242" s="353">
        <f t="shared" si="6"/>
        <v>255</v>
      </c>
      <c r="L242" s="264">
        <v>255</v>
      </c>
      <c r="M242" s="263" t="e">
        <f>IF(L242="nio",0,IF(L242&gt;0,L242*J242/N242,0))*VLOOKUP(B242,'2-Kosten per locatie'!$A$14:$C$18,3,FALSE)</f>
        <v>#DIV/0!</v>
      </c>
      <c r="N242" s="354">
        <f>IF(L242="nio",0,IF(L242&gt;0,VLOOKUP(G242,'3-Productie normen'!A:L,VLOOKUP(L242,'3-Productie normen'!$B$29:$C$32,2,FALSE),FALSE)))</f>
        <v>0</v>
      </c>
      <c r="O242" s="355" t="str">
        <f>VLOOKUP(G242,'3-Productie normen'!A:H,8,FALSE)</f>
        <v>B</v>
      </c>
      <c r="P242" s="355"/>
      <c r="R242" s="356">
        <f t="shared" si="7"/>
        <v>12087.000389099121</v>
      </c>
    </row>
    <row r="243" spans="1:18" ht="14.1" customHeight="1">
      <c r="A243" s="75">
        <v>243</v>
      </c>
      <c r="B243" s="515" t="s">
        <v>257</v>
      </c>
      <c r="C243" s="316" t="s">
        <v>578</v>
      </c>
      <c r="D243" s="350" t="s">
        <v>581</v>
      </c>
      <c r="E243" s="259" t="s">
        <v>487</v>
      </c>
      <c r="F243" s="86" t="s">
        <v>589</v>
      </c>
      <c r="G243" s="71" t="s">
        <v>41</v>
      </c>
      <c r="H243" s="86" t="s">
        <v>84</v>
      </c>
      <c r="I243" s="515" t="s">
        <v>85</v>
      </c>
      <c r="J243" s="524">
        <v>24</v>
      </c>
      <c r="K243" s="353">
        <f t="shared" si="6"/>
        <v>255</v>
      </c>
      <c r="L243" s="264">
        <v>255</v>
      </c>
      <c r="M243" s="263" t="e">
        <f>IF(L243="nio",0,IF(L243&gt;0,L243*J243/N243,0))*VLOOKUP(B243,'2-Kosten per locatie'!$A$14:$C$18,3,FALSE)</f>
        <v>#DIV/0!</v>
      </c>
      <c r="N243" s="354">
        <f>IF(L243="nio",0,IF(L243&gt;0,VLOOKUP(G243,'3-Productie normen'!A:L,VLOOKUP(L243,'3-Productie normen'!$B$29:$C$32,2,FALSE),FALSE)))</f>
        <v>0</v>
      </c>
      <c r="O243" s="355" t="str">
        <f>VLOOKUP(G243,'3-Productie normen'!A:H,8,FALSE)</f>
        <v>B</v>
      </c>
      <c r="P243" s="355"/>
      <c r="R243" s="356">
        <f t="shared" si="7"/>
        <v>6120</v>
      </c>
    </row>
    <row r="244" spans="1:18" ht="14.1" customHeight="1">
      <c r="A244" s="75">
        <v>244</v>
      </c>
      <c r="B244" s="515" t="s">
        <v>257</v>
      </c>
      <c r="C244" s="316" t="s">
        <v>578</v>
      </c>
      <c r="D244" s="350" t="s">
        <v>581</v>
      </c>
      <c r="E244" s="259" t="s">
        <v>488</v>
      </c>
      <c r="F244" s="86" t="s">
        <v>589</v>
      </c>
      <c r="G244" s="71" t="s">
        <v>41</v>
      </c>
      <c r="H244" s="86" t="s">
        <v>84</v>
      </c>
      <c r="I244" s="515" t="s">
        <v>85</v>
      </c>
      <c r="J244" s="524">
        <v>15.800000190734863</v>
      </c>
      <c r="K244" s="353">
        <f t="shared" si="6"/>
        <v>255</v>
      </c>
      <c r="L244" s="264">
        <v>255</v>
      </c>
      <c r="M244" s="263" t="e">
        <f>IF(L244="nio",0,IF(L244&gt;0,L244*J244/N244,0))*VLOOKUP(B244,'2-Kosten per locatie'!$A$14:$C$18,3,FALSE)</f>
        <v>#DIV/0!</v>
      </c>
      <c r="N244" s="354">
        <f>IF(L244="nio",0,IF(L244&gt;0,VLOOKUP(G244,'3-Productie normen'!A:L,VLOOKUP(L244,'3-Productie normen'!$B$29:$C$32,2,FALSE),FALSE)))</f>
        <v>0</v>
      </c>
      <c r="O244" s="355" t="str">
        <f>VLOOKUP(G244,'3-Productie normen'!A:H,8,FALSE)</f>
        <v>B</v>
      </c>
      <c r="P244" s="355"/>
      <c r="R244" s="356">
        <f t="shared" si="7"/>
        <v>4029.0000486373901</v>
      </c>
    </row>
    <row r="245" spans="1:18" ht="14.1" customHeight="1">
      <c r="A245" s="75">
        <v>245</v>
      </c>
      <c r="B245" s="515" t="s">
        <v>257</v>
      </c>
      <c r="C245" s="316" t="s">
        <v>578</v>
      </c>
      <c r="D245" s="350" t="s">
        <v>581</v>
      </c>
      <c r="E245" s="259" t="s">
        <v>489</v>
      </c>
      <c r="F245" s="86" t="s">
        <v>584</v>
      </c>
      <c r="G245" s="316" t="s">
        <v>45</v>
      </c>
      <c r="H245" s="86" t="s">
        <v>606</v>
      </c>
      <c r="I245" s="515" t="s">
        <v>86</v>
      </c>
      <c r="J245" s="524">
        <v>89.5</v>
      </c>
      <c r="K245" s="353">
        <f t="shared" si="6"/>
        <v>156</v>
      </c>
      <c r="L245" s="264">
        <v>156</v>
      </c>
      <c r="M245" s="263" t="e">
        <f>IF(L245="nio",0,IF(L245&gt;0,L245*J245/N245,0))*VLOOKUP(B245,'2-Kosten per locatie'!$A$14:$C$18,3,FALSE)</f>
        <v>#DIV/0!</v>
      </c>
      <c r="N245" s="354">
        <f>IF(L245="nio",0,IF(L245&gt;0,VLOOKUP(G245,'3-Productie normen'!A:L,VLOOKUP(L245,'3-Productie normen'!$B$29:$C$32,2,FALSE),FALSE)))</f>
        <v>0</v>
      </c>
      <c r="O245" s="355" t="str">
        <f>VLOOKUP(G245,'3-Productie normen'!A:H,8,FALSE)</f>
        <v>V</v>
      </c>
      <c r="P245" s="355"/>
      <c r="R245" s="356">
        <f t="shared" si="7"/>
        <v>13962</v>
      </c>
    </row>
    <row r="246" spans="1:18" ht="14.1" customHeight="1">
      <c r="A246" s="75">
        <v>246</v>
      </c>
      <c r="B246" s="515" t="s">
        <v>257</v>
      </c>
      <c r="C246" s="316" t="s">
        <v>578</v>
      </c>
      <c r="D246" s="350" t="s">
        <v>581</v>
      </c>
      <c r="E246" s="259" t="s">
        <v>490</v>
      </c>
      <c r="F246" s="86" t="s">
        <v>584</v>
      </c>
      <c r="G246" s="316" t="s">
        <v>45</v>
      </c>
      <c r="H246" s="86" t="s">
        <v>84</v>
      </c>
      <c r="I246" s="515" t="s">
        <v>85</v>
      </c>
      <c r="J246" s="524">
        <v>137</v>
      </c>
      <c r="K246" s="353">
        <f t="shared" si="6"/>
        <v>156</v>
      </c>
      <c r="L246" s="264">
        <v>156</v>
      </c>
      <c r="M246" s="263" t="e">
        <f>IF(L246="nio",0,IF(L246&gt;0,L246*J246/N246,0))*VLOOKUP(B246,'2-Kosten per locatie'!$A$14:$C$18,3,FALSE)</f>
        <v>#DIV/0!</v>
      </c>
      <c r="N246" s="354">
        <f>IF(L246="nio",0,IF(L246&gt;0,VLOOKUP(G246,'3-Productie normen'!A:L,VLOOKUP(L246,'3-Productie normen'!$B$29:$C$32,2,FALSE),FALSE)))</f>
        <v>0</v>
      </c>
      <c r="O246" s="355" t="str">
        <f>VLOOKUP(G246,'3-Productie normen'!A:H,8,FALSE)</f>
        <v>V</v>
      </c>
      <c r="P246" s="355"/>
      <c r="R246" s="356">
        <f t="shared" si="7"/>
        <v>21372</v>
      </c>
    </row>
    <row r="247" spans="1:18" ht="14.1" customHeight="1">
      <c r="A247" s="75">
        <v>247</v>
      </c>
      <c r="B247" s="515" t="s">
        <v>257</v>
      </c>
      <c r="C247" s="316" t="s">
        <v>578</v>
      </c>
      <c r="D247" s="350" t="s">
        <v>581</v>
      </c>
      <c r="E247" s="259" t="s">
        <v>491</v>
      </c>
      <c r="F247" s="86" t="s">
        <v>584</v>
      </c>
      <c r="G247" s="316" t="s">
        <v>45</v>
      </c>
      <c r="H247" s="86" t="s">
        <v>606</v>
      </c>
      <c r="I247" s="515" t="s">
        <v>86</v>
      </c>
      <c r="J247" s="524">
        <v>102.69999694824219</v>
      </c>
      <c r="K247" s="353">
        <f t="shared" si="6"/>
        <v>156</v>
      </c>
      <c r="L247" s="264">
        <v>156</v>
      </c>
      <c r="M247" s="263" t="e">
        <f>IF(L247="nio",0,IF(L247&gt;0,L247*J247/N247,0))*VLOOKUP(B247,'2-Kosten per locatie'!$A$14:$C$18,3,FALSE)</f>
        <v>#DIV/0!</v>
      </c>
      <c r="N247" s="354">
        <f>IF(L247="nio",0,IF(L247&gt;0,VLOOKUP(G247,'3-Productie normen'!A:L,VLOOKUP(L247,'3-Productie normen'!$B$29:$C$32,2,FALSE),FALSE)))</f>
        <v>0</v>
      </c>
      <c r="O247" s="355" t="str">
        <f>VLOOKUP(G247,'3-Productie normen'!A:H,8,FALSE)</f>
        <v>V</v>
      </c>
      <c r="P247" s="355"/>
      <c r="R247" s="356">
        <f t="shared" si="7"/>
        <v>16021.199523925781</v>
      </c>
    </row>
    <row r="248" spans="1:18" ht="14.1" customHeight="1">
      <c r="A248" s="75">
        <v>248</v>
      </c>
      <c r="B248" s="515" t="s">
        <v>257</v>
      </c>
      <c r="C248" s="316" t="s">
        <v>579</v>
      </c>
      <c r="D248" s="350" t="s">
        <v>582</v>
      </c>
      <c r="E248" s="259" t="s">
        <v>492</v>
      </c>
      <c r="F248" s="86" t="s">
        <v>585</v>
      </c>
      <c r="G248" s="316" t="s">
        <v>54</v>
      </c>
      <c r="H248" s="86" t="s">
        <v>236</v>
      </c>
      <c r="I248" s="515" t="s">
        <v>86</v>
      </c>
      <c r="J248" s="524">
        <v>13.399999618530273</v>
      </c>
      <c r="K248" s="353">
        <f t="shared" si="6"/>
        <v>156</v>
      </c>
      <c r="L248" s="264">
        <v>156</v>
      </c>
      <c r="M248" s="263" t="e">
        <f>IF(L248="nio",0,IF(L248&gt;0,L248*J248/N248,0))*VLOOKUP(B248,'2-Kosten per locatie'!$A$14:$C$18,3,FALSE)</f>
        <v>#DIV/0!</v>
      </c>
      <c r="N248" s="354">
        <f>IF(L248="nio",0,IF(L248&gt;0,VLOOKUP(G248,'3-Productie normen'!A:L,VLOOKUP(L248,'3-Productie normen'!$B$29:$C$32,2,FALSE),FALSE)))</f>
        <v>0</v>
      </c>
      <c r="O248" s="355" t="str">
        <f>VLOOKUP(G248,'3-Productie normen'!A:H,8,FALSE)</f>
        <v>V</v>
      </c>
      <c r="P248" s="355"/>
      <c r="R248" s="356">
        <f t="shared" si="7"/>
        <v>2090.3999404907227</v>
      </c>
    </row>
    <row r="249" spans="1:18" ht="14.1" customHeight="1">
      <c r="A249" s="75">
        <v>249</v>
      </c>
      <c r="B249" s="515" t="s">
        <v>257</v>
      </c>
      <c r="C249" s="316" t="s">
        <v>579</v>
      </c>
      <c r="D249" s="350" t="s">
        <v>582</v>
      </c>
      <c r="E249" s="259" t="s">
        <v>493</v>
      </c>
      <c r="F249" s="86" t="s">
        <v>587</v>
      </c>
      <c r="G249" s="71" t="s">
        <v>43</v>
      </c>
      <c r="H249" s="86" t="s">
        <v>601</v>
      </c>
      <c r="I249" s="515" t="s">
        <v>82</v>
      </c>
      <c r="J249" s="524">
        <v>5.4000000953674316</v>
      </c>
      <c r="K249" s="353">
        <f t="shared" si="6"/>
        <v>156</v>
      </c>
      <c r="L249" s="264">
        <v>156</v>
      </c>
      <c r="M249" s="263" t="e">
        <f>IF(L249="nio",0,IF(L249&gt;0,L249*J249/N249,0))*VLOOKUP(B249,'2-Kosten per locatie'!$A$14:$C$18,3,FALSE)</f>
        <v>#DIV/0!</v>
      </c>
      <c r="N249" s="354">
        <f>IF(L249="nio",0,IF(L249&gt;0,VLOOKUP(G249,'3-Productie normen'!A:L,VLOOKUP(L249,'3-Productie normen'!$B$29:$C$32,2,FALSE),FALSE)))</f>
        <v>0</v>
      </c>
      <c r="O249" s="355" t="str">
        <f>VLOOKUP(G249,'3-Productie normen'!A:H,8,FALSE)</f>
        <v>S</v>
      </c>
      <c r="P249" s="355"/>
      <c r="R249" s="356">
        <f t="shared" si="7"/>
        <v>842.40001487731934</v>
      </c>
    </row>
    <row r="250" spans="1:18" ht="14.1" customHeight="1">
      <c r="A250" s="75">
        <v>250</v>
      </c>
      <c r="B250" s="515" t="s">
        <v>257</v>
      </c>
      <c r="C250" s="316" t="s">
        <v>579</v>
      </c>
      <c r="D250" s="350" t="s">
        <v>582</v>
      </c>
      <c r="E250" s="259" t="s">
        <v>494</v>
      </c>
      <c r="F250" s="86" t="s">
        <v>588</v>
      </c>
      <c r="G250" s="71" t="s">
        <v>43</v>
      </c>
      <c r="H250" s="86" t="s">
        <v>601</v>
      </c>
      <c r="I250" s="515" t="s">
        <v>82</v>
      </c>
      <c r="J250" s="524">
        <v>1.7000000476837158</v>
      </c>
      <c r="K250" s="353">
        <f t="shared" si="6"/>
        <v>255</v>
      </c>
      <c r="L250" s="264">
        <v>255</v>
      </c>
      <c r="M250" s="263" t="e">
        <f>IF(L250="nio",0,IF(L250&gt;0,L250*J250/N250,0))*VLOOKUP(B250,'2-Kosten per locatie'!$A$14:$C$18,3,FALSE)</f>
        <v>#DIV/0!</v>
      </c>
      <c r="N250" s="354">
        <f>IF(L250="nio",0,IF(L250&gt;0,VLOOKUP(G250,'3-Productie normen'!A:L,VLOOKUP(L250,'3-Productie normen'!$B$29:$C$32,2,FALSE),FALSE)))</f>
        <v>0</v>
      </c>
      <c r="O250" s="355" t="str">
        <f>VLOOKUP(G250,'3-Productie normen'!A:H,8,FALSE)</f>
        <v>S</v>
      </c>
      <c r="P250" s="355"/>
      <c r="R250" s="356">
        <f t="shared" si="7"/>
        <v>433.50001215934753</v>
      </c>
    </row>
    <row r="251" spans="1:18" ht="14.1" customHeight="1">
      <c r="A251" s="75">
        <v>251</v>
      </c>
      <c r="B251" s="515" t="s">
        <v>257</v>
      </c>
      <c r="C251" s="316" t="s">
        <v>579</v>
      </c>
      <c r="D251" s="350" t="s">
        <v>582</v>
      </c>
      <c r="E251" s="259" t="s">
        <v>495</v>
      </c>
      <c r="F251" s="86" t="s">
        <v>588</v>
      </c>
      <c r="G251" s="71" t="s">
        <v>43</v>
      </c>
      <c r="H251" s="86" t="s">
        <v>601</v>
      </c>
      <c r="I251" s="515" t="s">
        <v>82</v>
      </c>
      <c r="J251" s="524">
        <v>1.7000000476837158</v>
      </c>
      <c r="K251" s="353">
        <f t="shared" si="6"/>
        <v>255</v>
      </c>
      <c r="L251" s="264">
        <v>255</v>
      </c>
      <c r="M251" s="263" t="e">
        <f>IF(L251="nio",0,IF(L251&gt;0,L251*J251/N251,0))*VLOOKUP(B251,'2-Kosten per locatie'!$A$14:$C$18,3,FALSE)</f>
        <v>#DIV/0!</v>
      </c>
      <c r="N251" s="354">
        <f>IF(L251="nio",0,IF(L251&gt;0,VLOOKUP(G251,'3-Productie normen'!A:L,VLOOKUP(L251,'3-Productie normen'!$B$29:$C$32,2,FALSE),FALSE)))</f>
        <v>0</v>
      </c>
      <c r="O251" s="355" t="str">
        <f>VLOOKUP(G251,'3-Productie normen'!A:H,8,FALSE)</f>
        <v>S</v>
      </c>
      <c r="P251" s="355"/>
      <c r="R251" s="356">
        <f t="shared" si="7"/>
        <v>433.50001215934753</v>
      </c>
    </row>
    <row r="252" spans="1:18" ht="14.1" customHeight="1">
      <c r="A252" s="75">
        <v>252</v>
      </c>
      <c r="B252" s="515" t="s">
        <v>257</v>
      </c>
      <c r="C252" s="316" t="s">
        <v>579</v>
      </c>
      <c r="D252" s="350" t="s">
        <v>582</v>
      </c>
      <c r="E252" s="259" t="s">
        <v>496</v>
      </c>
      <c r="F252" s="86" t="s">
        <v>588</v>
      </c>
      <c r="G252" s="71" t="s">
        <v>43</v>
      </c>
      <c r="H252" s="86" t="s">
        <v>601</v>
      </c>
      <c r="I252" s="515" t="s">
        <v>82</v>
      </c>
      <c r="J252" s="524">
        <v>1.7000000476837158</v>
      </c>
      <c r="K252" s="353">
        <f t="shared" si="6"/>
        <v>255</v>
      </c>
      <c r="L252" s="264">
        <v>255</v>
      </c>
      <c r="M252" s="263" t="e">
        <f>IF(L252="nio",0,IF(L252&gt;0,L252*J252/N252,0))*VLOOKUP(B252,'2-Kosten per locatie'!$A$14:$C$18,3,FALSE)</f>
        <v>#DIV/0!</v>
      </c>
      <c r="N252" s="354">
        <f>IF(L252="nio",0,IF(L252&gt;0,VLOOKUP(G252,'3-Productie normen'!A:L,VLOOKUP(L252,'3-Productie normen'!$B$29:$C$32,2,FALSE),FALSE)))</f>
        <v>0</v>
      </c>
      <c r="O252" s="355" t="str">
        <f>VLOOKUP(G252,'3-Productie normen'!A:H,8,FALSE)</f>
        <v>S</v>
      </c>
      <c r="P252" s="355"/>
      <c r="R252" s="356">
        <f t="shared" si="7"/>
        <v>433.50001215934753</v>
      </c>
    </row>
    <row r="253" spans="1:18" ht="14.1" customHeight="1">
      <c r="A253" s="75">
        <v>253</v>
      </c>
      <c r="B253" s="515" t="s">
        <v>257</v>
      </c>
      <c r="C253" s="316" t="s">
        <v>579</v>
      </c>
      <c r="D253" s="350" t="s">
        <v>582</v>
      </c>
      <c r="E253" s="259" t="s">
        <v>497</v>
      </c>
      <c r="F253" s="86" t="s">
        <v>590</v>
      </c>
      <c r="G253" s="71" t="s">
        <v>41</v>
      </c>
      <c r="H253" s="86" t="s">
        <v>236</v>
      </c>
      <c r="I253" s="515" t="s">
        <v>86</v>
      </c>
      <c r="J253" s="524">
        <v>37.799999237060547</v>
      </c>
      <c r="K253" s="353">
        <f t="shared" si="6"/>
        <v>156</v>
      </c>
      <c r="L253" s="264">
        <v>156</v>
      </c>
      <c r="M253" s="263" t="e">
        <f>IF(L253="nio",0,IF(L253&gt;0,L253*J253/N253,0))*VLOOKUP(B253,'2-Kosten per locatie'!$A$14:$C$18,3,FALSE)</f>
        <v>#DIV/0!</v>
      </c>
      <c r="N253" s="354">
        <f>IF(L253="nio",0,IF(L253&gt;0,VLOOKUP(G253,'3-Productie normen'!A:L,VLOOKUP(L253,'3-Productie normen'!$B$29:$C$32,2,FALSE),FALSE)))</f>
        <v>0</v>
      </c>
      <c r="O253" s="355" t="str">
        <f>VLOOKUP(G253,'3-Productie normen'!A:H,8,FALSE)</f>
        <v>B</v>
      </c>
      <c r="P253" s="355"/>
      <c r="R253" s="356">
        <f t="shared" si="7"/>
        <v>5896.7998809814453</v>
      </c>
    </row>
    <row r="254" spans="1:18" ht="14.1" customHeight="1">
      <c r="A254" s="75">
        <v>254</v>
      </c>
      <c r="B254" s="515" t="s">
        <v>257</v>
      </c>
      <c r="C254" s="316" t="s">
        <v>579</v>
      </c>
      <c r="D254" s="350" t="s">
        <v>582</v>
      </c>
      <c r="E254" s="259" t="s">
        <v>498</v>
      </c>
      <c r="F254" s="86" t="s">
        <v>587</v>
      </c>
      <c r="G254" s="71" t="s">
        <v>43</v>
      </c>
      <c r="H254" s="86" t="s">
        <v>601</v>
      </c>
      <c r="I254" s="515" t="s">
        <v>82</v>
      </c>
      <c r="J254" s="524">
        <v>5.4000000953674316</v>
      </c>
      <c r="K254" s="353">
        <f t="shared" si="6"/>
        <v>156</v>
      </c>
      <c r="L254" s="264">
        <v>156</v>
      </c>
      <c r="M254" s="263" t="e">
        <f>IF(L254="nio",0,IF(L254&gt;0,L254*J254/N254,0))*VLOOKUP(B254,'2-Kosten per locatie'!$A$14:$C$18,3,FALSE)</f>
        <v>#DIV/0!</v>
      </c>
      <c r="N254" s="354">
        <f>IF(L254="nio",0,IF(L254&gt;0,VLOOKUP(G254,'3-Productie normen'!A:L,VLOOKUP(L254,'3-Productie normen'!$B$29:$C$32,2,FALSE),FALSE)))</f>
        <v>0</v>
      </c>
      <c r="O254" s="355" t="str">
        <f>VLOOKUP(G254,'3-Productie normen'!A:H,8,FALSE)</f>
        <v>S</v>
      </c>
      <c r="P254" s="355"/>
      <c r="R254" s="356">
        <f t="shared" si="7"/>
        <v>842.40001487731934</v>
      </c>
    </row>
    <row r="255" spans="1:18" ht="14.1" customHeight="1">
      <c r="A255" s="75">
        <v>255</v>
      </c>
      <c r="B255" s="515" t="s">
        <v>257</v>
      </c>
      <c r="C255" s="316" t="s">
        <v>579</v>
      </c>
      <c r="D255" s="350" t="s">
        <v>582</v>
      </c>
      <c r="E255" s="259" t="s">
        <v>499</v>
      </c>
      <c r="F255" s="86" t="s">
        <v>588</v>
      </c>
      <c r="G255" s="71" t="s">
        <v>43</v>
      </c>
      <c r="H255" s="86" t="s">
        <v>601</v>
      </c>
      <c r="I255" s="515" t="s">
        <v>82</v>
      </c>
      <c r="J255" s="524">
        <v>1.7000000476837158</v>
      </c>
      <c r="K255" s="353">
        <f t="shared" si="6"/>
        <v>255</v>
      </c>
      <c r="L255" s="264">
        <v>255</v>
      </c>
      <c r="M255" s="263" t="e">
        <f>IF(L255="nio",0,IF(L255&gt;0,L255*J255/N255,0))*VLOOKUP(B255,'2-Kosten per locatie'!$A$14:$C$18,3,FALSE)</f>
        <v>#DIV/0!</v>
      </c>
      <c r="N255" s="354">
        <f>IF(L255="nio",0,IF(L255&gt;0,VLOOKUP(G255,'3-Productie normen'!A:L,VLOOKUP(L255,'3-Productie normen'!$B$29:$C$32,2,FALSE),FALSE)))</f>
        <v>0</v>
      </c>
      <c r="O255" s="355" t="str">
        <f>VLOOKUP(G255,'3-Productie normen'!A:H,8,FALSE)</f>
        <v>S</v>
      </c>
      <c r="P255" s="355"/>
      <c r="R255" s="356">
        <f t="shared" si="7"/>
        <v>433.50001215934753</v>
      </c>
    </row>
    <row r="256" spans="1:18" ht="14.1" customHeight="1">
      <c r="A256" s="75">
        <v>256</v>
      </c>
      <c r="B256" s="515" t="s">
        <v>257</v>
      </c>
      <c r="C256" s="316" t="s">
        <v>579</v>
      </c>
      <c r="D256" s="350" t="s">
        <v>582</v>
      </c>
      <c r="E256" s="260" t="s">
        <v>500</v>
      </c>
      <c r="F256" s="88" t="s">
        <v>588</v>
      </c>
      <c r="G256" s="71" t="s">
        <v>43</v>
      </c>
      <c r="H256" s="86" t="s">
        <v>601</v>
      </c>
      <c r="I256" s="515" t="s">
        <v>82</v>
      </c>
      <c r="J256" s="524">
        <v>1.7000000476837158</v>
      </c>
      <c r="K256" s="353">
        <f t="shared" si="6"/>
        <v>255</v>
      </c>
      <c r="L256" s="264">
        <v>255</v>
      </c>
      <c r="M256" s="263" t="e">
        <f>IF(L256="nio",0,IF(L256&gt;0,L256*J256/N256,0))*VLOOKUP(B256,'2-Kosten per locatie'!$A$14:$C$18,3,FALSE)</f>
        <v>#DIV/0!</v>
      </c>
      <c r="N256" s="354">
        <f>IF(L256="nio",0,IF(L256&gt;0,VLOOKUP(G256,'3-Productie normen'!A:L,VLOOKUP(L256,'3-Productie normen'!$B$29:$C$32,2,FALSE),FALSE)))</f>
        <v>0</v>
      </c>
      <c r="O256" s="355" t="str">
        <f>VLOOKUP(G256,'3-Productie normen'!A:H,8,FALSE)</f>
        <v>S</v>
      </c>
      <c r="P256" s="355"/>
      <c r="R256" s="356">
        <f t="shared" si="7"/>
        <v>433.50001215934753</v>
      </c>
    </row>
    <row r="257" spans="1:18" ht="14.1" customHeight="1">
      <c r="A257" s="75">
        <v>257</v>
      </c>
      <c r="B257" s="515" t="s">
        <v>257</v>
      </c>
      <c r="C257" s="316" t="s">
        <v>579</v>
      </c>
      <c r="D257" s="350" t="s">
        <v>582</v>
      </c>
      <c r="E257" s="259" t="s">
        <v>501</v>
      </c>
      <c r="F257" s="86" t="s">
        <v>588</v>
      </c>
      <c r="G257" s="71" t="s">
        <v>43</v>
      </c>
      <c r="H257" s="86" t="s">
        <v>601</v>
      </c>
      <c r="I257" s="515" t="s">
        <v>82</v>
      </c>
      <c r="J257" s="524">
        <v>1.7000000476837158</v>
      </c>
      <c r="K257" s="353">
        <f t="shared" si="6"/>
        <v>255</v>
      </c>
      <c r="L257" s="264">
        <v>255</v>
      </c>
      <c r="M257" s="263" t="e">
        <f>IF(L257="nio",0,IF(L257&gt;0,L257*J257/N257,0))*VLOOKUP(B257,'2-Kosten per locatie'!$A$14:$C$18,3,FALSE)</f>
        <v>#DIV/0!</v>
      </c>
      <c r="N257" s="354">
        <f>IF(L257="nio",0,IF(L257&gt;0,VLOOKUP(G257,'3-Productie normen'!A:L,VLOOKUP(L257,'3-Productie normen'!$B$29:$C$32,2,FALSE),FALSE)))</f>
        <v>0</v>
      </c>
      <c r="O257" s="355" t="str">
        <f>VLOOKUP(G257,'3-Productie normen'!A:H,8,FALSE)</f>
        <v>S</v>
      </c>
      <c r="P257" s="355"/>
      <c r="R257" s="356">
        <f t="shared" si="7"/>
        <v>433.50001215934753</v>
      </c>
    </row>
    <row r="258" spans="1:18" ht="14.1" customHeight="1">
      <c r="A258" s="75">
        <v>258</v>
      </c>
      <c r="B258" s="515" t="s">
        <v>257</v>
      </c>
      <c r="C258" s="316" t="s">
        <v>579</v>
      </c>
      <c r="D258" s="350" t="s">
        <v>582</v>
      </c>
      <c r="E258" s="259" t="s">
        <v>502</v>
      </c>
      <c r="F258" s="86" t="s">
        <v>584</v>
      </c>
      <c r="G258" s="316" t="s">
        <v>45</v>
      </c>
      <c r="H258" s="86" t="s">
        <v>84</v>
      </c>
      <c r="I258" s="515" t="s">
        <v>85</v>
      </c>
      <c r="J258" s="524">
        <v>75.400001525878906</v>
      </c>
      <c r="K258" s="353">
        <f t="shared" si="6"/>
        <v>156</v>
      </c>
      <c r="L258" s="264">
        <v>156</v>
      </c>
      <c r="M258" s="263" t="e">
        <f>IF(L258="nio",0,IF(L258&gt;0,L258*J258/N258,0))*VLOOKUP(B258,'2-Kosten per locatie'!$A$14:$C$18,3,FALSE)</f>
        <v>#DIV/0!</v>
      </c>
      <c r="N258" s="354">
        <f>IF(L258="nio",0,IF(L258&gt;0,VLOOKUP(G258,'3-Productie normen'!A:L,VLOOKUP(L258,'3-Productie normen'!$B$29:$C$32,2,FALSE),FALSE)))</f>
        <v>0</v>
      </c>
      <c r="O258" s="355" t="str">
        <f>VLOOKUP(G258,'3-Productie normen'!A:H,8,FALSE)</f>
        <v>V</v>
      </c>
      <c r="P258" s="355"/>
      <c r="R258" s="356">
        <f t="shared" si="7"/>
        <v>11762.400238037109</v>
      </c>
    </row>
    <row r="259" spans="1:18" ht="14.1" customHeight="1">
      <c r="A259" s="75">
        <v>259</v>
      </c>
      <c r="B259" s="515" t="s">
        <v>257</v>
      </c>
      <c r="C259" s="316" t="s">
        <v>579</v>
      </c>
      <c r="D259" s="350" t="s">
        <v>582</v>
      </c>
      <c r="E259" s="259" t="s">
        <v>503</v>
      </c>
      <c r="F259" s="86" t="s">
        <v>584</v>
      </c>
      <c r="G259" s="316" t="s">
        <v>45</v>
      </c>
      <c r="H259" s="86" t="s">
        <v>236</v>
      </c>
      <c r="I259" s="515" t="s">
        <v>86</v>
      </c>
      <c r="J259" s="524">
        <v>8.1000003814697266</v>
      </c>
      <c r="K259" s="353">
        <f t="shared" si="6"/>
        <v>156</v>
      </c>
      <c r="L259" s="264">
        <v>156</v>
      </c>
      <c r="M259" s="263" t="e">
        <f>IF(L259="nio",0,IF(L259&gt;0,L259*J259/N259,0))*VLOOKUP(B259,'2-Kosten per locatie'!$A$14:$C$18,3,FALSE)</f>
        <v>#DIV/0!</v>
      </c>
      <c r="N259" s="354">
        <f>IF(L259="nio",0,IF(L259&gt;0,VLOOKUP(G259,'3-Productie normen'!A:L,VLOOKUP(L259,'3-Productie normen'!$B$29:$C$32,2,FALSE),FALSE)))</f>
        <v>0</v>
      </c>
      <c r="O259" s="355" t="str">
        <f>VLOOKUP(G259,'3-Productie normen'!A:H,8,FALSE)</f>
        <v>V</v>
      </c>
      <c r="P259" s="355"/>
      <c r="R259" s="356">
        <f t="shared" si="7"/>
        <v>1263.6000595092773</v>
      </c>
    </row>
    <row r="260" spans="1:18" ht="14.1" customHeight="1">
      <c r="A260" s="75">
        <v>260</v>
      </c>
      <c r="B260" s="515" t="s">
        <v>257</v>
      </c>
      <c r="C260" s="316" t="s">
        <v>579</v>
      </c>
      <c r="D260" s="350" t="s">
        <v>582</v>
      </c>
      <c r="E260" s="259" t="s">
        <v>504</v>
      </c>
      <c r="F260" s="86" t="s">
        <v>587</v>
      </c>
      <c r="G260" s="71" t="s">
        <v>43</v>
      </c>
      <c r="H260" s="86" t="s">
        <v>601</v>
      </c>
      <c r="I260" s="515" t="s">
        <v>82</v>
      </c>
      <c r="J260" s="524">
        <v>5.4000000953674316</v>
      </c>
      <c r="K260" s="353">
        <f t="shared" si="6"/>
        <v>156</v>
      </c>
      <c r="L260" s="264">
        <v>156</v>
      </c>
      <c r="M260" s="263" t="e">
        <f>IF(L260="nio",0,IF(L260&gt;0,L260*J260/N260,0))*VLOOKUP(B260,'2-Kosten per locatie'!$A$14:$C$18,3,FALSE)</f>
        <v>#DIV/0!</v>
      </c>
      <c r="N260" s="354">
        <f>IF(L260="nio",0,IF(L260&gt;0,VLOOKUP(G260,'3-Productie normen'!A:L,VLOOKUP(L260,'3-Productie normen'!$B$29:$C$32,2,FALSE),FALSE)))</f>
        <v>0</v>
      </c>
      <c r="O260" s="355" t="str">
        <f>VLOOKUP(G260,'3-Productie normen'!A:H,8,FALSE)</f>
        <v>S</v>
      </c>
      <c r="P260" s="355"/>
      <c r="R260" s="356">
        <f t="shared" si="7"/>
        <v>842.40001487731934</v>
      </c>
    </row>
    <row r="261" spans="1:18" ht="14.1" customHeight="1">
      <c r="A261" s="75">
        <v>261</v>
      </c>
      <c r="B261" s="515" t="s">
        <v>257</v>
      </c>
      <c r="C261" s="316" t="s">
        <v>579</v>
      </c>
      <c r="D261" s="350" t="s">
        <v>582</v>
      </c>
      <c r="E261" s="259" t="s">
        <v>505</v>
      </c>
      <c r="F261" s="86" t="s">
        <v>588</v>
      </c>
      <c r="G261" s="71" t="s">
        <v>43</v>
      </c>
      <c r="H261" s="86" t="s">
        <v>601</v>
      </c>
      <c r="I261" s="515" t="s">
        <v>82</v>
      </c>
      <c r="J261" s="524">
        <v>1.7000000476837158</v>
      </c>
      <c r="K261" s="353">
        <f t="shared" si="6"/>
        <v>255</v>
      </c>
      <c r="L261" s="264">
        <v>255</v>
      </c>
      <c r="M261" s="263" t="e">
        <f>IF(L261="nio",0,IF(L261&gt;0,L261*J261/N261,0))*VLOOKUP(B261,'2-Kosten per locatie'!$A$14:$C$18,3,FALSE)</f>
        <v>#DIV/0!</v>
      </c>
      <c r="N261" s="354">
        <f>IF(L261="nio",0,IF(L261&gt;0,VLOOKUP(G261,'3-Productie normen'!A:L,VLOOKUP(L261,'3-Productie normen'!$B$29:$C$32,2,FALSE),FALSE)))</f>
        <v>0</v>
      </c>
      <c r="O261" s="355" t="str">
        <f>VLOOKUP(G261,'3-Productie normen'!A:H,8,FALSE)</f>
        <v>S</v>
      </c>
      <c r="P261" s="355"/>
      <c r="R261" s="356">
        <f t="shared" si="7"/>
        <v>433.50001215934753</v>
      </c>
    </row>
    <row r="262" spans="1:18" ht="14.1" customHeight="1">
      <c r="A262" s="75">
        <v>262</v>
      </c>
      <c r="B262" s="515" t="s">
        <v>257</v>
      </c>
      <c r="C262" s="316" t="s">
        <v>579</v>
      </c>
      <c r="D262" s="350" t="s">
        <v>582</v>
      </c>
      <c r="E262" s="259" t="s">
        <v>506</v>
      </c>
      <c r="F262" s="86" t="s">
        <v>588</v>
      </c>
      <c r="G262" s="71" t="s">
        <v>43</v>
      </c>
      <c r="H262" s="86" t="s">
        <v>601</v>
      </c>
      <c r="I262" s="515" t="s">
        <v>82</v>
      </c>
      <c r="J262" s="524">
        <v>1.7000000476837158</v>
      </c>
      <c r="K262" s="353">
        <f t="shared" si="6"/>
        <v>255</v>
      </c>
      <c r="L262" s="264">
        <v>255</v>
      </c>
      <c r="M262" s="263" t="e">
        <f>IF(L262="nio",0,IF(L262&gt;0,L262*J262/N262,0))*VLOOKUP(B262,'2-Kosten per locatie'!$A$14:$C$18,3,FALSE)</f>
        <v>#DIV/0!</v>
      </c>
      <c r="N262" s="354">
        <f>IF(L262="nio",0,IF(L262&gt;0,VLOOKUP(G262,'3-Productie normen'!A:L,VLOOKUP(L262,'3-Productie normen'!$B$29:$C$32,2,FALSE),FALSE)))</f>
        <v>0</v>
      </c>
      <c r="O262" s="355" t="str">
        <f>VLOOKUP(G262,'3-Productie normen'!A:H,8,FALSE)</f>
        <v>S</v>
      </c>
      <c r="P262" s="355"/>
      <c r="R262" s="356">
        <f t="shared" si="7"/>
        <v>433.50001215934753</v>
      </c>
    </row>
    <row r="263" spans="1:18" ht="14.1" customHeight="1">
      <c r="A263" s="75">
        <v>263</v>
      </c>
      <c r="B263" s="515" t="s">
        <v>257</v>
      </c>
      <c r="C263" s="316" t="s">
        <v>579</v>
      </c>
      <c r="D263" s="350" t="s">
        <v>582</v>
      </c>
      <c r="E263" s="259" t="s">
        <v>507</v>
      </c>
      <c r="F263" s="86" t="s">
        <v>588</v>
      </c>
      <c r="G263" s="71" t="s">
        <v>43</v>
      </c>
      <c r="H263" s="86" t="s">
        <v>601</v>
      </c>
      <c r="I263" s="515" t="s">
        <v>82</v>
      </c>
      <c r="J263" s="524">
        <v>3.7999999523162842</v>
      </c>
      <c r="K263" s="353">
        <f t="shared" ref="K263:K326" si="8">SUM(L263:L263)</f>
        <v>255</v>
      </c>
      <c r="L263" s="264">
        <v>255</v>
      </c>
      <c r="M263" s="263" t="e">
        <f>IF(L263="nio",0,IF(L263&gt;0,L263*J263/N263,0))*VLOOKUP(B263,'2-Kosten per locatie'!$A$14:$C$18,3,FALSE)</f>
        <v>#DIV/0!</v>
      </c>
      <c r="N263" s="354">
        <f>IF(L263="nio",0,IF(L263&gt;0,VLOOKUP(G263,'3-Productie normen'!A:L,VLOOKUP(L263,'3-Productie normen'!$B$29:$C$32,2,FALSE),FALSE)))</f>
        <v>0</v>
      </c>
      <c r="O263" s="355" t="str">
        <f>VLOOKUP(G263,'3-Productie normen'!A:H,8,FALSE)</f>
        <v>S</v>
      </c>
      <c r="P263" s="355"/>
      <c r="R263" s="356">
        <f t="shared" ref="R263:R327" si="9">K263*J263</f>
        <v>968.99998784065247</v>
      </c>
    </row>
    <row r="264" spans="1:18" ht="14.1" customHeight="1">
      <c r="A264" s="75">
        <v>264</v>
      </c>
      <c r="B264" s="515" t="s">
        <v>257</v>
      </c>
      <c r="C264" s="316" t="s">
        <v>579</v>
      </c>
      <c r="D264" s="350" t="s">
        <v>582</v>
      </c>
      <c r="E264" s="259" t="s">
        <v>508</v>
      </c>
      <c r="F264" s="86" t="s">
        <v>590</v>
      </c>
      <c r="G264" s="71" t="s">
        <v>41</v>
      </c>
      <c r="H264" s="86" t="s">
        <v>236</v>
      </c>
      <c r="I264" s="515" t="s">
        <v>86</v>
      </c>
      <c r="J264" s="524">
        <v>37.799999237060547</v>
      </c>
      <c r="K264" s="353">
        <f t="shared" si="8"/>
        <v>156</v>
      </c>
      <c r="L264" s="264">
        <v>156</v>
      </c>
      <c r="M264" s="263" t="e">
        <f>IF(L264="nio",0,IF(L264&gt;0,L264*J264/N264,0))*VLOOKUP(B264,'2-Kosten per locatie'!$A$14:$C$18,3,FALSE)</f>
        <v>#DIV/0!</v>
      </c>
      <c r="N264" s="354">
        <f>IF(L264="nio",0,IF(L264&gt;0,VLOOKUP(G264,'3-Productie normen'!A:L,VLOOKUP(L264,'3-Productie normen'!$B$29:$C$32,2,FALSE),FALSE)))</f>
        <v>0</v>
      </c>
      <c r="O264" s="355" t="str">
        <f>VLOOKUP(G264,'3-Productie normen'!A:H,8,FALSE)</f>
        <v>B</v>
      </c>
      <c r="P264" s="355"/>
      <c r="R264" s="356">
        <f t="shared" si="9"/>
        <v>5896.7998809814453</v>
      </c>
    </row>
    <row r="265" spans="1:18" ht="14.1" customHeight="1">
      <c r="A265" s="75">
        <v>265</v>
      </c>
      <c r="B265" s="515" t="s">
        <v>257</v>
      </c>
      <c r="C265" s="316" t="s">
        <v>579</v>
      </c>
      <c r="D265" s="350" t="s">
        <v>582</v>
      </c>
      <c r="E265" s="259" t="s">
        <v>509</v>
      </c>
      <c r="F265" s="86" t="s">
        <v>587</v>
      </c>
      <c r="G265" s="71" t="s">
        <v>43</v>
      </c>
      <c r="H265" s="86" t="s">
        <v>601</v>
      </c>
      <c r="I265" s="515" t="s">
        <v>82</v>
      </c>
      <c r="J265" s="524">
        <v>5.4000000953674316</v>
      </c>
      <c r="K265" s="353">
        <f t="shared" si="8"/>
        <v>156</v>
      </c>
      <c r="L265" s="264">
        <v>156</v>
      </c>
      <c r="M265" s="263" t="e">
        <f>IF(L265="nio",0,IF(L265&gt;0,L265*J265/N265,0))*VLOOKUP(B265,'2-Kosten per locatie'!$A$14:$C$18,3,FALSE)</f>
        <v>#DIV/0!</v>
      </c>
      <c r="N265" s="354">
        <f>IF(L265="nio",0,IF(L265&gt;0,VLOOKUP(G265,'3-Productie normen'!A:L,VLOOKUP(L265,'3-Productie normen'!$B$29:$C$32,2,FALSE),FALSE)))</f>
        <v>0</v>
      </c>
      <c r="O265" s="355" t="str">
        <f>VLOOKUP(G265,'3-Productie normen'!A:H,8,FALSE)</f>
        <v>S</v>
      </c>
      <c r="P265" s="355"/>
      <c r="R265" s="356">
        <f t="shared" si="9"/>
        <v>842.40001487731934</v>
      </c>
    </row>
    <row r="266" spans="1:18" ht="14.1" customHeight="1">
      <c r="A266" s="75">
        <v>266</v>
      </c>
      <c r="B266" s="515" t="s">
        <v>257</v>
      </c>
      <c r="C266" s="316" t="s">
        <v>579</v>
      </c>
      <c r="D266" s="350" t="s">
        <v>582</v>
      </c>
      <c r="E266" s="259" t="s">
        <v>510</v>
      </c>
      <c r="F266" s="86" t="s">
        <v>588</v>
      </c>
      <c r="G266" s="71" t="s">
        <v>43</v>
      </c>
      <c r="H266" s="86" t="s">
        <v>601</v>
      </c>
      <c r="I266" s="515" t="s">
        <v>82</v>
      </c>
      <c r="J266" s="524">
        <v>1.7000000476837158</v>
      </c>
      <c r="K266" s="353">
        <f t="shared" si="8"/>
        <v>255</v>
      </c>
      <c r="L266" s="264">
        <v>255</v>
      </c>
      <c r="M266" s="263" t="e">
        <f>IF(L266="nio",0,IF(L266&gt;0,L266*J266/N266,0))*VLOOKUP(B266,'2-Kosten per locatie'!$A$14:$C$18,3,FALSE)</f>
        <v>#DIV/0!</v>
      </c>
      <c r="N266" s="354">
        <f>IF(L266="nio",0,IF(L266&gt;0,VLOOKUP(G266,'3-Productie normen'!A:L,VLOOKUP(L266,'3-Productie normen'!$B$29:$C$32,2,FALSE),FALSE)))</f>
        <v>0</v>
      </c>
      <c r="O266" s="355" t="str">
        <f>VLOOKUP(G266,'3-Productie normen'!A:H,8,FALSE)</f>
        <v>S</v>
      </c>
      <c r="P266" s="355"/>
      <c r="R266" s="356">
        <f t="shared" si="9"/>
        <v>433.50001215934753</v>
      </c>
    </row>
    <row r="267" spans="1:18" ht="14.1" customHeight="1">
      <c r="A267" s="75">
        <v>267</v>
      </c>
      <c r="B267" s="515" t="s">
        <v>257</v>
      </c>
      <c r="C267" s="316" t="s">
        <v>579</v>
      </c>
      <c r="D267" s="350" t="s">
        <v>582</v>
      </c>
      <c r="E267" s="259" t="s">
        <v>511</v>
      </c>
      <c r="F267" s="86" t="s">
        <v>588</v>
      </c>
      <c r="G267" s="71" t="s">
        <v>43</v>
      </c>
      <c r="H267" s="86" t="s">
        <v>601</v>
      </c>
      <c r="I267" s="515" t="s">
        <v>82</v>
      </c>
      <c r="J267" s="524">
        <v>1.7000000476837158</v>
      </c>
      <c r="K267" s="353">
        <f t="shared" si="8"/>
        <v>255</v>
      </c>
      <c r="L267" s="264">
        <v>255</v>
      </c>
      <c r="M267" s="263" t="e">
        <f>IF(L267="nio",0,IF(L267&gt;0,L267*J267/N267,0))*VLOOKUP(B267,'2-Kosten per locatie'!$A$14:$C$18,3,FALSE)</f>
        <v>#DIV/0!</v>
      </c>
      <c r="N267" s="354">
        <f>IF(L267="nio",0,IF(L267&gt;0,VLOOKUP(G267,'3-Productie normen'!A:L,VLOOKUP(L267,'3-Productie normen'!$B$29:$C$32,2,FALSE),FALSE)))</f>
        <v>0</v>
      </c>
      <c r="O267" s="355" t="str">
        <f>VLOOKUP(G267,'3-Productie normen'!A:H,8,FALSE)</f>
        <v>S</v>
      </c>
      <c r="P267" s="355"/>
      <c r="R267" s="356">
        <f t="shared" si="9"/>
        <v>433.50001215934753</v>
      </c>
    </row>
    <row r="268" spans="1:18" ht="14.1" customHeight="1">
      <c r="A268" s="75">
        <v>268</v>
      </c>
      <c r="B268" s="515" t="s">
        <v>257</v>
      </c>
      <c r="C268" s="316" t="s">
        <v>579</v>
      </c>
      <c r="D268" s="350" t="s">
        <v>582</v>
      </c>
      <c r="E268" s="259" t="s">
        <v>512</v>
      </c>
      <c r="F268" s="86" t="s">
        <v>588</v>
      </c>
      <c r="G268" s="71" t="s">
        <v>43</v>
      </c>
      <c r="H268" s="86" t="s">
        <v>601</v>
      </c>
      <c r="I268" s="515" t="s">
        <v>82</v>
      </c>
      <c r="J268" s="524">
        <v>1.7000000476837158</v>
      </c>
      <c r="K268" s="353">
        <f t="shared" si="8"/>
        <v>255</v>
      </c>
      <c r="L268" s="264">
        <v>255</v>
      </c>
      <c r="M268" s="263" t="e">
        <f>IF(L268="nio",0,IF(L268&gt;0,L268*J268/N268,0))*VLOOKUP(B268,'2-Kosten per locatie'!$A$14:$C$18,3,FALSE)</f>
        <v>#DIV/0!</v>
      </c>
      <c r="N268" s="354">
        <f>IF(L268="nio",0,IF(L268&gt;0,VLOOKUP(G268,'3-Productie normen'!A:L,VLOOKUP(L268,'3-Productie normen'!$B$29:$C$32,2,FALSE),FALSE)))</f>
        <v>0</v>
      </c>
      <c r="O268" s="355" t="str">
        <f>VLOOKUP(G268,'3-Productie normen'!A:H,8,FALSE)</f>
        <v>S</v>
      </c>
      <c r="P268" s="355"/>
      <c r="R268" s="356">
        <f t="shared" si="9"/>
        <v>433.50001215934753</v>
      </c>
    </row>
    <row r="269" spans="1:18" ht="14.1" customHeight="1">
      <c r="A269" s="75">
        <v>269</v>
      </c>
      <c r="B269" s="515" t="s">
        <v>257</v>
      </c>
      <c r="C269" s="316" t="s">
        <v>579</v>
      </c>
      <c r="D269" s="350" t="s">
        <v>582</v>
      </c>
      <c r="E269" s="259" t="s">
        <v>513</v>
      </c>
      <c r="F269" s="86" t="s">
        <v>584</v>
      </c>
      <c r="G269" s="316" t="s">
        <v>45</v>
      </c>
      <c r="H269" s="86" t="s">
        <v>84</v>
      </c>
      <c r="I269" s="515" t="s">
        <v>85</v>
      </c>
      <c r="J269" s="524">
        <v>75.400001525878906</v>
      </c>
      <c r="K269" s="353">
        <f t="shared" si="8"/>
        <v>156</v>
      </c>
      <c r="L269" s="264">
        <v>156</v>
      </c>
      <c r="M269" s="263" t="e">
        <f>IF(L269="nio",0,IF(L269&gt;0,L269*J269/N269,0))*VLOOKUP(B269,'2-Kosten per locatie'!$A$14:$C$18,3,FALSE)</f>
        <v>#DIV/0!</v>
      </c>
      <c r="N269" s="354">
        <f>IF(L269="nio",0,IF(L269&gt;0,VLOOKUP(G269,'3-Productie normen'!A:L,VLOOKUP(L269,'3-Productie normen'!$B$29:$C$32,2,FALSE),FALSE)))</f>
        <v>0</v>
      </c>
      <c r="O269" s="355" t="str">
        <f>VLOOKUP(G269,'3-Productie normen'!A:H,8,FALSE)</f>
        <v>V</v>
      </c>
      <c r="P269" s="355"/>
      <c r="R269" s="356">
        <f t="shared" si="9"/>
        <v>11762.400238037109</v>
      </c>
    </row>
    <row r="270" spans="1:18" ht="14.1" customHeight="1">
      <c r="A270" s="75">
        <v>270</v>
      </c>
      <c r="B270" s="515" t="s">
        <v>257</v>
      </c>
      <c r="C270" s="316" t="s">
        <v>579</v>
      </c>
      <c r="D270" s="350" t="s">
        <v>582</v>
      </c>
      <c r="E270" s="259" t="s">
        <v>514</v>
      </c>
      <c r="F270" s="86" t="s">
        <v>598</v>
      </c>
      <c r="G270" s="86" t="s">
        <v>49</v>
      </c>
      <c r="H270" s="86" t="s">
        <v>236</v>
      </c>
      <c r="I270" s="515" t="s">
        <v>82</v>
      </c>
      <c r="J270" s="524">
        <v>15.800000190734863</v>
      </c>
      <c r="K270" s="353">
        <f t="shared" si="8"/>
        <v>156</v>
      </c>
      <c r="L270" s="264">
        <v>156</v>
      </c>
      <c r="M270" s="263" t="e">
        <f>IF(L270="nio",0,IF(L270&gt;0,L270*J270/N270,0))*VLOOKUP(B270,'2-Kosten per locatie'!$A$14:$C$18,3,FALSE)</f>
        <v>#DIV/0!</v>
      </c>
      <c r="N270" s="354">
        <f>IF(L270="nio",0,IF(L270&gt;0,VLOOKUP(G270,'3-Productie normen'!A:L,VLOOKUP(L270,'3-Productie normen'!$B$29:$C$32,2,FALSE),FALSE)))</f>
        <v>0</v>
      </c>
      <c r="O270" s="355" t="str">
        <f>VLOOKUP(G270,'3-Productie normen'!A:H,8,FALSE)</f>
        <v>V</v>
      </c>
      <c r="P270" s="355"/>
      <c r="R270" s="356">
        <f t="shared" si="9"/>
        <v>2464.8000297546387</v>
      </c>
    </row>
    <row r="271" spans="1:18" ht="14.1" customHeight="1">
      <c r="A271" s="75">
        <v>271</v>
      </c>
      <c r="B271" s="515" t="s">
        <v>257</v>
      </c>
      <c r="C271" s="316" t="s">
        <v>579</v>
      </c>
      <c r="D271" s="350" t="s">
        <v>582</v>
      </c>
      <c r="E271" s="259" t="s">
        <v>515</v>
      </c>
      <c r="F271" s="86" t="s">
        <v>584</v>
      </c>
      <c r="G271" s="316" t="s">
        <v>45</v>
      </c>
      <c r="H271" s="86" t="s">
        <v>236</v>
      </c>
      <c r="I271" s="515" t="s">
        <v>86</v>
      </c>
      <c r="J271" s="524">
        <v>8.1000003814697266</v>
      </c>
      <c r="K271" s="353">
        <f t="shared" si="8"/>
        <v>156</v>
      </c>
      <c r="L271" s="264">
        <v>156</v>
      </c>
      <c r="M271" s="263" t="e">
        <f>IF(L271="nio",0,IF(L271&gt;0,L271*J271/N271,0))*VLOOKUP(B271,'2-Kosten per locatie'!$A$14:$C$18,3,FALSE)</f>
        <v>#DIV/0!</v>
      </c>
      <c r="N271" s="354">
        <f>IF(L271="nio",0,IF(L271&gt;0,VLOOKUP(G271,'3-Productie normen'!A:L,VLOOKUP(L271,'3-Productie normen'!$B$29:$C$32,2,FALSE),FALSE)))</f>
        <v>0</v>
      </c>
      <c r="O271" s="355" t="str">
        <f>VLOOKUP(G271,'3-Productie normen'!A:H,8,FALSE)</f>
        <v>V</v>
      </c>
      <c r="P271" s="355"/>
      <c r="R271" s="356">
        <f t="shared" si="9"/>
        <v>1263.6000595092773</v>
      </c>
    </row>
    <row r="272" spans="1:18" ht="14.1" customHeight="1">
      <c r="A272" s="75">
        <v>272</v>
      </c>
      <c r="B272" s="515" t="s">
        <v>257</v>
      </c>
      <c r="C272" s="316" t="s">
        <v>579</v>
      </c>
      <c r="D272" s="350" t="s">
        <v>582</v>
      </c>
      <c r="E272" s="259" t="s">
        <v>516</v>
      </c>
      <c r="F272" s="86" t="s">
        <v>585</v>
      </c>
      <c r="G272" s="316" t="s">
        <v>54</v>
      </c>
      <c r="H272" s="86" t="s">
        <v>236</v>
      </c>
      <c r="I272" s="515" t="s">
        <v>86</v>
      </c>
      <c r="J272" s="524">
        <v>13.399999618530273</v>
      </c>
      <c r="K272" s="353">
        <f t="shared" si="8"/>
        <v>156</v>
      </c>
      <c r="L272" s="264">
        <v>156</v>
      </c>
      <c r="M272" s="263" t="e">
        <f>IF(L272="nio",0,IF(L272&gt;0,L272*J272/N272,0))*VLOOKUP(B272,'2-Kosten per locatie'!$A$14:$C$18,3,FALSE)</f>
        <v>#DIV/0!</v>
      </c>
      <c r="N272" s="354">
        <f>IF(L272="nio",0,IF(L272&gt;0,VLOOKUP(G272,'3-Productie normen'!A:L,VLOOKUP(L272,'3-Productie normen'!$B$29:$C$32,2,FALSE),FALSE)))</f>
        <v>0</v>
      </c>
      <c r="O272" s="355" t="str">
        <f>VLOOKUP(G272,'3-Productie normen'!A:H,8,FALSE)</f>
        <v>V</v>
      </c>
      <c r="P272" s="355"/>
      <c r="R272" s="356">
        <f t="shared" si="9"/>
        <v>2090.3999404907227</v>
      </c>
    </row>
    <row r="273" spans="1:18" ht="14.1" customHeight="1">
      <c r="A273" s="75">
        <v>273</v>
      </c>
      <c r="B273" s="515" t="s">
        <v>257</v>
      </c>
      <c r="C273" s="316" t="s">
        <v>579</v>
      </c>
      <c r="D273" s="350" t="s">
        <v>582</v>
      </c>
      <c r="E273" s="259" t="s">
        <v>517</v>
      </c>
      <c r="F273" s="86" t="s">
        <v>589</v>
      </c>
      <c r="G273" s="71" t="s">
        <v>41</v>
      </c>
      <c r="H273" s="86" t="s">
        <v>84</v>
      </c>
      <c r="I273" s="515" t="s">
        <v>85</v>
      </c>
      <c r="J273" s="524">
        <v>39.099998474121094</v>
      </c>
      <c r="K273" s="353">
        <f t="shared" si="8"/>
        <v>255</v>
      </c>
      <c r="L273" s="264">
        <v>255</v>
      </c>
      <c r="M273" s="263" t="e">
        <f>IF(L273="nio",0,IF(L273&gt;0,L273*J273/N273,0))*VLOOKUP(B273,'2-Kosten per locatie'!$A$14:$C$18,3,FALSE)</f>
        <v>#DIV/0!</v>
      </c>
      <c r="N273" s="354">
        <f>IF(L273="nio",0,IF(L273&gt;0,VLOOKUP(G273,'3-Productie normen'!A:L,VLOOKUP(L273,'3-Productie normen'!$B$29:$C$32,2,FALSE),FALSE)))</f>
        <v>0</v>
      </c>
      <c r="O273" s="355" t="str">
        <f>VLOOKUP(G273,'3-Productie normen'!A:H,8,FALSE)</f>
        <v>B</v>
      </c>
      <c r="P273" s="355"/>
      <c r="R273" s="356">
        <f t="shared" si="9"/>
        <v>9970.4996109008789</v>
      </c>
    </row>
    <row r="274" spans="1:18" ht="14.1" customHeight="1">
      <c r="A274" s="75">
        <v>274</v>
      </c>
      <c r="B274" s="515" t="s">
        <v>257</v>
      </c>
      <c r="C274" s="316" t="s">
        <v>579</v>
      </c>
      <c r="D274" s="350" t="s">
        <v>582</v>
      </c>
      <c r="E274" s="259" t="s">
        <v>518</v>
      </c>
      <c r="F274" s="86" t="s">
        <v>589</v>
      </c>
      <c r="G274" s="71" t="s">
        <v>41</v>
      </c>
      <c r="H274" s="86" t="s">
        <v>84</v>
      </c>
      <c r="I274" s="515" t="s">
        <v>85</v>
      </c>
      <c r="J274" s="524">
        <v>39.099998474121094</v>
      </c>
      <c r="K274" s="353">
        <f t="shared" si="8"/>
        <v>255</v>
      </c>
      <c r="L274" s="264">
        <v>255</v>
      </c>
      <c r="M274" s="263" t="e">
        <f>IF(L274="nio",0,IF(L274&gt;0,L274*J274/N274,0))*VLOOKUP(B274,'2-Kosten per locatie'!$A$14:$C$18,3,FALSE)</f>
        <v>#DIV/0!</v>
      </c>
      <c r="N274" s="354">
        <f>IF(L274="nio",0,IF(L274&gt;0,VLOOKUP(G274,'3-Productie normen'!A:L,VLOOKUP(L274,'3-Productie normen'!$B$29:$C$32,2,FALSE),FALSE)))</f>
        <v>0</v>
      </c>
      <c r="O274" s="355" t="str">
        <f>VLOOKUP(G274,'3-Productie normen'!A:H,8,FALSE)</f>
        <v>B</v>
      </c>
      <c r="P274" s="355"/>
      <c r="R274" s="356">
        <f t="shared" si="9"/>
        <v>9970.4996109008789</v>
      </c>
    </row>
    <row r="275" spans="1:18" ht="14.1" customHeight="1">
      <c r="A275" s="75">
        <v>275</v>
      </c>
      <c r="B275" s="515" t="s">
        <v>257</v>
      </c>
      <c r="C275" s="316" t="s">
        <v>579</v>
      </c>
      <c r="D275" s="350" t="s">
        <v>582</v>
      </c>
      <c r="E275" s="259" t="s">
        <v>519</v>
      </c>
      <c r="F275" s="86" t="s">
        <v>589</v>
      </c>
      <c r="G275" s="71" t="s">
        <v>41</v>
      </c>
      <c r="H275" s="86" t="s">
        <v>84</v>
      </c>
      <c r="I275" s="515" t="s">
        <v>85</v>
      </c>
      <c r="J275" s="524">
        <v>15.800000190734863</v>
      </c>
      <c r="K275" s="353">
        <f t="shared" si="8"/>
        <v>255</v>
      </c>
      <c r="L275" s="264">
        <v>255</v>
      </c>
      <c r="M275" s="263" t="e">
        <f>IF(L275="nio",0,IF(L275&gt;0,L275*J275/N275,0))*VLOOKUP(B275,'2-Kosten per locatie'!$A$14:$C$18,3,FALSE)</f>
        <v>#DIV/0!</v>
      </c>
      <c r="N275" s="354">
        <f>IF(L275="nio",0,IF(L275&gt;0,VLOOKUP(G275,'3-Productie normen'!A:L,VLOOKUP(L275,'3-Productie normen'!$B$29:$C$32,2,FALSE),FALSE)))</f>
        <v>0</v>
      </c>
      <c r="O275" s="355" t="str">
        <f>VLOOKUP(G275,'3-Productie normen'!A:H,8,FALSE)</f>
        <v>B</v>
      </c>
      <c r="P275" s="355"/>
      <c r="R275" s="356">
        <f t="shared" si="9"/>
        <v>4029.0000486373901</v>
      </c>
    </row>
    <row r="276" spans="1:18" ht="14.1" customHeight="1">
      <c r="A276" s="75">
        <v>276</v>
      </c>
      <c r="B276" s="515" t="s">
        <v>257</v>
      </c>
      <c r="C276" s="316" t="s">
        <v>579</v>
      </c>
      <c r="D276" s="350" t="s">
        <v>582</v>
      </c>
      <c r="E276" s="259" t="s">
        <v>520</v>
      </c>
      <c r="F276" s="86" t="s">
        <v>589</v>
      </c>
      <c r="G276" s="71" t="s">
        <v>41</v>
      </c>
      <c r="H276" s="86" t="s">
        <v>84</v>
      </c>
      <c r="I276" s="515" t="s">
        <v>85</v>
      </c>
      <c r="J276" s="524">
        <v>32</v>
      </c>
      <c r="K276" s="353">
        <f t="shared" si="8"/>
        <v>255</v>
      </c>
      <c r="L276" s="264">
        <v>255</v>
      </c>
      <c r="M276" s="263" t="e">
        <f>IF(L276="nio",0,IF(L276&gt;0,L276*J276/N276,0))*VLOOKUP(B276,'2-Kosten per locatie'!$A$14:$C$18,3,FALSE)</f>
        <v>#DIV/0!</v>
      </c>
      <c r="N276" s="354">
        <f>IF(L276="nio",0,IF(L276&gt;0,VLOOKUP(G276,'3-Productie normen'!A:L,VLOOKUP(L276,'3-Productie normen'!$B$29:$C$32,2,FALSE),FALSE)))</f>
        <v>0</v>
      </c>
      <c r="O276" s="355" t="str">
        <f>VLOOKUP(G276,'3-Productie normen'!A:H,8,FALSE)</f>
        <v>B</v>
      </c>
      <c r="P276" s="355"/>
      <c r="R276" s="356">
        <f t="shared" si="9"/>
        <v>8160</v>
      </c>
    </row>
    <row r="277" spans="1:18" ht="14.1" customHeight="1">
      <c r="A277" s="75">
        <v>277</v>
      </c>
      <c r="B277" s="515" t="s">
        <v>257</v>
      </c>
      <c r="C277" s="316" t="s">
        <v>579</v>
      </c>
      <c r="D277" s="350" t="s">
        <v>582</v>
      </c>
      <c r="E277" s="259" t="s">
        <v>518</v>
      </c>
      <c r="F277" s="86" t="s">
        <v>589</v>
      </c>
      <c r="G277" s="71" t="s">
        <v>41</v>
      </c>
      <c r="H277" s="86" t="s">
        <v>84</v>
      </c>
      <c r="I277" s="515" t="s">
        <v>85</v>
      </c>
      <c r="J277" s="524">
        <v>24</v>
      </c>
      <c r="K277" s="353">
        <f t="shared" si="8"/>
        <v>255</v>
      </c>
      <c r="L277" s="264">
        <v>255</v>
      </c>
      <c r="M277" s="263" t="e">
        <f>IF(L277="nio",0,IF(L277&gt;0,L277*J277/N277,0))*VLOOKUP(B277,'2-Kosten per locatie'!$A$14:$C$18,3,FALSE)</f>
        <v>#DIV/0!</v>
      </c>
      <c r="N277" s="354">
        <f>IF(L277="nio",0,IF(L277&gt;0,VLOOKUP(G277,'3-Productie normen'!A:L,VLOOKUP(L277,'3-Productie normen'!$B$29:$C$32,2,FALSE),FALSE)))</f>
        <v>0</v>
      </c>
      <c r="O277" s="355" t="str">
        <f>VLOOKUP(G277,'3-Productie normen'!A:H,8,FALSE)</f>
        <v>B</v>
      </c>
      <c r="P277" s="355"/>
      <c r="R277" s="356">
        <f t="shared" si="9"/>
        <v>6120</v>
      </c>
    </row>
    <row r="278" spans="1:18" ht="14.1" customHeight="1">
      <c r="A278" s="75">
        <v>278</v>
      </c>
      <c r="B278" s="515" t="s">
        <v>257</v>
      </c>
      <c r="C278" s="316" t="s">
        <v>579</v>
      </c>
      <c r="D278" s="350" t="s">
        <v>582</v>
      </c>
      <c r="E278" s="259" t="s">
        <v>521</v>
      </c>
      <c r="F278" s="86" t="s">
        <v>589</v>
      </c>
      <c r="G278" s="71" t="s">
        <v>41</v>
      </c>
      <c r="H278" s="86" t="s">
        <v>84</v>
      </c>
      <c r="I278" s="515" t="s">
        <v>85</v>
      </c>
      <c r="J278" s="524">
        <v>15.800000190734863</v>
      </c>
      <c r="K278" s="353">
        <f t="shared" si="8"/>
        <v>255</v>
      </c>
      <c r="L278" s="264">
        <v>255</v>
      </c>
      <c r="M278" s="263" t="e">
        <f>IF(L278="nio",0,IF(L278&gt;0,L278*J278/N278,0))*VLOOKUP(B278,'2-Kosten per locatie'!$A$14:$C$18,3,FALSE)</f>
        <v>#DIV/0!</v>
      </c>
      <c r="N278" s="354">
        <f>IF(L278="nio",0,IF(L278&gt;0,VLOOKUP(G278,'3-Productie normen'!A:L,VLOOKUP(L278,'3-Productie normen'!$B$29:$C$32,2,FALSE),FALSE)))</f>
        <v>0</v>
      </c>
      <c r="O278" s="355" t="str">
        <f>VLOOKUP(G278,'3-Productie normen'!A:H,8,FALSE)</f>
        <v>B</v>
      </c>
      <c r="P278" s="355"/>
      <c r="R278" s="356">
        <f t="shared" si="9"/>
        <v>4029.0000486373901</v>
      </c>
    </row>
    <row r="279" spans="1:18" ht="14.1" customHeight="1">
      <c r="A279" s="75">
        <v>279</v>
      </c>
      <c r="B279" s="515" t="s">
        <v>257</v>
      </c>
      <c r="C279" s="316" t="s">
        <v>579</v>
      </c>
      <c r="D279" s="350" t="s">
        <v>582</v>
      </c>
      <c r="E279" s="259" t="s">
        <v>522</v>
      </c>
      <c r="F279" s="86" t="s">
        <v>589</v>
      </c>
      <c r="G279" s="71" t="s">
        <v>41</v>
      </c>
      <c r="H279" s="86" t="s">
        <v>84</v>
      </c>
      <c r="I279" s="515" t="s">
        <v>85</v>
      </c>
      <c r="J279" s="524">
        <v>15.800000190734863</v>
      </c>
      <c r="K279" s="353">
        <f t="shared" si="8"/>
        <v>255</v>
      </c>
      <c r="L279" s="264">
        <v>255</v>
      </c>
      <c r="M279" s="263" t="e">
        <f>IF(L279="nio",0,IF(L279&gt;0,L279*J279/N279,0))*VLOOKUP(B279,'2-Kosten per locatie'!$A$14:$C$18,3,FALSE)</f>
        <v>#DIV/0!</v>
      </c>
      <c r="N279" s="354">
        <f>IF(L279="nio",0,IF(L279&gt;0,VLOOKUP(G279,'3-Productie normen'!A:L,VLOOKUP(L279,'3-Productie normen'!$B$29:$C$32,2,FALSE),FALSE)))</f>
        <v>0</v>
      </c>
      <c r="O279" s="355" t="str">
        <f>VLOOKUP(G279,'3-Productie normen'!A:H,8,FALSE)</f>
        <v>B</v>
      </c>
      <c r="P279" s="355"/>
      <c r="R279" s="356">
        <f t="shared" si="9"/>
        <v>4029.0000486373901</v>
      </c>
    </row>
    <row r="280" spans="1:18" ht="14.1" customHeight="1">
      <c r="A280" s="75">
        <v>280</v>
      </c>
      <c r="B280" s="515" t="s">
        <v>257</v>
      </c>
      <c r="C280" s="316" t="s">
        <v>579</v>
      </c>
      <c r="D280" s="350" t="s">
        <v>582</v>
      </c>
      <c r="E280" s="259" t="s">
        <v>523</v>
      </c>
      <c r="F280" s="86" t="s">
        <v>589</v>
      </c>
      <c r="G280" s="71" t="s">
        <v>41</v>
      </c>
      <c r="H280" s="86" t="s">
        <v>84</v>
      </c>
      <c r="I280" s="515" t="s">
        <v>85</v>
      </c>
      <c r="J280" s="524">
        <v>24</v>
      </c>
      <c r="K280" s="353">
        <f t="shared" si="8"/>
        <v>255</v>
      </c>
      <c r="L280" s="264">
        <v>255</v>
      </c>
      <c r="M280" s="263" t="e">
        <f>IF(L280="nio",0,IF(L280&gt;0,L280*J280/N280,0))*VLOOKUP(B280,'2-Kosten per locatie'!$A$14:$C$18,3,FALSE)</f>
        <v>#DIV/0!</v>
      </c>
      <c r="N280" s="354">
        <f>IF(L280="nio",0,IF(L280&gt;0,VLOOKUP(G280,'3-Productie normen'!A:L,VLOOKUP(L280,'3-Productie normen'!$B$29:$C$32,2,FALSE),FALSE)))</f>
        <v>0</v>
      </c>
      <c r="O280" s="355" t="str">
        <f>VLOOKUP(G280,'3-Productie normen'!A:H,8,FALSE)</f>
        <v>B</v>
      </c>
      <c r="P280" s="355"/>
      <c r="R280" s="356">
        <f t="shared" si="9"/>
        <v>6120</v>
      </c>
    </row>
    <row r="281" spans="1:18" ht="14.1" customHeight="1">
      <c r="A281" s="75">
        <v>281</v>
      </c>
      <c r="B281" s="515" t="s">
        <v>257</v>
      </c>
      <c r="C281" s="316" t="s">
        <v>579</v>
      </c>
      <c r="D281" s="350" t="s">
        <v>582</v>
      </c>
      <c r="E281" s="259" t="s">
        <v>524</v>
      </c>
      <c r="F281" s="86" t="s">
        <v>589</v>
      </c>
      <c r="G281" s="71" t="s">
        <v>41</v>
      </c>
      <c r="H281" s="86" t="s">
        <v>84</v>
      </c>
      <c r="I281" s="515" t="s">
        <v>85</v>
      </c>
      <c r="J281" s="524">
        <v>47.400001525878906</v>
      </c>
      <c r="K281" s="353">
        <f t="shared" si="8"/>
        <v>255</v>
      </c>
      <c r="L281" s="264">
        <v>255</v>
      </c>
      <c r="M281" s="263" t="e">
        <f>IF(L281="nio",0,IF(L281&gt;0,L281*J281/N281,0))*VLOOKUP(B281,'2-Kosten per locatie'!$A$14:$C$18,3,FALSE)</f>
        <v>#DIV/0!</v>
      </c>
      <c r="N281" s="354">
        <f>IF(L281="nio",0,IF(L281&gt;0,VLOOKUP(G281,'3-Productie normen'!A:L,VLOOKUP(L281,'3-Productie normen'!$B$29:$C$32,2,FALSE),FALSE)))</f>
        <v>0</v>
      </c>
      <c r="O281" s="355" t="str">
        <f>VLOOKUP(G281,'3-Productie normen'!A:H,8,FALSE)</f>
        <v>B</v>
      </c>
      <c r="P281" s="355"/>
      <c r="R281" s="356">
        <f t="shared" si="9"/>
        <v>12087.000389099121</v>
      </c>
    </row>
    <row r="282" spans="1:18" ht="14.1" customHeight="1">
      <c r="A282" s="75">
        <v>282</v>
      </c>
      <c r="B282" s="515" t="s">
        <v>257</v>
      </c>
      <c r="C282" s="316" t="s">
        <v>579</v>
      </c>
      <c r="D282" s="350" t="s">
        <v>582</v>
      </c>
      <c r="E282" s="259" t="s">
        <v>516</v>
      </c>
      <c r="F282" s="86" t="s">
        <v>589</v>
      </c>
      <c r="G282" s="71" t="s">
        <v>41</v>
      </c>
      <c r="H282" s="86" t="s">
        <v>84</v>
      </c>
      <c r="I282" s="515" t="s">
        <v>85</v>
      </c>
      <c r="J282" s="524">
        <v>24</v>
      </c>
      <c r="K282" s="353">
        <f t="shared" si="8"/>
        <v>255</v>
      </c>
      <c r="L282" s="264">
        <v>255</v>
      </c>
      <c r="M282" s="263" t="e">
        <f>IF(L282="nio",0,IF(L282&gt;0,L282*J282/N282,0))*VLOOKUP(B282,'2-Kosten per locatie'!$A$14:$C$18,3,FALSE)</f>
        <v>#DIV/0!</v>
      </c>
      <c r="N282" s="354">
        <f>IF(L282="nio",0,IF(L282&gt;0,VLOOKUP(G282,'3-Productie normen'!A:L,VLOOKUP(L282,'3-Productie normen'!$B$29:$C$32,2,FALSE),FALSE)))</f>
        <v>0</v>
      </c>
      <c r="O282" s="355" t="str">
        <f>VLOOKUP(G282,'3-Productie normen'!A:H,8,FALSE)</f>
        <v>B</v>
      </c>
      <c r="P282" s="355"/>
      <c r="R282" s="356">
        <f t="shared" si="9"/>
        <v>6120</v>
      </c>
    </row>
    <row r="283" spans="1:18" ht="14.1" customHeight="1">
      <c r="A283" s="75">
        <v>283</v>
      </c>
      <c r="B283" s="515" t="s">
        <v>257</v>
      </c>
      <c r="C283" s="316" t="s">
        <v>579</v>
      </c>
      <c r="D283" s="350" t="s">
        <v>582</v>
      </c>
      <c r="E283" s="259" t="s">
        <v>525</v>
      </c>
      <c r="F283" s="86" t="s">
        <v>589</v>
      </c>
      <c r="G283" s="71" t="s">
        <v>41</v>
      </c>
      <c r="H283" s="86" t="s">
        <v>84</v>
      </c>
      <c r="I283" s="515" t="s">
        <v>85</v>
      </c>
      <c r="J283" s="524">
        <v>24</v>
      </c>
      <c r="K283" s="353">
        <f t="shared" si="8"/>
        <v>255</v>
      </c>
      <c r="L283" s="264">
        <v>255</v>
      </c>
      <c r="M283" s="263" t="e">
        <f>IF(L283="nio",0,IF(L283&gt;0,L283*J283/N283,0))*VLOOKUP(B283,'2-Kosten per locatie'!$A$14:$C$18,3,FALSE)</f>
        <v>#DIV/0!</v>
      </c>
      <c r="N283" s="354">
        <f>IF(L283="nio",0,IF(L283&gt;0,VLOOKUP(G283,'3-Productie normen'!A:L,VLOOKUP(L283,'3-Productie normen'!$B$29:$C$32,2,FALSE),FALSE)))</f>
        <v>0</v>
      </c>
      <c r="O283" s="355" t="str">
        <f>VLOOKUP(G283,'3-Productie normen'!A:H,8,FALSE)</f>
        <v>B</v>
      </c>
      <c r="P283" s="355"/>
      <c r="R283" s="356">
        <f t="shared" si="9"/>
        <v>6120</v>
      </c>
    </row>
    <row r="284" spans="1:18" ht="14.1" customHeight="1">
      <c r="A284" s="75">
        <v>284</v>
      </c>
      <c r="B284" s="515" t="s">
        <v>257</v>
      </c>
      <c r="C284" s="316" t="s">
        <v>579</v>
      </c>
      <c r="D284" s="350" t="s">
        <v>582</v>
      </c>
      <c r="E284" s="259" t="s">
        <v>526</v>
      </c>
      <c r="F284" s="86" t="s">
        <v>589</v>
      </c>
      <c r="G284" s="71" t="s">
        <v>41</v>
      </c>
      <c r="H284" s="86" t="s">
        <v>84</v>
      </c>
      <c r="I284" s="515" t="s">
        <v>85</v>
      </c>
      <c r="J284" s="524">
        <v>24</v>
      </c>
      <c r="K284" s="353">
        <f t="shared" si="8"/>
        <v>255</v>
      </c>
      <c r="L284" s="264">
        <v>255</v>
      </c>
      <c r="M284" s="263" t="e">
        <f>IF(L284="nio",0,IF(L284&gt;0,L284*J284/N284,0))*VLOOKUP(B284,'2-Kosten per locatie'!$A$14:$C$18,3,FALSE)</f>
        <v>#DIV/0!</v>
      </c>
      <c r="N284" s="354">
        <f>IF(L284="nio",0,IF(L284&gt;0,VLOOKUP(G284,'3-Productie normen'!A:L,VLOOKUP(L284,'3-Productie normen'!$B$29:$C$32,2,FALSE),FALSE)))</f>
        <v>0</v>
      </c>
      <c r="O284" s="355" t="str">
        <f>VLOOKUP(G284,'3-Productie normen'!A:H,8,FALSE)</f>
        <v>B</v>
      </c>
      <c r="P284" s="355"/>
      <c r="R284" s="356">
        <f t="shared" si="9"/>
        <v>6120</v>
      </c>
    </row>
    <row r="285" spans="1:18" ht="14.1" customHeight="1">
      <c r="A285" s="75">
        <v>285</v>
      </c>
      <c r="B285" s="515" t="s">
        <v>257</v>
      </c>
      <c r="C285" s="316" t="s">
        <v>579</v>
      </c>
      <c r="D285" s="350" t="s">
        <v>582</v>
      </c>
      <c r="E285" s="259" t="s">
        <v>527</v>
      </c>
      <c r="F285" s="86" t="s">
        <v>589</v>
      </c>
      <c r="G285" s="71" t="s">
        <v>41</v>
      </c>
      <c r="H285" s="86" t="s">
        <v>84</v>
      </c>
      <c r="I285" s="515" t="s">
        <v>85</v>
      </c>
      <c r="J285" s="524">
        <v>15.800000190734863</v>
      </c>
      <c r="K285" s="353">
        <f t="shared" si="8"/>
        <v>255</v>
      </c>
      <c r="L285" s="264">
        <v>255</v>
      </c>
      <c r="M285" s="263" t="e">
        <f>IF(L285="nio",0,IF(L285&gt;0,L285*J285/N285,0))*VLOOKUP(B285,'2-Kosten per locatie'!$A$14:$C$18,3,FALSE)</f>
        <v>#DIV/0!</v>
      </c>
      <c r="N285" s="354">
        <f>IF(L285="nio",0,IF(L285&gt;0,VLOOKUP(G285,'3-Productie normen'!A:L,VLOOKUP(L285,'3-Productie normen'!$B$29:$C$32,2,FALSE),FALSE)))</f>
        <v>0</v>
      </c>
      <c r="O285" s="355" t="str">
        <f>VLOOKUP(G285,'3-Productie normen'!A:H,8,FALSE)</f>
        <v>B</v>
      </c>
      <c r="P285" s="355"/>
      <c r="R285" s="356">
        <f t="shared" si="9"/>
        <v>4029.0000486373901</v>
      </c>
    </row>
    <row r="286" spans="1:18" ht="14.1" customHeight="1">
      <c r="A286" s="75">
        <v>286</v>
      </c>
      <c r="B286" s="515" t="s">
        <v>257</v>
      </c>
      <c r="C286" s="316" t="s">
        <v>579</v>
      </c>
      <c r="D286" s="350" t="s">
        <v>582</v>
      </c>
      <c r="E286" s="259" t="s">
        <v>528</v>
      </c>
      <c r="F286" s="86" t="s">
        <v>589</v>
      </c>
      <c r="G286" s="71" t="s">
        <v>41</v>
      </c>
      <c r="H286" s="86" t="s">
        <v>84</v>
      </c>
      <c r="I286" s="515" t="s">
        <v>85</v>
      </c>
      <c r="J286" s="524">
        <v>15.800000190734863</v>
      </c>
      <c r="K286" s="353">
        <f t="shared" si="8"/>
        <v>255</v>
      </c>
      <c r="L286" s="264">
        <v>255</v>
      </c>
      <c r="M286" s="263" t="e">
        <f>IF(L286="nio",0,IF(L286&gt;0,L286*J286/N286,0))*VLOOKUP(B286,'2-Kosten per locatie'!$A$14:$C$18,3,FALSE)</f>
        <v>#DIV/0!</v>
      </c>
      <c r="N286" s="354">
        <f>IF(L286="nio",0,IF(L286&gt;0,VLOOKUP(G286,'3-Productie normen'!A:L,VLOOKUP(L286,'3-Productie normen'!$B$29:$C$32,2,FALSE),FALSE)))</f>
        <v>0</v>
      </c>
      <c r="O286" s="355" t="str">
        <f>VLOOKUP(G286,'3-Productie normen'!A:H,8,FALSE)</f>
        <v>B</v>
      </c>
      <c r="P286" s="355"/>
      <c r="R286" s="356">
        <f t="shared" si="9"/>
        <v>4029.0000486373901</v>
      </c>
    </row>
    <row r="287" spans="1:18" ht="14.1" customHeight="1">
      <c r="A287" s="75">
        <v>287</v>
      </c>
      <c r="B287" s="515" t="s">
        <v>257</v>
      </c>
      <c r="C287" s="316" t="s">
        <v>579</v>
      </c>
      <c r="D287" s="350" t="s">
        <v>582</v>
      </c>
      <c r="E287" s="259" t="s">
        <v>529</v>
      </c>
      <c r="F287" s="86" t="s">
        <v>589</v>
      </c>
      <c r="G287" s="71" t="s">
        <v>41</v>
      </c>
      <c r="H287" s="86" t="s">
        <v>84</v>
      </c>
      <c r="I287" s="515" t="s">
        <v>85</v>
      </c>
      <c r="J287" s="524">
        <v>24</v>
      </c>
      <c r="K287" s="353">
        <f t="shared" si="8"/>
        <v>255</v>
      </c>
      <c r="L287" s="264">
        <v>255</v>
      </c>
      <c r="M287" s="263" t="e">
        <f>IF(L287="nio",0,IF(L287&gt;0,L287*J287/N287,0))*VLOOKUP(B287,'2-Kosten per locatie'!$A$14:$C$18,3,FALSE)</f>
        <v>#DIV/0!</v>
      </c>
      <c r="N287" s="354">
        <f>IF(L287="nio",0,IF(L287&gt;0,VLOOKUP(G287,'3-Productie normen'!A:L,VLOOKUP(L287,'3-Productie normen'!$B$29:$C$32,2,FALSE),FALSE)))</f>
        <v>0</v>
      </c>
      <c r="O287" s="355" t="str">
        <f>VLOOKUP(G287,'3-Productie normen'!A:H,8,FALSE)</f>
        <v>B</v>
      </c>
      <c r="P287" s="355"/>
      <c r="R287" s="356">
        <f t="shared" si="9"/>
        <v>6120</v>
      </c>
    </row>
    <row r="288" spans="1:18" ht="14.1" customHeight="1">
      <c r="A288" s="75">
        <v>288</v>
      </c>
      <c r="B288" s="515" t="s">
        <v>257</v>
      </c>
      <c r="C288" s="316" t="s">
        <v>579</v>
      </c>
      <c r="D288" s="350" t="s">
        <v>582</v>
      </c>
      <c r="E288" s="259" t="s">
        <v>530</v>
      </c>
      <c r="F288" s="86" t="s">
        <v>589</v>
      </c>
      <c r="G288" s="71" t="s">
        <v>41</v>
      </c>
      <c r="H288" s="86" t="s">
        <v>84</v>
      </c>
      <c r="I288" s="515" t="s">
        <v>85</v>
      </c>
      <c r="J288" s="524">
        <v>15.800000190734863</v>
      </c>
      <c r="K288" s="353">
        <f t="shared" si="8"/>
        <v>255</v>
      </c>
      <c r="L288" s="264">
        <v>255</v>
      </c>
      <c r="M288" s="263" t="e">
        <f>IF(L288="nio",0,IF(L288&gt;0,L288*J288/N288,0))*VLOOKUP(B288,'2-Kosten per locatie'!$A$14:$C$18,3,FALSE)</f>
        <v>#DIV/0!</v>
      </c>
      <c r="N288" s="354">
        <f>IF(L288="nio",0,IF(L288&gt;0,VLOOKUP(G288,'3-Productie normen'!A:L,VLOOKUP(L288,'3-Productie normen'!$B$29:$C$32,2,FALSE),FALSE)))</f>
        <v>0</v>
      </c>
      <c r="O288" s="355" t="str">
        <f>VLOOKUP(G288,'3-Productie normen'!A:H,8,FALSE)</f>
        <v>B</v>
      </c>
      <c r="P288" s="355"/>
      <c r="R288" s="356">
        <f t="shared" si="9"/>
        <v>4029.0000486373901</v>
      </c>
    </row>
    <row r="289" spans="1:18" ht="14.1" customHeight="1">
      <c r="A289" s="75">
        <v>289</v>
      </c>
      <c r="B289" s="515" t="s">
        <v>257</v>
      </c>
      <c r="C289" s="316" t="s">
        <v>579</v>
      </c>
      <c r="D289" s="350" t="s">
        <v>582</v>
      </c>
      <c r="E289" s="259" t="s">
        <v>531</v>
      </c>
      <c r="F289" s="86" t="s">
        <v>589</v>
      </c>
      <c r="G289" s="71" t="s">
        <v>41</v>
      </c>
      <c r="H289" s="86" t="s">
        <v>84</v>
      </c>
      <c r="I289" s="515" t="s">
        <v>85</v>
      </c>
      <c r="J289" s="524">
        <v>24</v>
      </c>
      <c r="K289" s="353">
        <f t="shared" si="8"/>
        <v>255</v>
      </c>
      <c r="L289" s="264">
        <v>255</v>
      </c>
      <c r="M289" s="263" t="e">
        <f>IF(L289="nio",0,IF(L289&gt;0,L289*J289/N289,0))*VLOOKUP(B289,'2-Kosten per locatie'!$A$14:$C$18,3,FALSE)</f>
        <v>#DIV/0!</v>
      </c>
      <c r="N289" s="354">
        <f>IF(L289="nio",0,IF(L289&gt;0,VLOOKUP(G289,'3-Productie normen'!A:L,VLOOKUP(L289,'3-Productie normen'!$B$29:$C$32,2,FALSE),FALSE)))</f>
        <v>0</v>
      </c>
      <c r="O289" s="355" t="str">
        <f>VLOOKUP(G289,'3-Productie normen'!A:H,8,FALSE)</f>
        <v>B</v>
      </c>
      <c r="P289" s="355"/>
      <c r="R289" s="356">
        <f t="shared" si="9"/>
        <v>6120</v>
      </c>
    </row>
    <row r="290" spans="1:18" ht="14.1" customHeight="1">
      <c r="A290" s="75">
        <v>290</v>
      </c>
      <c r="B290" s="515" t="s">
        <v>257</v>
      </c>
      <c r="C290" s="316" t="s">
        <v>579</v>
      </c>
      <c r="D290" s="350" t="s">
        <v>582</v>
      </c>
      <c r="E290" s="259" t="s">
        <v>532</v>
      </c>
      <c r="F290" s="86" t="s">
        <v>589</v>
      </c>
      <c r="G290" s="71" t="s">
        <v>41</v>
      </c>
      <c r="H290" s="86" t="s">
        <v>84</v>
      </c>
      <c r="I290" s="515" t="s">
        <v>85</v>
      </c>
      <c r="J290" s="524">
        <v>24</v>
      </c>
      <c r="K290" s="353">
        <f t="shared" si="8"/>
        <v>255</v>
      </c>
      <c r="L290" s="264">
        <v>255</v>
      </c>
      <c r="M290" s="263" t="e">
        <f>IF(L290="nio",0,IF(L290&gt;0,L290*J290/N290,0))*VLOOKUP(B290,'2-Kosten per locatie'!$A$14:$C$18,3,FALSE)</f>
        <v>#DIV/0!</v>
      </c>
      <c r="N290" s="354">
        <f>IF(L290="nio",0,IF(L290&gt;0,VLOOKUP(G290,'3-Productie normen'!A:L,VLOOKUP(L290,'3-Productie normen'!$B$29:$C$32,2,FALSE),FALSE)))</f>
        <v>0</v>
      </c>
      <c r="O290" s="355" t="str">
        <f>VLOOKUP(G290,'3-Productie normen'!A:H,8,FALSE)</f>
        <v>B</v>
      </c>
      <c r="P290" s="355"/>
      <c r="R290" s="356">
        <f t="shared" si="9"/>
        <v>6120</v>
      </c>
    </row>
    <row r="291" spans="1:18" ht="14.1" customHeight="1">
      <c r="A291" s="75">
        <v>291</v>
      </c>
      <c r="B291" s="515" t="s">
        <v>257</v>
      </c>
      <c r="C291" s="316" t="s">
        <v>579</v>
      </c>
      <c r="D291" s="350" t="s">
        <v>582</v>
      </c>
      <c r="E291" s="259" t="s">
        <v>533</v>
      </c>
      <c r="F291" s="86" t="s">
        <v>589</v>
      </c>
      <c r="G291" s="71" t="s">
        <v>41</v>
      </c>
      <c r="H291" s="86" t="s">
        <v>84</v>
      </c>
      <c r="I291" s="515" t="s">
        <v>85</v>
      </c>
      <c r="J291" s="524">
        <v>24</v>
      </c>
      <c r="K291" s="353">
        <f t="shared" si="8"/>
        <v>255</v>
      </c>
      <c r="L291" s="264">
        <v>255</v>
      </c>
      <c r="M291" s="263" t="e">
        <f>IF(L291="nio",0,IF(L291&gt;0,L291*J291/N291,0))*VLOOKUP(B291,'2-Kosten per locatie'!$A$14:$C$18,3,FALSE)</f>
        <v>#DIV/0!</v>
      </c>
      <c r="N291" s="354">
        <f>IF(L291="nio",0,IF(L291&gt;0,VLOOKUP(G291,'3-Productie normen'!A:L,VLOOKUP(L291,'3-Productie normen'!$B$29:$C$32,2,FALSE),FALSE)))</f>
        <v>0</v>
      </c>
      <c r="O291" s="355" t="str">
        <f>VLOOKUP(G291,'3-Productie normen'!A:H,8,FALSE)</f>
        <v>B</v>
      </c>
      <c r="P291" s="355"/>
      <c r="R291" s="356">
        <f t="shared" si="9"/>
        <v>6120</v>
      </c>
    </row>
    <row r="292" spans="1:18" ht="14.1" customHeight="1">
      <c r="A292" s="75">
        <v>292</v>
      </c>
      <c r="B292" s="515" t="s">
        <v>257</v>
      </c>
      <c r="C292" s="316" t="s">
        <v>579</v>
      </c>
      <c r="D292" s="350" t="s">
        <v>582</v>
      </c>
      <c r="E292" s="259" t="s">
        <v>534</v>
      </c>
      <c r="F292" s="86" t="s">
        <v>599</v>
      </c>
      <c r="G292" s="71" t="s">
        <v>41</v>
      </c>
      <c r="H292" s="86" t="s">
        <v>84</v>
      </c>
      <c r="I292" s="515" t="s">
        <v>85</v>
      </c>
      <c r="J292" s="524">
        <v>24</v>
      </c>
      <c r="K292" s="353">
        <f t="shared" si="8"/>
        <v>255</v>
      </c>
      <c r="L292" s="264">
        <v>255</v>
      </c>
      <c r="M292" s="263" t="e">
        <f>IF(L292="nio",0,IF(L292&gt;0,L292*J292/N292,0))*VLOOKUP(B292,'2-Kosten per locatie'!$A$14:$C$18,3,FALSE)</f>
        <v>#DIV/0!</v>
      </c>
      <c r="N292" s="354">
        <f>IF(L292="nio",0,IF(L292&gt;0,VLOOKUP(G292,'3-Productie normen'!A:L,VLOOKUP(L292,'3-Productie normen'!$B$29:$C$32,2,FALSE),FALSE)))</f>
        <v>0</v>
      </c>
      <c r="O292" s="355" t="str">
        <f>VLOOKUP(G292,'3-Productie normen'!A:H,8,FALSE)</f>
        <v>B</v>
      </c>
      <c r="P292" s="355"/>
      <c r="R292" s="356">
        <f t="shared" si="9"/>
        <v>6120</v>
      </c>
    </row>
    <row r="293" spans="1:18" ht="14.1" customHeight="1">
      <c r="A293" s="75">
        <v>293</v>
      </c>
      <c r="B293" s="515" t="s">
        <v>257</v>
      </c>
      <c r="C293" s="316" t="s">
        <v>579</v>
      </c>
      <c r="D293" s="350" t="s">
        <v>582</v>
      </c>
      <c r="E293" s="259" t="s">
        <v>535</v>
      </c>
      <c r="F293" s="86" t="s">
        <v>589</v>
      </c>
      <c r="G293" s="71" t="s">
        <v>41</v>
      </c>
      <c r="H293" s="86" t="s">
        <v>84</v>
      </c>
      <c r="I293" s="515" t="s">
        <v>85</v>
      </c>
      <c r="J293" s="524">
        <v>15.800000190734863</v>
      </c>
      <c r="K293" s="353">
        <f t="shared" si="8"/>
        <v>255</v>
      </c>
      <c r="L293" s="264">
        <v>255</v>
      </c>
      <c r="M293" s="263" t="e">
        <f>IF(L293="nio",0,IF(L293&gt;0,L293*J293/N293,0))*VLOOKUP(B293,'2-Kosten per locatie'!$A$14:$C$18,3,FALSE)</f>
        <v>#DIV/0!</v>
      </c>
      <c r="N293" s="354">
        <f>IF(L293="nio",0,IF(L293&gt;0,VLOOKUP(G293,'3-Productie normen'!A:L,VLOOKUP(L293,'3-Productie normen'!$B$29:$C$32,2,FALSE),FALSE)))</f>
        <v>0</v>
      </c>
      <c r="O293" s="355" t="str">
        <f>VLOOKUP(G293,'3-Productie normen'!A:H,8,FALSE)</f>
        <v>B</v>
      </c>
      <c r="P293" s="355"/>
      <c r="R293" s="356">
        <f t="shared" si="9"/>
        <v>4029.0000486373901</v>
      </c>
    </row>
    <row r="294" spans="1:18" ht="14.1" customHeight="1">
      <c r="A294" s="75">
        <v>294</v>
      </c>
      <c r="B294" s="515" t="s">
        <v>257</v>
      </c>
      <c r="C294" s="316" t="s">
        <v>579</v>
      </c>
      <c r="D294" s="350" t="s">
        <v>582</v>
      </c>
      <c r="E294" s="259" t="s">
        <v>536</v>
      </c>
      <c r="F294" s="86" t="s">
        <v>589</v>
      </c>
      <c r="G294" s="71" t="s">
        <v>41</v>
      </c>
      <c r="H294" s="86" t="s">
        <v>84</v>
      </c>
      <c r="I294" s="515" t="s">
        <v>85</v>
      </c>
      <c r="J294" s="524">
        <v>24</v>
      </c>
      <c r="K294" s="353">
        <f t="shared" si="8"/>
        <v>255</v>
      </c>
      <c r="L294" s="264">
        <v>255</v>
      </c>
      <c r="M294" s="263" t="e">
        <f>IF(L294="nio",0,IF(L294&gt;0,L294*J294/N294,0))*VLOOKUP(B294,'2-Kosten per locatie'!$A$14:$C$18,3,FALSE)</f>
        <v>#DIV/0!</v>
      </c>
      <c r="N294" s="354">
        <f>IF(L294="nio",0,IF(L294&gt;0,VLOOKUP(G294,'3-Productie normen'!A:L,VLOOKUP(L294,'3-Productie normen'!$B$29:$C$32,2,FALSE),FALSE)))</f>
        <v>0</v>
      </c>
      <c r="O294" s="355" t="str">
        <f>VLOOKUP(G294,'3-Productie normen'!A:H,8,FALSE)</f>
        <v>B</v>
      </c>
      <c r="P294" s="355"/>
      <c r="R294" s="356">
        <f t="shared" si="9"/>
        <v>6120</v>
      </c>
    </row>
    <row r="295" spans="1:18" ht="14.1" customHeight="1">
      <c r="A295" s="75">
        <v>295</v>
      </c>
      <c r="B295" s="515" t="s">
        <v>257</v>
      </c>
      <c r="C295" s="316" t="s">
        <v>579</v>
      </c>
      <c r="D295" s="350" t="s">
        <v>582</v>
      </c>
      <c r="E295" s="259" t="s">
        <v>537</v>
      </c>
      <c r="F295" s="86" t="s">
        <v>589</v>
      </c>
      <c r="G295" s="71" t="s">
        <v>41</v>
      </c>
      <c r="H295" s="86" t="s">
        <v>84</v>
      </c>
      <c r="I295" s="515" t="s">
        <v>85</v>
      </c>
      <c r="J295" s="524">
        <v>15.800000190734863</v>
      </c>
      <c r="K295" s="353">
        <f t="shared" si="8"/>
        <v>255</v>
      </c>
      <c r="L295" s="264">
        <v>255</v>
      </c>
      <c r="M295" s="263" t="e">
        <f>IF(L295="nio",0,IF(L295&gt;0,L295*J295/N295,0))*VLOOKUP(B295,'2-Kosten per locatie'!$A$14:$C$18,3,FALSE)</f>
        <v>#DIV/0!</v>
      </c>
      <c r="N295" s="354">
        <f>IF(L295="nio",0,IF(L295&gt;0,VLOOKUP(G295,'3-Productie normen'!A:L,VLOOKUP(L295,'3-Productie normen'!$B$29:$C$32,2,FALSE),FALSE)))</f>
        <v>0</v>
      </c>
      <c r="O295" s="355" t="str">
        <f>VLOOKUP(G295,'3-Productie normen'!A:H,8,FALSE)</f>
        <v>B</v>
      </c>
      <c r="P295" s="355"/>
      <c r="R295" s="356">
        <f t="shared" si="9"/>
        <v>4029.0000486373901</v>
      </c>
    </row>
    <row r="296" spans="1:18" ht="14.1" customHeight="1">
      <c r="A296" s="75">
        <v>296</v>
      </c>
      <c r="B296" s="515" t="s">
        <v>257</v>
      </c>
      <c r="C296" s="316" t="s">
        <v>579</v>
      </c>
      <c r="D296" s="350" t="s">
        <v>582</v>
      </c>
      <c r="E296" s="259" t="s">
        <v>538</v>
      </c>
      <c r="F296" s="86" t="s">
        <v>589</v>
      </c>
      <c r="G296" s="71" t="s">
        <v>41</v>
      </c>
      <c r="H296" s="86" t="s">
        <v>84</v>
      </c>
      <c r="I296" s="515" t="s">
        <v>85</v>
      </c>
      <c r="J296" s="524">
        <v>15.800000190734863</v>
      </c>
      <c r="K296" s="353">
        <f t="shared" si="8"/>
        <v>255</v>
      </c>
      <c r="L296" s="264">
        <v>255</v>
      </c>
      <c r="M296" s="263" t="e">
        <f>IF(L296="nio",0,IF(L296&gt;0,L296*J296/N296,0))*VLOOKUP(B296,'2-Kosten per locatie'!$A$14:$C$18,3,FALSE)</f>
        <v>#DIV/0!</v>
      </c>
      <c r="N296" s="354">
        <f>IF(L296="nio",0,IF(L296&gt;0,VLOOKUP(G296,'3-Productie normen'!A:L,VLOOKUP(L296,'3-Productie normen'!$B$29:$C$32,2,FALSE),FALSE)))</f>
        <v>0</v>
      </c>
      <c r="O296" s="355" t="str">
        <f>VLOOKUP(G296,'3-Productie normen'!A:H,8,FALSE)</f>
        <v>B</v>
      </c>
      <c r="P296" s="355"/>
      <c r="R296" s="356">
        <f t="shared" si="9"/>
        <v>4029.0000486373901</v>
      </c>
    </row>
    <row r="297" spans="1:18" ht="14.1" customHeight="1">
      <c r="A297" s="75">
        <v>297</v>
      </c>
      <c r="B297" s="515" t="s">
        <v>257</v>
      </c>
      <c r="C297" s="316" t="s">
        <v>579</v>
      </c>
      <c r="D297" s="350" t="s">
        <v>582</v>
      </c>
      <c r="E297" s="259" t="s">
        <v>539</v>
      </c>
      <c r="F297" s="86" t="s">
        <v>589</v>
      </c>
      <c r="G297" s="71" t="s">
        <v>41</v>
      </c>
      <c r="H297" s="86" t="s">
        <v>84</v>
      </c>
      <c r="I297" s="515" t="s">
        <v>85</v>
      </c>
      <c r="J297" s="524">
        <v>15.800000190734863</v>
      </c>
      <c r="K297" s="353">
        <f t="shared" si="8"/>
        <v>255</v>
      </c>
      <c r="L297" s="264">
        <v>255</v>
      </c>
      <c r="M297" s="263" t="e">
        <f>IF(L297="nio",0,IF(L297&gt;0,L297*J297/N297,0))*VLOOKUP(B297,'2-Kosten per locatie'!$A$14:$C$18,3,FALSE)</f>
        <v>#DIV/0!</v>
      </c>
      <c r="N297" s="354">
        <f>IF(L297="nio",0,IF(L297&gt;0,VLOOKUP(G297,'3-Productie normen'!A:L,VLOOKUP(L297,'3-Productie normen'!$B$29:$C$32,2,FALSE),FALSE)))</f>
        <v>0</v>
      </c>
      <c r="O297" s="355" t="str">
        <f>VLOOKUP(G297,'3-Productie normen'!A:H,8,FALSE)</f>
        <v>B</v>
      </c>
      <c r="P297" s="355"/>
      <c r="R297" s="356">
        <f t="shared" si="9"/>
        <v>4029.0000486373901</v>
      </c>
    </row>
    <row r="298" spans="1:18" ht="14.1" customHeight="1">
      <c r="A298" s="75">
        <v>298</v>
      </c>
      <c r="B298" s="515" t="s">
        <v>257</v>
      </c>
      <c r="C298" s="316" t="s">
        <v>579</v>
      </c>
      <c r="D298" s="350" t="s">
        <v>582</v>
      </c>
      <c r="E298" s="259" t="s">
        <v>540</v>
      </c>
      <c r="F298" s="86" t="s">
        <v>589</v>
      </c>
      <c r="G298" s="71" t="s">
        <v>41</v>
      </c>
      <c r="H298" s="86" t="s">
        <v>84</v>
      </c>
      <c r="I298" s="515" t="s">
        <v>85</v>
      </c>
      <c r="J298" s="524">
        <v>15.800000190734863</v>
      </c>
      <c r="K298" s="353">
        <f t="shared" si="8"/>
        <v>255</v>
      </c>
      <c r="L298" s="264">
        <v>255</v>
      </c>
      <c r="M298" s="263" t="e">
        <f>IF(L298="nio",0,IF(L298&gt;0,L298*J298/N298,0))*VLOOKUP(B298,'2-Kosten per locatie'!$A$14:$C$18,3,FALSE)</f>
        <v>#DIV/0!</v>
      </c>
      <c r="N298" s="354">
        <f>IF(L298="nio",0,IF(L298&gt;0,VLOOKUP(G298,'3-Productie normen'!A:L,VLOOKUP(L298,'3-Productie normen'!$B$29:$C$32,2,FALSE),FALSE)))</f>
        <v>0</v>
      </c>
      <c r="O298" s="355" t="str">
        <f>VLOOKUP(G298,'3-Productie normen'!A:H,8,FALSE)</f>
        <v>B</v>
      </c>
      <c r="P298" s="355"/>
      <c r="R298" s="356">
        <f t="shared" si="9"/>
        <v>4029.0000486373901</v>
      </c>
    </row>
    <row r="299" spans="1:18" ht="14.1" customHeight="1">
      <c r="A299" s="75">
        <v>299</v>
      </c>
      <c r="B299" s="515" t="s">
        <v>257</v>
      </c>
      <c r="C299" s="316" t="s">
        <v>579</v>
      </c>
      <c r="D299" s="350" t="s">
        <v>582</v>
      </c>
      <c r="E299" s="259" t="s">
        <v>541</v>
      </c>
      <c r="F299" s="86" t="s">
        <v>589</v>
      </c>
      <c r="G299" s="71" t="s">
        <v>41</v>
      </c>
      <c r="H299" s="86" t="s">
        <v>84</v>
      </c>
      <c r="I299" s="515" t="s">
        <v>85</v>
      </c>
      <c r="J299" s="524">
        <v>47.400001525878906</v>
      </c>
      <c r="K299" s="353">
        <f t="shared" si="8"/>
        <v>255</v>
      </c>
      <c r="L299" s="264">
        <v>255</v>
      </c>
      <c r="M299" s="263" t="e">
        <f>IF(L299="nio",0,IF(L299&gt;0,L299*J299/N299,0))*VLOOKUP(B299,'2-Kosten per locatie'!$A$14:$C$18,3,FALSE)</f>
        <v>#DIV/0!</v>
      </c>
      <c r="N299" s="354">
        <f>IF(L299="nio",0,IF(L299&gt;0,VLOOKUP(G299,'3-Productie normen'!A:L,VLOOKUP(L299,'3-Productie normen'!$B$29:$C$32,2,FALSE),FALSE)))</f>
        <v>0</v>
      </c>
      <c r="O299" s="355" t="str">
        <f>VLOOKUP(G299,'3-Productie normen'!A:H,8,FALSE)</f>
        <v>B</v>
      </c>
      <c r="P299" s="355"/>
      <c r="R299" s="356">
        <f t="shared" si="9"/>
        <v>12087.000389099121</v>
      </c>
    </row>
    <row r="300" spans="1:18" ht="14.1" customHeight="1">
      <c r="A300" s="75">
        <v>300</v>
      </c>
      <c r="B300" s="515" t="s">
        <v>257</v>
      </c>
      <c r="C300" s="316" t="s">
        <v>579</v>
      </c>
      <c r="D300" s="350" t="s">
        <v>582</v>
      </c>
      <c r="E300" s="259" t="s">
        <v>542</v>
      </c>
      <c r="F300" s="86" t="s">
        <v>589</v>
      </c>
      <c r="G300" s="71" t="s">
        <v>41</v>
      </c>
      <c r="H300" s="86" t="s">
        <v>84</v>
      </c>
      <c r="I300" s="515" t="s">
        <v>85</v>
      </c>
      <c r="J300" s="524">
        <v>15.800000190734863</v>
      </c>
      <c r="K300" s="353">
        <f t="shared" si="8"/>
        <v>255</v>
      </c>
      <c r="L300" s="264">
        <v>255</v>
      </c>
      <c r="M300" s="263" t="e">
        <f>IF(L300="nio",0,IF(L300&gt;0,L300*J300/N300,0))*VLOOKUP(B300,'2-Kosten per locatie'!$A$14:$C$18,3,FALSE)</f>
        <v>#DIV/0!</v>
      </c>
      <c r="N300" s="354">
        <f>IF(L300="nio",0,IF(L300&gt;0,VLOOKUP(G300,'3-Productie normen'!A:L,VLOOKUP(L300,'3-Productie normen'!$B$29:$C$32,2,FALSE),FALSE)))</f>
        <v>0</v>
      </c>
      <c r="O300" s="355" t="str">
        <f>VLOOKUP(G300,'3-Productie normen'!A:H,8,FALSE)</f>
        <v>B</v>
      </c>
      <c r="P300" s="355"/>
      <c r="R300" s="356">
        <f t="shared" si="9"/>
        <v>4029.0000486373901</v>
      </c>
    </row>
    <row r="301" spans="1:18" ht="14.1" customHeight="1">
      <c r="A301" s="75">
        <v>301</v>
      </c>
      <c r="B301" s="515" t="s">
        <v>257</v>
      </c>
      <c r="C301" s="316" t="s">
        <v>579</v>
      </c>
      <c r="D301" s="350" t="s">
        <v>582</v>
      </c>
      <c r="E301" s="259" t="s">
        <v>543</v>
      </c>
      <c r="F301" s="86" t="s">
        <v>589</v>
      </c>
      <c r="G301" s="71" t="s">
        <v>41</v>
      </c>
      <c r="H301" s="86" t="s">
        <v>84</v>
      </c>
      <c r="I301" s="515" t="s">
        <v>85</v>
      </c>
      <c r="J301" s="524">
        <v>15.800000190734863</v>
      </c>
      <c r="K301" s="353">
        <f t="shared" si="8"/>
        <v>255</v>
      </c>
      <c r="L301" s="264">
        <v>255</v>
      </c>
      <c r="M301" s="263" t="e">
        <f>IF(L301="nio",0,IF(L301&gt;0,L301*J301/N301,0))*VLOOKUP(B301,'2-Kosten per locatie'!$A$14:$C$18,3,FALSE)</f>
        <v>#DIV/0!</v>
      </c>
      <c r="N301" s="354">
        <f>IF(L301="nio",0,IF(L301&gt;0,VLOOKUP(G301,'3-Productie normen'!A:L,VLOOKUP(L301,'3-Productie normen'!$B$29:$C$32,2,FALSE),FALSE)))</f>
        <v>0</v>
      </c>
      <c r="O301" s="355" t="str">
        <f>VLOOKUP(G301,'3-Productie normen'!A:H,8,FALSE)</f>
        <v>B</v>
      </c>
      <c r="P301" s="355"/>
      <c r="R301" s="356">
        <f t="shared" si="9"/>
        <v>4029.0000486373901</v>
      </c>
    </row>
    <row r="302" spans="1:18" ht="14.1" customHeight="1">
      <c r="A302" s="75">
        <v>302</v>
      </c>
      <c r="B302" s="515" t="s">
        <v>257</v>
      </c>
      <c r="C302" s="316" t="s">
        <v>579</v>
      </c>
      <c r="D302" s="350" t="s">
        <v>582</v>
      </c>
      <c r="E302" s="259" t="s">
        <v>544</v>
      </c>
      <c r="F302" s="86" t="s">
        <v>589</v>
      </c>
      <c r="G302" s="71" t="s">
        <v>41</v>
      </c>
      <c r="H302" s="86" t="s">
        <v>84</v>
      </c>
      <c r="I302" s="515" t="s">
        <v>85</v>
      </c>
      <c r="J302" s="524">
        <v>24</v>
      </c>
      <c r="K302" s="353">
        <f t="shared" si="8"/>
        <v>255</v>
      </c>
      <c r="L302" s="264">
        <v>255</v>
      </c>
      <c r="M302" s="263" t="e">
        <f>IF(L302="nio",0,IF(L302&gt;0,L302*J302/N302,0))*VLOOKUP(B302,'2-Kosten per locatie'!$A$14:$C$18,3,FALSE)</f>
        <v>#DIV/0!</v>
      </c>
      <c r="N302" s="354">
        <f>IF(L302="nio",0,IF(L302&gt;0,VLOOKUP(G302,'3-Productie normen'!A:L,VLOOKUP(L302,'3-Productie normen'!$B$29:$C$32,2,FALSE),FALSE)))</f>
        <v>0</v>
      </c>
      <c r="O302" s="355" t="str">
        <f>VLOOKUP(G302,'3-Productie normen'!A:H,8,FALSE)</f>
        <v>B</v>
      </c>
      <c r="P302" s="355"/>
      <c r="R302" s="356">
        <f t="shared" si="9"/>
        <v>6120</v>
      </c>
    </row>
    <row r="303" spans="1:18" ht="14.1" customHeight="1">
      <c r="A303" s="75">
        <v>303</v>
      </c>
      <c r="B303" s="515" t="s">
        <v>257</v>
      </c>
      <c r="C303" s="316" t="s">
        <v>579</v>
      </c>
      <c r="D303" s="350" t="s">
        <v>582</v>
      </c>
      <c r="E303" s="259" t="s">
        <v>545</v>
      </c>
      <c r="F303" s="86" t="s">
        <v>589</v>
      </c>
      <c r="G303" s="71" t="s">
        <v>41</v>
      </c>
      <c r="H303" s="86" t="s">
        <v>84</v>
      </c>
      <c r="I303" s="515" t="s">
        <v>85</v>
      </c>
      <c r="J303" s="524">
        <v>24</v>
      </c>
      <c r="K303" s="353">
        <f t="shared" si="8"/>
        <v>255</v>
      </c>
      <c r="L303" s="264">
        <v>255</v>
      </c>
      <c r="M303" s="263" t="e">
        <f>IF(L303="nio",0,IF(L303&gt;0,L303*J303/N303,0))*VLOOKUP(B303,'2-Kosten per locatie'!$A$14:$C$18,3,FALSE)</f>
        <v>#DIV/0!</v>
      </c>
      <c r="N303" s="354">
        <f>IF(L303="nio",0,IF(L303&gt;0,VLOOKUP(G303,'3-Productie normen'!A:L,VLOOKUP(L303,'3-Productie normen'!$B$29:$C$32,2,FALSE),FALSE)))</f>
        <v>0</v>
      </c>
      <c r="O303" s="355" t="str">
        <f>VLOOKUP(G303,'3-Productie normen'!A:H,8,FALSE)</f>
        <v>B</v>
      </c>
      <c r="P303" s="355"/>
      <c r="R303" s="356">
        <f t="shared" si="9"/>
        <v>6120</v>
      </c>
    </row>
    <row r="304" spans="1:18" ht="14.1" customHeight="1">
      <c r="A304" s="75">
        <v>304</v>
      </c>
      <c r="B304" s="515" t="s">
        <v>257</v>
      </c>
      <c r="C304" s="316" t="s">
        <v>579</v>
      </c>
      <c r="D304" s="350" t="s">
        <v>582</v>
      </c>
      <c r="E304" s="259" t="s">
        <v>546</v>
      </c>
      <c r="F304" s="86" t="s">
        <v>589</v>
      </c>
      <c r="G304" s="71" t="s">
        <v>41</v>
      </c>
      <c r="H304" s="86" t="s">
        <v>84</v>
      </c>
      <c r="I304" s="515" t="s">
        <v>85</v>
      </c>
      <c r="J304" s="524">
        <v>24</v>
      </c>
      <c r="K304" s="353">
        <f t="shared" si="8"/>
        <v>255</v>
      </c>
      <c r="L304" s="264">
        <v>255</v>
      </c>
      <c r="M304" s="263" t="e">
        <f>IF(L304="nio",0,IF(L304&gt;0,L304*J304/N304,0))*VLOOKUP(B304,'2-Kosten per locatie'!$A$14:$C$18,3,FALSE)</f>
        <v>#DIV/0!</v>
      </c>
      <c r="N304" s="354">
        <f>IF(L304="nio",0,IF(L304&gt;0,VLOOKUP(G304,'3-Productie normen'!A:L,VLOOKUP(L304,'3-Productie normen'!$B$29:$C$32,2,FALSE),FALSE)))</f>
        <v>0</v>
      </c>
      <c r="O304" s="355" t="str">
        <f>VLOOKUP(G304,'3-Productie normen'!A:H,8,FALSE)</f>
        <v>B</v>
      </c>
      <c r="P304" s="355"/>
      <c r="R304" s="356">
        <f t="shared" si="9"/>
        <v>6120</v>
      </c>
    </row>
    <row r="305" spans="1:18" ht="14.1" customHeight="1">
      <c r="A305" s="75">
        <v>305</v>
      </c>
      <c r="B305" s="515" t="s">
        <v>257</v>
      </c>
      <c r="C305" s="316" t="s">
        <v>579</v>
      </c>
      <c r="D305" s="350" t="s">
        <v>582</v>
      </c>
      <c r="E305" s="259" t="s">
        <v>547</v>
      </c>
      <c r="F305" s="86" t="s">
        <v>589</v>
      </c>
      <c r="G305" s="71" t="s">
        <v>41</v>
      </c>
      <c r="H305" s="86" t="s">
        <v>84</v>
      </c>
      <c r="I305" s="515" t="s">
        <v>85</v>
      </c>
      <c r="J305" s="524">
        <v>24</v>
      </c>
      <c r="K305" s="353">
        <f t="shared" si="8"/>
        <v>255</v>
      </c>
      <c r="L305" s="264">
        <v>255</v>
      </c>
      <c r="M305" s="263" t="e">
        <f>IF(L305="nio",0,IF(L305&gt;0,L305*J305/N305,0))*VLOOKUP(B305,'2-Kosten per locatie'!$A$14:$C$18,3,FALSE)</f>
        <v>#DIV/0!</v>
      </c>
      <c r="N305" s="354">
        <f>IF(L305="nio",0,IF(L305&gt;0,VLOOKUP(G305,'3-Productie normen'!A:L,VLOOKUP(L305,'3-Productie normen'!$B$29:$C$32,2,FALSE),FALSE)))</f>
        <v>0</v>
      </c>
      <c r="O305" s="355" t="str">
        <f>VLOOKUP(G305,'3-Productie normen'!A:H,8,FALSE)</f>
        <v>B</v>
      </c>
      <c r="P305" s="355"/>
      <c r="R305" s="356">
        <f t="shared" si="9"/>
        <v>6120</v>
      </c>
    </row>
    <row r="306" spans="1:18" ht="14.1" customHeight="1">
      <c r="A306" s="75">
        <v>306</v>
      </c>
      <c r="B306" s="515" t="s">
        <v>257</v>
      </c>
      <c r="C306" s="316" t="s">
        <v>579</v>
      </c>
      <c r="D306" s="350" t="s">
        <v>582</v>
      </c>
      <c r="E306" s="259" t="s">
        <v>548</v>
      </c>
      <c r="F306" s="86" t="s">
        <v>589</v>
      </c>
      <c r="G306" s="71" t="s">
        <v>41</v>
      </c>
      <c r="H306" s="86" t="s">
        <v>84</v>
      </c>
      <c r="I306" s="515" t="s">
        <v>85</v>
      </c>
      <c r="J306" s="524">
        <v>15.800000190734863</v>
      </c>
      <c r="K306" s="353">
        <f t="shared" si="8"/>
        <v>255</v>
      </c>
      <c r="L306" s="264">
        <v>255</v>
      </c>
      <c r="M306" s="263" t="e">
        <f>IF(L306="nio",0,IF(L306&gt;0,L306*J306/N306,0))*VLOOKUP(B306,'2-Kosten per locatie'!$A$14:$C$18,3,FALSE)</f>
        <v>#DIV/0!</v>
      </c>
      <c r="N306" s="354">
        <f>IF(L306="nio",0,IF(L306&gt;0,VLOOKUP(G306,'3-Productie normen'!A:L,VLOOKUP(L306,'3-Productie normen'!$B$29:$C$32,2,FALSE),FALSE)))</f>
        <v>0</v>
      </c>
      <c r="O306" s="355" t="str">
        <f>VLOOKUP(G306,'3-Productie normen'!A:H,8,FALSE)</f>
        <v>B</v>
      </c>
      <c r="P306" s="355"/>
      <c r="R306" s="356">
        <f t="shared" si="9"/>
        <v>4029.0000486373901</v>
      </c>
    </row>
    <row r="307" spans="1:18" ht="14.1" customHeight="1">
      <c r="A307" s="75">
        <v>307</v>
      </c>
      <c r="B307" s="515" t="s">
        <v>257</v>
      </c>
      <c r="C307" s="316" t="s">
        <v>579</v>
      </c>
      <c r="D307" s="350" t="s">
        <v>582</v>
      </c>
      <c r="E307" s="259" t="s">
        <v>549</v>
      </c>
      <c r="F307" s="86" t="s">
        <v>589</v>
      </c>
      <c r="G307" s="71" t="s">
        <v>41</v>
      </c>
      <c r="H307" s="86" t="s">
        <v>84</v>
      </c>
      <c r="I307" s="515" t="s">
        <v>85</v>
      </c>
      <c r="J307" s="524">
        <v>15.800000190734863</v>
      </c>
      <c r="K307" s="353">
        <f t="shared" si="8"/>
        <v>255</v>
      </c>
      <c r="L307" s="264">
        <v>255</v>
      </c>
      <c r="M307" s="263" t="e">
        <f>IF(L307="nio",0,IF(L307&gt;0,L307*J307/N307,0))*VLOOKUP(B307,'2-Kosten per locatie'!$A$14:$C$18,3,FALSE)</f>
        <v>#DIV/0!</v>
      </c>
      <c r="N307" s="354">
        <f>IF(L307="nio",0,IF(L307&gt;0,VLOOKUP(G307,'3-Productie normen'!A:L,VLOOKUP(L307,'3-Productie normen'!$B$29:$C$32,2,FALSE),FALSE)))</f>
        <v>0</v>
      </c>
      <c r="O307" s="355" t="str">
        <f>VLOOKUP(G307,'3-Productie normen'!A:H,8,FALSE)</f>
        <v>B</v>
      </c>
      <c r="P307" s="355"/>
      <c r="R307" s="356">
        <f t="shared" si="9"/>
        <v>4029.0000486373901</v>
      </c>
    </row>
    <row r="308" spans="1:18" ht="14.1" customHeight="1">
      <c r="A308" s="75">
        <v>308</v>
      </c>
      <c r="B308" s="515" t="s">
        <v>257</v>
      </c>
      <c r="C308" s="316" t="s">
        <v>579</v>
      </c>
      <c r="D308" s="350" t="s">
        <v>582</v>
      </c>
      <c r="E308" s="259" t="s">
        <v>550</v>
      </c>
      <c r="F308" s="86" t="s">
        <v>589</v>
      </c>
      <c r="G308" s="71" t="s">
        <v>41</v>
      </c>
      <c r="H308" s="86" t="s">
        <v>84</v>
      </c>
      <c r="I308" s="515" t="s">
        <v>85</v>
      </c>
      <c r="J308" s="524">
        <v>24</v>
      </c>
      <c r="K308" s="353">
        <f t="shared" si="8"/>
        <v>255</v>
      </c>
      <c r="L308" s="264">
        <v>255</v>
      </c>
      <c r="M308" s="263" t="e">
        <f>IF(L308="nio",0,IF(L308&gt;0,L308*J308/N308,0))*VLOOKUP(B308,'2-Kosten per locatie'!$A$14:$C$18,3,FALSE)</f>
        <v>#DIV/0!</v>
      </c>
      <c r="N308" s="354">
        <f>IF(L308="nio",0,IF(L308&gt;0,VLOOKUP(G308,'3-Productie normen'!A:L,VLOOKUP(L308,'3-Productie normen'!$B$29:$C$32,2,FALSE),FALSE)))</f>
        <v>0</v>
      </c>
      <c r="O308" s="355" t="str">
        <f>VLOOKUP(G308,'3-Productie normen'!A:H,8,FALSE)</f>
        <v>B</v>
      </c>
      <c r="P308" s="355"/>
      <c r="R308" s="356">
        <f t="shared" si="9"/>
        <v>6120</v>
      </c>
    </row>
    <row r="309" spans="1:18" ht="14.1" customHeight="1">
      <c r="A309" s="75">
        <v>309</v>
      </c>
      <c r="B309" s="515" t="s">
        <v>257</v>
      </c>
      <c r="C309" s="316" t="s">
        <v>579</v>
      </c>
      <c r="D309" s="350" t="s">
        <v>582</v>
      </c>
      <c r="E309" s="259" t="s">
        <v>551</v>
      </c>
      <c r="F309" s="86" t="s">
        <v>593</v>
      </c>
      <c r="G309" s="71" t="s">
        <v>50</v>
      </c>
      <c r="H309" s="86" t="s">
        <v>84</v>
      </c>
      <c r="I309" s="515" t="s">
        <v>85</v>
      </c>
      <c r="J309" s="524">
        <v>24</v>
      </c>
      <c r="K309" s="353">
        <f t="shared" si="8"/>
        <v>255</v>
      </c>
      <c r="L309" s="264">
        <v>255</v>
      </c>
      <c r="M309" s="263" t="e">
        <f>IF(L309="nio",0,IF(L309&gt;0,L309*J309/N309,0))*VLOOKUP(B309,'2-Kosten per locatie'!$A$14:$C$18,3,FALSE)</f>
        <v>#DIV/0!</v>
      </c>
      <c r="N309" s="354">
        <f>IF(L309="nio",0,IF(L309&gt;0,VLOOKUP(G309,'3-Productie normen'!A:L,VLOOKUP(L309,'3-Productie normen'!$B$29:$C$32,2,FALSE),FALSE)))</f>
        <v>0</v>
      </c>
      <c r="O309" s="355" t="str">
        <f>VLOOKUP(G309,'3-Productie normen'!A:H,8,FALSE)</f>
        <v>B</v>
      </c>
      <c r="P309" s="355"/>
      <c r="R309" s="356">
        <f t="shared" si="9"/>
        <v>6120</v>
      </c>
    </row>
    <row r="310" spans="1:18" ht="14.1" customHeight="1">
      <c r="A310" s="75">
        <v>310</v>
      </c>
      <c r="B310" s="515" t="s">
        <v>257</v>
      </c>
      <c r="C310" s="316" t="s">
        <v>579</v>
      </c>
      <c r="D310" s="350" t="s">
        <v>582</v>
      </c>
      <c r="E310" s="259" t="s">
        <v>552</v>
      </c>
      <c r="F310" s="86" t="s">
        <v>589</v>
      </c>
      <c r="G310" s="71" t="s">
        <v>41</v>
      </c>
      <c r="H310" s="86" t="s">
        <v>84</v>
      </c>
      <c r="I310" s="515" t="s">
        <v>85</v>
      </c>
      <c r="J310" s="524">
        <v>47.400001525878906</v>
      </c>
      <c r="K310" s="353">
        <f t="shared" si="8"/>
        <v>255</v>
      </c>
      <c r="L310" s="264">
        <v>255</v>
      </c>
      <c r="M310" s="263" t="e">
        <f>IF(L310="nio",0,IF(L310&gt;0,L310*J310/N310,0))*VLOOKUP(B310,'2-Kosten per locatie'!$A$14:$C$18,3,FALSE)</f>
        <v>#DIV/0!</v>
      </c>
      <c r="N310" s="354">
        <f>IF(L310="nio",0,IF(L310&gt;0,VLOOKUP(G310,'3-Productie normen'!A:L,VLOOKUP(L310,'3-Productie normen'!$B$29:$C$32,2,FALSE),FALSE)))</f>
        <v>0</v>
      </c>
      <c r="O310" s="355" t="str">
        <f>VLOOKUP(G310,'3-Productie normen'!A:H,8,FALSE)</f>
        <v>B</v>
      </c>
      <c r="P310" s="355"/>
      <c r="R310" s="356">
        <f t="shared" si="9"/>
        <v>12087.000389099121</v>
      </c>
    </row>
    <row r="311" spans="1:18" ht="14.1" customHeight="1">
      <c r="A311" s="75">
        <v>311</v>
      </c>
      <c r="B311" s="515" t="s">
        <v>257</v>
      </c>
      <c r="C311" s="316" t="s">
        <v>579</v>
      </c>
      <c r="D311" s="350" t="s">
        <v>582</v>
      </c>
      <c r="E311" s="259" t="s">
        <v>553</v>
      </c>
      <c r="F311" s="86" t="s">
        <v>589</v>
      </c>
      <c r="G311" s="71" t="s">
        <v>41</v>
      </c>
      <c r="H311" s="86" t="s">
        <v>84</v>
      </c>
      <c r="I311" s="515" t="s">
        <v>85</v>
      </c>
      <c r="J311" s="524">
        <v>24</v>
      </c>
      <c r="K311" s="353">
        <f t="shared" si="8"/>
        <v>255</v>
      </c>
      <c r="L311" s="264">
        <v>255</v>
      </c>
      <c r="M311" s="263" t="e">
        <f>IF(L311="nio",0,IF(L311&gt;0,L311*J311/N311,0))*VLOOKUP(B311,'2-Kosten per locatie'!$A$14:$C$18,3,FALSE)</f>
        <v>#DIV/0!</v>
      </c>
      <c r="N311" s="354">
        <f>IF(L311="nio",0,IF(L311&gt;0,VLOOKUP(G311,'3-Productie normen'!A:L,VLOOKUP(L311,'3-Productie normen'!$B$29:$C$32,2,FALSE),FALSE)))</f>
        <v>0</v>
      </c>
      <c r="O311" s="355" t="str">
        <f>VLOOKUP(G311,'3-Productie normen'!A:H,8,FALSE)</f>
        <v>B</v>
      </c>
      <c r="P311" s="355"/>
      <c r="R311" s="356">
        <f t="shared" si="9"/>
        <v>6120</v>
      </c>
    </row>
    <row r="312" spans="1:18" ht="14.1" customHeight="1">
      <c r="A312" s="75">
        <v>312</v>
      </c>
      <c r="B312" s="515" t="s">
        <v>257</v>
      </c>
      <c r="C312" s="316" t="s">
        <v>579</v>
      </c>
      <c r="D312" s="350" t="s">
        <v>582</v>
      </c>
      <c r="E312" s="259" t="s">
        <v>554</v>
      </c>
      <c r="F312" s="86" t="s">
        <v>589</v>
      </c>
      <c r="G312" s="71" t="s">
        <v>41</v>
      </c>
      <c r="H312" s="86" t="s">
        <v>84</v>
      </c>
      <c r="I312" s="515" t="s">
        <v>85</v>
      </c>
      <c r="J312" s="524">
        <v>24</v>
      </c>
      <c r="K312" s="353">
        <f t="shared" si="8"/>
        <v>255</v>
      </c>
      <c r="L312" s="264">
        <v>255</v>
      </c>
      <c r="M312" s="263" t="e">
        <f>IF(L312="nio",0,IF(L312&gt;0,L312*J312/N312,0))*VLOOKUP(B312,'2-Kosten per locatie'!$A$14:$C$18,3,FALSE)</f>
        <v>#DIV/0!</v>
      </c>
      <c r="N312" s="354">
        <f>IF(L312="nio",0,IF(L312&gt;0,VLOOKUP(G312,'3-Productie normen'!A:L,VLOOKUP(L312,'3-Productie normen'!$B$29:$C$32,2,FALSE),FALSE)))</f>
        <v>0</v>
      </c>
      <c r="O312" s="355" t="str">
        <f>VLOOKUP(G312,'3-Productie normen'!A:H,8,FALSE)</f>
        <v>B</v>
      </c>
      <c r="P312" s="355"/>
      <c r="R312" s="356">
        <f t="shared" si="9"/>
        <v>6120</v>
      </c>
    </row>
    <row r="313" spans="1:18" ht="14.1" customHeight="1">
      <c r="A313" s="75">
        <v>313</v>
      </c>
      <c r="B313" s="515" t="s">
        <v>257</v>
      </c>
      <c r="C313" s="316" t="s">
        <v>579</v>
      </c>
      <c r="D313" s="350" t="s">
        <v>582</v>
      </c>
      <c r="E313" s="259" t="s">
        <v>493</v>
      </c>
      <c r="F313" s="86" t="s">
        <v>589</v>
      </c>
      <c r="G313" s="71" t="s">
        <v>41</v>
      </c>
      <c r="H313" s="86" t="s">
        <v>84</v>
      </c>
      <c r="I313" s="515" t="s">
        <v>85</v>
      </c>
      <c r="J313" s="524">
        <v>24</v>
      </c>
      <c r="K313" s="353">
        <f t="shared" si="8"/>
        <v>255</v>
      </c>
      <c r="L313" s="264">
        <v>255</v>
      </c>
      <c r="M313" s="263" t="e">
        <f>IF(L313="nio",0,IF(L313&gt;0,L313*J313/N313,0))*VLOOKUP(B313,'2-Kosten per locatie'!$A$14:$C$18,3,FALSE)</f>
        <v>#DIV/0!</v>
      </c>
      <c r="N313" s="354">
        <f>IF(L313="nio",0,IF(L313&gt;0,VLOOKUP(G313,'3-Productie normen'!A:L,VLOOKUP(L313,'3-Productie normen'!$B$29:$C$32,2,FALSE),FALSE)))</f>
        <v>0</v>
      </c>
      <c r="O313" s="355" t="str">
        <f>VLOOKUP(G313,'3-Productie normen'!A:H,8,FALSE)</f>
        <v>B</v>
      </c>
      <c r="P313" s="355"/>
      <c r="R313" s="356">
        <f t="shared" si="9"/>
        <v>6120</v>
      </c>
    </row>
    <row r="314" spans="1:18" ht="14.1" customHeight="1">
      <c r="A314" s="75">
        <v>314</v>
      </c>
      <c r="B314" s="515" t="s">
        <v>257</v>
      </c>
      <c r="C314" s="316" t="s">
        <v>579</v>
      </c>
      <c r="D314" s="350" t="s">
        <v>582</v>
      </c>
      <c r="E314" s="259" t="s">
        <v>555</v>
      </c>
      <c r="F314" s="86" t="s">
        <v>589</v>
      </c>
      <c r="G314" s="71" t="s">
        <v>41</v>
      </c>
      <c r="H314" s="86" t="s">
        <v>84</v>
      </c>
      <c r="I314" s="515" t="s">
        <v>85</v>
      </c>
      <c r="J314" s="524">
        <v>24</v>
      </c>
      <c r="K314" s="353">
        <f t="shared" si="8"/>
        <v>255</v>
      </c>
      <c r="L314" s="264">
        <v>255</v>
      </c>
      <c r="M314" s="263" t="e">
        <f>IF(L314="nio",0,IF(L314&gt;0,L314*J314/N314,0))*VLOOKUP(B314,'2-Kosten per locatie'!$A$14:$C$18,3,FALSE)</f>
        <v>#DIV/0!</v>
      </c>
      <c r="N314" s="354">
        <f>IF(L314="nio",0,IF(L314&gt;0,VLOOKUP(G314,'3-Productie normen'!A:L,VLOOKUP(L314,'3-Productie normen'!$B$29:$C$32,2,FALSE),FALSE)))</f>
        <v>0</v>
      </c>
      <c r="O314" s="355" t="str">
        <f>VLOOKUP(G314,'3-Productie normen'!A:H,8,FALSE)</f>
        <v>B</v>
      </c>
      <c r="P314" s="355"/>
      <c r="R314" s="356">
        <f t="shared" si="9"/>
        <v>6120</v>
      </c>
    </row>
    <row r="315" spans="1:18" ht="14.1" customHeight="1">
      <c r="A315" s="75">
        <v>315</v>
      </c>
      <c r="B315" s="515" t="s">
        <v>257</v>
      </c>
      <c r="C315" s="316" t="s">
        <v>579</v>
      </c>
      <c r="D315" s="350" t="s">
        <v>582</v>
      </c>
      <c r="E315" s="259" t="s">
        <v>556</v>
      </c>
      <c r="F315" s="86" t="s">
        <v>589</v>
      </c>
      <c r="G315" s="71" t="s">
        <v>41</v>
      </c>
      <c r="H315" s="86" t="s">
        <v>84</v>
      </c>
      <c r="I315" s="515" t="s">
        <v>85</v>
      </c>
      <c r="J315" s="524">
        <v>15.800000190734863</v>
      </c>
      <c r="K315" s="353">
        <f t="shared" si="8"/>
        <v>255</v>
      </c>
      <c r="L315" s="264">
        <v>255</v>
      </c>
      <c r="M315" s="263" t="e">
        <f>IF(L315="nio",0,IF(L315&gt;0,L315*J315/N315,0))*VLOOKUP(B315,'2-Kosten per locatie'!$A$14:$C$18,3,FALSE)</f>
        <v>#DIV/0!</v>
      </c>
      <c r="N315" s="354">
        <f>IF(L315="nio",0,IF(L315&gt;0,VLOOKUP(G315,'3-Productie normen'!A:L,VLOOKUP(L315,'3-Productie normen'!$B$29:$C$32,2,FALSE),FALSE)))</f>
        <v>0</v>
      </c>
      <c r="O315" s="355" t="str">
        <f>VLOOKUP(G315,'3-Productie normen'!A:H,8,FALSE)</f>
        <v>B</v>
      </c>
      <c r="P315" s="355"/>
      <c r="R315" s="356">
        <f t="shared" si="9"/>
        <v>4029.0000486373901</v>
      </c>
    </row>
    <row r="316" spans="1:18" ht="14.1" customHeight="1">
      <c r="A316" s="75">
        <v>316</v>
      </c>
      <c r="B316" s="515" t="s">
        <v>257</v>
      </c>
      <c r="C316" s="316" t="s">
        <v>579</v>
      </c>
      <c r="D316" s="350" t="s">
        <v>582</v>
      </c>
      <c r="E316" s="259" t="s">
        <v>557</v>
      </c>
      <c r="F316" s="86" t="s">
        <v>589</v>
      </c>
      <c r="G316" s="71" t="s">
        <v>41</v>
      </c>
      <c r="H316" s="86" t="s">
        <v>84</v>
      </c>
      <c r="I316" s="515" t="s">
        <v>85</v>
      </c>
      <c r="J316" s="524">
        <v>15.800000190734863</v>
      </c>
      <c r="K316" s="353">
        <f t="shared" si="8"/>
        <v>255</v>
      </c>
      <c r="L316" s="264">
        <v>255</v>
      </c>
      <c r="M316" s="263" t="e">
        <f>IF(L316="nio",0,IF(L316&gt;0,L316*J316/N316,0))*VLOOKUP(B316,'2-Kosten per locatie'!$A$14:$C$18,3,FALSE)</f>
        <v>#DIV/0!</v>
      </c>
      <c r="N316" s="354">
        <f>IF(L316="nio",0,IF(L316&gt;0,VLOOKUP(G316,'3-Productie normen'!A:L,VLOOKUP(L316,'3-Productie normen'!$B$29:$C$32,2,FALSE),FALSE)))</f>
        <v>0</v>
      </c>
      <c r="O316" s="355" t="str">
        <f>VLOOKUP(G316,'3-Productie normen'!A:H,8,FALSE)</f>
        <v>B</v>
      </c>
      <c r="P316" s="355"/>
      <c r="R316" s="356">
        <f t="shared" si="9"/>
        <v>4029.0000486373901</v>
      </c>
    </row>
    <row r="317" spans="1:18" ht="14.1" customHeight="1">
      <c r="A317" s="75">
        <v>317</v>
      </c>
      <c r="B317" s="515" t="s">
        <v>257</v>
      </c>
      <c r="C317" s="316" t="s">
        <v>579</v>
      </c>
      <c r="D317" s="350" t="s">
        <v>582</v>
      </c>
      <c r="E317" s="259" t="s">
        <v>558</v>
      </c>
      <c r="F317" s="86" t="s">
        <v>589</v>
      </c>
      <c r="G317" s="71" t="s">
        <v>41</v>
      </c>
      <c r="H317" s="86" t="s">
        <v>84</v>
      </c>
      <c r="I317" s="515" t="s">
        <v>85</v>
      </c>
      <c r="J317" s="524">
        <v>15.800000190734863</v>
      </c>
      <c r="K317" s="353">
        <f t="shared" si="8"/>
        <v>255</v>
      </c>
      <c r="L317" s="264">
        <v>255</v>
      </c>
      <c r="M317" s="263" t="e">
        <f>IF(L317="nio",0,IF(L317&gt;0,L317*J317/N317,0))*VLOOKUP(B317,'2-Kosten per locatie'!$A$14:$C$18,3,FALSE)</f>
        <v>#DIV/0!</v>
      </c>
      <c r="N317" s="354">
        <f>IF(L317="nio",0,IF(L317&gt;0,VLOOKUP(G317,'3-Productie normen'!A:L,VLOOKUP(L317,'3-Productie normen'!$B$29:$C$32,2,FALSE),FALSE)))</f>
        <v>0</v>
      </c>
      <c r="O317" s="355" t="str">
        <f>VLOOKUP(G317,'3-Productie normen'!A:H,8,FALSE)</f>
        <v>B</v>
      </c>
      <c r="P317" s="355"/>
      <c r="R317" s="356">
        <f t="shared" si="9"/>
        <v>4029.0000486373901</v>
      </c>
    </row>
    <row r="318" spans="1:18" ht="14.1" customHeight="1">
      <c r="A318" s="75">
        <v>318</v>
      </c>
      <c r="B318" s="515" t="s">
        <v>257</v>
      </c>
      <c r="C318" s="316" t="s">
        <v>579</v>
      </c>
      <c r="D318" s="350" t="s">
        <v>582</v>
      </c>
      <c r="E318" s="259" t="s">
        <v>559</v>
      </c>
      <c r="F318" s="86" t="s">
        <v>589</v>
      </c>
      <c r="G318" s="71" t="s">
        <v>41</v>
      </c>
      <c r="H318" s="86" t="s">
        <v>84</v>
      </c>
      <c r="I318" s="515" t="s">
        <v>85</v>
      </c>
      <c r="J318" s="524">
        <v>15.800000190734863</v>
      </c>
      <c r="K318" s="353">
        <f t="shared" si="8"/>
        <v>255</v>
      </c>
      <c r="L318" s="264">
        <v>255</v>
      </c>
      <c r="M318" s="263" t="e">
        <f>IF(L318="nio",0,IF(L318&gt;0,L318*J318/N318,0))*VLOOKUP(B318,'2-Kosten per locatie'!$A$14:$C$18,3,FALSE)</f>
        <v>#DIV/0!</v>
      </c>
      <c r="N318" s="354">
        <f>IF(L318="nio",0,IF(L318&gt;0,VLOOKUP(G318,'3-Productie normen'!A:L,VLOOKUP(L318,'3-Productie normen'!$B$29:$C$32,2,FALSE),FALSE)))</f>
        <v>0</v>
      </c>
      <c r="O318" s="355" t="str">
        <f>VLOOKUP(G318,'3-Productie normen'!A:H,8,FALSE)</f>
        <v>B</v>
      </c>
      <c r="P318" s="355"/>
      <c r="R318" s="356">
        <f t="shared" si="9"/>
        <v>4029.0000486373901</v>
      </c>
    </row>
    <row r="319" spans="1:18" ht="14.1" customHeight="1">
      <c r="A319" s="75">
        <v>319</v>
      </c>
      <c r="B319" s="515" t="s">
        <v>257</v>
      </c>
      <c r="C319" s="316" t="s">
        <v>579</v>
      </c>
      <c r="D319" s="350" t="s">
        <v>582</v>
      </c>
      <c r="E319" s="259" t="s">
        <v>560</v>
      </c>
      <c r="F319" s="86" t="s">
        <v>589</v>
      </c>
      <c r="G319" s="71" t="s">
        <v>41</v>
      </c>
      <c r="H319" s="86" t="s">
        <v>84</v>
      </c>
      <c r="I319" s="515" t="s">
        <v>85</v>
      </c>
      <c r="J319" s="524">
        <v>15.800000190734863</v>
      </c>
      <c r="K319" s="353">
        <f t="shared" si="8"/>
        <v>255</v>
      </c>
      <c r="L319" s="264">
        <v>255</v>
      </c>
      <c r="M319" s="263" t="e">
        <f>IF(L319="nio",0,IF(L319&gt;0,L319*J319/N319,0))*VLOOKUP(B319,'2-Kosten per locatie'!$A$14:$C$18,3,FALSE)</f>
        <v>#DIV/0!</v>
      </c>
      <c r="N319" s="354">
        <f>IF(L319="nio",0,IF(L319&gt;0,VLOOKUP(G319,'3-Productie normen'!A:L,VLOOKUP(L319,'3-Productie normen'!$B$29:$C$32,2,FALSE),FALSE)))</f>
        <v>0</v>
      </c>
      <c r="O319" s="355" t="str">
        <f>VLOOKUP(G319,'3-Productie normen'!A:H,8,FALSE)</f>
        <v>B</v>
      </c>
      <c r="P319" s="355"/>
      <c r="R319" s="356">
        <f t="shared" si="9"/>
        <v>4029.0000486373901</v>
      </c>
    </row>
    <row r="320" spans="1:18" ht="14.1" customHeight="1">
      <c r="A320" s="75">
        <v>320</v>
      </c>
      <c r="B320" s="515" t="s">
        <v>257</v>
      </c>
      <c r="C320" s="316" t="s">
        <v>579</v>
      </c>
      <c r="D320" s="350" t="s">
        <v>582</v>
      </c>
      <c r="E320" s="259" t="s">
        <v>561</v>
      </c>
      <c r="F320" s="86" t="s">
        <v>589</v>
      </c>
      <c r="G320" s="71" t="s">
        <v>41</v>
      </c>
      <c r="H320" s="86" t="s">
        <v>84</v>
      </c>
      <c r="I320" s="515" t="s">
        <v>85</v>
      </c>
      <c r="J320" s="524">
        <v>39.099998474121094</v>
      </c>
      <c r="K320" s="353">
        <f t="shared" si="8"/>
        <v>255</v>
      </c>
      <c r="L320" s="264">
        <v>255</v>
      </c>
      <c r="M320" s="263" t="e">
        <f>IF(L320="nio",0,IF(L320&gt;0,L320*J320/N320,0))*VLOOKUP(B320,'2-Kosten per locatie'!$A$14:$C$18,3,FALSE)</f>
        <v>#DIV/0!</v>
      </c>
      <c r="N320" s="354">
        <f>IF(L320="nio",0,IF(L320&gt;0,VLOOKUP(G320,'3-Productie normen'!A:L,VLOOKUP(L320,'3-Productie normen'!$B$29:$C$32,2,FALSE),FALSE)))</f>
        <v>0</v>
      </c>
      <c r="O320" s="355" t="str">
        <f>VLOOKUP(G320,'3-Productie normen'!A:H,8,FALSE)</f>
        <v>B</v>
      </c>
      <c r="P320" s="355"/>
      <c r="R320" s="356">
        <f t="shared" si="9"/>
        <v>9970.4996109008789</v>
      </c>
    </row>
    <row r="321" spans="1:18" ht="14.1" customHeight="1">
      <c r="A321" s="75">
        <v>321</v>
      </c>
      <c r="B321" s="515" t="s">
        <v>257</v>
      </c>
      <c r="C321" s="316" t="s">
        <v>579</v>
      </c>
      <c r="D321" s="350" t="s">
        <v>582</v>
      </c>
      <c r="E321" s="259" t="s">
        <v>562</v>
      </c>
      <c r="F321" s="86" t="s">
        <v>589</v>
      </c>
      <c r="G321" s="71" t="s">
        <v>41</v>
      </c>
      <c r="H321" s="86" t="s">
        <v>84</v>
      </c>
      <c r="I321" s="515" t="s">
        <v>85</v>
      </c>
      <c r="J321" s="524">
        <v>39.099998474121094</v>
      </c>
      <c r="K321" s="353">
        <f t="shared" si="8"/>
        <v>255</v>
      </c>
      <c r="L321" s="264">
        <v>255</v>
      </c>
      <c r="M321" s="263" t="e">
        <f>IF(L321="nio",0,IF(L321&gt;0,L321*J321/N321,0))*VLOOKUP(B321,'2-Kosten per locatie'!$A$14:$C$18,3,FALSE)</f>
        <v>#DIV/0!</v>
      </c>
      <c r="N321" s="354">
        <f>IF(L321="nio",0,IF(L321&gt;0,VLOOKUP(G321,'3-Productie normen'!A:L,VLOOKUP(L321,'3-Productie normen'!$B$29:$C$32,2,FALSE),FALSE)))</f>
        <v>0</v>
      </c>
      <c r="O321" s="355" t="str">
        <f>VLOOKUP(G321,'3-Productie normen'!A:H,8,FALSE)</f>
        <v>B</v>
      </c>
      <c r="P321" s="355"/>
      <c r="R321" s="356">
        <f t="shared" si="9"/>
        <v>9970.4996109008789</v>
      </c>
    </row>
    <row r="322" spans="1:18" ht="14.1" customHeight="1">
      <c r="A322" s="75">
        <v>322</v>
      </c>
      <c r="B322" s="515" t="s">
        <v>257</v>
      </c>
      <c r="C322" s="316" t="s">
        <v>579</v>
      </c>
      <c r="D322" s="350" t="s">
        <v>582</v>
      </c>
      <c r="E322" s="261" t="s">
        <v>563</v>
      </c>
      <c r="F322" s="89" t="s">
        <v>584</v>
      </c>
      <c r="G322" s="316" t="s">
        <v>45</v>
      </c>
      <c r="H322" s="89" t="s">
        <v>84</v>
      </c>
      <c r="I322" s="515" t="s">
        <v>85</v>
      </c>
      <c r="J322" s="525">
        <v>118.80000305175781</v>
      </c>
      <c r="K322" s="353">
        <f t="shared" si="8"/>
        <v>156</v>
      </c>
      <c r="L322" s="264">
        <v>156</v>
      </c>
      <c r="M322" s="263" t="e">
        <f>IF(L322="nio",0,IF(L322&gt;0,L322*J322/N322,0))*VLOOKUP(B322,'2-Kosten per locatie'!$A$14:$C$18,3,FALSE)</f>
        <v>#DIV/0!</v>
      </c>
      <c r="N322" s="354">
        <f>IF(L322="nio",0,IF(L322&gt;0,VLOOKUP(G322,'3-Productie normen'!A:L,VLOOKUP(L322,'3-Productie normen'!$B$29:$C$32,2,FALSE),FALSE)))</f>
        <v>0</v>
      </c>
      <c r="O322" s="355" t="str">
        <f>VLOOKUP(G322,'3-Productie normen'!A:H,8,FALSE)</f>
        <v>V</v>
      </c>
      <c r="P322" s="355"/>
      <c r="R322" s="356">
        <f t="shared" si="9"/>
        <v>18532.800476074219</v>
      </c>
    </row>
    <row r="323" spans="1:18" ht="14.1" customHeight="1">
      <c r="A323" s="75">
        <v>323</v>
      </c>
      <c r="B323" s="515" t="s">
        <v>257</v>
      </c>
      <c r="C323" s="316" t="s">
        <v>579</v>
      </c>
      <c r="D323" s="350" t="s">
        <v>582</v>
      </c>
      <c r="E323" s="261" t="s">
        <v>564</v>
      </c>
      <c r="F323" s="89" t="s">
        <v>584</v>
      </c>
      <c r="G323" s="316" t="s">
        <v>45</v>
      </c>
      <c r="H323" s="89" t="s">
        <v>606</v>
      </c>
      <c r="I323" s="515" t="s">
        <v>86</v>
      </c>
      <c r="J323" s="525">
        <v>89.5</v>
      </c>
      <c r="K323" s="353">
        <f t="shared" si="8"/>
        <v>156</v>
      </c>
      <c r="L323" s="264">
        <v>156</v>
      </c>
      <c r="M323" s="263" t="e">
        <f>IF(L323="nio",0,IF(L323&gt;0,L323*J323/N323,0))*VLOOKUP(B323,'2-Kosten per locatie'!$A$14:$C$18,3,FALSE)</f>
        <v>#DIV/0!</v>
      </c>
      <c r="N323" s="354">
        <f>IF(L323="nio",0,IF(L323&gt;0,VLOOKUP(G323,'3-Productie normen'!A:L,VLOOKUP(L323,'3-Productie normen'!$B$29:$C$32,2,FALSE),FALSE)))</f>
        <v>0</v>
      </c>
      <c r="O323" s="355" t="str">
        <f>VLOOKUP(G323,'3-Productie normen'!A:H,8,FALSE)</f>
        <v>V</v>
      </c>
      <c r="P323" s="355"/>
      <c r="R323" s="356">
        <f t="shared" si="9"/>
        <v>13962</v>
      </c>
    </row>
    <row r="324" spans="1:18" ht="14.1" customHeight="1">
      <c r="A324" s="75">
        <v>324</v>
      </c>
      <c r="B324" s="515" t="s">
        <v>257</v>
      </c>
      <c r="C324" s="316" t="s">
        <v>579</v>
      </c>
      <c r="D324" s="350" t="s">
        <v>582</v>
      </c>
      <c r="E324" s="261" t="s">
        <v>565</v>
      </c>
      <c r="F324" s="89" t="s">
        <v>584</v>
      </c>
      <c r="G324" s="316" t="s">
        <v>45</v>
      </c>
      <c r="H324" s="89" t="s">
        <v>84</v>
      </c>
      <c r="I324" s="515" t="s">
        <v>85</v>
      </c>
      <c r="J324" s="525">
        <v>137</v>
      </c>
      <c r="K324" s="353">
        <f t="shared" si="8"/>
        <v>156</v>
      </c>
      <c r="L324" s="264">
        <v>156</v>
      </c>
      <c r="M324" s="263" t="e">
        <f>IF(L324="nio",0,IF(L324&gt;0,L324*J324/N324,0))*VLOOKUP(B324,'2-Kosten per locatie'!$A$14:$C$18,3,FALSE)</f>
        <v>#DIV/0!</v>
      </c>
      <c r="N324" s="354">
        <f>IF(L324="nio",0,IF(L324&gt;0,VLOOKUP(G324,'3-Productie normen'!A:L,VLOOKUP(L324,'3-Productie normen'!$B$29:$C$32,2,FALSE),FALSE)))</f>
        <v>0</v>
      </c>
      <c r="O324" s="355" t="str">
        <f>VLOOKUP(G324,'3-Productie normen'!A:H,8,FALSE)</f>
        <v>V</v>
      </c>
      <c r="P324" s="355"/>
      <c r="R324" s="356">
        <f t="shared" si="9"/>
        <v>21372</v>
      </c>
    </row>
    <row r="325" spans="1:18" ht="14.1" customHeight="1">
      <c r="A325" s="75">
        <v>325</v>
      </c>
      <c r="B325" s="515" t="s">
        <v>257</v>
      </c>
      <c r="C325" s="316" t="s">
        <v>579</v>
      </c>
      <c r="D325" s="350" t="s">
        <v>582</v>
      </c>
      <c r="E325" s="261" t="s">
        <v>566</v>
      </c>
      <c r="F325" s="89" t="s">
        <v>584</v>
      </c>
      <c r="G325" s="316" t="s">
        <v>45</v>
      </c>
      <c r="H325" s="89" t="s">
        <v>606</v>
      </c>
      <c r="I325" s="515" t="s">
        <v>86</v>
      </c>
      <c r="J325" s="525">
        <v>102.69999694824219</v>
      </c>
      <c r="K325" s="353">
        <f t="shared" si="8"/>
        <v>156</v>
      </c>
      <c r="L325" s="264">
        <v>156</v>
      </c>
      <c r="M325" s="263" t="e">
        <f>IF(L325="nio",0,IF(L325&gt;0,L325*J325/N325,0))*VLOOKUP(B325,'2-Kosten per locatie'!$A$14:$C$18,3,FALSE)</f>
        <v>#DIV/0!</v>
      </c>
      <c r="N325" s="354">
        <f>IF(L325="nio",0,IF(L325&gt;0,VLOOKUP(G325,'3-Productie normen'!A:L,VLOOKUP(L325,'3-Productie normen'!$B$29:$C$32,2,FALSE),FALSE)))</f>
        <v>0</v>
      </c>
      <c r="O325" s="355" t="str">
        <f>VLOOKUP(G325,'3-Productie normen'!A:H,8,FALSE)</f>
        <v>V</v>
      </c>
      <c r="P325" s="355"/>
      <c r="R325" s="356">
        <f t="shared" si="9"/>
        <v>16021.199523925781</v>
      </c>
    </row>
    <row r="326" spans="1:18" ht="14.1" customHeight="1">
      <c r="A326" s="75">
        <v>326</v>
      </c>
      <c r="B326" s="515" t="s">
        <v>257</v>
      </c>
      <c r="C326" s="316" t="s">
        <v>579</v>
      </c>
      <c r="D326" s="350" t="s">
        <v>582</v>
      </c>
      <c r="E326" s="261" t="s">
        <v>567</v>
      </c>
      <c r="F326" s="89" t="s">
        <v>584</v>
      </c>
      <c r="G326" s="316" t="s">
        <v>45</v>
      </c>
      <c r="H326" s="89" t="s">
        <v>84</v>
      </c>
      <c r="I326" s="515" t="s">
        <v>85</v>
      </c>
      <c r="J326" s="525">
        <v>118.80000305175781</v>
      </c>
      <c r="K326" s="353">
        <f t="shared" si="8"/>
        <v>156</v>
      </c>
      <c r="L326" s="264">
        <v>156</v>
      </c>
      <c r="M326" s="263" t="e">
        <f>IF(L326="nio",0,IF(L326&gt;0,L326*J326/N326,0))*VLOOKUP(B326,'2-Kosten per locatie'!$A$14:$C$18,3,FALSE)</f>
        <v>#DIV/0!</v>
      </c>
      <c r="N326" s="354">
        <f>IF(L326="nio",0,IF(L326&gt;0,VLOOKUP(G326,'3-Productie normen'!A:L,VLOOKUP(L326,'3-Productie normen'!$B$29:$C$32,2,FALSE),FALSE)))</f>
        <v>0</v>
      </c>
      <c r="O326" s="355" t="str">
        <f>VLOOKUP(G326,'3-Productie normen'!A:H,8,FALSE)</f>
        <v>V</v>
      </c>
      <c r="P326" s="355"/>
      <c r="R326" s="356">
        <f t="shared" si="9"/>
        <v>18532.800476074219</v>
      </c>
    </row>
    <row r="327" spans="1:18" ht="14.1" customHeight="1">
      <c r="A327" s="75">
        <v>327</v>
      </c>
      <c r="B327" s="515" t="s">
        <v>257</v>
      </c>
      <c r="C327" s="316" t="s">
        <v>579</v>
      </c>
      <c r="D327" s="350" t="s">
        <v>582</v>
      </c>
      <c r="E327" s="261" t="s">
        <v>568</v>
      </c>
      <c r="F327" s="89" t="s">
        <v>584</v>
      </c>
      <c r="G327" s="316" t="s">
        <v>45</v>
      </c>
      <c r="H327" s="89" t="s">
        <v>606</v>
      </c>
      <c r="I327" s="515" t="s">
        <v>86</v>
      </c>
      <c r="J327" s="525">
        <v>89.5</v>
      </c>
      <c r="K327" s="353">
        <f t="shared" ref="K327:K370" si="10">SUM(L327:L327)</f>
        <v>156</v>
      </c>
      <c r="L327" s="264">
        <v>156</v>
      </c>
      <c r="M327" s="263" t="e">
        <f>IF(L327="nio",0,IF(L327&gt;0,L327*J327/N327,0))*VLOOKUP(B327,'2-Kosten per locatie'!$A$14:$C$18,3,FALSE)</f>
        <v>#DIV/0!</v>
      </c>
      <c r="N327" s="354">
        <f>IF(L327="nio",0,IF(L327&gt;0,VLOOKUP(G327,'3-Productie normen'!A:L,VLOOKUP(L327,'3-Productie normen'!$B$29:$C$32,2,FALSE),FALSE)))</f>
        <v>0</v>
      </c>
      <c r="O327" s="355" t="str">
        <f>VLOOKUP(G327,'3-Productie normen'!A:H,8,FALSE)</f>
        <v>V</v>
      </c>
      <c r="P327" s="355"/>
      <c r="R327" s="356">
        <f t="shared" si="9"/>
        <v>13962</v>
      </c>
    </row>
    <row r="328" spans="1:18" ht="14.1" customHeight="1">
      <c r="A328" s="75">
        <v>328</v>
      </c>
      <c r="B328" s="515" t="s">
        <v>257</v>
      </c>
      <c r="C328" s="316" t="s">
        <v>578</v>
      </c>
      <c r="D328" s="350" t="s">
        <v>581</v>
      </c>
      <c r="E328" s="261" t="s">
        <v>569</v>
      </c>
      <c r="F328" s="89" t="s">
        <v>584</v>
      </c>
      <c r="G328" s="316" t="s">
        <v>45</v>
      </c>
      <c r="H328" s="89" t="s">
        <v>236</v>
      </c>
      <c r="I328" s="515" t="s">
        <v>86</v>
      </c>
      <c r="J328" s="525">
        <v>51.200000762939453</v>
      </c>
      <c r="K328" s="353">
        <f t="shared" si="10"/>
        <v>156</v>
      </c>
      <c r="L328" s="264">
        <v>156</v>
      </c>
      <c r="M328" s="263" t="e">
        <f>IF(L328="nio",0,IF(L328&gt;0,L328*J328/N328,0))*VLOOKUP(B328,'2-Kosten per locatie'!$A$14:$C$18,3,FALSE)</f>
        <v>#DIV/0!</v>
      </c>
      <c r="N328" s="354">
        <f>IF(L328="nio",0,IF(L328&gt;0,VLOOKUP(G328,'3-Productie normen'!A:L,VLOOKUP(L328,'3-Productie normen'!$B$29:$C$32,2,FALSE),FALSE)))</f>
        <v>0</v>
      </c>
      <c r="O328" s="355" t="str">
        <f>VLOOKUP(G328,'3-Productie normen'!A:H,8,FALSE)</f>
        <v>V</v>
      </c>
      <c r="P328" s="355"/>
      <c r="R328" s="356">
        <f t="shared" ref="R328:R329" si="11">K328*J328</f>
        <v>7987.2001190185547</v>
      </c>
    </row>
    <row r="329" spans="1:18" ht="14.1" customHeight="1">
      <c r="A329" s="75">
        <v>329</v>
      </c>
      <c r="B329" s="515" t="s">
        <v>257</v>
      </c>
      <c r="C329" s="316" t="s">
        <v>579</v>
      </c>
      <c r="D329" s="350" t="s">
        <v>582</v>
      </c>
      <c r="E329" s="261" t="s">
        <v>570</v>
      </c>
      <c r="F329" s="89" t="s">
        <v>584</v>
      </c>
      <c r="G329" s="316" t="s">
        <v>45</v>
      </c>
      <c r="H329" s="89" t="s">
        <v>236</v>
      </c>
      <c r="I329" s="515" t="s">
        <v>86</v>
      </c>
      <c r="J329" s="525">
        <v>51.200000762939453</v>
      </c>
      <c r="K329" s="353">
        <f t="shared" si="10"/>
        <v>156</v>
      </c>
      <c r="L329" s="264">
        <v>156</v>
      </c>
      <c r="M329" s="263" t="e">
        <f>IF(L329="nio",0,IF(L329&gt;0,L329*J329/N329,0))*VLOOKUP(B329,'2-Kosten per locatie'!$A$14:$C$18,3,FALSE)</f>
        <v>#DIV/0!</v>
      </c>
      <c r="N329" s="354">
        <f>IF(L329="nio",0,IF(L329&gt;0,VLOOKUP(G329,'3-Productie normen'!A:L,VLOOKUP(L329,'3-Productie normen'!$B$29:$C$32,2,FALSE),FALSE)))</f>
        <v>0</v>
      </c>
      <c r="O329" s="355" t="str">
        <f>VLOOKUP(G329,'3-Productie normen'!A:H,8,FALSE)</f>
        <v>V</v>
      </c>
      <c r="P329" s="355"/>
      <c r="R329" s="356">
        <f t="shared" si="11"/>
        <v>7987.2001190185547</v>
      </c>
    </row>
    <row r="330" spans="1:18" ht="14.1" customHeight="1">
      <c r="A330" s="75">
        <v>330</v>
      </c>
      <c r="B330" s="515" t="s">
        <v>612</v>
      </c>
      <c r="C330" s="316"/>
      <c r="D330" s="89" t="s">
        <v>580</v>
      </c>
      <c r="E330" s="261"/>
      <c r="F330" s="89" t="s">
        <v>584</v>
      </c>
      <c r="G330" s="89" t="s">
        <v>45</v>
      </c>
      <c r="H330" s="89" t="s">
        <v>626</v>
      </c>
      <c r="I330" s="516" t="s">
        <v>86</v>
      </c>
      <c r="J330" s="525">
        <v>23.12</v>
      </c>
      <c r="K330" s="353">
        <f t="shared" si="10"/>
        <v>255</v>
      </c>
      <c r="L330" s="264">
        <v>255</v>
      </c>
      <c r="M330" s="263" t="e">
        <f>IF(L330="nio",0,IF(L330&gt;0,L330*J330/N330,0))*VLOOKUP(B330,'2-Kosten per locatie'!$A$14:$C$18,3,FALSE)</f>
        <v>#DIV/0!</v>
      </c>
      <c r="N330" s="354">
        <f>IF(L330="nio",0,IF(L330&gt;0,VLOOKUP(G330,'3-Productie normen'!A:L,VLOOKUP(L330,'3-Productie normen'!$B$29:$C$32,2,FALSE),FALSE)))</f>
        <v>0</v>
      </c>
      <c r="O330" s="355" t="str">
        <f>VLOOKUP(G330,'3-Productie normen'!A:H,8,FALSE)</f>
        <v>V</v>
      </c>
      <c r="P330" s="355"/>
      <c r="R330" s="356">
        <f t="shared" ref="R330:R347" si="12">K330*J330</f>
        <v>5895.6</v>
      </c>
    </row>
    <row r="331" spans="1:18" ht="14.1" customHeight="1">
      <c r="A331" s="75">
        <v>331</v>
      </c>
      <c r="B331" s="515" t="s">
        <v>612</v>
      </c>
      <c r="C331" s="316"/>
      <c r="D331" s="89" t="s">
        <v>580</v>
      </c>
      <c r="E331" s="261"/>
      <c r="F331" s="89" t="s">
        <v>620</v>
      </c>
      <c r="G331" s="89" t="s">
        <v>41</v>
      </c>
      <c r="H331" s="89" t="s">
        <v>626</v>
      </c>
      <c r="I331" s="516" t="s">
        <v>86</v>
      </c>
      <c r="J331" s="525">
        <v>45.2</v>
      </c>
      <c r="K331" s="353">
        <f t="shared" si="10"/>
        <v>255</v>
      </c>
      <c r="L331" s="264">
        <v>255</v>
      </c>
      <c r="M331" s="263" t="e">
        <f>IF(L331="nio",0,IF(L331&gt;0,L331*J331/N331,0))*VLOOKUP(B331,'2-Kosten per locatie'!$A$14:$C$18,3,FALSE)</f>
        <v>#DIV/0!</v>
      </c>
      <c r="N331" s="354">
        <f>IF(L331="nio",0,IF(L331&gt;0,VLOOKUP(G331,'3-Productie normen'!A:L,VLOOKUP(L331,'3-Productie normen'!$B$29:$C$32,2,FALSE),FALSE)))</f>
        <v>0</v>
      </c>
      <c r="O331" s="355" t="str">
        <f>VLOOKUP(G331,'3-Productie normen'!A:H,8,FALSE)</f>
        <v>B</v>
      </c>
      <c r="P331" s="355"/>
      <c r="R331" s="356">
        <f t="shared" si="12"/>
        <v>11526</v>
      </c>
    </row>
    <row r="332" spans="1:18" ht="14.1" customHeight="1">
      <c r="A332" s="75">
        <v>332</v>
      </c>
      <c r="B332" s="515" t="s">
        <v>612</v>
      </c>
      <c r="C332" s="316"/>
      <c r="D332" s="89" t="s">
        <v>580</v>
      </c>
      <c r="E332" s="261"/>
      <c r="F332" s="89" t="s">
        <v>621</v>
      </c>
      <c r="G332" s="89" t="s">
        <v>41</v>
      </c>
      <c r="H332" s="89" t="s">
        <v>626</v>
      </c>
      <c r="I332" s="516" t="s">
        <v>86</v>
      </c>
      <c r="J332" s="525">
        <v>15.7</v>
      </c>
      <c r="K332" s="353">
        <f t="shared" si="10"/>
        <v>255</v>
      </c>
      <c r="L332" s="264">
        <v>255</v>
      </c>
      <c r="M332" s="263" t="e">
        <f>IF(L332="nio",0,IF(L332&gt;0,L332*J332/N332,0))*VLOOKUP(B332,'2-Kosten per locatie'!$A$14:$C$18,3,FALSE)</f>
        <v>#DIV/0!</v>
      </c>
      <c r="N332" s="354">
        <f>IF(L332="nio",0,IF(L332&gt;0,VLOOKUP(G332,'3-Productie normen'!A:L,VLOOKUP(L332,'3-Productie normen'!$B$29:$C$32,2,FALSE),FALSE)))</f>
        <v>0</v>
      </c>
      <c r="O332" s="355" t="str">
        <f>VLOOKUP(G332,'3-Productie normen'!A:H,8,FALSE)</f>
        <v>B</v>
      </c>
      <c r="P332" s="355"/>
      <c r="R332" s="356">
        <f t="shared" si="12"/>
        <v>4003.5</v>
      </c>
    </row>
    <row r="333" spans="1:18" ht="14.1" customHeight="1">
      <c r="A333" s="75">
        <v>333</v>
      </c>
      <c r="B333" s="515" t="s">
        <v>612</v>
      </c>
      <c r="C333" s="316"/>
      <c r="D333" s="89" t="s">
        <v>580</v>
      </c>
      <c r="E333" s="261"/>
      <c r="F333" s="89" t="s">
        <v>622</v>
      </c>
      <c r="G333" s="89" t="s">
        <v>51</v>
      </c>
      <c r="H333" s="89" t="s">
        <v>626</v>
      </c>
      <c r="I333" s="516" t="s">
        <v>86</v>
      </c>
      <c r="J333" s="525">
        <v>3.87</v>
      </c>
      <c r="K333" s="353">
        <f t="shared" si="10"/>
        <v>12</v>
      </c>
      <c r="L333" s="264">
        <v>12</v>
      </c>
      <c r="M333" s="263" t="e">
        <f>IF(L333="nio",0,IF(L333&gt;0,L333*J333/N333,0))*VLOOKUP(B333,'2-Kosten per locatie'!$A$14:$C$18,3,FALSE)</f>
        <v>#DIV/0!</v>
      </c>
      <c r="N333" s="354">
        <f>IF(L333="nio",0,IF(L333&gt;0,VLOOKUP(G333,'3-Productie normen'!A:L,VLOOKUP(L333,'3-Productie normen'!$B$29:$C$32,2,FALSE),FALSE)))</f>
        <v>0</v>
      </c>
      <c r="O333" s="355" t="str">
        <f>VLOOKUP(G333,'3-Productie normen'!A:H,8,FALSE)</f>
        <v>V</v>
      </c>
      <c r="P333" s="355"/>
      <c r="R333" s="356">
        <f t="shared" si="12"/>
        <v>46.44</v>
      </c>
    </row>
    <row r="334" spans="1:18" ht="14.1" customHeight="1">
      <c r="A334" s="75">
        <v>334</v>
      </c>
      <c r="B334" s="515" t="s">
        <v>612</v>
      </c>
      <c r="C334" s="316"/>
      <c r="D334" s="89" t="s">
        <v>580</v>
      </c>
      <c r="E334" s="261"/>
      <c r="F334" s="89" t="s">
        <v>623</v>
      </c>
      <c r="G334" s="89" t="s">
        <v>41</v>
      </c>
      <c r="H334" s="89" t="s">
        <v>626</v>
      </c>
      <c r="I334" s="516" t="s">
        <v>86</v>
      </c>
      <c r="J334" s="525">
        <v>10.8</v>
      </c>
      <c r="K334" s="353">
        <f t="shared" si="10"/>
        <v>255</v>
      </c>
      <c r="L334" s="264">
        <v>255</v>
      </c>
      <c r="M334" s="263" t="e">
        <f>IF(L334="nio",0,IF(L334&gt;0,L334*J334/N334,0))*VLOOKUP(B334,'2-Kosten per locatie'!$A$14:$C$18,3,FALSE)</f>
        <v>#DIV/0!</v>
      </c>
      <c r="N334" s="354">
        <f>IF(L334="nio",0,IF(L334&gt;0,VLOOKUP(G334,'3-Productie normen'!A:L,VLOOKUP(L334,'3-Productie normen'!$B$29:$C$32,2,FALSE),FALSE)))</f>
        <v>0</v>
      </c>
      <c r="O334" s="355" t="str">
        <f>VLOOKUP(G334,'3-Productie normen'!A:H,8,FALSE)</f>
        <v>B</v>
      </c>
      <c r="P334" s="355"/>
      <c r="R334" s="356">
        <f t="shared" si="12"/>
        <v>2754</v>
      </c>
    </row>
    <row r="335" spans="1:18" ht="14.1" customHeight="1">
      <c r="A335" s="75">
        <v>335</v>
      </c>
      <c r="B335" s="515" t="s">
        <v>612</v>
      </c>
      <c r="C335" s="316"/>
      <c r="D335" s="89" t="s">
        <v>580</v>
      </c>
      <c r="E335" s="261"/>
      <c r="F335" s="89" t="s">
        <v>588</v>
      </c>
      <c r="G335" s="89" t="s">
        <v>43</v>
      </c>
      <c r="H335" s="89" t="s">
        <v>626</v>
      </c>
      <c r="I335" s="515" t="s">
        <v>82</v>
      </c>
      <c r="J335" s="525">
        <v>1.5</v>
      </c>
      <c r="K335" s="353">
        <f t="shared" si="10"/>
        <v>255</v>
      </c>
      <c r="L335" s="264">
        <v>255</v>
      </c>
      <c r="M335" s="263" t="e">
        <f>IF(L335="nio",0,IF(L335&gt;0,L335*J335/N335,0))*VLOOKUP(B335,'2-Kosten per locatie'!$A$14:$C$18,3,FALSE)</f>
        <v>#DIV/0!</v>
      </c>
      <c r="N335" s="354">
        <f>IF(L335="nio",0,IF(L335&gt;0,VLOOKUP(G335,'3-Productie normen'!A:L,VLOOKUP(L335,'3-Productie normen'!$B$29:$C$32,2,FALSE),FALSE)))</f>
        <v>0</v>
      </c>
      <c r="O335" s="355" t="str">
        <f>VLOOKUP(G335,'3-Productie normen'!A:H,8,FALSE)</f>
        <v>S</v>
      </c>
      <c r="P335" s="355"/>
      <c r="R335" s="356">
        <f t="shared" si="12"/>
        <v>382.5</v>
      </c>
    </row>
    <row r="336" spans="1:18" ht="14.1" customHeight="1">
      <c r="A336" s="75">
        <v>336</v>
      </c>
      <c r="B336" s="515" t="s">
        <v>612</v>
      </c>
      <c r="C336" s="316"/>
      <c r="D336" s="89" t="s">
        <v>580</v>
      </c>
      <c r="E336" s="261"/>
      <c r="F336" s="89" t="s">
        <v>588</v>
      </c>
      <c r="G336" s="89" t="s">
        <v>43</v>
      </c>
      <c r="H336" s="89" t="s">
        <v>626</v>
      </c>
      <c r="I336" s="515" t="s">
        <v>82</v>
      </c>
      <c r="J336" s="525">
        <v>1.5</v>
      </c>
      <c r="K336" s="353">
        <f t="shared" si="10"/>
        <v>255</v>
      </c>
      <c r="L336" s="264">
        <v>255</v>
      </c>
      <c r="M336" s="263" t="e">
        <f>IF(L336="nio",0,IF(L336&gt;0,L336*J336/N336,0))*VLOOKUP(B336,'2-Kosten per locatie'!$A$14:$C$18,3,FALSE)</f>
        <v>#DIV/0!</v>
      </c>
      <c r="N336" s="354">
        <f>IF(L336="nio",0,IF(L336&gt;0,VLOOKUP(G336,'3-Productie normen'!A:L,VLOOKUP(L336,'3-Productie normen'!$B$29:$C$32,2,FALSE),FALSE)))</f>
        <v>0</v>
      </c>
      <c r="O336" s="355" t="str">
        <f>VLOOKUP(G336,'3-Productie normen'!A:H,8,FALSE)</f>
        <v>S</v>
      </c>
      <c r="P336" s="355"/>
      <c r="R336" s="356">
        <f t="shared" si="12"/>
        <v>382.5</v>
      </c>
    </row>
    <row r="337" spans="1:18" ht="14.1" customHeight="1">
      <c r="A337" s="75">
        <v>337</v>
      </c>
      <c r="B337" s="515" t="s">
        <v>612</v>
      </c>
      <c r="C337" s="316"/>
      <c r="D337" s="89" t="s">
        <v>580</v>
      </c>
      <c r="E337" s="261"/>
      <c r="F337" s="89" t="s">
        <v>584</v>
      </c>
      <c r="G337" s="89" t="s">
        <v>45</v>
      </c>
      <c r="H337" s="89" t="s">
        <v>626</v>
      </c>
      <c r="I337" s="516" t="s">
        <v>86</v>
      </c>
      <c r="J337" s="525">
        <v>6.38</v>
      </c>
      <c r="K337" s="353">
        <f t="shared" si="10"/>
        <v>255</v>
      </c>
      <c r="L337" s="264">
        <v>255</v>
      </c>
      <c r="M337" s="263" t="e">
        <f>IF(L337="nio",0,IF(L337&gt;0,L337*J337/N337,0))*VLOOKUP(B337,'2-Kosten per locatie'!$A$14:$C$18,3,FALSE)</f>
        <v>#DIV/0!</v>
      </c>
      <c r="N337" s="354">
        <f>IF(L337="nio",0,IF(L337&gt;0,VLOOKUP(G337,'3-Productie normen'!A:L,VLOOKUP(L337,'3-Productie normen'!$B$29:$C$32,2,FALSE),FALSE)))</f>
        <v>0</v>
      </c>
      <c r="O337" s="355" t="str">
        <f>VLOOKUP(G337,'3-Productie normen'!A:H,8,FALSE)</f>
        <v>V</v>
      </c>
      <c r="P337" s="355"/>
      <c r="R337" s="356">
        <f t="shared" si="12"/>
        <v>1626.8999999999999</v>
      </c>
    </row>
    <row r="338" spans="1:18" ht="14.1" customHeight="1">
      <c r="A338" s="75">
        <v>338</v>
      </c>
      <c r="B338" s="515" t="s">
        <v>612</v>
      </c>
      <c r="C338" s="316"/>
      <c r="D338" s="89" t="s">
        <v>580</v>
      </c>
      <c r="E338" s="261"/>
      <c r="F338" s="89" t="s">
        <v>624</v>
      </c>
      <c r="G338" s="89" t="s">
        <v>43</v>
      </c>
      <c r="H338" s="89" t="s">
        <v>626</v>
      </c>
      <c r="I338" s="515" t="s">
        <v>82</v>
      </c>
      <c r="J338" s="525">
        <v>22.45</v>
      </c>
      <c r="K338" s="353">
        <f t="shared" si="10"/>
        <v>255</v>
      </c>
      <c r="L338" s="264">
        <v>255</v>
      </c>
      <c r="M338" s="263" t="e">
        <f>IF(L338="nio",0,IF(L338&gt;0,L338*J338/N338,0))*VLOOKUP(B338,'2-Kosten per locatie'!$A$14:$C$18,3,FALSE)</f>
        <v>#DIV/0!</v>
      </c>
      <c r="N338" s="354">
        <f>IF(L338="nio",0,IF(L338&gt;0,VLOOKUP(G338,'3-Productie normen'!A:L,VLOOKUP(L338,'3-Productie normen'!$B$29:$C$32,2,FALSE),FALSE)))</f>
        <v>0</v>
      </c>
      <c r="O338" s="355" t="str">
        <f>VLOOKUP(G338,'3-Productie normen'!A:H,8,FALSE)</f>
        <v>S</v>
      </c>
      <c r="P338" s="355"/>
      <c r="R338" s="356">
        <f t="shared" si="12"/>
        <v>5724.75</v>
      </c>
    </row>
    <row r="339" spans="1:18" ht="14.1" customHeight="1">
      <c r="A339" s="75">
        <v>339</v>
      </c>
      <c r="B339" s="515" t="s">
        <v>612</v>
      </c>
      <c r="C339" s="316"/>
      <c r="D339" s="89" t="s">
        <v>580</v>
      </c>
      <c r="E339" s="261"/>
      <c r="F339" s="89" t="s">
        <v>588</v>
      </c>
      <c r="G339" s="89" t="s">
        <v>43</v>
      </c>
      <c r="H339" s="89" t="s">
        <v>626</v>
      </c>
      <c r="I339" s="515" t="s">
        <v>82</v>
      </c>
      <c r="J339" s="525">
        <v>1.5</v>
      </c>
      <c r="K339" s="353">
        <f t="shared" si="10"/>
        <v>255</v>
      </c>
      <c r="L339" s="264">
        <v>255</v>
      </c>
      <c r="M339" s="263" t="e">
        <f>IF(L339="nio",0,IF(L339&gt;0,L339*J339/N339,0))*VLOOKUP(B339,'2-Kosten per locatie'!$A$14:$C$18,3,FALSE)</f>
        <v>#DIV/0!</v>
      </c>
      <c r="N339" s="354">
        <f>IF(L339="nio",0,IF(L339&gt;0,VLOOKUP(G339,'3-Productie normen'!A:L,VLOOKUP(L339,'3-Productie normen'!$B$29:$C$32,2,FALSE),FALSE)))</f>
        <v>0</v>
      </c>
      <c r="O339" s="355" t="str">
        <f>VLOOKUP(G339,'3-Productie normen'!A:H,8,FALSE)</f>
        <v>S</v>
      </c>
      <c r="P339" s="355"/>
      <c r="R339" s="356">
        <f t="shared" si="12"/>
        <v>382.5</v>
      </c>
    </row>
    <row r="340" spans="1:18" ht="14.1" customHeight="1">
      <c r="A340" s="75">
        <v>340</v>
      </c>
      <c r="B340" s="515" t="s">
        <v>612</v>
      </c>
      <c r="C340" s="316"/>
      <c r="D340" s="89" t="s">
        <v>580</v>
      </c>
      <c r="E340" s="261"/>
      <c r="F340" s="89" t="s">
        <v>588</v>
      </c>
      <c r="G340" s="89" t="s">
        <v>43</v>
      </c>
      <c r="H340" s="89" t="s">
        <v>626</v>
      </c>
      <c r="I340" s="515" t="s">
        <v>82</v>
      </c>
      <c r="J340" s="525">
        <v>1.5</v>
      </c>
      <c r="K340" s="353">
        <f t="shared" si="10"/>
        <v>255</v>
      </c>
      <c r="L340" s="264">
        <v>255</v>
      </c>
      <c r="M340" s="263" t="e">
        <f>IF(L340="nio",0,IF(L340&gt;0,L340*J340/N340,0))*VLOOKUP(B340,'2-Kosten per locatie'!$A$14:$C$18,3,FALSE)</f>
        <v>#DIV/0!</v>
      </c>
      <c r="N340" s="354">
        <f>IF(L340="nio",0,IF(L340&gt;0,VLOOKUP(G340,'3-Productie normen'!A:L,VLOOKUP(L340,'3-Productie normen'!$B$29:$C$32,2,FALSE),FALSE)))</f>
        <v>0</v>
      </c>
      <c r="O340" s="355" t="str">
        <f>VLOOKUP(G340,'3-Productie normen'!A:H,8,FALSE)</f>
        <v>S</v>
      </c>
      <c r="P340" s="355"/>
      <c r="R340" s="356">
        <f t="shared" si="12"/>
        <v>382.5</v>
      </c>
    </row>
    <row r="341" spans="1:18" ht="14.1" customHeight="1">
      <c r="A341" s="75">
        <v>341</v>
      </c>
      <c r="B341" s="515" t="s">
        <v>612</v>
      </c>
      <c r="C341" s="316"/>
      <c r="D341" s="89" t="s">
        <v>580</v>
      </c>
      <c r="E341" s="261"/>
      <c r="F341" s="89" t="s">
        <v>586</v>
      </c>
      <c r="G341" s="89" t="s">
        <v>43</v>
      </c>
      <c r="H341" s="89" t="s">
        <v>626</v>
      </c>
      <c r="I341" s="515" t="s">
        <v>82</v>
      </c>
      <c r="J341" s="525">
        <v>2.76</v>
      </c>
      <c r="K341" s="353">
        <f t="shared" si="10"/>
        <v>255</v>
      </c>
      <c r="L341" s="264">
        <v>255</v>
      </c>
      <c r="M341" s="263" t="e">
        <f>IF(L341="nio",0,IF(L341&gt;0,L341*J341/N341,0))*VLOOKUP(B341,'2-Kosten per locatie'!$A$14:$C$18,3,FALSE)</f>
        <v>#DIV/0!</v>
      </c>
      <c r="N341" s="354">
        <f>IF(L341="nio",0,IF(L341&gt;0,VLOOKUP(G341,'3-Productie normen'!A:L,VLOOKUP(L341,'3-Productie normen'!$B$29:$C$32,2,FALSE),FALSE)))</f>
        <v>0</v>
      </c>
      <c r="O341" s="355" t="str">
        <f>VLOOKUP(G341,'3-Productie normen'!A:H,8,FALSE)</f>
        <v>S</v>
      </c>
      <c r="P341" s="355"/>
      <c r="R341" s="356">
        <f t="shared" si="12"/>
        <v>703.8</v>
      </c>
    </row>
    <row r="342" spans="1:18" ht="14.1" customHeight="1">
      <c r="A342" s="75">
        <v>342</v>
      </c>
      <c r="B342" s="515" t="s">
        <v>612</v>
      </c>
      <c r="C342" s="316"/>
      <c r="D342" s="89" t="s">
        <v>580</v>
      </c>
      <c r="E342" s="261"/>
      <c r="F342" s="89" t="s">
        <v>54</v>
      </c>
      <c r="G342" s="89" t="s">
        <v>54</v>
      </c>
      <c r="H342" s="89" t="s">
        <v>607</v>
      </c>
      <c r="I342" s="516" t="s">
        <v>86</v>
      </c>
      <c r="J342" s="525">
        <v>15</v>
      </c>
      <c r="K342" s="353">
        <f t="shared" si="10"/>
        <v>255</v>
      </c>
      <c r="L342" s="264">
        <v>255</v>
      </c>
      <c r="M342" s="263" t="e">
        <f>IF(L342="nio",0,IF(L342&gt;0,L342*J342/N342,0))*VLOOKUP(B342,'2-Kosten per locatie'!$A$14:$C$18,3,FALSE)</f>
        <v>#DIV/0!</v>
      </c>
      <c r="N342" s="354">
        <f>IF(L342="nio",0,IF(L342&gt;0,VLOOKUP(G342,'3-Productie normen'!A:L,VLOOKUP(L342,'3-Productie normen'!$B$29:$C$32,2,FALSE),FALSE)))</f>
        <v>0</v>
      </c>
      <c r="O342" s="355" t="str">
        <f>VLOOKUP(G342,'3-Productie normen'!A:H,8,FALSE)</f>
        <v>V</v>
      </c>
      <c r="P342" s="355"/>
      <c r="R342" s="356">
        <f t="shared" si="12"/>
        <v>3825</v>
      </c>
    </row>
    <row r="343" spans="1:18" ht="14.1" customHeight="1">
      <c r="A343" s="75">
        <v>343</v>
      </c>
      <c r="B343" s="515" t="s">
        <v>612</v>
      </c>
      <c r="C343" s="316"/>
      <c r="D343" s="89" t="s">
        <v>580</v>
      </c>
      <c r="E343" s="261"/>
      <c r="F343" s="89" t="s">
        <v>624</v>
      </c>
      <c r="G343" s="89" t="s">
        <v>43</v>
      </c>
      <c r="H343" s="89" t="s">
        <v>626</v>
      </c>
      <c r="I343" s="515" t="s">
        <v>82</v>
      </c>
      <c r="J343" s="525">
        <v>8</v>
      </c>
      <c r="K343" s="353">
        <f t="shared" si="10"/>
        <v>255</v>
      </c>
      <c r="L343" s="264">
        <v>255</v>
      </c>
      <c r="M343" s="263" t="e">
        <f>IF(L343="nio",0,IF(L343&gt;0,L343*J343/N343,0))*VLOOKUP(B343,'2-Kosten per locatie'!$A$14:$C$18,3,FALSE)</f>
        <v>#DIV/0!</v>
      </c>
      <c r="N343" s="354">
        <f>IF(L343="nio",0,IF(L343&gt;0,VLOOKUP(G343,'3-Productie normen'!A:L,VLOOKUP(L343,'3-Productie normen'!$B$29:$C$32,2,FALSE),FALSE)))</f>
        <v>0</v>
      </c>
      <c r="O343" s="355" t="str">
        <f>VLOOKUP(G343,'3-Productie normen'!A:H,8,FALSE)</f>
        <v>S</v>
      </c>
      <c r="P343" s="355"/>
      <c r="R343" s="356">
        <f t="shared" si="12"/>
        <v>2040</v>
      </c>
    </row>
    <row r="344" spans="1:18" ht="14.1" customHeight="1">
      <c r="A344" s="75">
        <v>344</v>
      </c>
      <c r="B344" s="515" t="s">
        <v>612</v>
      </c>
      <c r="C344" s="316"/>
      <c r="D344" s="89" t="s">
        <v>580</v>
      </c>
      <c r="E344" s="261"/>
      <c r="F344" s="89" t="s">
        <v>588</v>
      </c>
      <c r="G344" s="89" t="s">
        <v>43</v>
      </c>
      <c r="H344" s="89" t="s">
        <v>626</v>
      </c>
      <c r="I344" s="515" t="s">
        <v>82</v>
      </c>
      <c r="J344" s="525">
        <v>1.5</v>
      </c>
      <c r="K344" s="353">
        <f t="shared" si="10"/>
        <v>255</v>
      </c>
      <c r="L344" s="264">
        <v>255</v>
      </c>
      <c r="M344" s="263" t="e">
        <f>IF(L344="nio",0,IF(L344&gt;0,L344*J344/N344,0))*VLOOKUP(B344,'2-Kosten per locatie'!$A$14:$C$18,3,FALSE)</f>
        <v>#DIV/0!</v>
      </c>
      <c r="N344" s="354">
        <f>IF(L344="nio",0,IF(L344&gt;0,VLOOKUP(G344,'3-Productie normen'!A:L,VLOOKUP(L344,'3-Productie normen'!$B$29:$C$32,2,FALSE),FALSE)))</f>
        <v>0</v>
      </c>
      <c r="O344" s="355" t="str">
        <f>VLOOKUP(G344,'3-Productie normen'!A:H,8,FALSE)</f>
        <v>S</v>
      </c>
      <c r="P344" s="355"/>
      <c r="R344" s="356">
        <f t="shared" si="12"/>
        <v>382.5</v>
      </c>
    </row>
    <row r="345" spans="1:18" ht="14.1" customHeight="1">
      <c r="A345" s="75">
        <v>345</v>
      </c>
      <c r="B345" s="515" t="s">
        <v>612</v>
      </c>
      <c r="C345" s="316"/>
      <c r="D345" s="89" t="s">
        <v>580</v>
      </c>
      <c r="E345" s="261"/>
      <c r="F345" s="89" t="s">
        <v>586</v>
      </c>
      <c r="G345" s="89" t="s">
        <v>43</v>
      </c>
      <c r="H345" s="89" t="s">
        <v>626</v>
      </c>
      <c r="I345" s="515" t="s">
        <v>82</v>
      </c>
      <c r="J345" s="525">
        <v>2.76</v>
      </c>
      <c r="K345" s="353">
        <f t="shared" si="10"/>
        <v>255</v>
      </c>
      <c r="L345" s="264">
        <v>255</v>
      </c>
      <c r="M345" s="263" t="e">
        <f>IF(L345="nio",0,IF(L345&gt;0,L345*J345/N345,0))*VLOOKUP(B345,'2-Kosten per locatie'!$A$14:$C$18,3,FALSE)</f>
        <v>#DIV/0!</v>
      </c>
      <c r="N345" s="354">
        <f>IF(L345="nio",0,IF(L345&gt;0,VLOOKUP(G345,'3-Productie normen'!A:L,VLOOKUP(L345,'3-Productie normen'!$B$29:$C$32,2,FALSE),FALSE)))</f>
        <v>0</v>
      </c>
      <c r="O345" s="355" t="str">
        <f>VLOOKUP(G345,'3-Productie normen'!A:H,8,FALSE)</f>
        <v>S</v>
      </c>
      <c r="P345" s="355"/>
      <c r="R345" s="356">
        <f t="shared" si="12"/>
        <v>703.8</v>
      </c>
    </row>
    <row r="346" spans="1:18" ht="14.1" customHeight="1">
      <c r="A346" s="75">
        <v>346</v>
      </c>
      <c r="B346" s="515" t="s">
        <v>612</v>
      </c>
      <c r="C346" s="316"/>
      <c r="D346" s="89" t="s">
        <v>581</v>
      </c>
      <c r="E346" s="261"/>
      <c r="F346" s="89" t="s">
        <v>625</v>
      </c>
      <c r="G346" s="89" t="s">
        <v>48</v>
      </c>
      <c r="H346" s="89" t="s">
        <v>626</v>
      </c>
      <c r="I346" s="516" t="s">
        <v>86</v>
      </c>
      <c r="J346" s="525">
        <v>85.2</v>
      </c>
      <c r="K346" s="353">
        <f t="shared" si="10"/>
        <v>255</v>
      </c>
      <c r="L346" s="264">
        <v>255</v>
      </c>
      <c r="M346" s="263" t="e">
        <f>IF(L346="nio",0,IF(L346&gt;0,L346*J346/N346,0))*VLOOKUP(B346,'2-Kosten per locatie'!$A$14:$C$18,3,FALSE)</f>
        <v>#DIV/0!</v>
      </c>
      <c r="N346" s="354">
        <f>IF(L346="nio",0,IF(L346&gt;0,VLOOKUP(G346,'3-Productie normen'!A:L,VLOOKUP(L346,'3-Productie normen'!$B$29:$C$32,2,FALSE),FALSE)))</f>
        <v>0</v>
      </c>
      <c r="O346" s="355" t="str">
        <f>VLOOKUP(G346,'3-Productie normen'!A:H,8,FALSE)</f>
        <v>V</v>
      </c>
      <c r="P346" s="355"/>
      <c r="R346" s="356">
        <f t="shared" si="12"/>
        <v>21726</v>
      </c>
    </row>
    <row r="347" spans="1:18" ht="14.1" customHeight="1">
      <c r="A347" s="75">
        <v>347</v>
      </c>
      <c r="B347" s="515" t="s">
        <v>612</v>
      </c>
      <c r="C347" s="316"/>
      <c r="D347" s="89" t="s">
        <v>581</v>
      </c>
      <c r="E347" s="261"/>
      <c r="F347" s="89" t="s">
        <v>622</v>
      </c>
      <c r="G347" s="89" t="s">
        <v>51</v>
      </c>
      <c r="H347" s="89" t="s">
        <v>626</v>
      </c>
      <c r="I347" s="516" t="s">
        <v>86</v>
      </c>
      <c r="J347" s="525">
        <v>3.93</v>
      </c>
      <c r="K347" s="353">
        <f t="shared" si="10"/>
        <v>12</v>
      </c>
      <c r="L347" s="264">
        <v>12</v>
      </c>
      <c r="M347" s="263" t="e">
        <f>IF(L347="nio",0,IF(L347&gt;0,L347*J347/N347,0))*VLOOKUP(B347,'2-Kosten per locatie'!$A$14:$C$18,3,FALSE)</f>
        <v>#DIV/0!</v>
      </c>
      <c r="N347" s="354">
        <f>IF(L347="nio",0,IF(L347&gt;0,VLOOKUP(G347,'3-Productie normen'!A:L,VLOOKUP(L347,'3-Productie normen'!$B$29:$C$32,2,FALSE),FALSE)))</f>
        <v>0</v>
      </c>
      <c r="O347" s="355" t="str">
        <f>VLOOKUP(G347,'3-Productie normen'!A:H,8,FALSE)</f>
        <v>V</v>
      </c>
      <c r="P347" s="355"/>
      <c r="R347" s="356">
        <f t="shared" si="12"/>
        <v>47.160000000000004</v>
      </c>
    </row>
    <row r="348" spans="1:18" ht="14.1" customHeight="1">
      <c r="A348" s="75">
        <v>348</v>
      </c>
      <c r="B348" s="515" t="s">
        <v>612</v>
      </c>
      <c r="C348" s="316" t="s">
        <v>627</v>
      </c>
      <c r="D348" s="89" t="s">
        <v>580</v>
      </c>
      <c r="E348" s="261"/>
      <c r="F348" s="89" t="s">
        <v>588</v>
      </c>
      <c r="G348" s="89" t="s">
        <v>43</v>
      </c>
      <c r="H348" s="89" t="s">
        <v>626</v>
      </c>
      <c r="I348" s="515" t="s">
        <v>82</v>
      </c>
      <c r="J348" s="525">
        <v>3</v>
      </c>
      <c r="K348" s="353">
        <f t="shared" si="10"/>
        <v>255</v>
      </c>
      <c r="L348" s="264">
        <v>255</v>
      </c>
      <c r="M348" s="263" t="e">
        <f>IF(L348="nio",0,IF(L348&gt;0,L348*J348/N348,0))*VLOOKUP(B348,'2-Kosten per locatie'!$A$14:$C$18,3,FALSE)</f>
        <v>#DIV/0!</v>
      </c>
      <c r="N348" s="354">
        <f>IF(L348="nio",0,IF(L348&gt;0,VLOOKUP(G348,'3-Productie normen'!A:L,VLOOKUP(L348,'3-Productie normen'!$B$29:$C$32,2,FALSE),FALSE)))</f>
        <v>0</v>
      </c>
      <c r="O348" s="355" t="str">
        <f>VLOOKUP(G348,'3-Productie normen'!A:H,8,FALSE)</f>
        <v>S</v>
      </c>
      <c r="P348" s="355"/>
      <c r="R348" s="356">
        <f t="shared" ref="R348" si="13">K348*J348</f>
        <v>765</v>
      </c>
    </row>
    <row r="349" spans="1:18" ht="14.1" customHeight="1">
      <c r="A349" s="75">
        <v>349</v>
      </c>
      <c r="B349" s="515" t="s">
        <v>613</v>
      </c>
      <c r="C349" s="316"/>
      <c r="D349" s="89" t="s">
        <v>580</v>
      </c>
      <c r="E349" s="261" t="s">
        <v>628</v>
      </c>
      <c r="F349" s="89" t="s">
        <v>53</v>
      </c>
      <c r="G349" s="89" t="s">
        <v>53</v>
      </c>
      <c r="H349" s="89" t="s">
        <v>663</v>
      </c>
      <c r="I349" s="516" t="s">
        <v>86</v>
      </c>
      <c r="J349" s="525">
        <v>6.3</v>
      </c>
      <c r="K349" s="353">
        <f t="shared" si="10"/>
        <v>255</v>
      </c>
      <c r="L349" s="264">
        <v>255</v>
      </c>
      <c r="M349" s="263" t="e">
        <f>IF(L349="nio",0,IF(L349&gt;0,L349*J349/N349,0))*VLOOKUP(B349,'2-Kosten per locatie'!$A$14:$C$18,3,FALSE)</f>
        <v>#DIV/0!</v>
      </c>
      <c r="N349" s="354">
        <f>IF(L349="nio",0,IF(L349&gt;0,VLOOKUP(G349,'3-Productie normen'!A:L,VLOOKUP(L349,'3-Productie normen'!$B$29:$C$32,2,FALSE),FALSE)))</f>
        <v>0</v>
      </c>
      <c r="O349" s="355" t="str">
        <f>VLOOKUP(G349,'3-Productie normen'!A:H,8,FALSE)</f>
        <v>V</v>
      </c>
      <c r="P349" s="355"/>
      <c r="R349" s="356">
        <f t="shared" ref="R349:R370" si="14">K349*J349</f>
        <v>1606.5</v>
      </c>
    </row>
    <row r="350" spans="1:18" ht="14.1" customHeight="1">
      <c r="A350" s="75">
        <v>350</v>
      </c>
      <c r="B350" s="515" t="s">
        <v>613</v>
      </c>
      <c r="C350" s="316"/>
      <c r="D350" s="89" t="s">
        <v>580</v>
      </c>
      <c r="E350" s="261" t="s">
        <v>629</v>
      </c>
      <c r="F350" s="89" t="s">
        <v>649</v>
      </c>
      <c r="G350" s="89" t="s">
        <v>52</v>
      </c>
      <c r="H350" s="89" t="s">
        <v>601</v>
      </c>
      <c r="I350" s="516" t="s">
        <v>86</v>
      </c>
      <c r="J350" s="525">
        <v>53.1</v>
      </c>
      <c r="K350" s="353">
        <f t="shared" si="10"/>
        <v>255</v>
      </c>
      <c r="L350" s="264">
        <v>255</v>
      </c>
      <c r="M350" s="263" t="e">
        <f>IF(L350="nio",0,IF(L350&gt;0,L350*J350/N350,0))*VLOOKUP(B350,'2-Kosten per locatie'!$A$14:$C$18,3,FALSE)</f>
        <v>#DIV/0!</v>
      </c>
      <c r="N350" s="354">
        <f>IF(L350="nio",0,IF(L350&gt;0,VLOOKUP(G350,'3-Productie normen'!A:L,VLOOKUP(L350,'3-Productie normen'!$B$29:$C$32,2,FALSE),FALSE)))</f>
        <v>0</v>
      </c>
      <c r="O350" s="355" t="str">
        <f>VLOOKUP(G350,'3-Productie normen'!A:H,8,FALSE)</f>
        <v>V</v>
      </c>
      <c r="P350" s="355"/>
      <c r="R350" s="356">
        <f t="shared" si="14"/>
        <v>13540.5</v>
      </c>
    </row>
    <row r="351" spans="1:18" ht="14.1" customHeight="1">
      <c r="A351" s="75">
        <v>351</v>
      </c>
      <c r="B351" s="515" t="s">
        <v>613</v>
      </c>
      <c r="C351" s="316"/>
      <c r="D351" s="89" t="s">
        <v>580</v>
      </c>
      <c r="E351" s="261" t="s">
        <v>630</v>
      </c>
      <c r="F351" s="89" t="s">
        <v>650</v>
      </c>
      <c r="G351" s="89" t="s">
        <v>47</v>
      </c>
      <c r="H351" s="89" t="s">
        <v>601</v>
      </c>
      <c r="I351" s="516" t="s">
        <v>86</v>
      </c>
      <c r="J351" s="525">
        <v>15.7</v>
      </c>
      <c r="K351" s="353">
        <f t="shared" si="10"/>
        <v>255</v>
      </c>
      <c r="L351" s="264">
        <v>255</v>
      </c>
      <c r="M351" s="263" t="e">
        <f>IF(L351="nio",0,IF(L351&gt;0,L351*J351/N351,0))*VLOOKUP(B351,'2-Kosten per locatie'!$A$14:$C$18,3,FALSE)</f>
        <v>#DIV/0!</v>
      </c>
      <c r="N351" s="354">
        <f>IF(L351="nio",0,IF(L351&gt;0,VLOOKUP(G351,'3-Productie normen'!A:L,VLOOKUP(L351,'3-Productie normen'!$B$29:$C$32,2,FALSE),FALSE)))</f>
        <v>0</v>
      </c>
      <c r="O351" s="355" t="str">
        <f>VLOOKUP(G351,'3-Productie normen'!A:H,8,FALSE)</f>
        <v>V</v>
      </c>
      <c r="P351" s="355"/>
      <c r="R351" s="356">
        <f t="shared" si="14"/>
        <v>4003.5</v>
      </c>
    </row>
    <row r="352" spans="1:18" ht="14.1" customHeight="1">
      <c r="A352" s="75">
        <v>352</v>
      </c>
      <c r="B352" s="515" t="s">
        <v>613</v>
      </c>
      <c r="C352" s="316"/>
      <c r="D352" s="89" t="s">
        <v>580</v>
      </c>
      <c r="E352" s="261" t="s">
        <v>631</v>
      </c>
      <c r="F352" s="89" t="s">
        <v>651</v>
      </c>
      <c r="G352" s="89" t="s">
        <v>43</v>
      </c>
      <c r="H352" s="89" t="s">
        <v>626</v>
      </c>
      <c r="I352" s="515" t="s">
        <v>82</v>
      </c>
      <c r="J352" s="525">
        <v>4.8</v>
      </c>
      <c r="K352" s="353">
        <f t="shared" si="10"/>
        <v>255</v>
      </c>
      <c r="L352" s="264">
        <v>255</v>
      </c>
      <c r="M352" s="263" t="e">
        <f>IF(L352="nio",0,IF(L352&gt;0,L352*J352/N352,0))*VLOOKUP(B352,'2-Kosten per locatie'!$A$14:$C$18,3,FALSE)</f>
        <v>#DIV/0!</v>
      </c>
      <c r="N352" s="354">
        <f>IF(L352="nio",0,IF(L352&gt;0,VLOOKUP(G352,'3-Productie normen'!A:L,VLOOKUP(L352,'3-Productie normen'!$B$29:$C$32,2,FALSE),FALSE)))</f>
        <v>0</v>
      </c>
      <c r="O352" s="355" t="str">
        <f>VLOOKUP(G352,'3-Productie normen'!A:H,8,FALSE)</f>
        <v>S</v>
      </c>
      <c r="P352" s="355"/>
      <c r="R352" s="356">
        <f t="shared" si="14"/>
        <v>1224</v>
      </c>
    </row>
    <row r="353" spans="1:18" ht="14.1" customHeight="1">
      <c r="A353" s="75">
        <v>353</v>
      </c>
      <c r="B353" s="515" t="s">
        <v>613</v>
      </c>
      <c r="C353" s="316"/>
      <c r="D353" s="89" t="s">
        <v>580</v>
      </c>
      <c r="E353" s="261" t="s">
        <v>632</v>
      </c>
      <c r="F353" s="89" t="s">
        <v>588</v>
      </c>
      <c r="G353" s="89" t="s">
        <v>43</v>
      </c>
      <c r="H353" s="89" t="s">
        <v>626</v>
      </c>
      <c r="I353" s="515" t="s">
        <v>82</v>
      </c>
      <c r="J353" s="525">
        <v>1.3</v>
      </c>
      <c r="K353" s="353">
        <f t="shared" si="10"/>
        <v>255</v>
      </c>
      <c r="L353" s="264">
        <v>255</v>
      </c>
      <c r="M353" s="263" t="e">
        <f>IF(L353="nio",0,IF(L353&gt;0,L353*J353/N353,0))*VLOOKUP(B353,'2-Kosten per locatie'!$A$14:$C$18,3,FALSE)</f>
        <v>#DIV/0!</v>
      </c>
      <c r="N353" s="354">
        <f>IF(L353="nio",0,IF(L353&gt;0,VLOOKUP(G353,'3-Productie normen'!A:L,VLOOKUP(L353,'3-Productie normen'!$B$29:$C$32,2,FALSE),FALSE)))</f>
        <v>0</v>
      </c>
      <c r="O353" s="355" t="str">
        <f>VLOOKUP(G353,'3-Productie normen'!A:H,8,FALSE)</f>
        <v>S</v>
      </c>
      <c r="P353" s="355"/>
      <c r="R353" s="356">
        <f t="shared" si="14"/>
        <v>331.5</v>
      </c>
    </row>
    <row r="354" spans="1:18" ht="14.1" customHeight="1">
      <c r="A354" s="75">
        <v>354</v>
      </c>
      <c r="B354" s="515" t="s">
        <v>613</v>
      </c>
      <c r="C354" s="316"/>
      <c r="D354" s="89" t="s">
        <v>580</v>
      </c>
      <c r="E354" s="261" t="s">
        <v>633</v>
      </c>
      <c r="F354" s="89" t="s">
        <v>588</v>
      </c>
      <c r="G354" s="89" t="s">
        <v>43</v>
      </c>
      <c r="H354" s="89" t="s">
        <v>626</v>
      </c>
      <c r="I354" s="515" t="s">
        <v>82</v>
      </c>
      <c r="J354" s="525">
        <v>1.4</v>
      </c>
      <c r="K354" s="353">
        <f t="shared" si="10"/>
        <v>255</v>
      </c>
      <c r="L354" s="264">
        <v>255</v>
      </c>
      <c r="M354" s="263" t="e">
        <f>IF(L354="nio",0,IF(L354&gt;0,L354*J354/N354,0))*VLOOKUP(B354,'2-Kosten per locatie'!$A$14:$C$18,3,FALSE)</f>
        <v>#DIV/0!</v>
      </c>
      <c r="N354" s="354">
        <f>IF(L354="nio",0,IF(L354&gt;0,VLOOKUP(G354,'3-Productie normen'!A:L,VLOOKUP(L354,'3-Productie normen'!$B$29:$C$32,2,FALSE),FALSE)))</f>
        <v>0</v>
      </c>
      <c r="O354" s="355" t="str">
        <f>VLOOKUP(G354,'3-Productie normen'!A:H,8,FALSE)</f>
        <v>S</v>
      </c>
      <c r="P354" s="355"/>
      <c r="R354" s="356">
        <f t="shared" si="14"/>
        <v>357</v>
      </c>
    </row>
    <row r="355" spans="1:18" ht="14.1" customHeight="1">
      <c r="A355" s="75">
        <v>355</v>
      </c>
      <c r="B355" s="515" t="s">
        <v>613</v>
      </c>
      <c r="C355" s="316"/>
      <c r="D355" s="89" t="s">
        <v>580</v>
      </c>
      <c r="E355" s="261" t="s">
        <v>634</v>
      </c>
      <c r="F355" s="89" t="s">
        <v>586</v>
      </c>
      <c r="G355" s="89" t="s">
        <v>43</v>
      </c>
      <c r="H355" s="89" t="s">
        <v>626</v>
      </c>
      <c r="I355" s="515" t="s">
        <v>82</v>
      </c>
      <c r="J355" s="525">
        <v>2.4</v>
      </c>
      <c r="K355" s="353">
        <f t="shared" si="10"/>
        <v>255</v>
      </c>
      <c r="L355" s="264">
        <v>255</v>
      </c>
      <c r="M355" s="263" t="e">
        <f>IF(L355="nio",0,IF(L355&gt;0,L355*J355/N355,0))*VLOOKUP(B355,'2-Kosten per locatie'!$A$14:$C$18,3,FALSE)</f>
        <v>#DIV/0!</v>
      </c>
      <c r="N355" s="354">
        <f>IF(L355="nio",0,IF(L355&gt;0,VLOOKUP(G355,'3-Productie normen'!A:L,VLOOKUP(L355,'3-Productie normen'!$B$29:$C$32,2,FALSE),FALSE)))</f>
        <v>0</v>
      </c>
      <c r="O355" s="355" t="str">
        <f>VLOOKUP(G355,'3-Productie normen'!A:H,8,FALSE)</f>
        <v>S</v>
      </c>
      <c r="P355" s="355"/>
      <c r="R355" s="356">
        <f t="shared" si="14"/>
        <v>612</v>
      </c>
    </row>
    <row r="356" spans="1:18" ht="14.1" customHeight="1">
      <c r="A356" s="75">
        <v>356</v>
      </c>
      <c r="B356" s="515" t="s">
        <v>613</v>
      </c>
      <c r="C356" s="316"/>
      <c r="D356" s="89" t="s">
        <v>580</v>
      </c>
      <c r="E356" s="261" t="s">
        <v>635</v>
      </c>
      <c r="F356" s="89" t="s">
        <v>586</v>
      </c>
      <c r="G356" s="89" t="s">
        <v>43</v>
      </c>
      <c r="H356" s="89" t="s">
        <v>626</v>
      </c>
      <c r="I356" s="515" t="s">
        <v>82</v>
      </c>
      <c r="J356" s="525">
        <v>2.4</v>
      </c>
      <c r="K356" s="353">
        <f t="shared" si="10"/>
        <v>255</v>
      </c>
      <c r="L356" s="264">
        <v>255</v>
      </c>
      <c r="M356" s="263" t="e">
        <f>IF(L356="nio",0,IF(L356&gt;0,L356*J356/N356,0))*VLOOKUP(B356,'2-Kosten per locatie'!$A$14:$C$18,3,FALSE)</f>
        <v>#DIV/0!</v>
      </c>
      <c r="N356" s="354">
        <f>IF(L356="nio",0,IF(L356&gt;0,VLOOKUP(G356,'3-Productie normen'!A:L,VLOOKUP(L356,'3-Productie normen'!$B$29:$C$32,2,FALSE),FALSE)))</f>
        <v>0</v>
      </c>
      <c r="O356" s="355" t="str">
        <f>VLOOKUP(G356,'3-Productie normen'!A:H,8,FALSE)</f>
        <v>S</v>
      </c>
      <c r="P356" s="355"/>
      <c r="R356" s="356">
        <f t="shared" si="14"/>
        <v>612</v>
      </c>
    </row>
    <row r="357" spans="1:18" ht="14.1" customHeight="1">
      <c r="A357" s="75">
        <v>357</v>
      </c>
      <c r="B357" s="515" t="s">
        <v>613</v>
      </c>
      <c r="C357" s="316"/>
      <c r="D357" s="89" t="s">
        <v>580</v>
      </c>
      <c r="E357" s="261" t="s">
        <v>636</v>
      </c>
      <c r="F357" s="89" t="s">
        <v>81</v>
      </c>
      <c r="G357" s="89" t="s">
        <v>49</v>
      </c>
      <c r="H357" s="89" t="s">
        <v>626</v>
      </c>
      <c r="I357" s="516" t="s">
        <v>86</v>
      </c>
      <c r="J357" s="525">
        <v>12.6</v>
      </c>
      <c r="K357" s="353">
        <f t="shared" si="10"/>
        <v>255</v>
      </c>
      <c r="L357" s="264">
        <v>255</v>
      </c>
      <c r="M357" s="263" t="e">
        <f>IF(L357="nio",0,IF(L357&gt;0,L357*J357/N357,0))*VLOOKUP(B357,'2-Kosten per locatie'!$A$14:$C$18,3,FALSE)</f>
        <v>#DIV/0!</v>
      </c>
      <c r="N357" s="354">
        <f>IF(L357="nio",0,IF(L357&gt;0,VLOOKUP(G357,'3-Productie normen'!A:L,VLOOKUP(L357,'3-Productie normen'!$B$29:$C$32,2,FALSE),FALSE)))</f>
        <v>0</v>
      </c>
      <c r="O357" s="355" t="str">
        <f>VLOOKUP(G357,'3-Productie normen'!A:H,8,FALSE)</f>
        <v>V</v>
      </c>
      <c r="P357" s="355"/>
      <c r="R357" s="356">
        <f t="shared" si="14"/>
        <v>3213</v>
      </c>
    </row>
    <row r="358" spans="1:18" ht="14.1" customHeight="1">
      <c r="A358" s="75">
        <v>358</v>
      </c>
      <c r="B358" s="515" t="s">
        <v>613</v>
      </c>
      <c r="C358" s="316"/>
      <c r="D358" s="89" t="s">
        <v>580</v>
      </c>
      <c r="E358" s="261" t="s">
        <v>637</v>
      </c>
      <c r="F358" s="89" t="s">
        <v>652</v>
      </c>
      <c r="G358" s="89" t="s">
        <v>43</v>
      </c>
      <c r="H358" s="89" t="s">
        <v>626</v>
      </c>
      <c r="I358" s="515" t="s">
        <v>82</v>
      </c>
      <c r="J358" s="525">
        <v>4.2</v>
      </c>
      <c r="K358" s="353">
        <f t="shared" si="10"/>
        <v>255</v>
      </c>
      <c r="L358" s="264">
        <v>255</v>
      </c>
      <c r="M358" s="263" t="e">
        <f>IF(L358="nio",0,IF(L358&gt;0,L358*J358/N358,0))*VLOOKUP(B358,'2-Kosten per locatie'!$A$14:$C$18,3,FALSE)</f>
        <v>#DIV/0!</v>
      </c>
      <c r="N358" s="354">
        <f>IF(L358="nio",0,IF(L358&gt;0,VLOOKUP(G358,'3-Productie normen'!A:L,VLOOKUP(L358,'3-Productie normen'!$B$29:$C$32,2,FALSE),FALSE)))</f>
        <v>0</v>
      </c>
      <c r="O358" s="355" t="str">
        <f>VLOOKUP(G358,'3-Productie normen'!A:H,8,FALSE)</f>
        <v>S</v>
      </c>
      <c r="P358" s="355"/>
      <c r="R358" s="356">
        <f t="shared" si="14"/>
        <v>1071</v>
      </c>
    </row>
    <row r="359" spans="1:18" ht="14.1" customHeight="1">
      <c r="A359" s="75">
        <v>359</v>
      </c>
      <c r="B359" s="515" t="s">
        <v>613</v>
      </c>
      <c r="C359" s="316"/>
      <c r="D359" s="89" t="s">
        <v>580</v>
      </c>
      <c r="E359" s="261" t="s">
        <v>638</v>
      </c>
      <c r="F359" s="89" t="s">
        <v>653</v>
      </c>
      <c r="G359" s="89" t="s">
        <v>56</v>
      </c>
      <c r="H359" s="89"/>
      <c r="I359" s="516" t="s">
        <v>86</v>
      </c>
      <c r="J359" s="525">
        <v>0.4</v>
      </c>
      <c r="K359" s="353">
        <f t="shared" si="10"/>
        <v>0</v>
      </c>
      <c r="L359" s="264" t="s">
        <v>660</v>
      </c>
      <c r="M359" s="263">
        <f>IF(L359="nio",0,IF(L359&gt;0,L359*J359/N359,0))*VLOOKUP(B359,'2-Kosten per locatie'!$A$14:$C$18,3,FALSE)</f>
        <v>0</v>
      </c>
      <c r="N359" s="354">
        <f>IF(L359="nio",0,IF(L359&gt;0,VLOOKUP(G359,'3-Productie normen'!A:L,VLOOKUP(L359,'3-Productie normen'!$B$29:$C$32,2,FALSE),FALSE)))</f>
        <v>0</v>
      </c>
      <c r="O359" s="355">
        <f>VLOOKUP(G359,'3-Productie normen'!A:H,8,FALSE)</f>
        <v>0</v>
      </c>
      <c r="P359" s="355"/>
      <c r="R359" s="356">
        <f t="shared" si="14"/>
        <v>0</v>
      </c>
    </row>
    <row r="360" spans="1:18" ht="14.1" customHeight="1">
      <c r="A360" s="75">
        <v>360</v>
      </c>
      <c r="B360" s="515" t="s">
        <v>613</v>
      </c>
      <c r="C360" s="316"/>
      <c r="D360" s="89" t="s">
        <v>580</v>
      </c>
      <c r="E360" s="261" t="s">
        <v>639</v>
      </c>
      <c r="F360" s="89" t="s">
        <v>653</v>
      </c>
      <c r="G360" s="89" t="s">
        <v>56</v>
      </c>
      <c r="H360" s="89"/>
      <c r="I360" s="516" t="s">
        <v>86</v>
      </c>
      <c r="J360" s="525">
        <v>0.5</v>
      </c>
      <c r="K360" s="353">
        <f t="shared" si="10"/>
        <v>0</v>
      </c>
      <c r="L360" s="264" t="s">
        <v>660</v>
      </c>
      <c r="M360" s="263">
        <f>IF(L360="nio",0,IF(L360&gt;0,L360*J360/N360,0))*VLOOKUP(B360,'2-Kosten per locatie'!$A$14:$C$18,3,FALSE)</f>
        <v>0</v>
      </c>
      <c r="N360" s="354">
        <f>IF(L360="nio",0,IF(L360&gt;0,VLOOKUP(G360,'3-Productie normen'!A:L,VLOOKUP(L360,'3-Productie normen'!$B$29:$C$32,2,FALSE),FALSE)))</f>
        <v>0</v>
      </c>
      <c r="O360" s="355">
        <f>VLOOKUP(G360,'3-Productie normen'!A:H,8,FALSE)</f>
        <v>0</v>
      </c>
      <c r="P360" s="355"/>
      <c r="R360" s="356">
        <f t="shared" si="14"/>
        <v>0</v>
      </c>
    </row>
    <row r="361" spans="1:18" ht="14.1" customHeight="1">
      <c r="A361" s="75">
        <v>361</v>
      </c>
      <c r="B361" s="515" t="s">
        <v>613</v>
      </c>
      <c r="C361" s="316"/>
      <c r="D361" s="89" t="s">
        <v>580</v>
      </c>
      <c r="E361" s="261" t="s">
        <v>640</v>
      </c>
      <c r="F361" s="89" t="s">
        <v>649</v>
      </c>
      <c r="G361" s="89" t="s">
        <v>52</v>
      </c>
      <c r="H361" s="89" t="s">
        <v>601</v>
      </c>
      <c r="I361" s="516" t="s">
        <v>86</v>
      </c>
      <c r="J361" s="525">
        <v>155.80000000000001</v>
      </c>
      <c r="K361" s="353">
        <f t="shared" si="10"/>
        <v>255</v>
      </c>
      <c r="L361" s="264">
        <v>255</v>
      </c>
      <c r="M361" s="263" t="e">
        <f>IF(L361="nio",0,IF(L361&gt;0,L361*J361/N361,0))*VLOOKUP(B361,'2-Kosten per locatie'!$A$14:$C$18,3,FALSE)</f>
        <v>#DIV/0!</v>
      </c>
      <c r="N361" s="354">
        <f>IF(L361="nio",0,IF(L361&gt;0,VLOOKUP(G361,'3-Productie normen'!A:L,VLOOKUP(L361,'3-Productie normen'!$B$29:$C$32,2,FALSE),FALSE)))</f>
        <v>0</v>
      </c>
      <c r="O361" s="355" t="str">
        <f>VLOOKUP(G361,'3-Productie normen'!A:H,8,FALSE)</f>
        <v>V</v>
      </c>
      <c r="P361" s="355"/>
      <c r="R361" s="356">
        <f t="shared" si="14"/>
        <v>39729</v>
      </c>
    </row>
    <row r="362" spans="1:18" ht="14.1" customHeight="1">
      <c r="A362" s="75">
        <v>362</v>
      </c>
      <c r="B362" s="515" t="s">
        <v>613</v>
      </c>
      <c r="C362" s="316"/>
      <c r="D362" s="89" t="s">
        <v>580</v>
      </c>
      <c r="E362" s="261" t="s">
        <v>641</v>
      </c>
      <c r="F362" s="89" t="s">
        <v>654</v>
      </c>
      <c r="G362" s="89" t="s">
        <v>56</v>
      </c>
      <c r="H362" s="89"/>
      <c r="I362" s="516" t="s">
        <v>86</v>
      </c>
      <c r="J362" s="525">
        <v>10.1</v>
      </c>
      <c r="K362" s="353">
        <f t="shared" si="10"/>
        <v>0</v>
      </c>
      <c r="L362" s="264" t="s">
        <v>660</v>
      </c>
      <c r="M362" s="263">
        <f>IF(L362="nio",0,IF(L362&gt;0,L362*J362/N362,0))*VLOOKUP(B362,'2-Kosten per locatie'!$A$14:$C$18,3,FALSE)</f>
        <v>0</v>
      </c>
      <c r="N362" s="354">
        <f>IF(L362="nio",0,IF(L362&gt;0,VLOOKUP(G362,'3-Productie normen'!A:L,VLOOKUP(L362,'3-Productie normen'!$B$29:$C$32,2,FALSE),FALSE)))</f>
        <v>0</v>
      </c>
      <c r="O362" s="355">
        <f>VLOOKUP(G362,'3-Productie normen'!A:H,8,FALSE)</f>
        <v>0</v>
      </c>
      <c r="P362" s="355"/>
      <c r="R362" s="356">
        <f t="shared" si="14"/>
        <v>0</v>
      </c>
    </row>
    <row r="363" spans="1:18" ht="14.1" customHeight="1">
      <c r="A363" s="75">
        <v>363</v>
      </c>
      <c r="B363" s="515" t="s">
        <v>613</v>
      </c>
      <c r="C363" s="316"/>
      <c r="D363" s="89" t="s">
        <v>580</v>
      </c>
      <c r="E363" s="261" t="s">
        <v>642</v>
      </c>
      <c r="F363" s="89" t="s">
        <v>592</v>
      </c>
      <c r="G363" s="89" t="s">
        <v>45</v>
      </c>
      <c r="H363" s="89" t="s">
        <v>663</v>
      </c>
      <c r="I363" s="516" t="s">
        <v>86</v>
      </c>
      <c r="J363" s="525">
        <v>16.399999999999999</v>
      </c>
      <c r="K363" s="353">
        <f t="shared" si="10"/>
        <v>255</v>
      </c>
      <c r="L363" s="264">
        <v>255</v>
      </c>
      <c r="M363" s="263" t="e">
        <f>IF(L363="nio",0,IF(L363&gt;0,L363*J363/N363,0))*VLOOKUP(B363,'2-Kosten per locatie'!$A$14:$C$18,3,FALSE)</f>
        <v>#DIV/0!</v>
      </c>
      <c r="N363" s="354">
        <f>IF(L363="nio",0,IF(L363&gt;0,VLOOKUP(G363,'3-Productie normen'!A:L,VLOOKUP(L363,'3-Productie normen'!$B$29:$C$32,2,FALSE),FALSE)))</f>
        <v>0</v>
      </c>
      <c r="O363" s="355" t="str">
        <f>VLOOKUP(G363,'3-Productie normen'!A:H,8,FALSE)</f>
        <v>V</v>
      </c>
      <c r="P363" s="355"/>
      <c r="R363" s="356">
        <f t="shared" si="14"/>
        <v>4182</v>
      </c>
    </row>
    <row r="364" spans="1:18" ht="14.1" customHeight="1">
      <c r="A364" s="75">
        <v>364</v>
      </c>
      <c r="B364" s="515" t="s">
        <v>613</v>
      </c>
      <c r="C364" s="316"/>
      <c r="D364" s="89" t="s">
        <v>580</v>
      </c>
      <c r="E364" s="261" t="s">
        <v>643</v>
      </c>
      <c r="F364" s="89" t="s">
        <v>655</v>
      </c>
      <c r="G364" s="89" t="s">
        <v>52</v>
      </c>
      <c r="H364" s="89" t="s">
        <v>601</v>
      </c>
      <c r="I364" s="516" t="s">
        <v>86</v>
      </c>
      <c r="J364" s="525">
        <v>81.2</v>
      </c>
      <c r="K364" s="353">
        <f t="shared" si="10"/>
        <v>255</v>
      </c>
      <c r="L364" s="264">
        <v>255</v>
      </c>
      <c r="M364" s="263" t="e">
        <f>IF(L364="nio",0,IF(L364&gt;0,L364*J364/N364,0))*VLOOKUP(B364,'2-Kosten per locatie'!$A$14:$C$18,3,FALSE)</f>
        <v>#DIV/0!</v>
      </c>
      <c r="N364" s="354">
        <f>IF(L364="nio",0,IF(L364&gt;0,VLOOKUP(G364,'3-Productie normen'!A:L,VLOOKUP(L364,'3-Productie normen'!$B$29:$C$32,2,FALSE),FALSE)))</f>
        <v>0</v>
      </c>
      <c r="O364" s="355" t="str">
        <f>VLOOKUP(G364,'3-Productie normen'!A:H,8,FALSE)</f>
        <v>V</v>
      </c>
      <c r="P364" s="355"/>
      <c r="R364" s="356">
        <f t="shared" si="14"/>
        <v>20706</v>
      </c>
    </row>
    <row r="365" spans="1:18" ht="14.1" customHeight="1">
      <c r="A365" s="75">
        <v>365</v>
      </c>
      <c r="B365" s="515" t="s">
        <v>613</v>
      </c>
      <c r="C365" s="316"/>
      <c r="D365" s="89" t="s">
        <v>581</v>
      </c>
      <c r="E365" s="261" t="s">
        <v>644</v>
      </c>
      <c r="F365" s="89" t="s">
        <v>656</v>
      </c>
      <c r="G365" s="89" t="s">
        <v>45</v>
      </c>
      <c r="H365" s="89" t="s">
        <v>84</v>
      </c>
      <c r="I365" s="515" t="s">
        <v>85</v>
      </c>
      <c r="J365" s="525">
        <v>10.6</v>
      </c>
      <c r="K365" s="353">
        <f t="shared" si="10"/>
        <v>255</v>
      </c>
      <c r="L365" s="264">
        <v>255</v>
      </c>
      <c r="M365" s="263" t="e">
        <f>IF(L365="nio",0,IF(L365&gt;0,L365*J365/N365,0))*VLOOKUP(B365,'2-Kosten per locatie'!$A$14:$C$18,3,FALSE)</f>
        <v>#DIV/0!</v>
      </c>
      <c r="N365" s="354">
        <f>IF(L365="nio",0,IF(L365&gt;0,VLOOKUP(G365,'3-Productie normen'!A:L,VLOOKUP(L365,'3-Productie normen'!$B$29:$C$32,2,FALSE),FALSE)))</f>
        <v>0</v>
      </c>
      <c r="O365" s="355" t="str">
        <f>VLOOKUP(G365,'3-Productie normen'!A:H,8,FALSE)</f>
        <v>V</v>
      </c>
      <c r="P365" s="355"/>
      <c r="R365" s="356">
        <f t="shared" si="14"/>
        <v>2703</v>
      </c>
    </row>
    <row r="366" spans="1:18" ht="14.1" customHeight="1">
      <c r="A366" s="75">
        <v>366</v>
      </c>
      <c r="B366" s="515" t="s">
        <v>613</v>
      </c>
      <c r="C366" s="316"/>
      <c r="D366" s="89" t="s">
        <v>581</v>
      </c>
      <c r="E366" s="261" t="s">
        <v>645</v>
      </c>
      <c r="F366" s="89" t="s">
        <v>657</v>
      </c>
      <c r="G366" s="89" t="s">
        <v>41</v>
      </c>
      <c r="H366" s="89" t="s">
        <v>84</v>
      </c>
      <c r="I366" s="515" t="s">
        <v>85</v>
      </c>
      <c r="J366" s="525">
        <v>39.6</v>
      </c>
      <c r="K366" s="353">
        <f t="shared" si="10"/>
        <v>255</v>
      </c>
      <c r="L366" s="264">
        <v>255</v>
      </c>
      <c r="M366" s="263" t="e">
        <f>IF(L366="nio",0,IF(L366&gt;0,L366*J366/N366,0))*VLOOKUP(B366,'2-Kosten per locatie'!$A$14:$C$18,3,FALSE)</f>
        <v>#DIV/0!</v>
      </c>
      <c r="N366" s="354">
        <f>IF(L366="nio",0,IF(L366&gt;0,VLOOKUP(G366,'3-Productie normen'!A:L,VLOOKUP(L366,'3-Productie normen'!$B$29:$C$32,2,FALSE),FALSE)))</f>
        <v>0</v>
      </c>
      <c r="O366" s="355" t="str">
        <f>VLOOKUP(G366,'3-Productie normen'!A:H,8,FALSE)</f>
        <v>B</v>
      </c>
      <c r="P366" s="355"/>
      <c r="R366" s="356">
        <f t="shared" si="14"/>
        <v>10098</v>
      </c>
    </row>
    <row r="367" spans="1:18" ht="14.1" customHeight="1">
      <c r="A367" s="75">
        <v>367</v>
      </c>
      <c r="B367" s="515" t="s">
        <v>613</v>
      </c>
      <c r="C367" s="316"/>
      <c r="D367" s="89" t="s">
        <v>581</v>
      </c>
      <c r="E367" s="261" t="s">
        <v>646</v>
      </c>
      <c r="F367" s="89" t="s">
        <v>593</v>
      </c>
      <c r="G367" s="89" t="s">
        <v>50</v>
      </c>
      <c r="H367" s="89" t="s">
        <v>84</v>
      </c>
      <c r="I367" s="515" t="s">
        <v>85</v>
      </c>
      <c r="J367" s="525">
        <v>15</v>
      </c>
      <c r="K367" s="353">
        <f t="shared" si="10"/>
        <v>255</v>
      </c>
      <c r="L367" s="264">
        <v>255</v>
      </c>
      <c r="M367" s="263" t="e">
        <f>IF(L367="nio",0,IF(L367&gt;0,L367*J367/N367,0))*VLOOKUP(B367,'2-Kosten per locatie'!$A$14:$C$18,3,FALSE)</f>
        <v>#DIV/0!</v>
      </c>
      <c r="N367" s="354">
        <f>IF(L367="nio",0,IF(L367&gt;0,VLOOKUP(G367,'3-Productie normen'!A:L,VLOOKUP(L367,'3-Productie normen'!$B$29:$C$32,2,FALSE),FALSE)))</f>
        <v>0</v>
      </c>
      <c r="O367" s="355" t="str">
        <f>VLOOKUP(G367,'3-Productie normen'!A:H,8,FALSE)</f>
        <v>B</v>
      </c>
      <c r="P367" s="355"/>
      <c r="R367" s="356">
        <f t="shared" si="14"/>
        <v>3825</v>
      </c>
    </row>
    <row r="368" spans="1:18" ht="14.1" customHeight="1">
      <c r="A368" s="75">
        <v>368</v>
      </c>
      <c r="B368" s="515" t="s">
        <v>613</v>
      </c>
      <c r="C368" s="316"/>
      <c r="D368" s="89" t="s">
        <v>581</v>
      </c>
      <c r="E368" s="261" t="s">
        <v>647</v>
      </c>
      <c r="F368" s="89" t="s">
        <v>652</v>
      </c>
      <c r="G368" s="89" t="s">
        <v>43</v>
      </c>
      <c r="H368" s="89" t="s">
        <v>626</v>
      </c>
      <c r="I368" s="515" t="s">
        <v>82</v>
      </c>
      <c r="J368" s="525">
        <v>4</v>
      </c>
      <c r="K368" s="353">
        <f t="shared" si="10"/>
        <v>255</v>
      </c>
      <c r="L368" s="264">
        <v>255</v>
      </c>
      <c r="M368" s="263" t="e">
        <f>IF(L368="nio",0,IF(L368&gt;0,L368*J368/N368,0))*VLOOKUP(B368,'2-Kosten per locatie'!$A$14:$C$18,3,FALSE)</f>
        <v>#DIV/0!</v>
      </c>
      <c r="N368" s="354">
        <f>IF(L368="nio",0,IF(L368&gt;0,VLOOKUP(G368,'3-Productie normen'!A:L,VLOOKUP(L368,'3-Productie normen'!$B$29:$C$32,2,FALSE),FALSE)))</f>
        <v>0</v>
      </c>
      <c r="O368" s="355" t="str">
        <f>VLOOKUP(G368,'3-Productie normen'!A:H,8,FALSE)</f>
        <v>S</v>
      </c>
      <c r="P368" s="355"/>
      <c r="R368" s="356">
        <f t="shared" si="14"/>
        <v>1020</v>
      </c>
    </row>
    <row r="369" spans="1:19" ht="14.1" customHeight="1">
      <c r="A369" s="75">
        <v>369</v>
      </c>
      <c r="B369" s="515" t="s">
        <v>613</v>
      </c>
      <c r="C369" s="316"/>
      <c r="D369" s="89" t="s">
        <v>581</v>
      </c>
      <c r="E369" s="261" t="s">
        <v>648</v>
      </c>
      <c r="F369" s="89" t="s">
        <v>658</v>
      </c>
      <c r="G369" s="89" t="s">
        <v>51</v>
      </c>
      <c r="H369" s="89" t="s">
        <v>601</v>
      </c>
      <c r="I369" s="516" t="s">
        <v>86</v>
      </c>
      <c r="J369" s="525">
        <v>2.4</v>
      </c>
      <c r="K369" s="353">
        <f t="shared" si="10"/>
        <v>12</v>
      </c>
      <c r="L369" s="264">
        <v>12</v>
      </c>
      <c r="M369" s="263" t="e">
        <f>IF(L369="nio",0,IF(L369&gt;0,L369*J369/N369,0))*VLOOKUP(B369,'2-Kosten per locatie'!$A$14:$C$18,3,FALSE)</f>
        <v>#DIV/0!</v>
      </c>
      <c r="N369" s="354">
        <f>IF(L369="nio",0,IF(L369&gt;0,VLOOKUP(G369,'3-Productie normen'!A:L,VLOOKUP(L369,'3-Productie normen'!$B$29:$C$32,2,FALSE),FALSE)))</f>
        <v>0</v>
      </c>
      <c r="O369" s="355" t="str">
        <f>VLOOKUP(G369,'3-Productie normen'!A:H,8,FALSE)</f>
        <v>V</v>
      </c>
      <c r="P369" s="355"/>
      <c r="R369" s="356">
        <f t="shared" si="14"/>
        <v>28.799999999999997</v>
      </c>
    </row>
    <row r="370" spans="1:19" ht="14.1" customHeight="1">
      <c r="A370" s="75">
        <v>370</v>
      </c>
      <c r="B370" s="515" t="s">
        <v>613</v>
      </c>
      <c r="C370" s="316"/>
      <c r="D370" s="89" t="s">
        <v>580</v>
      </c>
      <c r="E370" s="261"/>
      <c r="F370" s="89" t="s">
        <v>54</v>
      </c>
      <c r="G370" s="89" t="s">
        <v>54</v>
      </c>
      <c r="H370" s="89" t="s">
        <v>659</v>
      </c>
      <c r="I370" s="516" t="s">
        <v>86</v>
      </c>
      <c r="J370" s="525">
        <v>12.5</v>
      </c>
      <c r="K370" s="353">
        <f t="shared" si="10"/>
        <v>255</v>
      </c>
      <c r="L370" s="264">
        <v>255</v>
      </c>
      <c r="M370" s="263" t="e">
        <f>IF(L370="nio",0,IF(L370&gt;0,L370*J370/N370,0))*VLOOKUP(B370,'2-Kosten per locatie'!$A$14:$C$18,3,FALSE)</f>
        <v>#DIV/0!</v>
      </c>
      <c r="N370" s="354">
        <f>IF(L370="nio",0,IF(L370&gt;0,VLOOKUP(G370,'3-Productie normen'!A:L,VLOOKUP(L370,'3-Productie normen'!$B$29:$C$32,2,FALSE),FALSE)))</f>
        <v>0</v>
      </c>
      <c r="O370" s="355" t="str">
        <f>VLOOKUP(G370,'3-Productie normen'!A:H,8,FALSE)</f>
        <v>V</v>
      </c>
      <c r="P370" s="355"/>
      <c r="R370" s="356">
        <f t="shared" si="14"/>
        <v>3187.5</v>
      </c>
    </row>
    <row r="371" spans="1:19" ht="14.1" customHeight="1">
      <c r="B371" s="517"/>
      <c r="C371" s="360"/>
      <c r="D371" s="361"/>
      <c r="E371" s="362"/>
      <c r="F371" s="363"/>
      <c r="G371" s="363"/>
      <c r="H371" s="364"/>
      <c r="I371" s="517"/>
      <c r="J371" s="365"/>
      <c r="K371" s="366"/>
      <c r="L371" s="90"/>
      <c r="M371" s="367"/>
      <c r="N371" s="91"/>
      <c r="O371" s="93"/>
      <c r="P371" s="93"/>
      <c r="Q371" s="93"/>
      <c r="R371" s="93"/>
      <c r="S371" s="14"/>
    </row>
    <row r="372" spans="1:19" ht="14.1" customHeight="1">
      <c r="C372" s="94"/>
      <c r="D372" s="95"/>
      <c r="E372" s="262"/>
      <c r="F372" s="96"/>
      <c r="G372" s="96"/>
      <c r="J372" s="97"/>
      <c r="K372" s="98"/>
      <c r="L372" s="99"/>
      <c r="M372" s="100"/>
      <c r="N372" s="92"/>
      <c r="O372" s="93"/>
      <c r="P372" s="93"/>
      <c r="Q372" s="93"/>
      <c r="R372" s="93"/>
      <c r="S372" s="14"/>
    </row>
    <row r="373" spans="1:19" ht="14.1" customHeight="1">
      <c r="C373" s="94"/>
      <c r="D373" s="95"/>
      <c r="E373" s="262"/>
      <c r="F373" s="96"/>
      <c r="G373" s="96"/>
      <c r="J373" s="97"/>
      <c r="K373" s="98"/>
      <c r="L373" s="99"/>
      <c r="M373" s="100"/>
      <c r="N373" s="92"/>
      <c r="O373" s="93"/>
      <c r="P373" s="93"/>
      <c r="Q373" s="93"/>
      <c r="R373" s="93"/>
      <c r="S373" s="14"/>
    </row>
    <row r="374" spans="1:19" ht="14.1" customHeight="1">
      <c r="C374" s="94"/>
      <c r="D374" s="95"/>
      <c r="E374" s="262"/>
      <c r="F374" s="96"/>
      <c r="G374" s="96"/>
      <c r="J374" s="97"/>
      <c r="K374" s="98"/>
      <c r="L374" s="99"/>
      <c r="M374" s="100"/>
      <c r="N374" s="92"/>
      <c r="O374" s="93"/>
      <c r="P374" s="93"/>
      <c r="Q374" s="93"/>
      <c r="R374" s="93"/>
      <c r="S374" s="14"/>
    </row>
    <row r="375" spans="1:19" ht="14.1" customHeight="1">
      <c r="C375" s="94"/>
      <c r="D375" s="95"/>
      <c r="E375" s="262"/>
      <c r="F375" s="96"/>
      <c r="G375" s="96"/>
      <c r="J375" s="97"/>
      <c r="K375" s="98"/>
      <c r="L375" s="99"/>
      <c r="M375" s="100"/>
      <c r="N375" s="92"/>
      <c r="O375" s="93"/>
      <c r="P375" s="93"/>
      <c r="Q375" s="93"/>
      <c r="R375" s="93"/>
      <c r="S375" s="14"/>
    </row>
    <row r="376" spans="1:19" ht="14.1" customHeight="1">
      <c r="C376" s="94"/>
      <c r="D376" s="95"/>
      <c r="E376" s="262"/>
      <c r="F376" s="96"/>
      <c r="G376" s="96"/>
      <c r="J376" s="97"/>
      <c r="K376" s="98"/>
      <c r="L376" s="99"/>
      <c r="M376" s="100"/>
      <c r="N376" s="92"/>
      <c r="O376" s="93"/>
      <c r="P376" s="93"/>
    </row>
    <row r="377" spans="1:19" ht="14.1" customHeight="1">
      <c r="C377" s="94"/>
      <c r="D377" s="95"/>
      <c r="E377" s="262"/>
      <c r="F377" s="96"/>
      <c r="G377" s="96"/>
      <c r="J377" s="97"/>
      <c r="K377" s="98"/>
      <c r="L377" s="99"/>
      <c r="M377" s="100"/>
      <c r="N377" s="92"/>
      <c r="O377" s="93"/>
      <c r="P377" s="93"/>
    </row>
    <row r="378" spans="1:19" ht="14.1" customHeight="1">
      <c r="C378" s="94"/>
      <c r="D378" s="95"/>
      <c r="E378" s="262"/>
      <c r="F378" s="96"/>
      <c r="G378" s="96"/>
      <c r="J378" s="97"/>
      <c r="K378" s="98"/>
      <c r="L378" s="99"/>
      <c r="M378" s="100"/>
      <c r="N378" s="92"/>
      <c r="O378" s="93"/>
      <c r="P378" s="93"/>
    </row>
    <row r="379" spans="1:19" ht="14.1" customHeight="1">
      <c r="C379" s="94"/>
      <c r="D379" s="95"/>
      <c r="E379" s="262"/>
      <c r="F379" s="96"/>
      <c r="G379" s="96"/>
      <c r="J379" s="97"/>
      <c r="K379" s="98"/>
      <c r="L379" s="99"/>
      <c r="M379" s="100"/>
      <c r="N379" s="92"/>
      <c r="O379" s="93"/>
      <c r="P379" s="93"/>
    </row>
    <row r="380" spans="1:19" ht="14.1" customHeight="1">
      <c r="C380" s="94"/>
      <c r="D380" s="95"/>
      <c r="E380" s="262"/>
      <c r="F380" s="96"/>
      <c r="G380" s="96"/>
      <c r="J380" s="97"/>
      <c r="K380" s="98"/>
      <c r="L380" s="99"/>
      <c r="M380" s="100"/>
      <c r="N380" s="92"/>
      <c r="O380" s="93"/>
      <c r="P380" s="93"/>
    </row>
    <row r="381" spans="1:19" ht="14.1" customHeight="1">
      <c r="C381" s="94"/>
      <c r="D381" s="95"/>
      <c r="E381" s="262"/>
      <c r="F381" s="96"/>
      <c r="G381" s="96"/>
      <c r="J381" s="97"/>
      <c r="K381" s="98"/>
      <c r="L381" s="99"/>
      <c r="M381" s="100"/>
      <c r="N381" s="92"/>
      <c r="O381" s="93"/>
      <c r="P381" s="93"/>
    </row>
    <row r="382" spans="1:19" ht="14.1" customHeight="1">
      <c r="C382" s="94"/>
      <c r="D382" s="95"/>
      <c r="E382" s="262"/>
      <c r="F382" s="96"/>
      <c r="G382" s="96"/>
      <c r="J382" s="97"/>
      <c r="K382" s="98"/>
      <c r="L382" s="99"/>
      <c r="M382" s="100"/>
      <c r="N382" s="92"/>
      <c r="O382" s="93"/>
      <c r="P382" s="93"/>
    </row>
    <row r="383" spans="1:19" ht="14.1" customHeight="1">
      <c r="C383" s="94"/>
      <c r="D383" s="95"/>
      <c r="E383" s="262"/>
      <c r="F383" s="96"/>
      <c r="G383" s="96"/>
      <c r="J383" s="97"/>
      <c r="K383" s="98"/>
      <c r="L383" s="99"/>
      <c r="M383" s="100"/>
      <c r="N383" s="92"/>
      <c r="O383" s="93"/>
      <c r="P383" s="93"/>
    </row>
    <row r="384" spans="1:19" ht="14.1" customHeight="1">
      <c r="C384" s="94"/>
      <c r="D384" s="95"/>
      <c r="E384" s="262"/>
      <c r="F384" s="96"/>
      <c r="G384" s="96"/>
      <c r="J384" s="97"/>
      <c r="K384" s="98"/>
      <c r="L384" s="99"/>
      <c r="M384" s="100"/>
      <c r="N384" s="92"/>
      <c r="O384" s="93"/>
      <c r="P384" s="93"/>
    </row>
    <row r="385" spans="3:16" ht="14.1" customHeight="1">
      <c r="C385" s="94"/>
      <c r="D385" s="95"/>
      <c r="E385" s="262"/>
      <c r="F385" s="96"/>
      <c r="G385" s="96"/>
      <c r="J385" s="97"/>
      <c r="K385" s="98"/>
      <c r="L385" s="99"/>
      <c r="M385" s="100"/>
      <c r="N385" s="92"/>
      <c r="O385" s="93"/>
      <c r="P385" s="93"/>
    </row>
    <row r="386" spans="3:16" ht="14.1" customHeight="1">
      <c r="C386" s="94"/>
      <c r="D386" s="95"/>
      <c r="E386" s="262"/>
      <c r="F386" s="96"/>
      <c r="G386" s="96"/>
      <c r="J386" s="97"/>
      <c r="K386" s="98"/>
      <c r="L386" s="99"/>
      <c r="M386" s="100"/>
      <c r="N386" s="92"/>
      <c r="O386" s="93"/>
      <c r="P386" s="93"/>
    </row>
    <row r="387" spans="3:16" ht="14.1" customHeight="1">
      <c r="C387" s="94"/>
      <c r="D387" s="95"/>
      <c r="E387" s="262"/>
      <c r="F387" s="96"/>
      <c r="G387" s="96"/>
      <c r="J387" s="97"/>
      <c r="K387" s="98"/>
      <c r="L387" s="99"/>
      <c r="M387" s="100"/>
      <c r="N387" s="92"/>
      <c r="O387" s="93"/>
      <c r="P387" s="93"/>
    </row>
    <row r="388" spans="3:16" ht="14.1" customHeight="1">
      <c r="C388" s="94"/>
      <c r="D388" s="95"/>
      <c r="E388" s="262"/>
      <c r="F388" s="96"/>
      <c r="G388" s="96"/>
      <c r="J388" s="97"/>
      <c r="K388" s="98"/>
      <c r="L388" s="99"/>
      <c r="M388" s="100"/>
      <c r="N388" s="92"/>
      <c r="O388" s="93"/>
      <c r="P388" s="93"/>
    </row>
    <row r="389" spans="3:16" ht="14.1" customHeight="1">
      <c r="C389" s="94"/>
      <c r="D389" s="95"/>
      <c r="E389" s="262"/>
      <c r="F389" s="96"/>
      <c r="G389" s="96"/>
      <c r="J389" s="97"/>
      <c r="K389" s="98"/>
      <c r="L389" s="99"/>
      <c r="M389" s="100"/>
      <c r="N389" s="92"/>
      <c r="O389" s="93"/>
      <c r="P389" s="93"/>
    </row>
    <row r="390" spans="3:16" ht="14.1" customHeight="1">
      <c r="C390" s="94"/>
      <c r="D390" s="95"/>
      <c r="E390" s="262"/>
      <c r="F390" s="96"/>
      <c r="G390" s="96"/>
      <c r="J390" s="97"/>
      <c r="K390" s="98"/>
      <c r="L390" s="99"/>
      <c r="M390" s="100"/>
      <c r="N390" s="92"/>
      <c r="O390" s="93"/>
      <c r="P390" s="93"/>
    </row>
    <row r="391" spans="3:16" ht="14.1" customHeight="1">
      <c r="C391" s="94"/>
      <c r="D391" s="95"/>
      <c r="E391" s="262"/>
      <c r="F391" s="96"/>
      <c r="G391" s="96"/>
      <c r="J391" s="97"/>
      <c r="K391" s="98"/>
      <c r="L391" s="99"/>
      <c r="M391" s="100"/>
      <c r="N391" s="92"/>
      <c r="O391" s="93"/>
      <c r="P391" s="93"/>
    </row>
    <row r="392" spans="3:16" ht="14.1" customHeight="1">
      <c r="C392" s="94"/>
      <c r="D392" s="95"/>
      <c r="E392" s="262"/>
      <c r="F392" s="96"/>
      <c r="G392" s="96"/>
      <c r="J392" s="97"/>
      <c r="K392" s="98"/>
      <c r="L392" s="99"/>
      <c r="M392" s="100"/>
      <c r="N392" s="92"/>
      <c r="O392" s="93"/>
      <c r="P392" s="93"/>
    </row>
    <row r="393" spans="3:16" ht="14.1" customHeight="1">
      <c r="C393" s="94"/>
      <c r="D393" s="95"/>
      <c r="E393" s="262"/>
      <c r="F393" s="96"/>
      <c r="G393" s="96"/>
      <c r="J393" s="97"/>
      <c r="K393" s="98"/>
      <c r="L393" s="99"/>
      <c r="M393" s="100"/>
      <c r="N393" s="92"/>
      <c r="O393" s="93"/>
      <c r="P393" s="93"/>
    </row>
    <row r="394" spans="3:16" ht="14.1" customHeight="1">
      <c r="C394" s="94"/>
      <c r="D394" s="95"/>
      <c r="E394" s="262"/>
      <c r="F394" s="96"/>
      <c r="G394" s="96"/>
      <c r="J394" s="97"/>
      <c r="K394" s="98"/>
      <c r="L394" s="99"/>
      <c r="M394" s="100"/>
      <c r="N394" s="92"/>
      <c r="O394" s="93"/>
      <c r="P394" s="93"/>
    </row>
    <row r="395" spans="3:16" ht="14.1" customHeight="1">
      <c r="C395" s="94"/>
      <c r="D395" s="95"/>
      <c r="E395" s="262"/>
      <c r="F395" s="96"/>
      <c r="G395" s="96"/>
      <c r="J395" s="97"/>
      <c r="K395" s="98"/>
      <c r="L395" s="99"/>
      <c r="M395" s="100"/>
      <c r="N395" s="92"/>
      <c r="O395" s="93"/>
      <c r="P395" s="93"/>
    </row>
    <row r="396" spans="3:16" ht="14.1" customHeight="1">
      <c r="C396" s="94"/>
      <c r="D396" s="95"/>
      <c r="E396" s="262"/>
      <c r="F396" s="96"/>
      <c r="G396" s="96"/>
      <c r="J396" s="97"/>
      <c r="K396" s="98"/>
      <c r="L396" s="99"/>
      <c r="M396" s="100"/>
      <c r="N396" s="92"/>
      <c r="O396" s="93"/>
      <c r="P396" s="93"/>
    </row>
    <row r="397" spans="3:16" ht="14.1" customHeight="1">
      <c r="C397" s="94"/>
      <c r="D397" s="95"/>
      <c r="E397" s="262"/>
      <c r="F397" s="96"/>
      <c r="G397" s="96"/>
      <c r="J397" s="97"/>
      <c r="K397" s="98"/>
      <c r="L397" s="99"/>
      <c r="M397" s="100"/>
      <c r="N397" s="92"/>
      <c r="O397" s="93"/>
      <c r="P397" s="93"/>
    </row>
    <row r="398" spans="3:16" ht="14.1" customHeight="1">
      <c r="C398" s="94"/>
      <c r="D398" s="95"/>
      <c r="E398" s="262"/>
      <c r="F398" s="96"/>
      <c r="G398" s="96"/>
      <c r="J398" s="97"/>
      <c r="K398" s="98"/>
      <c r="L398" s="99"/>
      <c r="M398" s="100"/>
      <c r="N398" s="92"/>
      <c r="O398" s="93"/>
      <c r="P398" s="93"/>
    </row>
    <row r="399" spans="3:16" ht="14.1" customHeight="1">
      <c r="C399" s="94"/>
      <c r="D399" s="95"/>
      <c r="E399" s="262"/>
      <c r="F399" s="96"/>
      <c r="G399" s="96"/>
      <c r="J399" s="97"/>
      <c r="K399" s="98"/>
      <c r="L399" s="99"/>
      <c r="M399" s="100"/>
      <c r="N399" s="92"/>
      <c r="O399" s="93"/>
      <c r="P399" s="93"/>
    </row>
    <row r="400" spans="3:16" ht="14.1" customHeight="1">
      <c r="C400" s="94"/>
      <c r="D400" s="95"/>
      <c r="E400" s="262"/>
      <c r="F400" s="96"/>
      <c r="G400" s="96"/>
      <c r="J400" s="97"/>
      <c r="K400" s="98"/>
      <c r="L400" s="99"/>
      <c r="M400" s="100"/>
      <c r="N400" s="92"/>
      <c r="O400" s="93"/>
      <c r="P400" s="93"/>
    </row>
    <row r="401" spans="3:16" ht="14.1" customHeight="1">
      <c r="C401" s="94"/>
      <c r="D401" s="95"/>
      <c r="E401" s="262"/>
      <c r="F401" s="96"/>
      <c r="G401" s="96"/>
      <c r="J401" s="97"/>
      <c r="K401" s="98"/>
      <c r="L401" s="99"/>
      <c r="M401" s="100"/>
      <c r="N401" s="92"/>
      <c r="O401" s="93"/>
      <c r="P401" s="93"/>
    </row>
    <row r="402" spans="3:16" ht="14.1" customHeight="1">
      <c r="C402" s="94"/>
      <c r="D402" s="95"/>
      <c r="E402" s="262"/>
      <c r="F402" s="96"/>
      <c r="G402" s="96"/>
      <c r="J402" s="97"/>
      <c r="K402" s="98"/>
      <c r="L402" s="99"/>
      <c r="M402" s="100"/>
      <c r="N402" s="92"/>
      <c r="O402" s="93"/>
      <c r="P402" s="93"/>
    </row>
    <row r="403" spans="3:16" ht="14.1" customHeight="1">
      <c r="C403" s="94"/>
      <c r="D403" s="95"/>
      <c r="E403" s="262"/>
      <c r="F403" s="96"/>
      <c r="G403" s="96"/>
      <c r="J403" s="97"/>
      <c r="K403" s="98"/>
      <c r="L403" s="99"/>
      <c r="M403" s="100"/>
      <c r="N403" s="92"/>
      <c r="O403" s="93"/>
      <c r="P403" s="93"/>
    </row>
    <row r="404" spans="3:16" ht="14.1" customHeight="1">
      <c r="C404" s="94"/>
      <c r="D404" s="95"/>
      <c r="E404" s="262"/>
      <c r="F404" s="96"/>
      <c r="G404" s="96"/>
      <c r="J404" s="97"/>
      <c r="K404" s="98"/>
      <c r="L404" s="99"/>
      <c r="M404" s="100"/>
      <c r="N404" s="92"/>
      <c r="O404" s="93"/>
      <c r="P404" s="93"/>
    </row>
    <row r="405" spans="3:16" ht="14.1" customHeight="1">
      <c r="C405" s="94"/>
      <c r="D405" s="95"/>
      <c r="E405" s="262"/>
      <c r="F405" s="96"/>
      <c r="G405" s="96"/>
      <c r="J405" s="97"/>
      <c r="K405" s="98"/>
      <c r="L405" s="99"/>
      <c r="M405" s="100"/>
      <c r="N405" s="92"/>
      <c r="O405" s="93"/>
      <c r="P405" s="93"/>
    </row>
    <row r="406" spans="3:16" ht="14.1" customHeight="1">
      <c r="C406" s="94"/>
      <c r="D406" s="95"/>
      <c r="E406" s="262"/>
      <c r="F406" s="96"/>
      <c r="G406" s="96"/>
      <c r="J406" s="97"/>
      <c r="K406" s="98"/>
      <c r="L406" s="99"/>
      <c r="M406" s="100"/>
      <c r="N406" s="92"/>
      <c r="O406" s="93"/>
      <c r="P406" s="93"/>
    </row>
    <row r="407" spans="3:16" ht="14.1" customHeight="1">
      <c r="C407" s="94"/>
      <c r="D407" s="95"/>
      <c r="E407" s="262"/>
      <c r="F407" s="96"/>
      <c r="G407" s="96"/>
      <c r="J407" s="97"/>
      <c r="K407" s="98"/>
      <c r="L407" s="99"/>
      <c r="M407" s="100"/>
      <c r="N407" s="92"/>
      <c r="O407" s="93"/>
      <c r="P407" s="93"/>
    </row>
    <row r="408" spans="3:16" ht="14.1" customHeight="1">
      <c r="C408" s="94"/>
      <c r="D408" s="95"/>
      <c r="E408" s="262"/>
      <c r="F408" s="96"/>
      <c r="G408" s="96"/>
      <c r="J408" s="97"/>
      <c r="K408" s="98"/>
      <c r="L408" s="99"/>
      <c r="M408" s="100"/>
      <c r="N408" s="92"/>
      <c r="O408" s="93"/>
      <c r="P408" s="93"/>
    </row>
    <row r="409" spans="3:16" ht="14.1" customHeight="1">
      <c r="C409" s="94"/>
      <c r="D409" s="95"/>
      <c r="E409" s="262"/>
      <c r="F409" s="96"/>
      <c r="G409" s="96"/>
      <c r="J409" s="97"/>
      <c r="K409" s="98"/>
      <c r="L409" s="99"/>
      <c r="M409" s="100"/>
      <c r="N409" s="92"/>
      <c r="O409" s="93"/>
      <c r="P409" s="93"/>
    </row>
    <row r="410" spans="3:16" ht="14.1" customHeight="1">
      <c r="C410" s="94"/>
      <c r="D410" s="95"/>
      <c r="E410" s="262"/>
      <c r="F410" s="96"/>
      <c r="G410" s="96"/>
      <c r="J410" s="97"/>
      <c r="K410" s="98"/>
      <c r="L410" s="99"/>
      <c r="M410" s="100"/>
      <c r="N410" s="92"/>
      <c r="O410" s="93"/>
      <c r="P410" s="93"/>
    </row>
    <row r="411" spans="3:16" ht="14.1" customHeight="1">
      <c r="C411" s="94"/>
      <c r="D411" s="95"/>
      <c r="E411" s="262"/>
      <c r="F411" s="96"/>
      <c r="G411" s="96"/>
      <c r="J411" s="97"/>
      <c r="K411" s="98"/>
      <c r="L411" s="99"/>
      <c r="M411" s="100"/>
      <c r="N411" s="92"/>
      <c r="O411" s="93"/>
      <c r="P411" s="93"/>
    </row>
    <row r="412" spans="3:16" ht="14.1" customHeight="1">
      <c r="C412" s="94"/>
      <c r="D412" s="95"/>
      <c r="E412" s="262"/>
      <c r="F412" s="96"/>
      <c r="G412" s="96"/>
      <c r="J412" s="97"/>
      <c r="K412" s="98"/>
      <c r="L412" s="99"/>
      <c r="M412" s="100"/>
      <c r="N412" s="92"/>
      <c r="O412" s="93"/>
      <c r="P412" s="93"/>
    </row>
    <row r="413" spans="3:16" ht="14.1" customHeight="1">
      <c r="C413" s="94"/>
      <c r="D413" s="95"/>
      <c r="E413" s="262"/>
      <c r="F413" s="96"/>
      <c r="G413" s="96"/>
      <c r="J413" s="97"/>
      <c r="K413" s="98"/>
      <c r="L413" s="99"/>
      <c r="M413" s="100"/>
      <c r="N413" s="92"/>
      <c r="O413" s="93"/>
      <c r="P413" s="93"/>
    </row>
    <row r="414" spans="3:16" ht="14.1" customHeight="1">
      <c r="C414" s="94"/>
      <c r="D414" s="95"/>
      <c r="E414" s="262"/>
      <c r="F414" s="96"/>
      <c r="G414" s="96"/>
      <c r="J414" s="97"/>
      <c r="K414" s="98"/>
      <c r="L414" s="99"/>
      <c r="M414" s="100"/>
      <c r="N414" s="92"/>
      <c r="O414" s="93"/>
      <c r="P414" s="93"/>
    </row>
    <row r="415" spans="3:16" ht="14.1" customHeight="1">
      <c r="C415" s="94"/>
      <c r="D415" s="95"/>
      <c r="E415" s="262"/>
      <c r="F415" s="96"/>
      <c r="G415" s="96"/>
      <c r="J415" s="97"/>
      <c r="K415" s="98"/>
      <c r="L415" s="99"/>
      <c r="M415" s="100"/>
      <c r="N415" s="92"/>
      <c r="O415" s="93"/>
      <c r="P415" s="93"/>
    </row>
    <row r="416" spans="3:16" ht="14.1" customHeight="1">
      <c r="C416" s="94"/>
      <c r="D416" s="95"/>
      <c r="E416" s="262"/>
      <c r="F416" s="96"/>
      <c r="G416" s="96"/>
      <c r="J416" s="97"/>
      <c r="K416" s="98"/>
      <c r="L416" s="99"/>
      <c r="M416" s="100"/>
      <c r="N416" s="92"/>
      <c r="O416" s="93"/>
      <c r="P416" s="93"/>
    </row>
    <row r="417" spans="3:16" ht="14.1" customHeight="1">
      <c r="C417" s="94"/>
      <c r="D417" s="95"/>
      <c r="E417" s="262"/>
      <c r="F417" s="96"/>
      <c r="G417" s="96"/>
      <c r="J417" s="97"/>
      <c r="K417" s="98"/>
      <c r="L417" s="99"/>
      <c r="M417" s="100"/>
      <c r="N417" s="92"/>
      <c r="O417" s="93"/>
      <c r="P417" s="93"/>
    </row>
    <row r="418" spans="3:16" ht="14.1" customHeight="1">
      <c r="C418" s="94"/>
      <c r="D418" s="95"/>
      <c r="E418" s="262"/>
      <c r="F418" s="96"/>
      <c r="G418" s="96"/>
      <c r="J418" s="97"/>
      <c r="K418" s="98"/>
      <c r="L418" s="99"/>
      <c r="M418" s="100"/>
      <c r="N418" s="92"/>
      <c r="O418" s="93"/>
      <c r="P418" s="93"/>
    </row>
    <row r="419" spans="3:16" ht="14.1" customHeight="1">
      <c r="C419" s="94"/>
      <c r="D419" s="95"/>
      <c r="E419" s="262"/>
      <c r="F419" s="96"/>
      <c r="G419" s="96"/>
      <c r="J419" s="97"/>
      <c r="K419" s="98"/>
      <c r="L419" s="99"/>
      <c r="M419" s="100"/>
      <c r="N419" s="92"/>
      <c r="O419" s="93"/>
      <c r="P419" s="93"/>
    </row>
    <row r="420" spans="3:16" ht="14.1" customHeight="1">
      <c r="C420" s="94"/>
      <c r="D420" s="95"/>
      <c r="E420" s="262"/>
      <c r="F420" s="96"/>
      <c r="G420" s="96"/>
      <c r="J420" s="97"/>
      <c r="K420" s="98"/>
      <c r="L420" s="99"/>
      <c r="M420" s="100"/>
      <c r="N420" s="92"/>
      <c r="O420" s="93"/>
      <c r="P420" s="93"/>
    </row>
    <row r="421" spans="3:16" ht="14.1" customHeight="1">
      <c r="C421" s="94"/>
      <c r="D421" s="95"/>
      <c r="E421" s="262"/>
      <c r="F421" s="96"/>
      <c r="G421" s="96"/>
      <c r="J421" s="97"/>
      <c r="K421" s="98"/>
      <c r="L421" s="99"/>
      <c r="M421" s="100"/>
      <c r="N421" s="92"/>
      <c r="O421" s="93"/>
      <c r="P421" s="93"/>
    </row>
    <row r="422" spans="3:16" ht="14.1" customHeight="1">
      <c r="C422" s="94"/>
      <c r="D422" s="95"/>
      <c r="E422" s="262"/>
      <c r="F422" s="96"/>
      <c r="G422" s="96"/>
      <c r="J422" s="97"/>
      <c r="K422" s="98"/>
      <c r="L422" s="99"/>
      <c r="M422" s="100"/>
      <c r="N422" s="92"/>
      <c r="O422" s="93"/>
      <c r="P422" s="93"/>
    </row>
    <row r="423" spans="3:16" ht="14.1" customHeight="1">
      <c r="C423" s="94"/>
      <c r="D423" s="95"/>
      <c r="E423" s="262"/>
      <c r="F423" s="96"/>
      <c r="G423" s="96"/>
      <c r="J423" s="97"/>
      <c r="K423" s="98"/>
      <c r="L423" s="99"/>
      <c r="M423" s="100"/>
      <c r="N423" s="92"/>
      <c r="O423" s="93"/>
      <c r="P423" s="93"/>
    </row>
    <row r="424" spans="3:16" ht="14.1" customHeight="1">
      <c r="C424" s="94"/>
      <c r="D424" s="95"/>
      <c r="E424" s="262"/>
      <c r="F424" s="96"/>
      <c r="G424" s="96"/>
      <c r="J424" s="97"/>
      <c r="K424" s="98"/>
      <c r="L424" s="99"/>
      <c r="M424" s="100"/>
      <c r="N424" s="92"/>
      <c r="O424" s="93"/>
      <c r="P424" s="93"/>
    </row>
    <row r="425" spans="3:16" ht="14.1" customHeight="1">
      <c r="C425" s="94"/>
      <c r="D425" s="95"/>
      <c r="E425" s="262"/>
      <c r="F425" s="96"/>
      <c r="G425" s="96"/>
      <c r="J425" s="97"/>
      <c r="K425" s="98"/>
      <c r="L425" s="99"/>
      <c r="M425" s="100"/>
      <c r="N425" s="92"/>
      <c r="O425" s="93"/>
      <c r="P425" s="93"/>
    </row>
    <row r="426" spans="3:16" ht="14.1" customHeight="1">
      <c r="C426" s="94"/>
      <c r="D426" s="95"/>
      <c r="E426" s="262"/>
      <c r="F426" s="96"/>
      <c r="G426" s="96"/>
      <c r="J426" s="97"/>
      <c r="K426" s="98"/>
      <c r="L426" s="99"/>
      <c r="M426" s="100"/>
      <c r="N426" s="92"/>
      <c r="O426" s="93"/>
      <c r="P426" s="93"/>
    </row>
    <row r="427" spans="3:16" ht="14.1" customHeight="1">
      <c r="C427" s="94"/>
      <c r="D427" s="95"/>
      <c r="E427" s="262"/>
      <c r="F427" s="96"/>
      <c r="G427" s="96"/>
      <c r="J427" s="97"/>
      <c r="K427" s="98"/>
      <c r="L427" s="99"/>
      <c r="M427" s="100"/>
      <c r="N427" s="92"/>
      <c r="O427" s="93"/>
      <c r="P427" s="93"/>
    </row>
    <row r="428" spans="3:16" ht="14.1" customHeight="1">
      <c r="C428" s="94"/>
      <c r="D428" s="95"/>
      <c r="E428" s="262"/>
      <c r="F428" s="96"/>
      <c r="G428" s="96"/>
      <c r="J428" s="97"/>
      <c r="K428" s="98"/>
      <c r="L428" s="99"/>
      <c r="M428" s="100"/>
      <c r="N428" s="92"/>
      <c r="O428" s="93"/>
      <c r="P428" s="93"/>
    </row>
    <row r="429" spans="3:16" ht="14.1" customHeight="1">
      <c r="C429" s="94"/>
      <c r="D429" s="95"/>
      <c r="E429" s="262"/>
      <c r="F429" s="96"/>
      <c r="G429" s="96"/>
      <c r="J429" s="97"/>
      <c r="K429" s="98"/>
      <c r="L429" s="99"/>
      <c r="M429" s="100"/>
      <c r="N429" s="92"/>
      <c r="O429" s="93"/>
      <c r="P429" s="93"/>
    </row>
    <row r="430" spans="3:16" ht="14.1" customHeight="1">
      <c r="C430" s="94"/>
      <c r="D430" s="95"/>
      <c r="E430" s="262"/>
      <c r="F430" s="96"/>
      <c r="G430" s="96"/>
      <c r="J430" s="97"/>
      <c r="K430" s="98"/>
      <c r="L430" s="99"/>
      <c r="M430" s="100"/>
      <c r="N430" s="92"/>
      <c r="O430" s="93"/>
      <c r="P430" s="93"/>
    </row>
    <row r="431" spans="3:16" ht="14.1" customHeight="1">
      <c r="C431" s="94"/>
      <c r="D431" s="95"/>
      <c r="E431" s="262"/>
      <c r="F431" s="96"/>
      <c r="G431" s="96"/>
      <c r="J431" s="97"/>
      <c r="K431" s="98"/>
      <c r="L431" s="99"/>
      <c r="M431" s="100"/>
      <c r="N431" s="92"/>
      <c r="O431" s="93"/>
      <c r="P431" s="93"/>
    </row>
    <row r="432" spans="3:16" ht="14.1" customHeight="1">
      <c r="C432" s="94"/>
      <c r="D432" s="95"/>
      <c r="E432" s="262"/>
      <c r="F432" s="96"/>
      <c r="G432" s="96"/>
      <c r="J432" s="97"/>
      <c r="K432" s="98"/>
      <c r="L432" s="99"/>
      <c r="M432" s="100"/>
      <c r="N432" s="92"/>
      <c r="O432" s="93"/>
      <c r="P432" s="93"/>
    </row>
    <row r="433" spans="3:16" ht="14.1" customHeight="1">
      <c r="C433" s="94"/>
      <c r="D433" s="95"/>
      <c r="E433" s="262"/>
      <c r="F433" s="96"/>
      <c r="G433" s="96"/>
      <c r="J433" s="97"/>
      <c r="K433" s="98"/>
      <c r="L433" s="99"/>
      <c r="M433" s="100"/>
      <c r="N433" s="92"/>
      <c r="O433" s="93"/>
      <c r="P433" s="93"/>
    </row>
    <row r="434" spans="3:16" ht="14.1" customHeight="1">
      <c r="C434" s="94"/>
      <c r="D434" s="95"/>
      <c r="E434" s="262"/>
      <c r="F434" s="96"/>
      <c r="G434" s="96"/>
      <c r="J434" s="97"/>
      <c r="K434" s="98"/>
      <c r="L434" s="99"/>
      <c r="M434" s="100"/>
      <c r="N434" s="92"/>
      <c r="O434" s="93"/>
      <c r="P434" s="93"/>
    </row>
    <row r="435" spans="3:16" ht="14.1" customHeight="1">
      <c r="C435" s="94"/>
      <c r="D435" s="95"/>
      <c r="E435" s="262"/>
      <c r="F435" s="96"/>
      <c r="G435" s="96"/>
      <c r="J435" s="97"/>
      <c r="K435" s="98"/>
      <c r="L435" s="99"/>
      <c r="M435" s="100"/>
      <c r="N435" s="92"/>
      <c r="O435" s="93"/>
      <c r="P435" s="93"/>
    </row>
    <row r="436" spans="3:16" ht="14.1" customHeight="1">
      <c r="C436" s="94"/>
      <c r="D436" s="95"/>
      <c r="E436" s="262"/>
      <c r="F436" s="96"/>
      <c r="G436" s="96"/>
      <c r="J436" s="97"/>
      <c r="K436" s="98"/>
      <c r="L436" s="99"/>
      <c r="M436" s="100"/>
      <c r="N436" s="92"/>
      <c r="O436" s="93"/>
      <c r="P436" s="93"/>
    </row>
    <row r="437" spans="3:16" ht="14.1" customHeight="1">
      <c r="C437" s="94"/>
      <c r="D437" s="95"/>
      <c r="E437" s="262"/>
      <c r="F437" s="96"/>
      <c r="G437" s="96"/>
      <c r="J437" s="97"/>
      <c r="K437" s="98"/>
      <c r="L437" s="99"/>
      <c r="M437" s="100"/>
      <c r="N437" s="92"/>
      <c r="O437" s="93"/>
      <c r="P437" s="93"/>
    </row>
    <row r="438" spans="3:16" ht="14.1" customHeight="1">
      <c r="C438" s="94"/>
      <c r="D438" s="95"/>
      <c r="E438" s="262"/>
      <c r="F438" s="96"/>
      <c r="G438" s="96"/>
      <c r="J438" s="97"/>
      <c r="K438" s="98"/>
      <c r="L438" s="99"/>
      <c r="M438" s="100"/>
      <c r="N438" s="92"/>
      <c r="O438" s="93"/>
      <c r="P438" s="93"/>
    </row>
    <row r="439" spans="3:16" ht="14.1" customHeight="1">
      <c r="C439" s="94"/>
      <c r="D439" s="95"/>
      <c r="E439" s="262"/>
      <c r="F439" s="96"/>
      <c r="G439" s="96"/>
      <c r="J439" s="97"/>
      <c r="K439" s="98"/>
      <c r="L439" s="99"/>
      <c r="M439" s="100"/>
      <c r="N439" s="92"/>
      <c r="O439" s="93"/>
      <c r="P439" s="93"/>
    </row>
    <row r="440" spans="3:16" ht="14.1" customHeight="1">
      <c r="C440" s="94"/>
      <c r="D440" s="95"/>
      <c r="E440" s="262"/>
      <c r="F440" s="96"/>
      <c r="G440" s="96"/>
      <c r="J440" s="97"/>
      <c r="K440" s="98"/>
      <c r="L440" s="99"/>
      <c r="M440" s="100"/>
      <c r="N440" s="92"/>
      <c r="O440" s="93"/>
      <c r="P440" s="93"/>
    </row>
    <row r="441" spans="3:16" ht="14.1" customHeight="1">
      <c r="C441" s="94"/>
      <c r="D441" s="95"/>
      <c r="E441" s="262"/>
      <c r="F441" s="96"/>
      <c r="G441" s="96"/>
      <c r="J441" s="97"/>
      <c r="K441" s="98"/>
      <c r="L441" s="99"/>
      <c r="M441" s="100"/>
      <c r="N441" s="92"/>
      <c r="O441" s="93"/>
      <c r="P441" s="93"/>
    </row>
    <row r="442" spans="3:16" ht="14.1" customHeight="1">
      <c r="C442" s="94"/>
      <c r="D442" s="95"/>
      <c r="E442" s="262"/>
      <c r="F442" s="96"/>
      <c r="G442" s="96"/>
      <c r="J442" s="97"/>
      <c r="K442" s="98"/>
      <c r="L442" s="99"/>
      <c r="M442" s="100"/>
      <c r="N442" s="92"/>
      <c r="O442" s="93"/>
      <c r="P442" s="93"/>
    </row>
    <row r="443" spans="3:16" ht="14.1" customHeight="1">
      <c r="C443" s="94"/>
      <c r="D443" s="95"/>
      <c r="E443" s="262"/>
      <c r="F443" s="96"/>
      <c r="G443" s="96"/>
      <c r="J443" s="97"/>
      <c r="K443" s="98"/>
      <c r="L443" s="99"/>
      <c r="M443" s="100"/>
      <c r="N443" s="92"/>
      <c r="O443" s="93"/>
      <c r="P443" s="93"/>
    </row>
    <row r="444" spans="3:16" ht="14.1" customHeight="1">
      <c r="C444" s="94"/>
      <c r="D444" s="95"/>
      <c r="E444" s="262"/>
      <c r="F444" s="96"/>
      <c r="G444" s="96"/>
      <c r="J444" s="97"/>
      <c r="K444" s="98"/>
      <c r="L444" s="99"/>
      <c r="M444" s="100"/>
      <c r="N444" s="92"/>
      <c r="O444" s="93"/>
      <c r="P444" s="93"/>
    </row>
    <row r="445" spans="3:16" ht="14.1" customHeight="1">
      <c r="C445" s="94"/>
      <c r="D445" s="95"/>
      <c r="E445" s="262"/>
      <c r="F445" s="96"/>
      <c r="G445" s="96"/>
      <c r="J445" s="97"/>
      <c r="K445" s="98"/>
      <c r="L445" s="99"/>
      <c r="M445" s="100"/>
      <c r="N445" s="92"/>
      <c r="O445" s="93"/>
      <c r="P445" s="93"/>
    </row>
    <row r="446" spans="3:16" ht="14.1" customHeight="1">
      <c r="C446" s="94"/>
      <c r="D446" s="95"/>
      <c r="E446" s="262"/>
      <c r="F446" s="96"/>
      <c r="G446" s="96"/>
      <c r="J446" s="97"/>
      <c r="K446" s="98"/>
      <c r="L446" s="99"/>
      <c r="M446" s="100"/>
      <c r="N446" s="92"/>
      <c r="O446" s="93"/>
      <c r="P446" s="93"/>
    </row>
    <row r="447" spans="3:16" ht="14.1" customHeight="1">
      <c r="C447" s="94"/>
      <c r="D447" s="95"/>
      <c r="E447" s="262"/>
      <c r="F447" s="96"/>
      <c r="G447" s="96"/>
      <c r="J447" s="97"/>
      <c r="K447" s="98"/>
      <c r="L447" s="99"/>
      <c r="M447" s="100"/>
      <c r="N447" s="92"/>
      <c r="O447" s="93"/>
      <c r="P447" s="93"/>
    </row>
    <row r="448" spans="3:16" ht="14.1" customHeight="1">
      <c r="C448" s="94"/>
      <c r="D448" s="95"/>
      <c r="E448" s="262"/>
      <c r="F448" s="96"/>
      <c r="G448" s="96"/>
      <c r="J448" s="97"/>
      <c r="K448" s="98"/>
      <c r="L448" s="99"/>
      <c r="M448" s="100"/>
      <c r="N448" s="92"/>
      <c r="O448" s="93"/>
      <c r="P448" s="93"/>
    </row>
    <row r="449" spans="3:16" ht="14.1" customHeight="1">
      <c r="C449" s="94"/>
      <c r="D449" s="95"/>
      <c r="E449" s="262"/>
      <c r="F449" s="96"/>
      <c r="G449" s="96"/>
      <c r="J449" s="97"/>
      <c r="K449" s="98"/>
      <c r="L449" s="99"/>
      <c r="M449" s="100"/>
      <c r="N449" s="92"/>
      <c r="O449" s="93"/>
      <c r="P449" s="93"/>
    </row>
    <row r="450" spans="3:16" ht="14.1" customHeight="1">
      <c r="C450" s="94"/>
      <c r="D450" s="95"/>
      <c r="E450" s="262"/>
      <c r="F450" s="96"/>
      <c r="G450" s="96"/>
      <c r="J450" s="97"/>
      <c r="K450" s="98"/>
      <c r="L450" s="99"/>
      <c r="M450" s="100"/>
      <c r="N450" s="92"/>
      <c r="O450" s="93"/>
      <c r="P450" s="93"/>
    </row>
    <row r="451" spans="3:16" ht="14.1" customHeight="1">
      <c r="C451" s="94"/>
      <c r="D451" s="95"/>
      <c r="E451" s="262"/>
      <c r="F451" s="96"/>
      <c r="G451" s="96"/>
      <c r="J451" s="97"/>
      <c r="K451" s="98"/>
      <c r="L451" s="99"/>
      <c r="M451" s="100"/>
      <c r="N451" s="92"/>
      <c r="O451" s="93"/>
      <c r="P451" s="93"/>
    </row>
    <row r="452" spans="3:16" ht="14.1" customHeight="1">
      <c r="C452" s="94"/>
      <c r="D452" s="95"/>
      <c r="E452" s="262"/>
      <c r="F452" s="96"/>
      <c r="G452" s="96"/>
      <c r="J452" s="97"/>
      <c r="K452" s="98"/>
      <c r="L452" s="99"/>
      <c r="M452" s="100"/>
      <c r="N452" s="92"/>
      <c r="O452" s="93"/>
      <c r="P452" s="93"/>
    </row>
    <row r="453" spans="3:16" ht="14.1" customHeight="1">
      <c r="C453" s="94"/>
      <c r="D453" s="95"/>
      <c r="E453" s="262"/>
      <c r="F453" s="96"/>
      <c r="G453" s="96"/>
      <c r="J453" s="97"/>
      <c r="K453" s="98"/>
      <c r="L453" s="99"/>
      <c r="M453" s="100"/>
      <c r="N453" s="92"/>
      <c r="O453" s="93"/>
      <c r="P453" s="93"/>
    </row>
    <row r="454" spans="3:16" ht="14.1" customHeight="1">
      <c r="C454" s="94"/>
      <c r="D454" s="95"/>
      <c r="E454" s="262"/>
      <c r="F454" s="96"/>
      <c r="G454" s="96"/>
      <c r="J454" s="97"/>
      <c r="K454" s="98"/>
      <c r="L454" s="99"/>
      <c r="M454" s="100"/>
      <c r="N454" s="92"/>
      <c r="O454" s="93"/>
      <c r="P454" s="93"/>
    </row>
    <row r="455" spans="3:16" ht="14.1" customHeight="1">
      <c r="C455" s="94"/>
      <c r="D455" s="95"/>
      <c r="E455" s="262"/>
      <c r="F455" s="96"/>
      <c r="G455" s="96"/>
      <c r="J455" s="97"/>
      <c r="K455" s="98"/>
      <c r="L455" s="99"/>
      <c r="M455" s="100"/>
      <c r="N455" s="92"/>
      <c r="O455" s="93"/>
      <c r="P455" s="93"/>
    </row>
    <row r="456" spans="3:16" ht="14.1" customHeight="1">
      <c r="C456" s="94"/>
      <c r="D456" s="95"/>
      <c r="E456" s="262"/>
      <c r="F456" s="96"/>
      <c r="G456" s="96"/>
      <c r="J456" s="97"/>
      <c r="K456" s="98"/>
      <c r="L456" s="99"/>
      <c r="M456" s="100"/>
      <c r="N456" s="92"/>
      <c r="O456" s="93"/>
      <c r="P456" s="93"/>
    </row>
    <row r="457" spans="3:16" ht="14.1" customHeight="1">
      <c r="C457" s="94"/>
      <c r="D457" s="95"/>
      <c r="E457" s="262"/>
      <c r="F457" s="96"/>
      <c r="G457" s="96"/>
      <c r="J457" s="97"/>
      <c r="K457" s="98"/>
      <c r="L457" s="99"/>
      <c r="M457" s="100"/>
      <c r="N457" s="92"/>
      <c r="O457" s="93"/>
      <c r="P457" s="93"/>
    </row>
    <row r="458" spans="3:16" ht="14.1" customHeight="1">
      <c r="C458" s="94"/>
      <c r="D458" s="95"/>
      <c r="E458" s="262"/>
      <c r="F458" s="96"/>
      <c r="G458" s="96"/>
      <c r="J458" s="97"/>
      <c r="K458" s="98"/>
      <c r="L458" s="99"/>
      <c r="M458" s="100"/>
      <c r="N458" s="92"/>
      <c r="O458" s="93"/>
      <c r="P458" s="93"/>
    </row>
    <row r="459" spans="3:16" ht="14.1" customHeight="1">
      <c r="C459" s="94"/>
      <c r="D459" s="95"/>
      <c r="E459" s="262"/>
      <c r="F459" s="96"/>
      <c r="G459" s="96"/>
      <c r="J459" s="97"/>
      <c r="K459" s="98"/>
      <c r="L459" s="99"/>
      <c r="M459" s="100"/>
      <c r="N459" s="92"/>
      <c r="O459" s="93"/>
      <c r="P459" s="93"/>
    </row>
    <row r="460" spans="3:16" ht="14.1" customHeight="1">
      <c r="C460" s="94"/>
      <c r="D460" s="95"/>
      <c r="E460" s="262"/>
      <c r="F460" s="96"/>
      <c r="G460" s="96"/>
      <c r="J460" s="97"/>
      <c r="K460" s="98"/>
      <c r="L460" s="99"/>
      <c r="M460" s="100"/>
      <c r="N460" s="92"/>
      <c r="O460" s="93"/>
      <c r="P460" s="93"/>
    </row>
    <row r="461" spans="3:16" ht="14.1" customHeight="1">
      <c r="C461" s="94"/>
      <c r="D461" s="95"/>
      <c r="E461" s="262"/>
      <c r="F461" s="96"/>
      <c r="G461" s="96"/>
      <c r="J461" s="97"/>
      <c r="K461" s="98"/>
      <c r="L461" s="99"/>
      <c r="M461" s="100"/>
      <c r="N461" s="92"/>
      <c r="O461" s="93"/>
      <c r="P461" s="93"/>
    </row>
    <row r="462" spans="3:16" ht="14.1" customHeight="1">
      <c r="C462" s="94"/>
      <c r="D462" s="95"/>
      <c r="E462" s="262"/>
      <c r="F462" s="96"/>
      <c r="G462" s="96"/>
      <c r="J462" s="97"/>
      <c r="K462" s="98"/>
      <c r="L462" s="99"/>
      <c r="M462" s="100"/>
      <c r="N462" s="92"/>
      <c r="O462" s="93"/>
      <c r="P462" s="93"/>
    </row>
    <row r="463" spans="3:16" ht="14.1" customHeight="1">
      <c r="C463" s="94"/>
      <c r="D463" s="95"/>
      <c r="E463" s="262"/>
      <c r="F463" s="96"/>
      <c r="G463" s="96"/>
      <c r="J463" s="97"/>
      <c r="K463" s="98"/>
      <c r="L463" s="99"/>
      <c r="M463" s="100"/>
      <c r="N463" s="92"/>
      <c r="O463" s="93"/>
      <c r="P463" s="93"/>
    </row>
    <row r="464" spans="3:16" ht="14.1" customHeight="1">
      <c r="C464" s="94"/>
      <c r="D464" s="95"/>
      <c r="E464" s="262"/>
      <c r="F464" s="96"/>
      <c r="G464" s="96"/>
      <c r="J464" s="97"/>
      <c r="K464" s="98"/>
      <c r="L464" s="99"/>
      <c r="M464" s="100"/>
      <c r="N464" s="92"/>
      <c r="O464" s="93"/>
      <c r="P464" s="93"/>
    </row>
    <row r="465" spans="3:16" ht="14.1" customHeight="1">
      <c r="C465" s="94"/>
      <c r="D465" s="95"/>
      <c r="E465" s="262"/>
      <c r="F465" s="96"/>
      <c r="G465" s="96"/>
      <c r="J465" s="97"/>
      <c r="K465" s="98"/>
      <c r="L465" s="99"/>
      <c r="M465" s="100"/>
      <c r="N465" s="92"/>
      <c r="O465" s="93"/>
      <c r="P465" s="93"/>
    </row>
    <row r="466" spans="3:16" ht="14.1" customHeight="1">
      <c r="C466" s="94"/>
      <c r="D466" s="95"/>
      <c r="E466" s="262"/>
      <c r="F466" s="96"/>
      <c r="G466" s="96"/>
      <c r="J466" s="97"/>
      <c r="K466" s="98"/>
      <c r="L466" s="99"/>
      <c r="M466" s="100"/>
      <c r="N466" s="92"/>
      <c r="O466" s="93"/>
      <c r="P466" s="93"/>
    </row>
    <row r="467" spans="3:16" ht="14.1" customHeight="1">
      <c r="C467" s="94"/>
      <c r="D467" s="95"/>
      <c r="E467" s="262"/>
      <c r="F467" s="96"/>
      <c r="G467" s="96"/>
      <c r="J467" s="97"/>
      <c r="K467" s="98"/>
      <c r="L467" s="99"/>
      <c r="M467" s="100"/>
      <c r="N467" s="92"/>
      <c r="O467" s="93"/>
      <c r="P467" s="93"/>
    </row>
    <row r="468" spans="3:16" ht="14.1" customHeight="1">
      <c r="C468" s="94"/>
      <c r="D468" s="95"/>
      <c r="E468" s="262"/>
      <c r="F468" s="96"/>
      <c r="G468" s="96"/>
      <c r="J468" s="97"/>
      <c r="K468" s="98"/>
      <c r="L468" s="99"/>
      <c r="M468" s="100"/>
      <c r="N468" s="92"/>
      <c r="O468" s="93"/>
      <c r="P468" s="93"/>
    </row>
    <row r="469" spans="3:16" ht="14.1" customHeight="1">
      <c r="C469" s="94"/>
      <c r="D469" s="95"/>
      <c r="E469" s="262"/>
      <c r="F469" s="96"/>
      <c r="G469" s="96"/>
      <c r="J469" s="97"/>
      <c r="K469" s="98"/>
      <c r="L469" s="99"/>
      <c r="M469" s="100"/>
      <c r="N469" s="92"/>
      <c r="O469" s="93"/>
      <c r="P469" s="93"/>
    </row>
    <row r="470" spans="3:16" ht="14.1" customHeight="1">
      <c r="C470" s="94"/>
      <c r="D470" s="95"/>
      <c r="E470" s="262"/>
      <c r="F470" s="96"/>
      <c r="G470" s="96"/>
      <c r="J470" s="97"/>
      <c r="K470" s="98"/>
      <c r="L470" s="99"/>
      <c r="M470" s="100"/>
      <c r="N470" s="92"/>
      <c r="O470" s="93"/>
      <c r="P470" s="93"/>
    </row>
    <row r="471" spans="3:16" ht="14.1" customHeight="1">
      <c r="C471" s="94"/>
      <c r="D471" s="95"/>
      <c r="E471" s="262"/>
      <c r="F471" s="96"/>
      <c r="G471" s="96"/>
      <c r="J471" s="97"/>
      <c r="K471" s="98"/>
      <c r="L471" s="99"/>
      <c r="M471" s="100"/>
      <c r="N471" s="92"/>
      <c r="O471" s="93"/>
      <c r="P471" s="93"/>
    </row>
    <row r="472" spans="3:16" ht="14.1" customHeight="1">
      <c r="C472" s="94"/>
      <c r="D472" s="95"/>
      <c r="E472" s="262"/>
      <c r="F472" s="96"/>
      <c r="G472" s="96"/>
      <c r="J472" s="97"/>
      <c r="K472" s="98"/>
      <c r="L472" s="99"/>
      <c r="M472" s="100"/>
      <c r="N472" s="92"/>
      <c r="O472" s="93"/>
      <c r="P472" s="93"/>
    </row>
    <row r="473" spans="3:16" ht="14.1" customHeight="1">
      <c r="C473" s="94"/>
      <c r="D473" s="95"/>
      <c r="E473" s="262"/>
      <c r="F473" s="96"/>
      <c r="G473" s="96"/>
      <c r="J473" s="97"/>
      <c r="K473" s="98"/>
      <c r="L473" s="99"/>
      <c r="M473" s="100"/>
      <c r="N473" s="92"/>
      <c r="O473" s="93"/>
      <c r="P473" s="93"/>
    </row>
    <row r="474" spans="3:16" ht="14.1" customHeight="1">
      <c r="C474" s="94"/>
      <c r="D474" s="95"/>
      <c r="E474" s="262"/>
      <c r="F474" s="96"/>
      <c r="G474" s="96"/>
      <c r="J474" s="97"/>
      <c r="K474" s="98"/>
      <c r="L474" s="99"/>
      <c r="M474" s="100"/>
      <c r="N474" s="92"/>
      <c r="O474" s="93"/>
      <c r="P474" s="93"/>
    </row>
    <row r="475" spans="3:16" ht="14.1" customHeight="1">
      <c r="C475" s="94"/>
      <c r="D475" s="95"/>
      <c r="E475" s="262"/>
      <c r="F475" s="96"/>
      <c r="G475" s="96"/>
      <c r="J475" s="97"/>
      <c r="K475" s="98"/>
      <c r="L475" s="99"/>
      <c r="M475" s="100"/>
      <c r="N475" s="92"/>
      <c r="O475" s="93"/>
      <c r="P475" s="93"/>
    </row>
    <row r="476" spans="3:16" ht="14.1" customHeight="1">
      <c r="C476" s="94"/>
      <c r="D476" s="95"/>
      <c r="E476" s="262"/>
      <c r="F476" s="96"/>
      <c r="G476" s="96"/>
      <c r="J476" s="97"/>
      <c r="K476" s="98"/>
      <c r="L476" s="99"/>
      <c r="M476" s="100"/>
      <c r="N476" s="92"/>
      <c r="O476" s="93"/>
      <c r="P476" s="93"/>
    </row>
    <row r="477" spans="3:16" ht="14.1" customHeight="1">
      <c r="C477" s="94"/>
      <c r="D477" s="95"/>
      <c r="E477" s="262"/>
      <c r="F477" s="96"/>
      <c r="G477" s="96"/>
      <c r="J477" s="97"/>
      <c r="K477" s="98"/>
      <c r="L477" s="99"/>
      <c r="M477" s="100"/>
      <c r="N477" s="92"/>
      <c r="O477" s="93"/>
      <c r="P477" s="93"/>
    </row>
    <row r="478" spans="3:16" ht="14.1" customHeight="1">
      <c r="C478" s="94"/>
      <c r="D478" s="95"/>
      <c r="E478" s="262"/>
      <c r="F478" s="96"/>
      <c r="G478" s="96"/>
      <c r="J478" s="97"/>
      <c r="K478" s="98"/>
      <c r="L478" s="99"/>
      <c r="M478" s="100"/>
      <c r="N478" s="92"/>
      <c r="O478" s="93"/>
      <c r="P478" s="93"/>
    </row>
    <row r="479" spans="3:16" ht="14.1" customHeight="1">
      <c r="C479" s="94"/>
      <c r="D479" s="95"/>
      <c r="E479" s="262"/>
      <c r="F479" s="96"/>
      <c r="G479" s="96"/>
      <c r="J479" s="97"/>
      <c r="K479" s="98"/>
      <c r="L479" s="99"/>
      <c r="M479" s="100"/>
      <c r="N479" s="92"/>
      <c r="O479" s="93"/>
      <c r="P479" s="93"/>
    </row>
    <row r="480" spans="3:16" ht="14.1" customHeight="1">
      <c r="C480" s="94"/>
      <c r="D480" s="95"/>
      <c r="E480" s="262"/>
      <c r="F480" s="96"/>
      <c r="G480" s="96"/>
      <c r="J480" s="97"/>
      <c r="K480" s="98"/>
      <c r="L480" s="99"/>
      <c r="M480" s="100"/>
      <c r="N480" s="92"/>
      <c r="O480" s="93"/>
      <c r="P480" s="93"/>
    </row>
    <row r="481" spans="3:16" ht="14.1" customHeight="1">
      <c r="C481" s="94"/>
      <c r="D481" s="95"/>
      <c r="E481" s="262"/>
      <c r="F481" s="96"/>
      <c r="G481" s="96"/>
      <c r="J481" s="97"/>
      <c r="K481" s="98"/>
      <c r="L481" s="99"/>
      <c r="M481" s="100"/>
      <c r="N481" s="92"/>
      <c r="O481" s="93"/>
      <c r="P481" s="93"/>
    </row>
    <row r="482" spans="3:16" ht="14.1" customHeight="1">
      <c r="C482" s="94"/>
      <c r="D482" s="95"/>
      <c r="E482" s="262"/>
      <c r="F482" s="96"/>
      <c r="G482" s="96"/>
      <c r="J482" s="97"/>
      <c r="K482" s="98"/>
      <c r="L482" s="99"/>
      <c r="M482" s="100"/>
      <c r="N482" s="92"/>
      <c r="O482" s="93"/>
      <c r="P482" s="93"/>
    </row>
    <row r="483" spans="3:16" ht="14.1" customHeight="1">
      <c r="C483" s="94"/>
      <c r="D483" s="95"/>
      <c r="E483" s="262"/>
      <c r="F483" s="96"/>
      <c r="G483" s="96"/>
      <c r="J483" s="97"/>
      <c r="K483" s="98"/>
      <c r="L483" s="99"/>
      <c r="M483" s="100"/>
      <c r="N483" s="92"/>
      <c r="O483" s="93"/>
      <c r="P483" s="93"/>
    </row>
    <row r="484" spans="3:16" ht="14.1" customHeight="1">
      <c r="C484" s="94"/>
      <c r="D484" s="95"/>
      <c r="E484" s="262"/>
      <c r="F484" s="96"/>
      <c r="G484" s="96"/>
      <c r="J484" s="97"/>
      <c r="K484" s="98"/>
      <c r="L484" s="99"/>
      <c r="M484" s="100"/>
      <c r="N484" s="92"/>
      <c r="O484" s="93"/>
      <c r="P484" s="93"/>
    </row>
    <row r="485" spans="3:16" ht="14.1" customHeight="1">
      <c r="C485" s="94"/>
      <c r="D485" s="95"/>
      <c r="E485" s="262"/>
      <c r="F485" s="96"/>
      <c r="G485" s="96"/>
      <c r="J485" s="97"/>
      <c r="K485" s="98"/>
      <c r="L485" s="99"/>
      <c r="M485" s="100"/>
      <c r="N485" s="92"/>
      <c r="O485" s="93"/>
      <c r="P485" s="93"/>
    </row>
    <row r="486" spans="3:16" ht="14.1" customHeight="1">
      <c r="C486" s="94"/>
      <c r="D486" s="95"/>
      <c r="E486" s="262"/>
      <c r="F486" s="96"/>
      <c r="G486" s="96"/>
      <c r="J486" s="97"/>
      <c r="K486" s="98"/>
      <c r="L486" s="99"/>
      <c r="M486" s="100"/>
      <c r="N486" s="92"/>
      <c r="O486" s="93"/>
      <c r="P486" s="93"/>
    </row>
    <row r="487" spans="3:16" ht="14.1" customHeight="1">
      <c r="C487" s="94"/>
      <c r="D487" s="95"/>
      <c r="E487" s="262"/>
      <c r="F487" s="96"/>
      <c r="G487" s="96"/>
      <c r="J487" s="97"/>
      <c r="K487" s="98"/>
      <c r="L487" s="99"/>
      <c r="M487" s="100"/>
      <c r="N487" s="92"/>
      <c r="O487" s="93"/>
      <c r="P487" s="93"/>
    </row>
    <row r="488" spans="3:16" ht="14.1" customHeight="1">
      <c r="C488" s="94"/>
      <c r="D488" s="95"/>
      <c r="E488" s="262"/>
      <c r="F488" s="96"/>
      <c r="G488" s="96"/>
      <c r="J488" s="97"/>
      <c r="K488" s="98"/>
      <c r="L488" s="99"/>
      <c r="M488" s="100"/>
      <c r="N488" s="92"/>
      <c r="O488" s="93"/>
      <c r="P488" s="93"/>
    </row>
    <row r="489" spans="3:16" ht="14.1" customHeight="1">
      <c r="C489" s="94"/>
      <c r="D489" s="95"/>
      <c r="E489" s="262"/>
      <c r="F489" s="96"/>
      <c r="G489" s="96"/>
      <c r="J489" s="97"/>
      <c r="K489" s="98"/>
      <c r="L489" s="99"/>
      <c r="M489" s="100"/>
      <c r="N489" s="92"/>
      <c r="O489" s="93"/>
      <c r="P489" s="93"/>
    </row>
    <row r="490" spans="3:16" ht="14.1" customHeight="1">
      <c r="C490" s="94"/>
      <c r="D490" s="95"/>
      <c r="E490" s="262"/>
      <c r="F490" s="96"/>
      <c r="G490" s="96"/>
      <c r="J490" s="97"/>
      <c r="K490" s="98"/>
      <c r="L490" s="99"/>
      <c r="M490" s="100"/>
      <c r="N490" s="92"/>
      <c r="O490" s="93"/>
      <c r="P490" s="93"/>
    </row>
    <row r="491" spans="3:16" ht="14.1" customHeight="1">
      <c r="C491" s="94"/>
      <c r="D491" s="95"/>
      <c r="E491" s="262"/>
      <c r="F491" s="96"/>
      <c r="G491" s="96"/>
      <c r="J491" s="97"/>
      <c r="K491" s="98"/>
      <c r="L491" s="99"/>
      <c r="M491" s="100"/>
      <c r="N491" s="92"/>
      <c r="O491" s="93"/>
      <c r="P491" s="93"/>
    </row>
    <row r="492" spans="3:16" ht="14.1" customHeight="1">
      <c r="C492" s="94"/>
      <c r="D492" s="95"/>
      <c r="E492" s="262"/>
      <c r="F492" s="96"/>
      <c r="G492" s="96"/>
      <c r="J492" s="97"/>
      <c r="K492" s="98"/>
      <c r="L492" s="99"/>
      <c r="M492" s="100"/>
      <c r="N492" s="92"/>
      <c r="O492" s="93"/>
      <c r="P492" s="93"/>
    </row>
    <row r="493" spans="3:16" ht="14.1" customHeight="1">
      <c r="C493" s="94"/>
      <c r="D493" s="95"/>
      <c r="E493" s="262"/>
      <c r="F493" s="96"/>
      <c r="G493" s="96"/>
      <c r="J493" s="97"/>
      <c r="K493" s="98"/>
      <c r="L493" s="99"/>
      <c r="M493" s="100"/>
      <c r="N493" s="92"/>
      <c r="O493" s="93"/>
      <c r="P493" s="93"/>
    </row>
    <row r="494" spans="3:16" ht="14.1" customHeight="1">
      <c r="C494" s="94"/>
      <c r="D494" s="95"/>
      <c r="E494" s="262"/>
      <c r="F494" s="96"/>
      <c r="G494" s="96"/>
      <c r="J494" s="97"/>
      <c r="K494" s="98"/>
      <c r="L494" s="99"/>
      <c r="M494" s="100"/>
      <c r="N494" s="92"/>
      <c r="O494" s="93"/>
      <c r="P494" s="93"/>
    </row>
    <row r="495" spans="3:16" ht="14.1" customHeight="1">
      <c r="C495" s="94"/>
      <c r="D495" s="95"/>
      <c r="E495" s="262"/>
      <c r="F495" s="96"/>
      <c r="G495" s="96"/>
      <c r="J495" s="97"/>
      <c r="K495" s="98"/>
      <c r="L495" s="99"/>
      <c r="M495" s="100"/>
      <c r="N495" s="92"/>
      <c r="O495" s="93"/>
      <c r="P495" s="93"/>
    </row>
    <row r="496" spans="3:16" ht="14.1" customHeight="1">
      <c r="C496" s="94"/>
      <c r="D496" s="95"/>
      <c r="E496" s="262"/>
      <c r="F496" s="96"/>
      <c r="G496" s="96"/>
      <c r="J496" s="97"/>
      <c r="K496" s="98"/>
      <c r="L496" s="99"/>
      <c r="M496" s="100"/>
      <c r="N496" s="92"/>
      <c r="O496" s="93"/>
      <c r="P496" s="93"/>
    </row>
    <row r="497" spans="3:16" ht="14.1" customHeight="1">
      <c r="C497" s="94"/>
      <c r="D497" s="95"/>
      <c r="E497" s="262"/>
      <c r="F497" s="96"/>
      <c r="G497" s="96"/>
      <c r="J497" s="97"/>
      <c r="K497" s="98"/>
      <c r="L497" s="99"/>
      <c r="M497" s="100"/>
      <c r="N497" s="92"/>
      <c r="O497" s="93"/>
      <c r="P497" s="93"/>
    </row>
    <row r="498" spans="3:16" ht="14.1" customHeight="1">
      <c r="C498" s="94"/>
      <c r="D498" s="95"/>
      <c r="E498" s="262"/>
      <c r="F498" s="96"/>
      <c r="G498" s="96"/>
      <c r="J498" s="97"/>
      <c r="K498" s="98"/>
      <c r="L498" s="99"/>
      <c r="M498" s="100"/>
      <c r="N498" s="92"/>
      <c r="O498" s="93"/>
      <c r="P498" s="93"/>
    </row>
    <row r="499" spans="3:16" ht="14.1" customHeight="1">
      <c r="C499" s="94"/>
      <c r="D499" s="95"/>
      <c r="E499" s="262"/>
      <c r="F499" s="96"/>
      <c r="G499" s="96"/>
      <c r="J499" s="97"/>
      <c r="K499" s="98"/>
      <c r="L499" s="99"/>
      <c r="M499" s="100"/>
      <c r="N499" s="92"/>
      <c r="O499" s="93"/>
      <c r="P499" s="93"/>
    </row>
    <row r="500" spans="3:16" ht="14.1" customHeight="1">
      <c r="C500" s="94"/>
      <c r="D500" s="95"/>
      <c r="E500" s="262"/>
      <c r="F500" s="96"/>
      <c r="G500" s="96"/>
      <c r="J500" s="97"/>
      <c r="K500" s="98"/>
      <c r="L500" s="99"/>
      <c r="M500" s="100"/>
      <c r="N500" s="92"/>
      <c r="O500" s="93"/>
      <c r="P500" s="93"/>
    </row>
    <row r="501" spans="3:16" ht="14.1" customHeight="1">
      <c r="C501" s="94"/>
      <c r="D501" s="95"/>
      <c r="E501" s="262"/>
      <c r="F501" s="96"/>
      <c r="G501" s="96"/>
      <c r="J501" s="97"/>
      <c r="K501" s="98"/>
      <c r="L501" s="99"/>
      <c r="M501" s="100"/>
      <c r="N501" s="92"/>
      <c r="O501" s="93"/>
      <c r="P501" s="93"/>
    </row>
    <row r="502" spans="3:16" ht="14.1" customHeight="1">
      <c r="C502" s="94"/>
      <c r="D502" s="95"/>
      <c r="E502" s="262"/>
      <c r="F502" s="96"/>
      <c r="G502" s="96"/>
      <c r="J502" s="97"/>
      <c r="K502" s="98"/>
      <c r="L502" s="99"/>
      <c r="M502" s="100"/>
      <c r="N502" s="92"/>
      <c r="O502" s="93"/>
      <c r="P502" s="93"/>
    </row>
    <row r="503" spans="3:16" ht="14.1" customHeight="1">
      <c r="C503" s="94"/>
      <c r="D503" s="95"/>
      <c r="E503" s="262"/>
      <c r="F503" s="96"/>
      <c r="G503" s="96"/>
      <c r="J503" s="97"/>
      <c r="K503" s="98"/>
      <c r="L503" s="99"/>
      <c r="M503" s="100"/>
      <c r="N503" s="92"/>
      <c r="O503" s="93"/>
      <c r="P503" s="93"/>
    </row>
    <row r="504" spans="3:16" ht="14.1" customHeight="1">
      <c r="C504" s="94"/>
      <c r="D504" s="95"/>
      <c r="E504" s="262"/>
      <c r="F504" s="96"/>
      <c r="G504" s="96"/>
      <c r="J504" s="97"/>
      <c r="K504" s="98"/>
      <c r="L504" s="99"/>
      <c r="M504" s="100"/>
      <c r="N504" s="92"/>
      <c r="O504" s="93"/>
      <c r="P504" s="93"/>
    </row>
    <row r="505" spans="3:16" ht="14.1" customHeight="1">
      <c r="C505" s="94"/>
      <c r="D505" s="95"/>
      <c r="E505" s="262"/>
      <c r="F505" s="96"/>
      <c r="G505" s="96"/>
      <c r="J505" s="97"/>
      <c r="K505" s="98"/>
      <c r="L505" s="99"/>
      <c r="M505" s="100"/>
      <c r="N505" s="92"/>
      <c r="O505" s="93"/>
      <c r="P505" s="93"/>
    </row>
    <row r="506" spans="3:16" ht="14.1" customHeight="1">
      <c r="C506" s="94"/>
      <c r="D506" s="95"/>
      <c r="E506" s="262"/>
      <c r="F506" s="96"/>
      <c r="G506" s="96"/>
      <c r="J506" s="97"/>
      <c r="K506" s="98"/>
      <c r="L506" s="99"/>
      <c r="M506" s="100"/>
      <c r="N506" s="92"/>
      <c r="O506" s="93"/>
      <c r="P506" s="93"/>
    </row>
    <row r="507" spans="3:16" ht="14.1" customHeight="1">
      <c r="C507" s="94"/>
      <c r="D507" s="95"/>
      <c r="E507" s="262"/>
      <c r="F507" s="96"/>
      <c r="G507" s="96"/>
      <c r="J507" s="97"/>
      <c r="K507" s="98"/>
      <c r="L507" s="99"/>
      <c r="M507" s="100"/>
      <c r="N507" s="92"/>
      <c r="O507" s="93"/>
      <c r="P507" s="93"/>
    </row>
    <row r="508" spans="3:16" ht="14.1" customHeight="1">
      <c r="C508" s="94"/>
      <c r="D508" s="95"/>
      <c r="E508" s="262"/>
      <c r="F508" s="96"/>
      <c r="G508" s="96"/>
      <c r="J508" s="97"/>
      <c r="K508" s="98"/>
      <c r="L508" s="99"/>
      <c r="M508" s="100"/>
      <c r="N508" s="92"/>
      <c r="O508" s="93"/>
      <c r="P508" s="93"/>
    </row>
    <row r="509" spans="3:16" ht="14.1" customHeight="1">
      <c r="C509" s="94"/>
      <c r="D509" s="95"/>
      <c r="E509" s="262"/>
      <c r="F509" s="96"/>
      <c r="G509" s="96"/>
      <c r="J509" s="97"/>
      <c r="K509" s="98"/>
      <c r="L509" s="99"/>
      <c r="M509" s="100"/>
      <c r="N509" s="92"/>
      <c r="O509" s="93"/>
      <c r="P509" s="93"/>
    </row>
    <row r="510" spans="3:16" ht="14.1" customHeight="1">
      <c r="C510" s="94"/>
      <c r="D510" s="95"/>
      <c r="E510" s="262"/>
      <c r="F510" s="96"/>
      <c r="G510" s="96"/>
      <c r="J510" s="97"/>
      <c r="K510" s="98"/>
      <c r="L510" s="99"/>
      <c r="M510" s="100"/>
      <c r="N510" s="92"/>
      <c r="O510" s="93"/>
      <c r="P510" s="93"/>
    </row>
    <row r="511" spans="3:16" ht="14.1" customHeight="1">
      <c r="C511" s="94"/>
      <c r="D511" s="95"/>
      <c r="E511" s="262"/>
      <c r="F511" s="96"/>
      <c r="G511" s="96"/>
      <c r="J511" s="97"/>
      <c r="K511" s="98"/>
      <c r="L511" s="99"/>
      <c r="M511" s="100"/>
      <c r="N511" s="92"/>
      <c r="O511" s="93"/>
      <c r="P511" s="93"/>
    </row>
    <row r="512" spans="3:16" ht="14.1" customHeight="1">
      <c r="C512" s="94"/>
      <c r="D512" s="95"/>
      <c r="E512" s="262"/>
      <c r="F512" s="96"/>
      <c r="G512" s="96"/>
      <c r="J512" s="97"/>
      <c r="K512" s="98"/>
      <c r="L512" s="99"/>
      <c r="M512" s="100"/>
      <c r="N512" s="92"/>
      <c r="O512" s="93"/>
      <c r="P512" s="93"/>
    </row>
    <row r="513" spans="3:16" ht="14.1" customHeight="1">
      <c r="C513" s="94"/>
      <c r="D513" s="95"/>
      <c r="E513" s="262"/>
      <c r="F513" s="96"/>
      <c r="G513" s="96"/>
      <c r="J513" s="97"/>
      <c r="K513" s="98"/>
      <c r="L513" s="99"/>
      <c r="M513" s="100"/>
      <c r="N513" s="92"/>
      <c r="O513" s="93"/>
      <c r="P513" s="93"/>
    </row>
    <row r="514" spans="3:16" ht="14.1" customHeight="1">
      <c r="C514" s="94"/>
      <c r="D514" s="95"/>
      <c r="E514" s="262"/>
      <c r="F514" s="96"/>
      <c r="G514" s="96"/>
      <c r="J514" s="97"/>
      <c r="K514" s="98"/>
      <c r="L514" s="99"/>
      <c r="M514" s="100"/>
      <c r="N514" s="92"/>
      <c r="O514" s="93"/>
      <c r="P514" s="93"/>
    </row>
    <row r="515" spans="3:16" ht="14.1" customHeight="1">
      <c r="C515" s="94"/>
      <c r="D515" s="95"/>
      <c r="E515" s="262"/>
      <c r="F515" s="96"/>
      <c r="G515" s="96"/>
      <c r="J515" s="97"/>
      <c r="K515" s="98"/>
      <c r="L515" s="99"/>
      <c r="M515" s="100"/>
      <c r="N515" s="92"/>
      <c r="O515" s="93"/>
      <c r="P515" s="93"/>
    </row>
    <row r="516" spans="3:16" ht="14.1" customHeight="1">
      <c r="C516" s="94"/>
      <c r="D516" s="95"/>
      <c r="E516" s="262"/>
      <c r="F516" s="96"/>
      <c r="G516" s="96"/>
      <c r="J516" s="97"/>
      <c r="K516" s="98"/>
      <c r="L516" s="99"/>
      <c r="M516" s="100"/>
      <c r="N516" s="92"/>
      <c r="O516" s="93"/>
      <c r="P516" s="93"/>
    </row>
    <row r="517" spans="3:16" ht="14.1" customHeight="1">
      <c r="C517" s="94"/>
      <c r="D517" s="95"/>
      <c r="E517" s="262"/>
      <c r="F517" s="96"/>
      <c r="G517" s="96"/>
      <c r="J517" s="97"/>
      <c r="K517" s="98"/>
      <c r="L517" s="99"/>
      <c r="M517" s="100"/>
      <c r="N517" s="92"/>
      <c r="O517" s="93"/>
      <c r="P517" s="93"/>
    </row>
    <row r="518" spans="3:16" ht="14.1" customHeight="1">
      <c r="C518" s="94"/>
      <c r="D518" s="95"/>
      <c r="E518" s="262"/>
      <c r="F518" s="96"/>
      <c r="G518" s="96"/>
      <c r="J518" s="97"/>
      <c r="K518" s="98"/>
      <c r="L518" s="99"/>
      <c r="M518" s="100"/>
      <c r="N518" s="92"/>
      <c r="O518" s="93"/>
      <c r="P518" s="93"/>
    </row>
    <row r="519" spans="3:16" ht="14.1" customHeight="1">
      <c r="C519" s="94"/>
      <c r="D519" s="95"/>
      <c r="E519" s="262"/>
      <c r="F519" s="96"/>
      <c r="G519" s="96"/>
      <c r="J519" s="97"/>
      <c r="K519" s="98"/>
      <c r="L519" s="99"/>
      <c r="M519" s="100"/>
      <c r="N519" s="92"/>
      <c r="O519" s="93"/>
      <c r="P519" s="93"/>
    </row>
    <row r="520" spans="3:16" ht="14.1" customHeight="1">
      <c r="C520" s="94"/>
      <c r="D520" s="95"/>
      <c r="E520" s="262"/>
      <c r="F520" s="96"/>
      <c r="G520" s="96"/>
      <c r="J520" s="97"/>
      <c r="K520" s="98"/>
      <c r="L520" s="99"/>
      <c r="M520" s="100"/>
      <c r="N520" s="92"/>
      <c r="O520" s="93"/>
      <c r="P520" s="93"/>
    </row>
    <row r="521" spans="3:16" ht="14.1" customHeight="1">
      <c r="C521" s="94"/>
      <c r="D521" s="95"/>
      <c r="E521" s="262"/>
      <c r="F521" s="96"/>
      <c r="G521" s="96"/>
      <c r="J521" s="97"/>
      <c r="K521" s="98"/>
      <c r="L521" s="99"/>
      <c r="M521" s="100"/>
      <c r="N521" s="92"/>
      <c r="O521" s="93"/>
      <c r="P521" s="93"/>
    </row>
    <row r="522" spans="3:16" ht="14.1" customHeight="1">
      <c r="C522" s="94"/>
      <c r="D522" s="95"/>
      <c r="E522" s="262"/>
      <c r="F522" s="96"/>
      <c r="G522" s="96"/>
      <c r="J522" s="97"/>
      <c r="K522" s="98"/>
      <c r="L522" s="99"/>
      <c r="M522" s="100"/>
      <c r="N522" s="92"/>
      <c r="O522" s="93"/>
      <c r="P522" s="93"/>
    </row>
    <row r="523" spans="3:16" ht="14.1" customHeight="1">
      <c r="C523" s="94"/>
      <c r="D523" s="95"/>
      <c r="E523" s="262"/>
      <c r="F523" s="96"/>
      <c r="G523" s="96"/>
      <c r="J523" s="97"/>
      <c r="K523" s="98"/>
      <c r="L523" s="99"/>
      <c r="M523" s="100"/>
      <c r="N523" s="92"/>
      <c r="O523" s="93"/>
      <c r="P523" s="93"/>
    </row>
    <row r="524" spans="3:16" ht="14.1" customHeight="1">
      <c r="C524" s="94"/>
      <c r="D524" s="95"/>
      <c r="E524" s="262"/>
      <c r="F524" s="96"/>
      <c r="G524" s="96"/>
      <c r="J524" s="97"/>
      <c r="K524" s="98"/>
      <c r="L524" s="99"/>
      <c r="M524" s="100"/>
      <c r="N524" s="92"/>
      <c r="O524" s="93"/>
      <c r="P524" s="93"/>
    </row>
    <row r="525" spans="3:16" ht="14.1" customHeight="1">
      <c r="C525" s="94"/>
      <c r="D525" s="95"/>
      <c r="E525" s="262"/>
      <c r="F525" s="96"/>
      <c r="G525" s="96"/>
      <c r="J525" s="97"/>
      <c r="K525" s="98"/>
      <c r="L525" s="99"/>
      <c r="M525" s="100"/>
      <c r="N525" s="92"/>
      <c r="O525" s="93"/>
      <c r="P525" s="93"/>
    </row>
    <row r="526" spans="3:16" ht="14.1" customHeight="1">
      <c r="C526" s="94"/>
      <c r="D526" s="95"/>
      <c r="E526" s="262"/>
      <c r="F526" s="96"/>
      <c r="G526" s="96"/>
      <c r="J526" s="97"/>
      <c r="K526" s="98"/>
      <c r="L526" s="99"/>
      <c r="M526" s="100"/>
      <c r="N526" s="92"/>
      <c r="O526" s="93"/>
      <c r="P526" s="93"/>
    </row>
    <row r="527" spans="3:16" ht="14.1" customHeight="1">
      <c r="C527" s="94"/>
      <c r="D527" s="95"/>
      <c r="E527" s="262"/>
      <c r="F527" s="96"/>
      <c r="G527" s="96"/>
      <c r="J527" s="97"/>
      <c r="K527" s="98"/>
      <c r="L527" s="99"/>
      <c r="M527" s="100"/>
      <c r="N527" s="92"/>
      <c r="O527" s="93"/>
      <c r="P527" s="93"/>
    </row>
    <row r="528" spans="3:16" ht="14.1" customHeight="1">
      <c r="C528" s="94"/>
      <c r="D528" s="95"/>
      <c r="E528" s="262"/>
      <c r="F528" s="96"/>
      <c r="G528" s="96"/>
      <c r="J528" s="97"/>
      <c r="K528" s="98"/>
      <c r="L528" s="99"/>
      <c r="M528" s="100"/>
      <c r="N528" s="92"/>
      <c r="O528" s="93"/>
      <c r="P528" s="93"/>
    </row>
    <row r="529" spans="3:16" ht="14.1" customHeight="1">
      <c r="C529" s="94"/>
      <c r="D529" s="95"/>
      <c r="E529" s="262"/>
      <c r="F529" s="96"/>
      <c r="G529" s="96"/>
      <c r="J529" s="97"/>
      <c r="K529" s="98"/>
      <c r="L529" s="99"/>
      <c r="M529" s="100"/>
      <c r="N529" s="92"/>
      <c r="O529" s="93"/>
      <c r="P529" s="93"/>
    </row>
    <row r="530" spans="3:16" ht="14.1" customHeight="1">
      <c r="C530" s="94"/>
      <c r="D530" s="95"/>
      <c r="E530" s="262"/>
      <c r="F530" s="96"/>
      <c r="G530" s="96"/>
      <c r="J530" s="97"/>
      <c r="K530" s="98"/>
      <c r="L530" s="99"/>
      <c r="M530" s="100"/>
      <c r="N530" s="92"/>
      <c r="O530" s="93"/>
      <c r="P530" s="93"/>
    </row>
    <row r="531" spans="3:16" ht="14.1" customHeight="1">
      <c r="C531" s="94"/>
      <c r="D531" s="95"/>
      <c r="E531" s="262"/>
      <c r="F531" s="96"/>
      <c r="G531" s="96"/>
      <c r="J531" s="97"/>
      <c r="K531" s="98"/>
      <c r="L531" s="99"/>
      <c r="M531" s="100"/>
      <c r="N531" s="92"/>
      <c r="O531" s="93"/>
      <c r="P531" s="93"/>
    </row>
    <row r="532" spans="3:16" ht="14.1" customHeight="1">
      <c r="C532" s="94"/>
      <c r="D532" s="95"/>
      <c r="E532" s="262"/>
      <c r="F532" s="96"/>
      <c r="G532" s="96"/>
      <c r="J532" s="97"/>
      <c r="K532" s="98"/>
      <c r="L532" s="99"/>
      <c r="M532" s="100"/>
      <c r="N532" s="92"/>
      <c r="O532" s="93"/>
      <c r="P532" s="93"/>
    </row>
    <row r="533" spans="3:16" ht="14.1" customHeight="1">
      <c r="C533" s="94"/>
      <c r="D533" s="95"/>
      <c r="E533" s="262"/>
      <c r="F533" s="96"/>
      <c r="G533" s="96"/>
      <c r="J533" s="97"/>
      <c r="K533" s="98"/>
      <c r="L533" s="99"/>
      <c r="M533" s="100"/>
      <c r="N533" s="92"/>
      <c r="O533" s="93"/>
      <c r="P533" s="93"/>
    </row>
    <row r="534" spans="3:16" ht="14.1" customHeight="1">
      <c r="C534" s="94"/>
      <c r="D534" s="95"/>
      <c r="E534" s="262"/>
      <c r="F534" s="96"/>
      <c r="G534" s="96"/>
      <c r="J534" s="97"/>
      <c r="K534" s="98"/>
      <c r="L534" s="99"/>
      <c r="M534" s="100"/>
      <c r="N534" s="92"/>
      <c r="O534" s="93"/>
      <c r="P534" s="93"/>
    </row>
    <row r="535" spans="3:16" ht="14.1" customHeight="1">
      <c r="C535" s="94"/>
      <c r="D535" s="95"/>
      <c r="E535" s="262"/>
      <c r="F535" s="96"/>
      <c r="G535" s="96"/>
      <c r="J535" s="97"/>
      <c r="K535" s="98"/>
      <c r="L535" s="99"/>
      <c r="M535" s="100"/>
      <c r="N535" s="92"/>
      <c r="O535" s="93"/>
      <c r="P535" s="93"/>
    </row>
    <row r="536" spans="3:16" ht="14.1" customHeight="1">
      <c r="C536" s="94"/>
      <c r="D536" s="95"/>
      <c r="E536" s="262"/>
      <c r="F536" s="96"/>
      <c r="G536" s="96"/>
      <c r="J536" s="97"/>
      <c r="K536" s="98"/>
      <c r="L536" s="99"/>
      <c r="M536" s="100"/>
      <c r="N536" s="92"/>
      <c r="O536" s="93"/>
      <c r="P536" s="93"/>
    </row>
    <row r="537" spans="3:16" ht="14.1" customHeight="1">
      <c r="C537" s="94"/>
      <c r="D537" s="95"/>
      <c r="E537" s="262"/>
      <c r="F537" s="96"/>
      <c r="G537" s="96"/>
      <c r="J537" s="97"/>
      <c r="K537" s="98"/>
      <c r="L537" s="99"/>
      <c r="M537" s="100"/>
      <c r="N537" s="92"/>
      <c r="O537" s="93"/>
      <c r="P537" s="93"/>
    </row>
    <row r="538" spans="3:16" ht="14.1" customHeight="1">
      <c r="C538" s="94"/>
      <c r="D538" s="95"/>
      <c r="E538" s="262"/>
      <c r="F538" s="96"/>
      <c r="G538" s="96"/>
      <c r="J538" s="97"/>
      <c r="K538" s="98"/>
      <c r="L538" s="99"/>
      <c r="M538" s="100"/>
      <c r="N538" s="92"/>
      <c r="O538" s="93"/>
      <c r="P538" s="93"/>
    </row>
    <row r="539" spans="3:16" ht="14.1" customHeight="1">
      <c r="C539" s="94"/>
      <c r="D539" s="95"/>
      <c r="E539" s="262"/>
      <c r="F539" s="96"/>
      <c r="G539" s="96"/>
      <c r="J539" s="97"/>
      <c r="K539" s="98"/>
      <c r="L539" s="99"/>
      <c r="M539" s="100"/>
      <c r="N539" s="92"/>
      <c r="O539" s="93"/>
      <c r="P539" s="93"/>
    </row>
    <row r="540" spans="3:16" ht="14.1" customHeight="1">
      <c r="C540" s="94"/>
      <c r="D540" s="95"/>
      <c r="E540" s="262"/>
      <c r="F540" s="96"/>
      <c r="G540" s="96"/>
      <c r="J540" s="97"/>
      <c r="K540" s="98"/>
      <c r="L540" s="99"/>
      <c r="M540" s="100"/>
      <c r="N540" s="92"/>
      <c r="O540" s="93"/>
      <c r="P540" s="93"/>
    </row>
    <row r="541" spans="3:16" ht="14.1" customHeight="1">
      <c r="C541" s="94"/>
      <c r="D541" s="95"/>
      <c r="E541" s="262"/>
      <c r="F541" s="96"/>
      <c r="G541" s="96"/>
      <c r="J541" s="97"/>
      <c r="K541" s="98"/>
      <c r="L541" s="99"/>
      <c r="M541" s="100"/>
      <c r="N541" s="92"/>
      <c r="O541" s="93"/>
      <c r="P541" s="93"/>
    </row>
    <row r="542" spans="3:16" ht="14.1" customHeight="1">
      <c r="C542" s="94"/>
      <c r="D542" s="95"/>
      <c r="E542" s="262"/>
      <c r="F542" s="96"/>
      <c r="G542" s="96"/>
      <c r="J542" s="97"/>
      <c r="K542" s="98"/>
      <c r="L542" s="99"/>
      <c r="M542" s="100"/>
      <c r="N542" s="92"/>
      <c r="O542" s="93"/>
      <c r="P542" s="93"/>
    </row>
    <row r="543" spans="3:16" ht="14.1" customHeight="1">
      <c r="C543" s="94"/>
      <c r="D543" s="95"/>
      <c r="E543" s="262"/>
      <c r="F543" s="96"/>
      <c r="G543" s="96"/>
      <c r="J543" s="97"/>
      <c r="K543" s="98"/>
      <c r="L543" s="99"/>
      <c r="M543" s="100"/>
      <c r="N543" s="92"/>
      <c r="O543" s="93"/>
      <c r="P543" s="93"/>
    </row>
    <row r="544" spans="3:16" ht="14.1" customHeight="1">
      <c r="C544" s="94"/>
      <c r="D544" s="95"/>
      <c r="E544" s="262"/>
      <c r="F544" s="96"/>
      <c r="G544" s="96"/>
      <c r="J544" s="97"/>
      <c r="K544" s="98"/>
      <c r="L544" s="99"/>
      <c r="M544" s="100"/>
      <c r="N544" s="92"/>
      <c r="O544" s="93"/>
      <c r="P544" s="93"/>
    </row>
    <row r="545" spans="3:16" ht="14.1" customHeight="1">
      <c r="C545" s="94"/>
      <c r="D545" s="95"/>
      <c r="E545" s="262"/>
      <c r="F545" s="96"/>
      <c r="G545" s="96"/>
      <c r="J545" s="97"/>
      <c r="K545" s="98"/>
      <c r="L545" s="99"/>
      <c r="M545" s="100"/>
      <c r="N545" s="92"/>
      <c r="O545" s="93"/>
      <c r="P545" s="93"/>
    </row>
    <row r="546" spans="3:16" ht="14.1" customHeight="1">
      <c r="C546" s="94"/>
      <c r="D546" s="95"/>
      <c r="E546" s="262"/>
      <c r="F546" s="96"/>
      <c r="G546" s="96"/>
      <c r="J546" s="97"/>
      <c r="K546" s="98"/>
      <c r="L546" s="99"/>
      <c r="M546" s="100"/>
      <c r="N546" s="92"/>
      <c r="O546" s="93"/>
      <c r="P546" s="93"/>
    </row>
    <row r="547" spans="3:16" ht="14.1" customHeight="1">
      <c r="C547" s="94"/>
      <c r="D547" s="95"/>
      <c r="E547" s="262"/>
      <c r="F547" s="96"/>
      <c r="G547" s="96"/>
      <c r="J547" s="97"/>
      <c r="K547" s="98"/>
      <c r="L547" s="99"/>
      <c r="M547" s="100"/>
      <c r="N547" s="92"/>
      <c r="O547" s="93"/>
      <c r="P547" s="93"/>
    </row>
    <row r="548" spans="3:16" ht="14.1" customHeight="1">
      <c r="C548" s="94"/>
      <c r="D548" s="95"/>
      <c r="E548" s="262"/>
      <c r="F548" s="96"/>
      <c r="G548" s="96"/>
      <c r="J548" s="97"/>
      <c r="K548" s="98"/>
      <c r="L548" s="99"/>
      <c r="M548" s="100"/>
      <c r="N548" s="92"/>
      <c r="O548" s="93"/>
      <c r="P548" s="93"/>
    </row>
    <row r="549" spans="3:16" ht="14.1" customHeight="1">
      <c r="C549" s="94"/>
      <c r="D549" s="95"/>
      <c r="E549" s="262"/>
      <c r="F549" s="96"/>
      <c r="G549" s="96"/>
      <c r="J549" s="97"/>
      <c r="K549" s="98"/>
      <c r="L549" s="99"/>
      <c r="M549" s="100"/>
      <c r="N549" s="92"/>
      <c r="O549" s="93"/>
      <c r="P549" s="93"/>
    </row>
    <row r="550" spans="3:16" ht="14.1" customHeight="1">
      <c r="C550" s="94"/>
      <c r="D550" s="95"/>
      <c r="E550" s="262"/>
      <c r="F550" s="96"/>
      <c r="G550" s="96"/>
      <c r="J550" s="97"/>
      <c r="K550" s="98"/>
      <c r="L550" s="99"/>
      <c r="M550" s="100"/>
      <c r="N550" s="92"/>
      <c r="O550" s="93"/>
      <c r="P550" s="93"/>
    </row>
    <row r="551" spans="3:16" ht="14.1" customHeight="1">
      <c r="C551" s="94"/>
      <c r="D551" s="95"/>
      <c r="E551" s="262"/>
      <c r="F551" s="96"/>
      <c r="G551" s="96"/>
      <c r="J551" s="97"/>
      <c r="K551" s="98"/>
      <c r="L551" s="99"/>
      <c r="M551" s="100"/>
      <c r="N551" s="92"/>
      <c r="O551" s="93"/>
      <c r="P551" s="93"/>
    </row>
    <row r="552" spans="3:16" ht="14.1" customHeight="1">
      <c r="C552" s="94"/>
      <c r="D552" s="95"/>
      <c r="E552" s="262"/>
      <c r="F552" s="96"/>
      <c r="G552" s="96"/>
      <c r="J552" s="97"/>
      <c r="K552" s="98"/>
      <c r="L552" s="99"/>
      <c r="M552" s="100"/>
      <c r="N552" s="92"/>
      <c r="O552" s="93"/>
      <c r="P552" s="93"/>
    </row>
    <row r="553" spans="3:16" ht="14.1" customHeight="1">
      <c r="C553" s="94"/>
      <c r="D553" s="95"/>
      <c r="E553" s="262"/>
      <c r="F553" s="96"/>
      <c r="G553" s="96"/>
      <c r="J553" s="97"/>
      <c r="K553" s="98"/>
      <c r="L553" s="99"/>
      <c r="M553" s="100"/>
      <c r="N553" s="92"/>
      <c r="O553" s="93"/>
      <c r="P553" s="93"/>
    </row>
    <row r="554" spans="3:16" ht="14.1" customHeight="1">
      <c r="C554" s="94"/>
      <c r="D554" s="95"/>
      <c r="E554" s="262"/>
      <c r="F554" s="96"/>
      <c r="G554" s="96"/>
      <c r="J554" s="97"/>
      <c r="K554" s="98"/>
      <c r="L554" s="99"/>
      <c r="M554" s="100"/>
      <c r="N554" s="92"/>
      <c r="O554" s="93"/>
      <c r="P554" s="93"/>
    </row>
    <row r="555" spans="3:16" ht="14.1" customHeight="1">
      <c r="C555" s="94"/>
      <c r="D555" s="95"/>
      <c r="E555" s="262"/>
      <c r="F555" s="96"/>
      <c r="G555" s="96"/>
      <c r="J555" s="97"/>
      <c r="K555" s="98"/>
      <c r="L555" s="99"/>
      <c r="M555" s="100"/>
      <c r="N555" s="92"/>
      <c r="O555" s="93"/>
      <c r="P555" s="93"/>
    </row>
    <row r="556" spans="3:16" ht="14.1" customHeight="1">
      <c r="C556" s="94"/>
      <c r="D556" s="95"/>
      <c r="E556" s="262"/>
      <c r="F556" s="96"/>
      <c r="G556" s="96"/>
      <c r="J556" s="97"/>
      <c r="K556" s="98"/>
      <c r="L556" s="99"/>
      <c r="M556" s="100"/>
      <c r="N556" s="92"/>
      <c r="O556" s="93"/>
      <c r="P556" s="93"/>
    </row>
    <row r="557" spans="3:16" ht="14.1" customHeight="1">
      <c r="C557" s="94"/>
      <c r="D557" s="95"/>
      <c r="E557" s="262"/>
      <c r="F557" s="96"/>
      <c r="G557" s="96"/>
      <c r="J557" s="97"/>
      <c r="K557" s="98"/>
      <c r="L557" s="99"/>
      <c r="M557" s="100"/>
      <c r="N557" s="92"/>
      <c r="O557" s="93"/>
      <c r="P557" s="93"/>
    </row>
    <row r="558" spans="3:16" ht="14.1" customHeight="1">
      <c r="C558" s="94"/>
      <c r="D558" s="95"/>
      <c r="E558" s="262"/>
      <c r="F558" s="96"/>
      <c r="G558" s="96"/>
      <c r="J558" s="97"/>
      <c r="K558" s="98"/>
      <c r="L558" s="99"/>
      <c r="M558" s="100"/>
      <c r="N558" s="92"/>
      <c r="O558" s="93"/>
      <c r="P558" s="93"/>
    </row>
    <row r="559" spans="3:16" ht="14.1" customHeight="1">
      <c r="C559" s="94"/>
      <c r="D559" s="95"/>
      <c r="E559" s="262"/>
      <c r="F559" s="96"/>
      <c r="G559" s="96"/>
      <c r="J559" s="97"/>
      <c r="K559" s="98"/>
      <c r="L559" s="99"/>
      <c r="M559" s="100"/>
      <c r="N559" s="92"/>
      <c r="O559" s="93"/>
      <c r="P559" s="93"/>
    </row>
    <row r="560" spans="3:16" ht="14.1" customHeight="1">
      <c r="C560" s="94"/>
      <c r="D560" s="95"/>
      <c r="E560" s="262"/>
      <c r="F560" s="96"/>
      <c r="G560" s="96"/>
      <c r="J560" s="97"/>
      <c r="K560" s="98"/>
      <c r="L560" s="99"/>
      <c r="M560" s="100"/>
      <c r="N560" s="92"/>
      <c r="O560" s="93"/>
      <c r="P560" s="93"/>
    </row>
    <row r="561" spans="3:16" ht="14.1" customHeight="1">
      <c r="C561" s="94"/>
      <c r="D561" s="95"/>
      <c r="E561" s="262"/>
      <c r="F561" s="96"/>
      <c r="G561" s="96"/>
      <c r="J561" s="97"/>
      <c r="K561" s="98"/>
      <c r="L561" s="99"/>
      <c r="M561" s="100"/>
      <c r="N561" s="92"/>
      <c r="O561" s="93"/>
      <c r="P561" s="93"/>
    </row>
    <row r="562" spans="3:16" ht="14.1" customHeight="1">
      <c r="C562" s="94"/>
      <c r="D562" s="95"/>
      <c r="E562" s="262"/>
      <c r="F562" s="96"/>
      <c r="G562" s="96"/>
      <c r="J562" s="97"/>
      <c r="K562" s="98"/>
      <c r="L562" s="99"/>
      <c r="M562" s="100"/>
      <c r="N562" s="92"/>
      <c r="O562" s="93"/>
      <c r="P562" s="93"/>
    </row>
    <row r="563" spans="3:16" ht="14.1" customHeight="1">
      <c r="C563" s="94"/>
      <c r="D563" s="95"/>
      <c r="E563" s="262"/>
      <c r="F563" s="96"/>
      <c r="G563" s="96"/>
      <c r="J563" s="97"/>
      <c r="K563" s="98"/>
      <c r="L563" s="99"/>
      <c r="M563" s="100"/>
      <c r="N563" s="92"/>
      <c r="O563" s="93"/>
      <c r="P563" s="93"/>
    </row>
    <row r="564" spans="3:16" ht="14.1" customHeight="1">
      <c r="C564" s="94"/>
      <c r="D564" s="95"/>
      <c r="E564" s="262"/>
      <c r="F564" s="96"/>
      <c r="G564" s="96"/>
      <c r="J564" s="97"/>
      <c r="K564" s="98"/>
      <c r="L564" s="99"/>
      <c r="M564" s="100"/>
      <c r="N564" s="92"/>
      <c r="O564" s="93"/>
      <c r="P564" s="93"/>
    </row>
    <row r="565" spans="3:16" ht="14.1" customHeight="1">
      <c r="C565" s="94"/>
      <c r="D565" s="95"/>
      <c r="E565" s="262"/>
      <c r="F565" s="96"/>
      <c r="G565" s="96"/>
      <c r="J565" s="97"/>
      <c r="K565" s="98"/>
      <c r="L565" s="99"/>
      <c r="M565" s="100"/>
      <c r="N565" s="92"/>
      <c r="O565" s="93"/>
      <c r="P565" s="93"/>
    </row>
    <row r="566" spans="3:16" ht="14.1" customHeight="1">
      <c r="C566" s="94"/>
      <c r="D566" s="95"/>
      <c r="E566" s="262"/>
      <c r="F566" s="96"/>
      <c r="G566" s="96"/>
      <c r="J566" s="97"/>
      <c r="K566" s="98"/>
      <c r="L566" s="99"/>
      <c r="M566" s="100"/>
      <c r="N566" s="92"/>
      <c r="O566" s="93"/>
      <c r="P566" s="93"/>
    </row>
    <row r="567" spans="3:16" ht="14.1" customHeight="1">
      <c r="C567" s="94"/>
      <c r="D567" s="95"/>
      <c r="E567" s="262"/>
      <c r="F567" s="96"/>
      <c r="G567" s="96"/>
      <c r="J567" s="97"/>
      <c r="K567" s="98"/>
      <c r="L567" s="99"/>
      <c r="M567" s="100"/>
      <c r="N567" s="92"/>
      <c r="O567" s="93"/>
      <c r="P567" s="93"/>
    </row>
    <row r="568" spans="3:16" ht="14.1" customHeight="1">
      <c r="C568" s="94"/>
      <c r="D568" s="95"/>
      <c r="E568" s="262"/>
      <c r="F568" s="96"/>
      <c r="G568" s="96"/>
      <c r="J568" s="97"/>
      <c r="K568" s="98"/>
      <c r="L568" s="99"/>
      <c r="M568" s="100"/>
      <c r="N568" s="92"/>
      <c r="O568" s="93"/>
      <c r="P568" s="93"/>
    </row>
    <row r="569" spans="3:16" ht="14.1" customHeight="1">
      <c r="C569" s="94"/>
      <c r="D569" s="95"/>
      <c r="E569" s="262"/>
      <c r="F569" s="96"/>
      <c r="G569" s="96"/>
      <c r="J569" s="97"/>
      <c r="K569" s="98"/>
      <c r="L569" s="99"/>
      <c r="M569" s="100"/>
      <c r="N569" s="92"/>
      <c r="O569" s="93"/>
      <c r="P569" s="93"/>
    </row>
    <row r="570" spans="3:16" ht="14.1" customHeight="1">
      <c r="C570" s="94"/>
      <c r="D570" s="95"/>
      <c r="E570" s="262"/>
      <c r="F570" s="96"/>
      <c r="G570" s="96"/>
      <c r="J570" s="97"/>
      <c r="K570" s="98"/>
      <c r="L570" s="99"/>
      <c r="M570" s="100"/>
      <c r="N570" s="92"/>
      <c r="O570" s="93"/>
      <c r="P570" s="93"/>
    </row>
    <row r="571" spans="3:16" ht="14.1" customHeight="1">
      <c r="C571" s="94"/>
      <c r="D571" s="95"/>
      <c r="E571" s="262"/>
      <c r="F571" s="96"/>
      <c r="G571" s="96"/>
      <c r="J571" s="97"/>
      <c r="K571" s="98"/>
      <c r="L571" s="99"/>
      <c r="M571" s="100"/>
      <c r="N571" s="92"/>
      <c r="O571" s="93"/>
      <c r="P571" s="93"/>
    </row>
    <row r="572" spans="3:16" ht="14.1" customHeight="1">
      <c r="C572" s="94"/>
      <c r="D572" s="95"/>
      <c r="E572" s="262"/>
      <c r="F572" s="96"/>
      <c r="G572" s="96"/>
      <c r="J572" s="97"/>
      <c r="K572" s="98"/>
      <c r="L572" s="99"/>
      <c r="M572" s="100"/>
      <c r="N572" s="92"/>
      <c r="O572" s="93"/>
      <c r="P572" s="93"/>
    </row>
    <row r="573" spans="3:16" ht="14.1" customHeight="1">
      <c r="C573" s="94"/>
      <c r="D573" s="95"/>
      <c r="E573" s="262"/>
      <c r="F573" s="96"/>
      <c r="G573" s="96"/>
      <c r="J573" s="97"/>
      <c r="K573" s="98"/>
      <c r="L573" s="99"/>
      <c r="M573" s="100"/>
      <c r="N573" s="92"/>
      <c r="O573" s="93"/>
      <c r="P573" s="93"/>
    </row>
    <row r="574" spans="3:16" ht="14.1" customHeight="1">
      <c r="C574" s="94"/>
      <c r="D574" s="95"/>
      <c r="E574" s="262"/>
      <c r="F574" s="96"/>
      <c r="G574" s="96"/>
      <c r="J574" s="97"/>
      <c r="K574" s="98"/>
      <c r="L574" s="99"/>
      <c r="M574" s="100"/>
      <c r="N574" s="92"/>
      <c r="O574" s="93"/>
      <c r="P574" s="93"/>
    </row>
    <row r="575" spans="3:16" ht="14.1" customHeight="1">
      <c r="C575" s="94"/>
      <c r="D575" s="95"/>
      <c r="E575" s="262"/>
      <c r="F575" s="96"/>
      <c r="G575" s="96"/>
      <c r="J575" s="97"/>
      <c r="K575" s="98"/>
      <c r="L575" s="99"/>
      <c r="M575" s="100"/>
      <c r="N575" s="92"/>
      <c r="O575" s="93"/>
      <c r="P575" s="93"/>
    </row>
    <row r="576" spans="3:16" ht="14.1" customHeight="1">
      <c r="C576" s="94"/>
      <c r="D576" s="95"/>
      <c r="E576" s="262"/>
      <c r="F576" s="96"/>
      <c r="G576" s="96"/>
      <c r="J576" s="97"/>
      <c r="K576" s="98"/>
      <c r="L576" s="99"/>
      <c r="M576" s="100"/>
      <c r="N576" s="92"/>
      <c r="O576" s="93"/>
      <c r="P576" s="93"/>
    </row>
    <row r="577" spans="3:16" ht="14.1" customHeight="1">
      <c r="C577" s="94"/>
      <c r="D577" s="95"/>
      <c r="E577" s="262"/>
      <c r="F577" s="96"/>
      <c r="G577" s="96"/>
      <c r="J577" s="97"/>
      <c r="K577" s="98"/>
      <c r="L577" s="99"/>
      <c r="M577" s="100"/>
      <c r="N577" s="92"/>
      <c r="O577" s="93"/>
      <c r="P577" s="93"/>
    </row>
    <row r="578" spans="3:16" ht="14.1" customHeight="1">
      <c r="C578" s="94"/>
      <c r="D578" s="95"/>
      <c r="E578" s="262"/>
      <c r="F578" s="96"/>
      <c r="G578" s="96"/>
      <c r="J578" s="97"/>
      <c r="K578" s="98"/>
      <c r="L578" s="99"/>
      <c r="M578" s="100"/>
      <c r="N578" s="92"/>
      <c r="O578" s="93"/>
      <c r="P578" s="93"/>
    </row>
    <row r="579" spans="3:16" ht="14.1" customHeight="1">
      <c r="C579" s="94"/>
      <c r="D579" s="95"/>
      <c r="E579" s="262"/>
      <c r="F579" s="96"/>
      <c r="G579" s="96"/>
      <c r="J579" s="97"/>
      <c r="K579" s="98"/>
      <c r="L579" s="99"/>
      <c r="M579" s="100"/>
      <c r="N579" s="92"/>
      <c r="O579" s="93"/>
      <c r="P579" s="93"/>
    </row>
    <row r="580" spans="3:16" ht="14.1" customHeight="1">
      <c r="C580" s="94"/>
      <c r="D580" s="95"/>
      <c r="E580" s="262"/>
      <c r="F580" s="96"/>
      <c r="G580" s="96"/>
      <c r="J580" s="97"/>
      <c r="K580" s="98"/>
      <c r="L580" s="99"/>
      <c r="M580" s="100"/>
      <c r="N580" s="92"/>
      <c r="O580" s="93"/>
      <c r="P580" s="93"/>
    </row>
    <row r="581" spans="3:16" ht="14.1" customHeight="1">
      <c r="C581" s="94"/>
      <c r="D581" s="95"/>
      <c r="E581" s="262"/>
      <c r="F581" s="96"/>
      <c r="G581" s="96"/>
      <c r="J581" s="97"/>
      <c r="K581" s="98"/>
      <c r="L581" s="99"/>
      <c r="M581" s="100"/>
      <c r="N581" s="92"/>
      <c r="O581" s="93"/>
      <c r="P581" s="93"/>
    </row>
    <row r="582" spans="3:16" ht="14.1" customHeight="1">
      <c r="C582" s="94"/>
      <c r="D582" s="95"/>
      <c r="E582" s="262"/>
      <c r="F582" s="96"/>
      <c r="G582" s="96"/>
      <c r="J582" s="97"/>
      <c r="K582" s="98"/>
      <c r="L582" s="99"/>
      <c r="M582" s="100"/>
      <c r="N582" s="92"/>
      <c r="O582" s="93"/>
      <c r="P582" s="93"/>
    </row>
    <row r="583" spans="3:16" ht="14.1" customHeight="1">
      <c r="C583" s="94"/>
      <c r="D583" s="95"/>
      <c r="E583" s="262"/>
      <c r="F583" s="96"/>
      <c r="G583" s="96"/>
      <c r="J583" s="97"/>
      <c r="K583" s="98"/>
      <c r="L583" s="99"/>
      <c r="M583" s="100"/>
      <c r="N583" s="92"/>
      <c r="O583" s="93"/>
      <c r="P583" s="93"/>
    </row>
    <row r="584" spans="3:16" ht="14.1" customHeight="1">
      <c r="C584" s="94"/>
      <c r="D584" s="95"/>
      <c r="E584" s="262"/>
      <c r="F584" s="96"/>
      <c r="G584" s="96"/>
      <c r="J584" s="97"/>
      <c r="K584" s="98"/>
      <c r="L584" s="99"/>
      <c r="M584" s="100"/>
      <c r="N584" s="92"/>
      <c r="O584" s="93"/>
      <c r="P584" s="93"/>
    </row>
    <row r="585" spans="3:16" ht="14.1" customHeight="1">
      <c r="C585" s="94"/>
      <c r="D585" s="95"/>
      <c r="E585" s="262"/>
      <c r="F585" s="96"/>
      <c r="G585" s="96"/>
      <c r="J585" s="97"/>
      <c r="K585" s="98"/>
      <c r="L585" s="99"/>
      <c r="M585" s="100"/>
      <c r="N585" s="92"/>
      <c r="O585" s="93"/>
      <c r="P585" s="93"/>
    </row>
    <row r="586" spans="3:16" ht="14.1" customHeight="1">
      <c r="C586" s="94"/>
      <c r="D586" s="95"/>
      <c r="E586" s="262"/>
      <c r="F586" s="96"/>
      <c r="G586" s="96"/>
      <c r="J586" s="97"/>
      <c r="K586" s="98"/>
      <c r="L586" s="99"/>
      <c r="M586" s="100"/>
      <c r="N586" s="92"/>
      <c r="O586" s="93"/>
      <c r="P586" s="93"/>
    </row>
    <row r="587" spans="3:16" ht="14.1" customHeight="1">
      <c r="C587" s="94"/>
      <c r="D587" s="95"/>
      <c r="E587" s="262"/>
      <c r="F587" s="96"/>
      <c r="G587" s="96"/>
      <c r="J587" s="97"/>
      <c r="K587" s="98"/>
      <c r="L587" s="99"/>
      <c r="M587" s="100"/>
      <c r="N587" s="92"/>
      <c r="O587" s="93"/>
      <c r="P587" s="93"/>
    </row>
    <row r="588" spans="3:16" ht="14.1" customHeight="1">
      <c r="C588" s="94"/>
      <c r="D588" s="95"/>
      <c r="E588" s="262"/>
      <c r="F588" s="96"/>
      <c r="G588" s="96"/>
      <c r="J588" s="97"/>
      <c r="K588" s="98"/>
      <c r="L588" s="99"/>
      <c r="M588" s="100"/>
      <c r="N588" s="92"/>
      <c r="O588" s="93"/>
      <c r="P588" s="93"/>
    </row>
    <row r="589" spans="3:16" ht="14.1" customHeight="1">
      <c r="C589" s="94"/>
      <c r="D589" s="95"/>
      <c r="E589" s="262"/>
      <c r="F589" s="96"/>
      <c r="G589" s="96"/>
      <c r="J589" s="97"/>
      <c r="K589" s="98"/>
      <c r="L589" s="99"/>
      <c r="M589" s="100"/>
      <c r="N589" s="92"/>
      <c r="O589" s="93"/>
      <c r="P589" s="93"/>
    </row>
    <row r="590" spans="3:16" ht="14.1" customHeight="1">
      <c r="C590" s="94"/>
      <c r="D590" s="95"/>
      <c r="E590" s="262"/>
      <c r="F590" s="96"/>
      <c r="G590" s="96"/>
      <c r="J590" s="97"/>
      <c r="K590" s="98"/>
      <c r="L590" s="99"/>
      <c r="M590" s="100"/>
      <c r="N590" s="92"/>
      <c r="O590" s="93"/>
      <c r="P590" s="93"/>
    </row>
    <row r="591" spans="3:16" ht="14.1" customHeight="1">
      <c r="C591" s="94"/>
      <c r="D591" s="95"/>
      <c r="E591" s="262"/>
      <c r="F591" s="96"/>
      <c r="G591" s="96"/>
      <c r="J591" s="97"/>
      <c r="K591" s="98"/>
      <c r="L591" s="99"/>
      <c r="M591" s="100"/>
      <c r="N591" s="92"/>
      <c r="O591" s="93"/>
      <c r="P591" s="93"/>
    </row>
    <row r="592" spans="3:16" ht="14.1" customHeight="1">
      <c r="C592" s="94"/>
      <c r="D592" s="95"/>
      <c r="E592" s="262"/>
      <c r="F592" s="96"/>
      <c r="G592" s="96"/>
      <c r="J592" s="97"/>
      <c r="K592" s="98"/>
      <c r="L592" s="99"/>
      <c r="M592" s="100"/>
      <c r="N592" s="92"/>
      <c r="O592" s="93"/>
      <c r="P592" s="93"/>
    </row>
    <row r="593" spans="3:16" ht="14.1" customHeight="1">
      <c r="C593" s="94"/>
      <c r="D593" s="95"/>
      <c r="E593" s="262"/>
      <c r="F593" s="96"/>
      <c r="G593" s="96"/>
      <c r="J593" s="97"/>
      <c r="K593" s="98"/>
      <c r="L593" s="99"/>
      <c r="M593" s="100"/>
      <c r="N593" s="92"/>
      <c r="O593" s="93"/>
      <c r="P593" s="93"/>
    </row>
    <row r="594" spans="3:16" ht="14.1" customHeight="1">
      <c r="C594" s="94"/>
      <c r="D594" s="95"/>
      <c r="E594" s="262"/>
      <c r="F594" s="96"/>
      <c r="G594" s="96"/>
      <c r="J594" s="97"/>
      <c r="K594" s="98"/>
      <c r="L594" s="99"/>
      <c r="M594" s="100"/>
      <c r="N594" s="92"/>
      <c r="O594" s="93"/>
      <c r="P594" s="93"/>
    </row>
    <row r="595" spans="3:16" ht="14.1" customHeight="1">
      <c r="C595" s="94"/>
      <c r="D595" s="95"/>
      <c r="E595" s="262"/>
      <c r="F595" s="96"/>
      <c r="G595" s="96"/>
      <c r="J595" s="97"/>
      <c r="K595" s="98"/>
      <c r="L595" s="99"/>
      <c r="M595" s="100"/>
      <c r="N595" s="92"/>
      <c r="O595" s="93"/>
      <c r="P595" s="93"/>
    </row>
    <row r="596" spans="3:16" ht="14.1" customHeight="1">
      <c r="C596" s="94"/>
      <c r="D596" s="95"/>
      <c r="E596" s="262"/>
      <c r="F596" s="96"/>
      <c r="G596" s="96"/>
      <c r="J596" s="97"/>
      <c r="K596" s="98"/>
      <c r="L596" s="99"/>
      <c r="M596" s="100"/>
      <c r="N596" s="92"/>
      <c r="O596" s="93"/>
      <c r="P596" s="93"/>
    </row>
    <row r="597" spans="3:16" ht="14.1" customHeight="1">
      <c r="C597" s="94"/>
      <c r="D597" s="95"/>
      <c r="E597" s="262"/>
      <c r="F597" s="96"/>
      <c r="G597" s="96"/>
      <c r="J597" s="97"/>
      <c r="K597" s="98"/>
      <c r="L597" s="99"/>
      <c r="M597" s="100"/>
      <c r="N597" s="92"/>
      <c r="O597" s="93"/>
      <c r="P597" s="93"/>
    </row>
    <row r="598" spans="3:16" ht="14.1" customHeight="1">
      <c r="C598" s="94"/>
      <c r="D598" s="95"/>
      <c r="E598" s="262"/>
      <c r="F598" s="96"/>
      <c r="G598" s="96"/>
      <c r="J598" s="97"/>
      <c r="K598" s="98"/>
      <c r="L598" s="99"/>
      <c r="M598" s="100"/>
      <c r="N598" s="92"/>
      <c r="O598" s="93"/>
      <c r="P598" s="93"/>
    </row>
    <row r="599" spans="3:16" ht="14.1" customHeight="1">
      <c r="C599" s="94"/>
      <c r="D599" s="95"/>
      <c r="E599" s="262"/>
      <c r="F599" s="96"/>
      <c r="G599" s="96"/>
      <c r="J599" s="97"/>
      <c r="K599" s="98"/>
      <c r="L599" s="99"/>
      <c r="M599" s="100"/>
      <c r="N599" s="92"/>
      <c r="O599" s="93"/>
      <c r="P599" s="93"/>
    </row>
    <row r="600" spans="3:16" ht="14.1" customHeight="1">
      <c r="C600" s="94"/>
      <c r="D600" s="95"/>
      <c r="E600" s="262"/>
      <c r="F600" s="96"/>
      <c r="G600" s="96"/>
      <c r="J600" s="97"/>
      <c r="K600" s="98"/>
      <c r="L600" s="99"/>
      <c r="M600" s="100"/>
      <c r="N600" s="92"/>
      <c r="O600" s="93"/>
      <c r="P600" s="93"/>
    </row>
    <row r="601" spans="3:16" ht="14.1" customHeight="1">
      <c r="C601" s="94"/>
      <c r="D601" s="95"/>
      <c r="E601" s="262"/>
      <c r="F601" s="96"/>
      <c r="G601" s="96"/>
      <c r="J601" s="97"/>
      <c r="K601" s="98"/>
      <c r="L601" s="99"/>
      <c r="M601" s="100"/>
      <c r="N601" s="92"/>
      <c r="O601" s="93"/>
      <c r="P601" s="93"/>
    </row>
    <row r="602" spans="3:16" ht="14.1" customHeight="1">
      <c r="C602" s="94"/>
      <c r="D602" s="95"/>
      <c r="E602" s="262"/>
      <c r="F602" s="96"/>
      <c r="G602" s="96"/>
      <c r="J602" s="97"/>
      <c r="K602" s="98"/>
      <c r="L602" s="99"/>
      <c r="M602" s="100"/>
      <c r="N602" s="92"/>
      <c r="O602" s="93"/>
      <c r="P602" s="93"/>
    </row>
    <row r="603" spans="3:16" ht="14.1" customHeight="1">
      <c r="C603" s="94"/>
      <c r="D603" s="95"/>
      <c r="E603" s="262"/>
      <c r="F603" s="96"/>
      <c r="G603" s="96"/>
      <c r="J603" s="97"/>
      <c r="K603" s="98"/>
      <c r="L603" s="99"/>
      <c r="M603" s="100"/>
      <c r="N603" s="92"/>
      <c r="O603" s="93"/>
      <c r="P603" s="93"/>
    </row>
    <row r="604" spans="3:16" ht="14.1" customHeight="1">
      <c r="C604" s="94"/>
      <c r="D604" s="95"/>
      <c r="E604" s="262"/>
      <c r="F604" s="96"/>
      <c r="G604" s="96"/>
      <c r="J604" s="97"/>
      <c r="K604" s="98"/>
      <c r="L604" s="99"/>
      <c r="M604" s="100"/>
      <c r="N604" s="92"/>
      <c r="O604" s="93"/>
      <c r="P604" s="93"/>
    </row>
    <row r="605" spans="3:16" ht="14.1" customHeight="1">
      <c r="C605" s="94"/>
      <c r="D605" s="95"/>
      <c r="E605" s="262"/>
      <c r="F605" s="96"/>
      <c r="G605" s="96"/>
      <c r="J605" s="97"/>
      <c r="K605" s="98"/>
      <c r="L605" s="99"/>
      <c r="M605" s="100"/>
      <c r="N605" s="92"/>
      <c r="O605" s="93"/>
      <c r="P605" s="93"/>
    </row>
    <row r="606" spans="3:16" ht="14.1" customHeight="1">
      <c r="C606" s="94"/>
      <c r="D606" s="95"/>
      <c r="E606" s="262"/>
      <c r="F606" s="96"/>
      <c r="G606" s="96"/>
      <c r="J606" s="97"/>
      <c r="K606" s="98"/>
      <c r="L606" s="99"/>
      <c r="M606" s="100"/>
      <c r="N606" s="92"/>
      <c r="O606" s="93"/>
      <c r="P606" s="93"/>
    </row>
    <row r="607" spans="3:16" ht="14.1" customHeight="1">
      <c r="C607" s="94"/>
      <c r="D607" s="95"/>
      <c r="E607" s="262"/>
      <c r="F607" s="96"/>
      <c r="G607" s="96"/>
      <c r="J607" s="97"/>
      <c r="K607" s="98"/>
      <c r="L607" s="99"/>
      <c r="M607" s="100"/>
      <c r="N607" s="92"/>
      <c r="O607" s="93"/>
      <c r="P607" s="93"/>
    </row>
    <row r="608" spans="3:16" ht="14.1" customHeight="1">
      <c r="C608" s="94"/>
      <c r="D608" s="95"/>
      <c r="E608" s="262"/>
      <c r="F608" s="96"/>
      <c r="G608" s="96"/>
      <c r="J608" s="97"/>
      <c r="K608" s="98"/>
      <c r="L608" s="99"/>
      <c r="M608" s="100"/>
      <c r="N608" s="92"/>
      <c r="O608" s="93"/>
      <c r="P608" s="93"/>
    </row>
    <row r="609" spans="3:16" ht="14.1" customHeight="1">
      <c r="C609" s="94"/>
      <c r="D609" s="95"/>
      <c r="E609" s="262"/>
      <c r="F609" s="96"/>
      <c r="G609" s="96"/>
      <c r="J609" s="97"/>
      <c r="K609" s="98"/>
      <c r="L609" s="99"/>
      <c r="M609" s="100"/>
      <c r="N609" s="92"/>
      <c r="O609" s="93"/>
      <c r="P609" s="93"/>
    </row>
    <row r="610" spans="3:16" ht="14.1" customHeight="1">
      <c r="C610" s="94"/>
      <c r="D610" s="95"/>
      <c r="E610" s="262"/>
      <c r="F610" s="96"/>
      <c r="G610" s="96"/>
      <c r="J610" s="97"/>
      <c r="K610" s="98"/>
      <c r="L610" s="99"/>
      <c r="M610" s="100"/>
      <c r="N610" s="92"/>
      <c r="O610" s="93"/>
      <c r="P610" s="93"/>
    </row>
    <row r="611" spans="3:16" ht="14.1" customHeight="1">
      <c r="C611" s="94"/>
      <c r="D611" s="95"/>
      <c r="E611" s="262"/>
      <c r="F611" s="96"/>
      <c r="G611" s="96"/>
      <c r="J611" s="97"/>
      <c r="K611" s="98"/>
      <c r="L611" s="99"/>
      <c r="M611" s="100"/>
      <c r="N611" s="92"/>
      <c r="O611" s="93"/>
      <c r="P611" s="93"/>
    </row>
    <row r="612" spans="3:16" ht="14.1" customHeight="1">
      <c r="C612" s="94"/>
      <c r="D612" s="95"/>
      <c r="E612" s="262"/>
      <c r="F612" s="96"/>
      <c r="G612" s="96"/>
      <c r="J612" s="97"/>
      <c r="K612" s="98"/>
      <c r="L612" s="99"/>
      <c r="M612" s="100"/>
      <c r="N612" s="92"/>
      <c r="O612" s="93"/>
      <c r="P612" s="93"/>
    </row>
    <row r="613" spans="3:16" ht="14.1" customHeight="1">
      <c r="C613" s="94"/>
      <c r="D613" s="95"/>
      <c r="E613" s="262"/>
      <c r="F613" s="96"/>
      <c r="G613" s="96"/>
      <c r="J613" s="97"/>
      <c r="K613" s="98"/>
      <c r="L613" s="99"/>
      <c r="M613" s="100"/>
      <c r="N613" s="92"/>
      <c r="O613" s="93"/>
      <c r="P613" s="93"/>
    </row>
    <row r="614" spans="3:16" ht="14.1" customHeight="1">
      <c r="C614" s="94"/>
      <c r="D614" s="95"/>
      <c r="E614" s="262"/>
      <c r="F614" s="96"/>
      <c r="G614" s="96"/>
      <c r="J614" s="97"/>
      <c r="K614" s="98"/>
      <c r="L614" s="99"/>
      <c r="M614" s="100"/>
      <c r="N614" s="92"/>
      <c r="O614" s="93"/>
      <c r="P614" s="93"/>
    </row>
    <row r="615" spans="3:16" ht="14.1" customHeight="1">
      <c r="C615" s="94"/>
      <c r="D615" s="95"/>
      <c r="E615" s="262"/>
      <c r="F615" s="96"/>
      <c r="G615" s="96"/>
      <c r="J615" s="97"/>
      <c r="K615" s="98"/>
      <c r="L615" s="99"/>
      <c r="M615" s="100"/>
      <c r="N615" s="92"/>
      <c r="O615" s="93"/>
      <c r="P615" s="93"/>
    </row>
    <row r="616" spans="3:16" ht="14.1" customHeight="1">
      <c r="C616" s="94"/>
      <c r="D616" s="95"/>
      <c r="E616" s="262"/>
      <c r="F616" s="96"/>
      <c r="G616" s="96"/>
      <c r="J616" s="97"/>
      <c r="K616" s="98"/>
      <c r="L616" s="99"/>
      <c r="M616" s="100"/>
      <c r="N616" s="92"/>
      <c r="O616" s="93"/>
      <c r="P616" s="93"/>
    </row>
    <row r="617" spans="3:16" ht="14.1" customHeight="1">
      <c r="C617" s="94"/>
      <c r="D617" s="95"/>
      <c r="E617" s="262"/>
      <c r="F617" s="96"/>
      <c r="G617" s="96"/>
      <c r="J617" s="97"/>
      <c r="K617" s="98"/>
      <c r="L617" s="99"/>
      <c r="M617" s="100"/>
      <c r="N617" s="92"/>
      <c r="O617" s="93"/>
      <c r="P617" s="93"/>
    </row>
    <row r="618" spans="3:16" ht="14.1" customHeight="1">
      <c r="C618" s="94"/>
      <c r="D618" s="95"/>
      <c r="E618" s="262"/>
      <c r="F618" s="96"/>
      <c r="G618" s="96"/>
      <c r="J618" s="97"/>
      <c r="K618" s="98"/>
      <c r="L618" s="99"/>
      <c r="M618" s="100"/>
      <c r="N618" s="92"/>
      <c r="O618" s="93"/>
      <c r="P618" s="93"/>
    </row>
    <row r="619" spans="3:16" ht="14.1" customHeight="1">
      <c r="C619" s="94"/>
      <c r="D619" s="95"/>
      <c r="E619" s="262"/>
      <c r="F619" s="96"/>
      <c r="G619" s="96"/>
      <c r="J619" s="97"/>
      <c r="K619" s="98"/>
      <c r="L619" s="99"/>
      <c r="M619" s="100"/>
      <c r="N619" s="92"/>
      <c r="O619" s="93"/>
      <c r="P619" s="93"/>
    </row>
    <row r="620" spans="3:16" ht="14.1" customHeight="1">
      <c r="C620" s="94"/>
      <c r="D620" s="95"/>
      <c r="E620" s="262"/>
      <c r="F620" s="96"/>
      <c r="G620" s="96"/>
      <c r="J620" s="97"/>
      <c r="K620" s="98"/>
      <c r="L620" s="99"/>
      <c r="M620" s="100"/>
      <c r="N620" s="92"/>
      <c r="O620" s="93"/>
      <c r="P620" s="93"/>
    </row>
    <row r="621" spans="3:16" ht="14.1" customHeight="1">
      <c r="C621" s="94"/>
      <c r="D621" s="95"/>
      <c r="E621" s="262"/>
      <c r="F621" s="96"/>
      <c r="G621" s="96"/>
      <c r="J621" s="97"/>
      <c r="K621" s="98"/>
      <c r="L621" s="99"/>
      <c r="M621" s="100"/>
      <c r="N621" s="92"/>
      <c r="O621" s="93"/>
      <c r="P621" s="93"/>
    </row>
    <row r="622" spans="3:16" ht="14.1" customHeight="1">
      <c r="C622" s="94"/>
      <c r="D622" s="95"/>
      <c r="E622" s="262"/>
      <c r="F622" s="96"/>
      <c r="G622" s="96"/>
      <c r="J622" s="97"/>
      <c r="K622" s="98"/>
      <c r="L622" s="99"/>
      <c r="M622" s="100"/>
      <c r="N622" s="92"/>
      <c r="O622" s="93"/>
      <c r="P622" s="93"/>
    </row>
    <row r="623" spans="3:16" ht="14.1" customHeight="1">
      <c r="C623" s="94"/>
      <c r="D623" s="95"/>
      <c r="E623" s="262"/>
      <c r="F623" s="96"/>
      <c r="G623" s="96"/>
      <c r="J623" s="97"/>
      <c r="K623" s="98"/>
      <c r="L623" s="99"/>
      <c r="M623" s="100"/>
      <c r="N623" s="92"/>
      <c r="O623" s="93"/>
      <c r="P623" s="93"/>
    </row>
    <row r="624" spans="3:16" ht="14.1" customHeight="1">
      <c r="C624" s="94"/>
      <c r="D624" s="95"/>
      <c r="E624" s="262"/>
      <c r="F624" s="96"/>
      <c r="G624" s="96"/>
      <c r="J624" s="97"/>
      <c r="K624" s="98"/>
      <c r="L624" s="99"/>
      <c r="M624" s="100"/>
      <c r="N624" s="92"/>
      <c r="O624" s="93"/>
      <c r="P624" s="93"/>
    </row>
    <row r="625" spans="3:16" ht="14.1" customHeight="1">
      <c r="C625" s="94"/>
      <c r="D625" s="95"/>
      <c r="E625" s="262"/>
      <c r="F625" s="96"/>
      <c r="G625" s="96"/>
      <c r="J625" s="97"/>
      <c r="K625" s="98"/>
      <c r="L625" s="99"/>
      <c r="M625" s="100"/>
      <c r="N625" s="92"/>
      <c r="O625" s="93"/>
      <c r="P625" s="93"/>
    </row>
    <row r="626" spans="3:16" ht="14.1" customHeight="1">
      <c r="C626" s="94"/>
      <c r="D626" s="95"/>
      <c r="E626" s="262"/>
      <c r="F626" s="96"/>
      <c r="G626" s="96"/>
      <c r="J626" s="97"/>
      <c r="K626" s="98"/>
      <c r="L626" s="99"/>
      <c r="M626" s="100"/>
      <c r="N626" s="92"/>
      <c r="O626" s="93"/>
      <c r="P626" s="93"/>
    </row>
    <row r="627" spans="3:16" ht="14.1" customHeight="1">
      <c r="C627" s="94"/>
      <c r="D627" s="95"/>
      <c r="E627" s="262"/>
      <c r="F627" s="96"/>
      <c r="G627" s="96"/>
      <c r="J627" s="97"/>
      <c r="K627" s="98"/>
      <c r="L627" s="99"/>
      <c r="M627" s="100"/>
      <c r="N627" s="92"/>
      <c r="O627" s="93"/>
      <c r="P627" s="93"/>
    </row>
    <row r="628" spans="3:16" ht="14.1" customHeight="1">
      <c r="C628" s="94"/>
      <c r="D628" s="95"/>
      <c r="E628" s="262"/>
      <c r="F628" s="96"/>
      <c r="G628" s="96"/>
      <c r="J628" s="97"/>
      <c r="K628" s="98"/>
      <c r="L628" s="99"/>
      <c r="M628" s="100"/>
      <c r="N628" s="92"/>
      <c r="O628" s="93"/>
      <c r="P628" s="93"/>
    </row>
    <row r="629" spans="3:16" ht="14.1" customHeight="1">
      <c r="C629" s="94"/>
      <c r="D629" s="95"/>
      <c r="E629" s="262"/>
      <c r="F629" s="96"/>
      <c r="G629" s="96"/>
      <c r="J629" s="97"/>
      <c r="K629" s="98"/>
      <c r="L629" s="99"/>
      <c r="M629" s="100"/>
      <c r="N629" s="92"/>
      <c r="O629" s="93"/>
      <c r="P629" s="93"/>
    </row>
    <row r="630" spans="3:16" ht="14.1" customHeight="1">
      <c r="C630" s="94"/>
      <c r="D630" s="95"/>
      <c r="E630" s="262"/>
      <c r="F630" s="96"/>
      <c r="G630" s="96"/>
      <c r="J630" s="97"/>
      <c r="K630" s="98"/>
      <c r="L630" s="99"/>
      <c r="M630" s="100"/>
      <c r="N630" s="92"/>
      <c r="O630" s="93"/>
      <c r="P630" s="93"/>
    </row>
    <row r="631" spans="3:16" ht="14.1" customHeight="1">
      <c r="C631" s="94"/>
      <c r="D631" s="95"/>
      <c r="E631" s="262"/>
      <c r="F631" s="96"/>
      <c r="G631" s="96"/>
      <c r="J631" s="97"/>
      <c r="K631" s="98"/>
      <c r="L631" s="99"/>
      <c r="M631" s="100"/>
      <c r="N631" s="92"/>
      <c r="O631" s="93"/>
      <c r="P631" s="93"/>
    </row>
    <row r="632" spans="3:16" ht="14.1" customHeight="1">
      <c r="C632" s="94"/>
      <c r="D632" s="95"/>
      <c r="E632" s="262"/>
      <c r="F632" s="96"/>
      <c r="G632" s="96"/>
      <c r="J632" s="97"/>
      <c r="K632" s="98"/>
      <c r="L632" s="99"/>
      <c r="M632" s="100"/>
      <c r="N632" s="92"/>
      <c r="O632" s="93"/>
      <c r="P632" s="93"/>
    </row>
    <row r="633" spans="3:16" ht="14.1" customHeight="1">
      <c r="C633" s="94"/>
      <c r="D633" s="95"/>
      <c r="E633" s="262"/>
      <c r="F633" s="96"/>
      <c r="G633" s="96"/>
      <c r="J633" s="97"/>
      <c r="K633" s="98"/>
      <c r="L633" s="99"/>
      <c r="M633" s="100"/>
      <c r="N633" s="92"/>
      <c r="O633" s="93"/>
      <c r="P633" s="93"/>
    </row>
    <row r="634" spans="3:16" ht="14.1" customHeight="1">
      <c r="C634" s="94"/>
      <c r="D634" s="95"/>
      <c r="E634" s="262"/>
      <c r="F634" s="96"/>
      <c r="G634" s="96"/>
      <c r="J634" s="97"/>
      <c r="K634" s="98"/>
      <c r="L634" s="99"/>
      <c r="M634" s="100"/>
      <c r="N634" s="92"/>
      <c r="O634" s="93"/>
      <c r="P634" s="93"/>
    </row>
    <row r="635" spans="3:16" ht="14.1" customHeight="1">
      <c r="C635" s="94"/>
      <c r="D635" s="95"/>
      <c r="E635" s="262"/>
      <c r="F635" s="96"/>
      <c r="G635" s="96"/>
      <c r="J635" s="97"/>
      <c r="K635" s="98"/>
      <c r="L635" s="99"/>
      <c r="M635" s="100"/>
      <c r="N635" s="92"/>
      <c r="O635" s="93"/>
      <c r="P635" s="93"/>
    </row>
    <row r="636" spans="3:16" ht="14.1" customHeight="1">
      <c r="C636" s="94"/>
      <c r="D636" s="95"/>
      <c r="E636" s="262"/>
      <c r="F636" s="96"/>
      <c r="G636" s="96"/>
      <c r="J636" s="97"/>
      <c r="K636" s="98"/>
      <c r="L636" s="99"/>
      <c r="M636" s="100"/>
      <c r="N636" s="92"/>
      <c r="O636" s="93"/>
      <c r="P636" s="93"/>
    </row>
    <row r="637" spans="3:16" ht="14.1" customHeight="1">
      <c r="C637" s="94"/>
      <c r="D637" s="95"/>
      <c r="E637" s="262"/>
      <c r="F637" s="96"/>
      <c r="G637" s="96"/>
      <c r="J637" s="97"/>
      <c r="K637" s="98"/>
      <c r="L637" s="99"/>
      <c r="M637" s="100"/>
      <c r="N637" s="92"/>
      <c r="O637" s="93"/>
      <c r="P637" s="93"/>
    </row>
    <row r="638" spans="3:16" ht="14.1" customHeight="1">
      <c r="C638" s="94"/>
      <c r="D638" s="95"/>
      <c r="E638" s="262"/>
      <c r="F638" s="96"/>
      <c r="G638" s="96"/>
      <c r="J638" s="97"/>
      <c r="K638" s="98"/>
      <c r="L638" s="99"/>
      <c r="M638" s="100"/>
      <c r="N638" s="92"/>
      <c r="O638" s="93"/>
      <c r="P638" s="93"/>
    </row>
    <row r="639" spans="3:16" ht="14.1" customHeight="1">
      <c r="C639" s="94"/>
      <c r="D639" s="95"/>
      <c r="E639" s="262"/>
      <c r="F639" s="96"/>
      <c r="G639" s="96"/>
      <c r="J639" s="97"/>
      <c r="K639" s="98"/>
      <c r="L639" s="99"/>
      <c r="M639" s="100"/>
      <c r="N639" s="92"/>
      <c r="O639" s="93"/>
      <c r="P639" s="93"/>
    </row>
    <row r="640" spans="3:16" ht="14.1" customHeight="1">
      <c r="C640" s="94"/>
      <c r="D640" s="95"/>
      <c r="E640" s="262"/>
      <c r="F640" s="96"/>
      <c r="G640" s="96"/>
      <c r="J640" s="97"/>
      <c r="K640" s="98"/>
      <c r="L640" s="99"/>
      <c r="M640" s="100"/>
      <c r="N640" s="92"/>
      <c r="O640" s="93"/>
      <c r="P640" s="93"/>
    </row>
    <row r="641" spans="3:16" ht="14.1" customHeight="1">
      <c r="C641" s="94"/>
      <c r="D641" s="95"/>
      <c r="E641" s="262"/>
      <c r="F641" s="96"/>
      <c r="G641" s="96"/>
      <c r="J641" s="97"/>
      <c r="K641" s="98"/>
      <c r="L641" s="99"/>
      <c r="M641" s="100"/>
      <c r="N641" s="92"/>
      <c r="O641" s="93"/>
      <c r="P641" s="93"/>
    </row>
    <row r="642" spans="3:16" ht="14.1" customHeight="1">
      <c r="C642" s="94"/>
      <c r="D642" s="95"/>
      <c r="E642" s="262"/>
      <c r="F642" s="96"/>
      <c r="G642" s="96"/>
      <c r="J642" s="97"/>
      <c r="K642" s="98"/>
      <c r="L642" s="99"/>
      <c r="M642" s="100"/>
      <c r="N642" s="92"/>
      <c r="O642" s="93"/>
      <c r="P642" s="93"/>
    </row>
    <row r="643" spans="3:16" ht="14.1" customHeight="1">
      <c r="C643" s="94"/>
      <c r="D643" s="95"/>
      <c r="E643" s="262"/>
      <c r="F643" s="96"/>
      <c r="G643" s="96"/>
      <c r="J643" s="97"/>
      <c r="K643" s="98"/>
      <c r="L643" s="99"/>
      <c r="M643" s="100"/>
      <c r="N643" s="92"/>
      <c r="O643" s="93"/>
      <c r="P643" s="93"/>
    </row>
    <row r="644" spans="3:16" ht="14.1" customHeight="1">
      <c r="C644" s="94"/>
      <c r="D644" s="95"/>
      <c r="E644" s="262"/>
      <c r="F644" s="96"/>
      <c r="G644" s="96"/>
      <c r="J644" s="97"/>
      <c r="K644" s="98"/>
      <c r="L644" s="99"/>
      <c r="M644" s="100"/>
      <c r="N644" s="92"/>
      <c r="O644" s="93"/>
      <c r="P644" s="93"/>
    </row>
    <row r="645" spans="3:16" ht="14.1" customHeight="1">
      <c r="C645" s="94"/>
      <c r="D645" s="95"/>
      <c r="E645" s="262"/>
      <c r="F645" s="96"/>
      <c r="G645" s="96"/>
      <c r="J645" s="97"/>
      <c r="K645" s="98"/>
      <c r="L645" s="99"/>
      <c r="M645" s="100"/>
      <c r="N645" s="92"/>
      <c r="O645" s="93"/>
      <c r="P645" s="93"/>
    </row>
    <row r="646" spans="3:16" ht="14.1" customHeight="1">
      <c r="C646" s="94"/>
      <c r="D646" s="95"/>
      <c r="E646" s="262"/>
      <c r="F646" s="96"/>
      <c r="G646" s="96"/>
      <c r="J646" s="97"/>
      <c r="K646" s="98"/>
      <c r="L646" s="99"/>
      <c r="M646" s="100"/>
      <c r="N646" s="92"/>
      <c r="O646" s="93"/>
      <c r="P646" s="93"/>
    </row>
    <row r="647" spans="3:16" ht="14.1" customHeight="1">
      <c r="C647" s="94"/>
      <c r="D647" s="95"/>
      <c r="E647" s="262"/>
      <c r="F647" s="96"/>
      <c r="G647" s="96"/>
      <c r="J647" s="97"/>
      <c r="K647" s="98"/>
      <c r="L647" s="99"/>
      <c r="M647" s="100"/>
      <c r="N647" s="92"/>
      <c r="O647" s="93"/>
      <c r="P647" s="93"/>
    </row>
  </sheetData>
  <autoFilter ref="B9:R370" xr:uid="{00000000-0009-0000-0000-000004000000}"/>
  <phoneticPr fontId="9"/>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7" manualBreakCount="7">
    <brk id="54" min="1" max="21" man="1"/>
    <brk id="103" min="1" max="21" man="1"/>
    <brk id="162" min="1" max="21" man="1"/>
    <brk id="211" min="1" max="21" man="1"/>
    <brk id="261" min="1" max="21" man="1"/>
    <brk id="312" min="1" max="21" man="1"/>
    <brk id="361"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83"/>
  <sheetViews>
    <sheetView showGridLines="0" showZeros="0" showOutlineSymbols="0" zoomScaleNormal="100" zoomScaleSheetLayoutView="100" workbookViewId="0">
      <pane ySplit="9" topLeftCell="A10" activePane="bottomLeft" state="frozen"/>
      <selection activeCell="B1" sqref="B1"/>
      <selection pane="bottomLeft" activeCell="J36" sqref="J36"/>
    </sheetView>
  </sheetViews>
  <sheetFormatPr defaultColWidth="9.33203125" defaultRowHeight="13.2"/>
  <cols>
    <col min="1" max="1" width="45.5546875" style="57" customWidth="1"/>
    <col min="2" max="2" width="18.33203125" style="57" customWidth="1"/>
    <col min="3" max="3" width="18.44140625" style="57" customWidth="1"/>
    <col min="4" max="4" width="10.6640625" style="2" customWidth="1"/>
    <col min="5" max="5" width="11.109375" style="2" customWidth="1"/>
    <col min="6" max="6" width="2.109375" style="2" customWidth="1"/>
    <col min="7" max="7" width="7.88671875" style="2" customWidth="1"/>
    <col min="8" max="8" width="27" style="2" bestFit="1" customWidth="1"/>
    <col min="9" max="16384" width="9.33203125" style="2"/>
  </cols>
  <sheetData>
    <row r="1" spans="1:8">
      <c r="A1" s="503" t="s">
        <v>5</v>
      </c>
      <c r="B1" s="102"/>
      <c r="C1" s="103"/>
      <c r="D1" s="1"/>
      <c r="E1" s="1"/>
      <c r="F1" s="1"/>
      <c r="G1" s="1"/>
    </row>
    <row r="2" spans="1:8">
      <c r="A2" s="103"/>
      <c r="B2" s="103"/>
      <c r="C2" s="103"/>
      <c r="D2" s="1"/>
      <c r="E2" s="1"/>
      <c r="F2" s="1"/>
      <c r="G2" s="1"/>
    </row>
    <row r="3" spans="1:8" ht="15.6">
      <c r="A3" s="38" t="str">
        <f>'2-Kosten per locatie'!A3</f>
        <v>Naam opdrachtgever</v>
      </c>
      <c r="B3" s="46" t="str">
        <f>'2-Kosten per locatie'!B3</f>
        <v>Gemeente Lansingerland</v>
      </c>
      <c r="C3" s="103"/>
      <c r="D3" s="1"/>
      <c r="E3" s="30"/>
      <c r="F3" s="1"/>
      <c r="G3" s="1"/>
    </row>
    <row r="4" spans="1:8" ht="15.6">
      <c r="A4" s="38" t="str">
        <f>'2-Kosten per locatie'!A4</f>
        <v>Calculatie onderdeel</v>
      </c>
      <c r="B4" s="46" t="str">
        <f ca="1">MID(CELL("bestandsnaam",$C$9),SEARCH("]",CELL("bestandsnaam",$C$9),1)+1,256)</f>
        <v>5-Premies en opslagen</v>
      </c>
      <c r="C4" s="104"/>
      <c r="D4" s="15"/>
      <c r="E4" s="4"/>
      <c r="F4" s="4"/>
      <c r="G4" s="4"/>
    </row>
    <row r="5" spans="1:8" ht="15.6">
      <c r="A5" s="38" t="str">
        <f>'2-Kosten per locatie'!A5</f>
        <v>Onderdeel</v>
      </c>
      <c r="B5" s="46" t="str">
        <f>'2-Kosten per locatie'!B5</f>
        <v>Perceel 1 Schoonmaak</v>
      </c>
      <c r="C5" s="38"/>
      <c r="D5" s="8"/>
      <c r="E5" s="16"/>
      <c r="F5" s="5"/>
      <c r="G5" s="4"/>
    </row>
    <row r="6" spans="1:8" ht="15.6">
      <c r="A6" s="38" t="str">
        <f>'2-Kosten per locatie'!A6</f>
        <v>Referentie nummer</v>
      </c>
      <c r="B6" s="46" t="str">
        <f>'2-Kosten per locatie'!B6</f>
        <v>TN602303</v>
      </c>
      <c r="C6" s="77"/>
      <c r="D6" s="8"/>
      <c r="E6" s="32"/>
      <c r="F6" s="31"/>
      <c r="G6" s="33"/>
      <c r="H6" s="34"/>
    </row>
    <row r="7" spans="1:8" ht="15.6">
      <c r="A7" s="38" t="str">
        <f>'2-Kosten per locatie'!A7</f>
        <v>Naam dienstverlener</v>
      </c>
      <c r="B7" s="46">
        <f>'2-Kosten per locatie'!B7</f>
        <v>0</v>
      </c>
      <c r="C7" s="77"/>
      <c r="D7" s="8"/>
      <c r="E7" s="16"/>
      <c r="F7" s="5"/>
      <c r="G7" s="4"/>
    </row>
    <row r="8" spans="1:8" ht="15.6">
      <c r="A8" s="38" t="str">
        <f>'2-Kosten per locatie'!A8</f>
        <v>Prijspeil</v>
      </c>
      <c r="B8" s="265">
        <f>'2-Kosten per locatie'!B8</f>
        <v>46388</v>
      </c>
      <c r="C8" s="105"/>
      <c r="D8" s="16"/>
      <c r="E8" s="16"/>
      <c r="F8" s="5"/>
      <c r="G8" s="4"/>
    </row>
    <row r="9" spans="1:8" ht="18.600000000000001">
      <c r="A9" s="213"/>
      <c r="B9" s="105"/>
      <c r="C9" s="105"/>
      <c r="D9" s="16"/>
      <c r="E9" s="16"/>
      <c r="F9" s="5"/>
      <c r="G9" s="4"/>
    </row>
    <row r="10" spans="1:8" ht="21">
      <c r="A10" s="368" t="s">
        <v>87</v>
      </c>
      <c r="B10" s="369"/>
      <c r="C10" s="370"/>
      <c r="D10" s="16"/>
      <c r="E10" s="16"/>
      <c r="F10" s="5"/>
      <c r="G10" s="4"/>
    </row>
    <row r="11" spans="1:8">
      <c r="A11" s="106"/>
      <c r="B11" s="107"/>
      <c r="C11" s="107"/>
      <c r="D11" s="16"/>
      <c r="E11" s="16"/>
      <c r="F11" s="4"/>
      <c r="G11" s="4"/>
    </row>
    <row r="12" spans="1:8">
      <c r="A12" s="371"/>
      <c r="B12" s="357"/>
      <c r="C12" s="372" t="s">
        <v>88</v>
      </c>
      <c r="D12" s="16"/>
      <c r="E12" s="16"/>
      <c r="F12" s="5"/>
      <c r="G12" s="4"/>
    </row>
    <row r="13" spans="1:8">
      <c r="A13" s="108" t="s">
        <v>89</v>
      </c>
      <c r="B13" s="357"/>
      <c r="C13" s="266"/>
      <c r="D13" s="16"/>
      <c r="E13" s="16"/>
      <c r="F13" s="17"/>
      <c r="G13" s="4"/>
    </row>
    <row r="14" spans="1:8">
      <c r="A14" s="108" t="s">
        <v>90</v>
      </c>
      <c r="B14" s="357"/>
      <c r="C14" s="266"/>
      <c r="D14" s="16"/>
      <c r="E14" s="16"/>
      <c r="F14" s="17"/>
      <c r="G14" s="4"/>
    </row>
    <row r="15" spans="1:8">
      <c r="A15" s="108" t="s">
        <v>91</v>
      </c>
      <c r="B15" s="357"/>
      <c r="C15" s="266"/>
      <c r="D15" s="16"/>
      <c r="E15" s="16"/>
      <c r="F15" s="17"/>
      <c r="G15" s="4"/>
    </row>
    <row r="16" spans="1:8">
      <c r="A16" s="373" t="s">
        <v>26</v>
      </c>
      <c r="B16" s="374"/>
      <c r="C16" s="375">
        <f>SUM(C13:C15)</f>
        <v>0</v>
      </c>
      <c r="D16" s="16"/>
      <c r="E16" s="16"/>
      <c r="F16" s="4"/>
    </row>
    <row r="17" spans="1:7">
      <c r="A17" s="373"/>
      <c r="B17" s="374"/>
      <c r="C17" s="375"/>
      <c r="D17" s="16"/>
      <c r="E17" s="16"/>
      <c r="F17" s="4"/>
    </row>
    <row r="18" spans="1:7">
      <c r="A18" s="560" t="s">
        <v>92</v>
      </c>
      <c r="B18" s="561"/>
      <c r="C18" s="266"/>
      <c r="D18" s="16"/>
      <c r="E18" s="16"/>
      <c r="F18" s="4"/>
    </row>
    <row r="19" spans="1:7">
      <c r="A19" s="108" t="s">
        <v>93</v>
      </c>
      <c r="B19" s="109"/>
      <c r="C19" s="266"/>
      <c r="D19" s="16"/>
      <c r="E19" s="16"/>
      <c r="F19" s="4"/>
    </row>
    <row r="20" spans="1:7">
      <c r="A20" s="560" t="s">
        <v>94</v>
      </c>
      <c r="B20" s="561"/>
      <c r="C20" s="266"/>
      <c r="D20" s="16"/>
      <c r="E20" s="16"/>
      <c r="F20" s="4"/>
    </row>
    <row r="21" spans="1:7">
      <c r="A21" s="560" t="s">
        <v>95</v>
      </c>
      <c r="B21" s="561"/>
      <c r="C21" s="376" t="e">
        <f>C34</f>
        <v>#DIV/0!</v>
      </c>
      <c r="D21" s="16"/>
      <c r="E21" s="16"/>
      <c r="F21" s="4"/>
    </row>
    <row r="22" spans="1:7">
      <c r="A22" s="560" t="s">
        <v>96</v>
      </c>
      <c r="B22" s="561"/>
      <c r="C22" s="266"/>
      <c r="D22" s="16"/>
      <c r="E22" s="16"/>
      <c r="F22" s="4"/>
    </row>
    <row r="23" spans="1:7">
      <c r="A23" s="560" t="s">
        <v>97</v>
      </c>
      <c r="B23" s="561"/>
      <c r="C23" s="266"/>
      <c r="D23" s="16"/>
      <c r="E23" s="16"/>
      <c r="F23" s="4"/>
    </row>
    <row r="24" spans="1:7">
      <c r="A24" s="562" t="s">
        <v>98</v>
      </c>
      <c r="B24" s="563"/>
      <c r="C24" s="377" t="e">
        <f>SUM(C16:C23)</f>
        <v>#DIV/0!</v>
      </c>
      <c r="D24" s="16"/>
      <c r="E24" s="16"/>
      <c r="F24" s="4"/>
    </row>
    <row r="25" spans="1:7">
      <c r="A25" s="110"/>
      <c r="B25" s="111"/>
      <c r="C25" s="112"/>
      <c r="D25" s="16"/>
      <c r="E25" s="16"/>
      <c r="F25" s="7"/>
      <c r="G25" s="4"/>
    </row>
    <row r="26" spans="1:7" ht="21">
      <c r="A26" s="368" t="s">
        <v>99</v>
      </c>
      <c r="B26" s="369"/>
      <c r="C26" s="370"/>
      <c r="D26" s="16"/>
      <c r="E26" s="16"/>
      <c r="F26" s="5"/>
      <c r="G26" s="4"/>
    </row>
    <row r="27" spans="1:7">
      <c r="A27" s="106"/>
      <c r="B27" s="107"/>
      <c r="C27" s="107"/>
      <c r="D27" s="16"/>
      <c r="E27" s="16"/>
      <c r="F27" s="4"/>
      <c r="G27" s="4"/>
    </row>
    <row r="28" spans="1:7">
      <c r="A28" s="107"/>
      <c r="B28" s="107"/>
      <c r="C28" s="378" t="s">
        <v>100</v>
      </c>
      <c r="D28" s="16"/>
      <c r="E28" s="16"/>
      <c r="F28" s="4"/>
      <c r="G28" s="4"/>
    </row>
    <row r="29" spans="1:7">
      <c r="A29" s="108" t="s">
        <v>101</v>
      </c>
      <c r="B29" s="357"/>
      <c r="C29" s="379">
        <f>'6-Opbouw uurtarief productie'!E20</f>
        <v>0</v>
      </c>
      <c r="D29" s="16"/>
      <c r="E29" s="16"/>
      <c r="G29" s="4"/>
    </row>
    <row r="30" spans="1:7">
      <c r="A30" s="108" t="s">
        <v>102</v>
      </c>
      <c r="B30" s="113" t="s">
        <v>103</v>
      </c>
      <c r="C30" s="380"/>
      <c r="D30" s="16"/>
      <c r="E30" s="16"/>
      <c r="F30" s="5"/>
      <c r="G30" s="4"/>
    </row>
    <row r="31" spans="1:7">
      <c r="A31" s="108" t="s">
        <v>104</v>
      </c>
      <c r="B31" s="357"/>
      <c r="C31" s="267">
        <f>C29+C30</f>
        <v>0</v>
      </c>
      <c r="D31" s="16"/>
      <c r="E31" s="16"/>
      <c r="F31" s="5"/>
      <c r="G31" s="4"/>
    </row>
    <row r="32" spans="1:7">
      <c r="A32" s="381" t="s">
        <v>105</v>
      </c>
      <c r="B32" s="114"/>
      <c r="C32" s="382"/>
      <c r="E32" s="18"/>
      <c r="F32" s="5"/>
      <c r="G32" s="4"/>
    </row>
    <row r="33" spans="1:7">
      <c r="A33" s="106"/>
      <c r="B33" s="383"/>
      <c r="C33" s="268"/>
      <c r="E33" s="3"/>
      <c r="F33" s="4"/>
      <c r="G33" s="4"/>
    </row>
    <row r="34" spans="1:7">
      <c r="A34" s="384" t="s">
        <v>106</v>
      </c>
      <c r="B34" s="385"/>
      <c r="C34" s="386" t="e">
        <f>(C31/C29)*C32</f>
        <v>#DIV/0!</v>
      </c>
      <c r="E34" s="19"/>
      <c r="F34" s="5"/>
      <c r="G34" s="20"/>
    </row>
    <row r="35" spans="1:7">
      <c r="A35" s="106"/>
      <c r="B35" s="107"/>
      <c r="C35" s="107"/>
      <c r="E35" s="19"/>
      <c r="F35" s="5"/>
      <c r="G35" s="4"/>
    </row>
    <row r="36" spans="1:7" ht="21">
      <c r="A36" s="387" t="s">
        <v>107</v>
      </c>
      <c r="B36" s="388"/>
      <c r="C36" s="389"/>
      <c r="E36" s="19"/>
      <c r="F36" s="5"/>
      <c r="G36" s="4"/>
    </row>
    <row r="37" spans="1:7">
      <c r="A37" s="110"/>
      <c r="B37" s="111"/>
      <c r="C37" s="112"/>
      <c r="E37" s="19"/>
      <c r="F37" s="5"/>
      <c r="G37" s="4"/>
    </row>
    <row r="38" spans="1:7" ht="16.2">
      <c r="A38" s="110"/>
      <c r="B38" s="390" t="s">
        <v>108</v>
      </c>
      <c r="C38" s="112"/>
      <c r="E38" s="19"/>
      <c r="F38" s="5"/>
      <c r="G38" s="4"/>
    </row>
    <row r="39" spans="1:7">
      <c r="A39" s="391" t="s">
        <v>109</v>
      </c>
      <c r="B39" s="392">
        <v>365</v>
      </c>
      <c r="C39" s="112"/>
      <c r="E39" s="19"/>
      <c r="F39" s="5"/>
      <c r="G39" s="9"/>
    </row>
    <row r="40" spans="1:7">
      <c r="A40" s="391" t="s">
        <v>110</v>
      </c>
      <c r="B40" s="392">
        <v>104</v>
      </c>
      <c r="C40" s="112"/>
      <c r="E40" s="19"/>
      <c r="F40" s="5"/>
      <c r="G40" s="9"/>
    </row>
    <row r="41" spans="1:7">
      <c r="A41" s="393" t="s">
        <v>111</v>
      </c>
      <c r="B41" s="394">
        <f>B39-B40</f>
        <v>261</v>
      </c>
      <c r="C41" s="112"/>
      <c r="E41" s="19"/>
      <c r="F41" s="5"/>
      <c r="G41" s="6"/>
    </row>
    <row r="42" spans="1:7">
      <c r="A42" s="395"/>
      <c r="B42" s="396"/>
      <c r="C42" s="112"/>
      <c r="E42" s="19"/>
      <c r="F42" s="5"/>
      <c r="G42" s="6"/>
    </row>
    <row r="43" spans="1:7">
      <c r="A43" s="391" t="s">
        <v>112</v>
      </c>
      <c r="B43" s="397"/>
      <c r="C43" s="112"/>
      <c r="E43" s="19"/>
      <c r="F43" s="5"/>
      <c r="G43" s="6"/>
    </row>
    <row r="44" spans="1:7">
      <c r="A44" s="391" t="s">
        <v>113</v>
      </c>
      <c r="B44" s="397"/>
      <c r="C44" s="112"/>
      <c r="E44" s="19"/>
      <c r="F44" s="5"/>
      <c r="G44" s="6"/>
    </row>
    <row r="45" spans="1:7">
      <c r="A45" s="391" t="s">
        <v>114</v>
      </c>
      <c r="B45" s="397"/>
      <c r="C45" s="112"/>
      <c r="E45" s="19"/>
      <c r="F45" s="5"/>
      <c r="G45" s="6"/>
    </row>
    <row r="46" spans="1:7">
      <c r="A46" s="391" t="s">
        <v>115</v>
      </c>
      <c r="B46" s="397"/>
      <c r="C46" s="112"/>
      <c r="E46" s="19"/>
      <c r="F46" s="5"/>
      <c r="G46" s="6"/>
    </row>
    <row r="47" spans="1:7">
      <c r="A47" s="393" t="s">
        <v>116</v>
      </c>
      <c r="B47" s="394">
        <f>B41-SUM(B43:B46)</f>
        <v>261</v>
      </c>
      <c r="C47" s="112"/>
      <c r="E47" s="19"/>
      <c r="F47" s="5"/>
      <c r="G47" s="6"/>
    </row>
    <row r="48" spans="1:7">
      <c r="A48" s="398"/>
      <c r="B48" s="396"/>
      <c r="C48" s="112"/>
      <c r="E48" s="19"/>
      <c r="F48" s="5"/>
      <c r="G48" s="6"/>
    </row>
    <row r="49" spans="1:7">
      <c r="A49" s="399" t="s">
        <v>117</v>
      </c>
      <c r="B49" s="400">
        <f>IF(B43=0,0,B43/$B$47)</f>
        <v>0</v>
      </c>
      <c r="C49" s="112"/>
      <c r="E49" s="19"/>
      <c r="F49" s="5"/>
      <c r="G49" s="6"/>
    </row>
    <row r="50" spans="1:7">
      <c r="A50" s="399" t="s">
        <v>113</v>
      </c>
      <c r="B50" s="400">
        <f>IF(B44=0,0,B44/$B$47)</f>
        <v>0</v>
      </c>
      <c r="C50" s="112"/>
      <c r="E50" s="19"/>
      <c r="F50" s="5"/>
      <c r="G50" s="6"/>
    </row>
    <row r="51" spans="1:7">
      <c r="A51" s="391" t="s">
        <v>114</v>
      </c>
      <c r="B51" s="400">
        <f>IF(B45=0,0,B45/$B$47)</f>
        <v>0</v>
      </c>
      <c r="C51" s="112"/>
      <c r="E51" s="19"/>
      <c r="F51" s="5"/>
      <c r="G51" s="6"/>
    </row>
    <row r="52" spans="1:7">
      <c r="A52" s="399" t="s">
        <v>115</v>
      </c>
      <c r="B52" s="400">
        <f>IF(B46=0,0,B46/$B$47)</f>
        <v>0</v>
      </c>
      <c r="C52" s="112"/>
      <c r="E52" s="19"/>
      <c r="F52" s="5"/>
      <c r="G52" s="10"/>
    </row>
    <row r="53" spans="1:7">
      <c r="A53" s="393" t="s">
        <v>118</v>
      </c>
      <c r="B53" s="401">
        <f>SUM(B49:B52)</f>
        <v>0</v>
      </c>
      <c r="C53" s="112"/>
      <c r="E53" s="19"/>
      <c r="F53" s="5"/>
      <c r="G53" s="11"/>
    </row>
    <row r="54" spans="1:7">
      <c r="A54" s="115"/>
      <c r="B54" s="115"/>
      <c r="C54" s="115"/>
      <c r="E54" s="19"/>
      <c r="F54" s="5"/>
      <c r="G54" s="1"/>
    </row>
    <row r="55" spans="1:7" ht="31.2" customHeight="1">
      <c r="A55" s="557" t="s">
        <v>119</v>
      </c>
      <c r="B55" s="558"/>
      <c r="C55" s="559"/>
      <c r="E55" s="19"/>
      <c r="F55" s="5"/>
      <c r="G55" s="1"/>
    </row>
    <row r="58" spans="1:7" ht="13.8">
      <c r="A58" s="116"/>
      <c r="B58" s="117"/>
    </row>
    <row r="59" spans="1:7" ht="13.8">
      <c r="A59" s="116"/>
      <c r="B59" s="117"/>
    </row>
    <row r="60" spans="1:7" ht="13.8">
      <c r="A60" s="116"/>
      <c r="B60" s="117"/>
    </row>
    <row r="61" spans="1:7" ht="13.8">
      <c r="A61" s="116"/>
      <c r="B61" s="117"/>
    </row>
    <row r="62" spans="1:7" ht="13.8">
      <c r="A62" s="118"/>
      <c r="B62" s="117"/>
    </row>
    <row r="63" spans="1:7" ht="13.8">
      <c r="A63" s="117"/>
      <c r="B63" s="117"/>
    </row>
    <row r="64" spans="1:7" ht="13.8">
      <c r="A64" s="117"/>
      <c r="B64" s="117"/>
    </row>
    <row r="65" spans="1:3" ht="13.8">
      <c r="A65" s="117"/>
      <c r="B65" s="117"/>
    </row>
    <row r="66" spans="1:3" ht="13.8">
      <c r="A66" s="117"/>
      <c r="B66" s="117"/>
    </row>
    <row r="67" spans="1:3" ht="13.8">
      <c r="A67" s="117"/>
      <c r="B67" s="117"/>
    </row>
    <row r="68" spans="1:3" ht="13.8">
      <c r="A68" s="117"/>
      <c r="B68" s="117"/>
    </row>
    <row r="69" spans="1:3" ht="13.8">
      <c r="A69" s="117"/>
      <c r="B69" s="117"/>
    </row>
    <row r="70" spans="1:3" ht="13.8">
      <c r="A70" s="117"/>
      <c r="B70" s="119"/>
    </row>
    <row r="71" spans="1:3" ht="13.8">
      <c r="A71" s="117"/>
      <c r="B71" s="117"/>
    </row>
    <row r="72" spans="1:3" ht="13.8">
      <c r="B72" s="117"/>
    </row>
    <row r="73" spans="1:3" ht="13.8">
      <c r="A73" s="117"/>
      <c r="B73" s="117"/>
      <c r="C73" s="117"/>
    </row>
    <row r="74" spans="1:3" ht="13.8">
      <c r="A74" s="120"/>
      <c r="B74" s="117"/>
      <c r="C74" s="120"/>
    </row>
    <row r="75" spans="1:3" ht="13.8">
      <c r="A75" s="117"/>
      <c r="B75" s="117"/>
      <c r="C75" s="117"/>
    </row>
    <row r="76" spans="1:3" ht="13.8">
      <c r="A76" s="117"/>
      <c r="B76" s="117"/>
      <c r="C76" s="117"/>
    </row>
    <row r="77" spans="1:3" ht="13.8">
      <c r="A77" s="117"/>
      <c r="B77" s="117"/>
      <c r="C77" s="117"/>
    </row>
    <row r="78" spans="1:3" ht="13.8">
      <c r="A78" s="120"/>
      <c r="B78" s="117"/>
      <c r="C78" s="120"/>
    </row>
    <row r="79" spans="1:3" ht="13.8">
      <c r="A79" s="120"/>
      <c r="B79" s="117"/>
      <c r="C79" s="120"/>
    </row>
    <row r="80" spans="1:3" ht="13.8">
      <c r="A80" s="120"/>
      <c r="B80" s="117"/>
      <c r="C80" s="120"/>
    </row>
    <row r="81" spans="1:2" ht="13.8">
      <c r="A81" s="117"/>
      <c r="B81" s="117"/>
    </row>
    <row r="82" spans="1:2" ht="13.8">
      <c r="A82" s="117"/>
      <c r="B82" s="117"/>
    </row>
    <row r="83" spans="1:2" ht="13.8">
      <c r="A83" s="117"/>
      <c r="B83" s="117"/>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D74"/>
  <sheetViews>
    <sheetView showGridLines="0" showZeros="0" showOutlineSymbols="0" zoomScale="93" zoomScaleNormal="90" zoomScalePageLayoutView="50" workbookViewId="0">
      <pane ySplit="10" topLeftCell="A11" activePane="bottomLeft" state="frozen"/>
      <selection activeCell="B1" sqref="B1"/>
      <selection pane="bottomLeft" activeCell="V37" sqref="V37"/>
    </sheetView>
  </sheetViews>
  <sheetFormatPr defaultColWidth="11.44140625" defaultRowHeight="13.2"/>
  <cols>
    <col min="1" max="1" width="35.88671875" style="57" customWidth="1"/>
    <col min="2" max="2" width="21.6640625" style="57" customWidth="1"/>
    <col min="3" max="3" width="19.33203125" style="57" bestFit="1" customWidth="1"/>
    <col min="4" max="4" width="2" style="57" customWidth="1"/>
    <col min="5" max="5" width="14.44140625" style="57" customWidth="1"/>
    <col min="6" max="6" width="12.33203125" style="57" customWidth="1"/>
    <col min="7" max="7" width="9.88671875" style="57" customWidth="1"/>
    <col min="8" max="8" width="27.5546875" style="57" customWidth="1"/>
    <col min="9" max="15" width="11.44140625" style="57"/>
    <col min="16" max="16" width="14" style="57" customWidth="1"/>
    <col min="17" max="17" width="11.44140625" style="57"/>
    <col min="18" max="18" width="13.44140625" style="57" customWidth="1"/>
    <col min="19" max="21" width="11.44140625" style="57"/>
    <col min="22" max="16384" width="11.44140625" style="2"/>
  </cols>
  <sheetData>
    <row r="1" spans="1:30" ht="12.75" customHeight="1">
      <c r="A1" s="503" t="s">
        <v>5</v>
      </c>
      <c r="B1" s="102"/>
      <c r="C1" s="103"/>
      <c r="D1" s="103"/>
      <c r="E1" s="103"/>
      <c r="F1" s="103"/>
      <c r="H1" s="572"/>
      <c r="I1" s="572"/>
      <c r="J1" s="572"/>
      <c r="K1" s="572"/>
      <c r="L1" s="572"/>
      <c r="M1" s="572"/>
      <c r="N1" s="572"/>
      <c r="P1" s="498"/>
    </row>
    <row r="2" spans="1:30">
      <c r="A2" s="103"/>
      <c r="B2" s="121"/>
      <c r="C2" s="122"/>
      <c r="D2" s="121"/>
      <c r="E2" s="123"/>
      <c r="F2" s="124"/>
      <c r="H2" s="572"/>
      <c r="I2" s="572"/>
      <c r="J2" s="572"/>
      <c r="K2" s="572"/>
      <c r="L2" s="572"/>
      <c r="M2" s="572"/>
      <c r="N2" s="572"/>
      <c r="P2" s="498"/>
    </row>
    <row r="3" spans="1:30" ht="14.25" customHeight="1">
      <c r="A3" s="38" t="str">
        <f>'2-Kosten per locatie'!A3</f>
        <v>Naam opdrachtgever</v>
      </c>
      <c r="B3" s="125" t="str">
        <f>'2-Kosten per locatie'!B3</f>
        <v>Gemeente Lansingerland</v>
      </c>
      <c r="C3" s="126"/>
      <c r="D3" s="121"/>
      <c r="E3" s="127"/>
      <c r="F3" s="128"/>
      <c r="H3" s="572"/>
      <c r="I3" s="572"/>
      <c r="J3" s="572"/>
      <c r="K3" s="572"/>
      <c r="L3" s="572"/>
      <c r="M3" s="572"/>
      <c r="N3" s="572"/>
      <c r="P3" s="498"/>
    </row>
    <row r="4" spans="1:30" ht="15.75" customHeight="1">
      <c r="A4" s="38" t="str">
        <f>'2-Kosten per locatie'!A4</f>
        <v>Calculatie onderdeel</v>
      </c>
      <c r="B4" s="129" t="str">
        <f ca="1">MID(CELL("bestandsnaam",$C$9),SEARCH("]",CELL("bestandsnaam",$C$9),1)+1,256)</f>
        <v>6-Opbouw uurtarief productie</v>
      </c>
      <c r="C4" s="130"/>
      <c r="D4" s="131"/>
      <c r="H4" s="572"/>
      <c r="I4" s="572"/>
      <c r="J4" s="572"/>
      <c r="K4" s="572"/>
      <c r="L4" s="572"/>
      <c r="M4" s="572"/>
      <c r="N4" s="572"/>
      <c r="P4" s="498"/>
    </row>
    <row r="5" spans="1:30" ht="15.6">
      <c r="A5" s="38" t="str">
        <f>'2-Kosten per locatie'!A5</f>
        <v>Onderdeel</v>
      </c>
      <c r="B5" s="125" t="str">
        <f>'2-Kosten per locatie'!B5</f>
        <v>Perceel 1 Schoonmaak</v>
      </c>
      <c r="C5" s="130"/>
      <c r="D5" s="131"/>
      <c r="H5" s="572"/>
      <c r="I5" s="572"/>
      <c r="J5" s="572"/>
      <c r="K5" s="572"/>
      <c r="L5" s="572"/>
      <c r="M5" s="572"/>
      <c r="N5" s="572"/>
      <c r="P5" s="498"/>
    </row>
    <row r="6" spans="1:30" ht="15.6">
      <c r="A6" s="38" t="str">
        <f>'2-Kosten per locatie'!A6</f>
        <v>Referentie nummer</v>
      </c>
      <c r="B6" s="125" t="str">
        <f>'2-Kosten per locatie'!B6</f>
        <v>TN602303</v>
      </c>
      <c r="C6" s="130"/>
      <c r="D6" s="131"/>
      <c r="H6" s="132"/>
      <c r="I6" s="132"/>
      <c r="J6" s="132"/>
      <c r="K6" s="132"/>
      <c r="L6" s="132"/>
      <c r="M6" s="132"/>
      <c r="N6" s="132"/>
      <c r="P6" s="498"/>
    </row>
    <row r="7" spans="1:30" ht="15.6">
      <c r="A7" s="38" t="str">
        <f>'2-Kosten per locatie'!A7</f>
        <v>Naam dienstverlener</v>
      </c>
      <c r="B7" s="125">
        <f>'2-Kosten per locatie'!B7</f>
        <v>0</v>
      </c>
      <c r="C7" s="130"/>
      <c r="D7" s="131"/>
      <c r="H7" s="132"/>
      <c r="I7" s="132"/>
      <c r="J7" s="132"/>
      <c r="K7" s="132"/>
      <c r="L7" s="132"/>
      <c r="M7" s="132"/>
      <c r="N7" s="132"/>
      <c r="P7" s="498"/>
    </row>
    <row r="8" spans="1:30" ht="15.6">
      <c r="A8" s="38" t="str">
        <f>'2-Kosten per locatie'!A8</f>
        <v>Prijspeil</v>
      </c>
      <c r="B8" s="287">
        <f>'2-Kosten per locatie'!B8</f>
        <v>46388</v>
      </c>
      <c r="C8" s="130"/>
      <c r="D8" s="131"/>
      <c r="J8" s="132"/>
      <c r="K8" s="132"/>
      <c r="L8" s="132"/>
      <c r="M8" s="132"/>
      <c r="N8" s="132"/>
      <c r="O8" s="133"/>
      <c r="P8" s="498"/>
    </row>
    <row r="9" spans="1:30" ht="15.6">
      <c r="A9" s="134"/>
      <c r="B9" s="135"/>
      <c r="C9" s="136"/>
      <c r="D9" s="131"/>
      <c r="E9" s="137"/>
      <c r="F9" s="138"/>
      <c r="P9" s="498"/>
    </row>
    <row r="10" spans="1:30" s="21" customFormat="1" ht="30.75" customHeight="1">
      <c r="A10" s="216" t="s">
        <v>120</v>
      </c>
      <c r="B10" s="402"/>
      <c r="C10" s="403"/>
      <c r="D10" s="214"/>
      <c r="E10" s="570" t="s">
        <v>121</v>
      </c>
      <c r="F10" s="571"/>
      <c r="G10" s="215"/>
      <c r="H10" s="216" t="s">
        <v>122</v>
      </c>
      <c r="I10" s="573" t="s">
        <v>714</v>
      </c>
      <c r="J10" s="574"/>
      <c r="K10" s="574"/>
      <c r="L10" s="574"/>
      <c r="M10" s="574"/>
      <c r="N10" s="574"/>
      <c r="O10" s="133"/>
      <c r="P10" s="498"/>
      <c r="Q10" s="57"/>
      <c r="R10" s="57"/>
      <c r="S10" s="57"/>
      <c r="T10" s="57"/>
      <c r="U10" s="57"/>
      <c r="V10" s="2"/>
    </row>
    <row r="11" spans="1:30" ht="30" customHeight="1">
      <c r="A11" s="146"/>
      <c r="B11" s="404" t="s">
        <v>123</v>
      </c>
      <c r="C11" s="405" t="s">
        <v>123</v>
      </c>
      <c r="D11" s="131"/>
      <c r="E11" s="269"/>
      <c r="F11" s="406"/>
      <c r="H11" s="146"/>
      <c r="I11" s="290">
        <v>1</v>
      </c>
      <c r="J11" s="290">
        <v>2</v>
      </c>
      <c r="K11" s="290">
        <v>3</v>
      </c>
      <c r="L11" s="290">
        <v>4</v>
      </c>
      <c r="M11" s="290">
        <v>5</v>
      </c>
      <c r="N11" s="290">
        <v>6</v>
      </c>
      <c r="P11" s="499"/>
    </row>
    <row r="12" spans="1:30">
      <c r="A12" s="146" t="s">
        <v>124</v>
      </c>
      <c r="B12" s="407" t="s">
        <v>125</v>
      </c>
      <c r="C12" s="408"/>
      <c r="D12" s="131"/>
      <c r="E12" s="270">
        <f>SUM(I41:N41)</f>
        <v>0</v>
      </c>
      <c r="F12" s="271"/>
      <c r="H12" s="146" t="s">
        <v>126</v>
      </c>
      <c r="I12" s="291"/>
      <c r="J12" s="291"/>
      <c r="K12" s="291"/>
      <c r="L12" s="291"/>
      <c r="M12" s="291"/>
      <c r="N12" s="291"/>
      <c r="P12" s="500"/>
      <c r="W12" s="497"/>
      <c r="X12" s="497"/>
      <c r="Y12" s="497"/>
      <c r="Z12" s="497"/>
      <c r="AA12" s="497"/>
      <c r="AB12" s="497"/>
      <c r="AC12" s="497"/>
      <c r="AD12" s="497"/>
    </row>
    <row r="13" spans="1:30">
      <c r="A13" s="146" t="s">
        <v>127</v>
      </c>
      <c r="B13" s="407" t="s">
        <v>125</v>
      </c>
      <c r="C13" s="409"/>
      <c r="D13" s="131"/>
      <c r="E13" s="272"/>
      <c r="F13" s="271"/>
      <c r="H13" s="146" t="s">
        <v>128</v>
      </c>
      <c r="I13" s="291"/>
      <c r="J13" s="291"/>
      <c r="K13" s="291"/>
      <c r="L13" s="291"/>
      <c r="M13" s="291"/>
      <c r="N13" s="291"/>
      <c r="P13" s="501"/>
      <c r="W13" s="497"/>
      <c r="X13" s="497"/>
      <c r="Y13" s="497"/>
      <c r="Z13" s="497"/>
      <c r="AA13" s="497"/>
      <c r="AB13" s="497"/>
      <c r="AC13" s="497"/>
      <c r="AD13" s="497"/>
    </row>
    <row r="14" spans="1:30">
      <c r="A14" s="410" t="s">
        <v>129</v>
      </c>
      <c r="B14" s="411"/>
      <c r="C14" s="412"/>
      <c r="D14" s="143"/>
      <c r="E14" s="273">
        <f>SUM(E12:E13)</f>
        <v>0</v>
      </c>
      <c r="F14" s="271"/>
      <c r="H14" s="146" t="s">
        <v>130</v>
      </c>
      <c r="I14" s="291"/>
      <c r="J14" s="291"/>
      <c r="K14" s="291"/>
      <c r="L14" s="291"/>
      <c r="M14" s="291"/>
      <c r="N14" s="291"/>
      <c r="W14" s="497"/>
      <c r="X14" s="497"/>
      <c r="Y14" s="497"/>
      <c r="Z14" s="497"/>
      <c r="AA14" s="497"/>
      <c r="AB14" s="497"/>
      <c r="AC14" s="497"/>
      <c r="AD14" s="497"/>
    </row>
    <row r="15" spans="1:30">
      <c r="A15" s="141"/>
      <c r="B15" s="413"/>
      <c r="C15" s="414"/>
      <c r="D15" s="131"/>
      <c r="E15" s="274"/>
      <c r="F15" s="271"/>
      <c r="H15" s="146" t="s">
        <v>131</v>
      </c>
      <c r="I15" s="291"/>
      <c r="J15" s="291"/>
      <c r="K15" s="291"/>
      <c r="L15" s="291"/>
      <c r="M15" s="291"/>
      <c r="N15" s="291"/>
      <c r="W15" s="497"/>
      <c r="X15" s="497"/>
      <c r="Y15" s="497"/>
      <c r="Z15" s="497"/>
      <c r="AA15" s="497"/>
      <c r="AB15" s="497"/>
      <c r="AC15" s="497"/>
      <c r="AD15" s="497"/>
    </row>
    <row r="16" spans="1:30">
      <c r="A16" s="415" t="s">
        <v>132</v>
      </c>
      <c r="B16" s="407" t="s">
        <v>125</v>
      </c>
      <c r="C16" s="416"/>
      <c r="D16" s="131"/>
      <c r="E16" s="275">
        <f>$C16*E14</f>
        <v>0</v>
      </c>
      <c r="F16" s="271"/>
      <c r="H16" s="146" t="s">
        <v>133</v>
      </c>
      <c r="I16" s="291"/>
      <c r="J16" s="291"/>
      <c r="K16" s="291"/>
      <c r="L16" s="291"/>
      <c r="M16" s="291"/>
      <c r="N16" s="291"/>
      <c r="W16" s="497"/>
      <c r="X16" s="497"/>
      <c r="Y16" s="497"/>
      <c r="Z16" s="497"/>
      <c r="AA16" s="497"/>
      <c r="AB16" s="497"/>
      <c r="AC16" s="497"/>
      <c r="AD16" s="497"/>
    </row>
    <row r="17" spans="1:30">
      <c r="A17" s="415" t="s">
        <v>134</v>
      </c>
      <c r="B17" s="407" t="s">
        <v>125</v>
      </c>
      <c r="C17" s="416"/>
      <c r="D17" s="131"/>
      <c r="E17" s="276">
        <f>$C17*E14</f>
        <v>0</v>
      </c>
      <c r="F17" s="271"/>
      <c r="H17" s="146" t="s">
        <v>135</v>
      </c>
      <c r="I17" s="291"/>
      <c r="J17" s="291"/>
      <c r="K17" s="291"/>
      <c r="L17" s="291"/>
      <c r="M17" s="291"/>
      <c r="N17" s="291"/>
      <c r="W17" s="497"/>
      <c r="X17" s="497"/>
      <c r="Y17" s="497"/>
      <c r="Z17" s="497"/>
      <c r="AA17" s="497"/>
      <c r="AB17" s="497"/>
      <c r="AC17" s="497"/>
      <c r="AD17" s="497"/>
    </row>
    <row r="18" spans="1:30">
      <c r="A18" s="410" t="s">
        <v>136</v>
      </c>
      <c r="B18" s="417"/>
      <c r="C18" s="142"/>
      <c r="D18" s="131"/>
      <c r="E18" s="273">
        <f>SUM(E14:E17)</f>
        <v>0</v>
      </c>
      <c r="F18" s="418">
        <f>IF(E18=0,0,E18/E$47)</f>
        <v>0</v>
      </c>
      <c r="H18" s="146" t="s">
        <v>137</v>
      </c>
      <c r="I18" s="291"/>
      <c r="J18" s="291"/>
      <c r="K18" s="291"/>
      <c r="L18" s="291"/>
      <c r="M18" s="291"/>
      <c r="N18" s="291"/>
      <c r="W18" s="497"/>
      <c r="X18" s="497"/>
      <c r="Y18" s="497"/>
      <c r="Z18" s="497"/>
      <c r="AA18" s="497"/>
      <c r="AB18" s="497"/>
      <c r="AC18" s="497"/>
      <c r="AD18" s="497"/>
    </row>
    <row r="19" spans="1:30">
      <c r="A19" s="141"/>
      <c r="B19" s="413"/>
      <c r="C19" s="414"/>
      <c r="D19" s="131"/>
      <c r="E19" s="274"/>
      <c r="F19" s="271"/>
      <c r="H19" s="2"/>
      <c r="I19" s="2"/>
      <c r="J19" s="2"/>
      <c r="K19" s="2"/>
      <c r="L19" s="2"/>
      <c r="M19" s="2"/>
      <c r="N19" s="2"/>
      <c r="W19" s="497"/>
      <c r="X19" s="497"/>
      <c r="Y19" s="497"/>
      <c r="Z19" s="497"/>
      <c r="AA19" s="497"/>
      <c r="AB19" s="497"/>
      <c r="AC19" s="497"/>
      <c r="AD19" s="497"/>
    </row>
    <row r="20" spans="1:30" ht="15">
      <c r="A20" s="419" t="s">
        <v>138</v>
      </c>
      <c r="B20" s="420"/>
      <c r="C20" s="414"/>
      <c r="D20" s="144"/>
      <c r="E20" s="277">
        <f>E18*0.96</f>
        <v>0</v>
      </c>
      <c r="F20" s="278"/>
      <c r="H20" s="216" t="s">
        <v>122</v>
      </c>
      <c r="I20" s="564" t="s">
        <v>139</v>
      </c>
      <c r="J20" s="565"/>
      <c r="K20" s="565"/>
      <c r="L20" s="565"/>
      <c r="M20" s="565"/>
      <c r="N20" s="566"/>
      <c r="W20" s="497"/>
      <c r="X20" s="497"/>
      <c r="Y20" s="497"/>
      <c r="Z20" s="497"/>
      <c r="AA20" s="497"/>
      <c r="AB20" s="497"/>
      <c r="AC20" s="497"/>
      <c r="AD20" s="497"/>
    </row>
    <row r="21" spans="1:30" ht="15" customHeight="1">
      <c r="A21" s="415" t="s">
        <v>140</v>
      </c>
      <c r="B21" s="420"/>
      <c r="C21" s="421" t="s">
        <v>141</v>
      </c>
      <c r="D21" s="131"/>
      <c r="E21" s="275" t="e">
        <f>E20*'5-Premies en opslagen'!$C24</f>
        <v>#DIV/0!</v>
      </c>
      <c r="F21" s="271"/>
      <c r="H21" s="146"/>
      <c r="I21" s="290">
        <v>1</v>
      </c>
      <c r="J21" s="290">
        <v>2</v>
      </c>
      <c r="K21" s="290">
        <v>3</v>
      </c>
      <c r="L21" s="290">
        <v>4</v>
      </c>
      <c r="M21" s="290">
        <v>5</v>
      </c>
      <c r="N21" s="290">
        <v>6</v>
      </c>
      <c r="O21" s="286"/>
      <c r="W21" s="497"/>
      <c r="X21" s="497"/>
      <c r="Y21" s="497"/>
      <c r="Z21" s="497"/>
      <c r="AA21" s="497"/>
      <c r="AB21" s="497"/>
      <c r="AC21" s="497"/>
      <c r="AD21" s="497"/>
    </row>
    <row r="22" spans="1:30">
      <c r="A22" s="410" t="s">
        <v>142</v>
      </c>
      <c r="B22" s="423"/>
      <c r="C22" s="142"/>
      <c r="D22" s="131"/>
      <c r="E22" s="273" t="e">
        <f>E21+E18</f>
        <v>#DIV/0!</v>
      </c>
      <c r="F22" s="418" t="e">
        <f>IF(E22=0,0,E22/E$47)</f>
        <v>#DIV/0!</v>
      </c>
      <c r="G22" s="145"/>
      <c r="H22" s="146" t="s">
        <v>126</v>
      </c>
      <c r="I22" s="506"/>
      <c r="J22" s="506"/>
      <c r="K22" s="506"/>
      <c r="L22" s="506"/>
      <c r="M22" s="506"/>
      <c r="N22" s="506"/>
      <c r="O22" s="253"/>
      <c r="W22" s="497"/>
      <c r="X22" s="497"/>
      <c r="Y22" s="497"/>
      <c r="Z22" s="497"/>
      <c r="AA22" s="497"/>
      <c r="AB22" s="497"/>
      <c r="AC22" s="497"/>
      <c r="AD22" s="497"/>
    </row>
    <row r="23" spans="1:30" s="13" customFormat="1">
      <c r="A23" s="141"/>
      <c r="B23" s="417"/>
      <c r="C23" s="142"/>
      <c r="D23" s="131"/>
      <c r="E23" s="269"/>
      <c r="F23" s="271"/>
      <c r="G23" s="57"/>
      <c r="H23" s="146" t="s">
        <v>128</v>
      </c>
      <c r="I23" s="507"/>
      <c r="J23" s="507"/>
      <c r="K23" s="507"/>
      <c r="L23" s="506"/>
      <c r="M23" s="506"/>
      <c r="N23" s="506"/>
      <c r="O23" s="253"/>
      <c r="P23" s="57"/>
      <c r="Q23" s="57"/>
      <c r="R23" s="57"/>
      <c r="S23" s="57"/>
      <c r="T23" s="57"/>
      <c r="U23" s="57"/>
      <c r="V23" s="2"/>
      <c r="W23" s="497"/>
      <c r="X23" s="497"/>
      <c r="Y23" s="497"/>
      <c r="Z23" s="497"/>
      <c r="AA23" s="497"/>
      <c r="AB23" s="497"/>
      <c r="AC23" s="497"/>
      <c r="AD23" s="497"/>
    </row>
    <row r="24" spans="1:30" ht="14.25" customHeight="1">
      <c r="A24" s="415" t="s">
        <v>143</v>
      </c>
      <c r="B24" s="420"/>
      <c r="C24" s="421" t="s">
        <v>141</v>
      </c>
      <c r="D24" s="131"/>
      <c r="E24" s="275" t="e">
        <f>E22*'5-Premies en opslagen'!$B53</f>
        <v>#DIV/0!</v>
      </c>
      <c r="F24" s="271"/>
      <c r="H24" s="146" t="s">
        <v>130</v>
      </c>
      <c r="I24" s="511"/>
      <c r="J24" s="507"/>
      <c r="K24" s="507"/>
      <c r="L24" s="506"/>
      <c r="M24" s="506"/>
      <c r="N24" s="506"/>
      <c r="O24" s="253"/>
      <c r="W24" s="497"/>
      <c r="X24" s="497"/>
      <c r="Y24" s="497"/>
      <c r="Z24" s="497"/>
      <c r="AA24" s="497"/>
      <c r="AB24" s="497"/>
      <c r="AC24" s="497"/>
      <c r="AD24" s="497"/>
    </row>
    <row r="25" spans="1:30" ht="12.75" customHeight="1">
      <c r="A25" s="410" t="s">
        <v>144</v>
      </c>
      <c r="B25" s="417"/>
      <c r="C25" s="142"/>
      <c r="D25" s="131"/>
      <c r="E25" s="273" t="e">
        <f>SUM(E22:E24)</f>
        <v>#DIV/0!</v>
      </c>
      <c r="F25" s="418" t="e">
        <f>IF(E25=0,0,E25/E$47)</f>
        <v>#DIV/0!</v>
      </c>
      <c r="H25" s="146" t="s">
        <v>131</v>
      </c>
      <c r="I25" s="511"/>
      <c r="J25" s="507"/>
      <c r="K25" s="507"/>
      <c r="L25" s="506"/>
      <c r="M25" s="506"/>
      <c r="N25" s="506"/>
      <c r="O25" s="253"/>
      <c r="W25" s="497"/>
      <c r="X25" s="497"/>
      <c r="Y25" s="497"/>
      <c r="Z25" s="497"/>
      <c r="AA25" s="497"/>
      <c r="AB25" s="497"/>
      <c r="AC25" s="497"/>
      <c r="AD25" s="497"/>
    </row>
    <row r="26" spans="1:30" ht="12.75" customHeight="1">
      <c r="A26" s="141"/>
      <c r="B26" s="417"/>
      <c r="C26" s="142"/>
      <c r="D26" s="131"/>
      <c r="E26" s="269"/>
      <c r="F26" s="271"/>
      <c r="H26" s="146" t="s">
        <v>133</v>
      </c>
      <c r="I26" s="511"/>
      <c r="J26" s="507"/>
      <c r="K26" s="507"/>
      <c r="L26" s="506"/>
      <c r="M26" s="506"/>
      <c r="N26" s="506"/>
      <c r="O26" s="253"/>
    </row>
    <row r="27" spans="1:30">
      <c r="A27" s="141" t="s">
        <v>145</v>
      </c>
      <c r="B27" s="424"/>
      <c r="C27" s="409" t="s">
        <v>146</v>
      </c>
      <c r="D27" s="131"/>
      <c r="E27" s="272"/>
      <c r="F27" s="271">
        <v>0</v>
      </c>
      <c r="H27" s="146" t="s">
        <v>135</v>
      </c>
      <c r="I27" s="511"/>
      <c r="J27" s="507"/>
      <c r="K27" s="507"/>
      <c r="L27" s="506"/>
      <c r="M27" s="506"/>
      <c r="N27" s="506"/>
      <c r="O27" s="253"/>
    </row>
    <row r="28" spans="1:30">
      <c r="A28" s="141" t="s">
        <v>147</v>
      </c>
      <c r="B28" s="425"/>
      <c r="C28" s="409" t="s">
        <v>146</v>
      </c>
      <c r="D28" s="131"/>
      <c r="E28" s="272"/>
      <c r="F28" s="271">
        <v>0</v>
      </c>
      <c r="H28" s="146" t="s">
        <v>137</v>
      </c>
      <c r="I28" s="511"/>
      <c r="J28" s="507"/>
      <c r="K28" s="507"/>
      <c r="L28" s="506"/>
      <c r="M28" s="506"/>
      <c r="N28" s="506"/>
      <c r="O28" s="253"/>
    </row>
    <row r="29" spans="1:30">
      <c r="A29" s="141" t="s">
        <v>148</v>
      </c>
      <c r="B29" s="417"/>
      <c r="C29" s="142" t="s">
        <v>123</v>
      </c>
      <c r="D29" s="131"/>
      <c r="E29" s="272"/>
      <c r="F29" s="271"/>
      <c r="H29" s="147" t="s">
        <v>149</v>
      </c>
      <c r="I29" s="426">
        <f t="shared" ref="I29:N29" si="0">SUM(I22:I28)</f>
        <v>0</v>
      </c>
      <c r="J29" s="426">
        <f t="shared" si="0"/>
        <v>0</v>
      </c>
      <c r="K29" s="426">
        <f t="shared" si="0"/>
        <v>0</v>
      </c>
      <c r="L29" s="426">
        <f t="shared" si="0"/>
        <v>0</v>
      </c>
      <c r="M29" s="426">
        <f t="shared" si="0"/>
        <v>0</v>
      </c>
      <c r="N29" s="426">
        <f t="shared" si="0"/>
        <v>0</v>
      </c>
      <c r="O29" s="427">
        <f>SUM(I29:N29)</f>
        <v>0</v>
      </c>
    </row>
    <row r="30" spans="1:30">
      <c r="A30" s="415" t="s">
        <v>253</v>
      </c>
      <c r="B30" s="407"/>
      <c r="C30" s="409" t="s">
        <v>146</v>
      </c>
      <c r="D30" s="131"/>
      <c r="E30" s="272"/>
      <c r="F30" s="271"/>
    </row>
    <row r="31" spans="1:30">
      <c r="A31" s="428"/>
      <c r="B31" s="429"/>
      <c r="C31" s="430" t="s">
        <v>123</v>
      </c>
      <c r="D31" s="131"/>
      <c r="E31" s="272"/>
      <c r="F31" s="271"/>
      <c r="H31" s="79"/>
      <c r="I31" s="521"/>
      <c r="J31" s="521"/>
      <c r="K31" s="521"/>
      <c r="L31" s="521"/>
      <c r="M31" s="521"/>
      <c r="N31" s="521"/>
      <c r="O31" s="521"/>
    </row>
    <row r="32" spans="1:30" ht="15">
      <c r="A32" s="410" t="s">
        <v>150</v>
      </c>
      <c r="B32" s="417"/>
      <c r="C32" s="142"/>
      <c r="D32" s="131"/>
      <c r="E32" s="273" t="e">
        <f>SUM(E25:E31)</f>
        <v>#DIV/0!</v>
      </c>
      <c r="F32" s="418" t="e">
        <f>IF(E32=0,0,E32/E$47)</f>
        <v>#DIV/0!</v>
      </c>
      <c r="H32" s="216" t="s">
        <v>122</v>
      </c>
      <c r="I32" s="564" t="s">
        <v>151</v>
      </c>
      <c r="J32" s="565"/>
      <c r="K32" s="565"/>
      <c r="L32" s="565"/>
      <c r="M32" s="565"/>
      <c r="N32" s="566"/>
    </row>
    <row r="33" spans="1:15" ht="12.75" customHeight="1">
      <c r="A33" s="141"/>
      <c r="B33" s="417"/>
      <c r="C33" s="142"/>
      <c r="D33" s="131"/>
      <c r="E33" s="269"/>
      <c r="F33" s="271"/>
      <c r="H33" s="146"/>
      <c r="I33" s="140">
        <v>1</v>
      </c>
      <c r="J33" s="140">
        <v>2</v>
      </c>
      <c r="K33" s="140">
        <v>3</v>
      </c>
      <c r="L33" s="140">
        <v>4</v>
      </c>
      <c r="M33" s="140">
        <v>5</v>
      </c>
      <c r="N33" s="140">
        <v>6</v>
      </c>
    </row>
    <row r="34" spans="1:15" ht="12.75" customHeight="1">
      <c r="A34" s="141" t="s">
        <v>152</v>
      </c>
      <c r="B34" s="417"/>
      <c r="C34" s="431"/>
      <c r="D34" s="131"/>
      <c r="E34" s="272"/>
      <c r="F34" s="279" t="e">
        <f t="shared" ref="F34:F41" si="1">E34/$E$47</f>
        <v>#DIV/0!</v>
      </c>
      <c r="H34" s="146" t="s">
        <v>126</v>
      </c>
      <c r="I34" s="288">
        <f t="shared" ref="I34:N40" si="2">I22*I12</f>
        <v>0</v>
      </c>
      <c r="J34" s="288">
        <f t="shared" si="2"/>
        <v>0</v>
      </c>
      <c r="K34" s="288">
        <f t="shared" si="2"/>
        <v>0</v>
      </c>
      <c r="L34" s="288">
        <f t="shared" si="2"/>
        <v>0</v>
      </c>
      <c r="M34" s="288">
        <f t="shared" si="2"/>
        <v>0</v>
      </c>
      <c r="N34" s="504">
        <f t="shared" si="2"/>
        <v>0</v>
      </c>
    </row>
    <row r="35" spans="1:15" ht="12.75" customHeight="1">
      <c r="A35" s="141" t="s">
        <v>153</v>
      </c>
      <c r="B35" s="417"/>
      <c r="C35" s="431"/>
      <c r="D35" s="131"/>
      <c r="E35" s="272"/>
      <c r="F35" s="279" t="e">
        <f t="shared" si="1"/>
        <v>#DIV/0!</v>
      </c>
      <c r="H35" s="146" t="s">
        <v>128</v>
      </c>
      <c r="I35" s="288">
        <f t="shared" si="2"/>
        <v>0</v>
      </c>
      <c r="J35" s="288">
        <f t="shared" si="2"/>
        <v>0</v>
      </c>
      <c r="K35" s="288">
        <f t="shared" si="2"/>
        <v>0</v>
      </c>
      <c r="L35" s="288">
        <f t="shared" si="2"/>
        <v>0</v>
      </c>
      <c r="M35" s="288">
        <f t="shared" si="2"/>
        <v>0</v>
      </c>
      <c r="N35" s="504">
        <f t="shared" si="2"/>
        <v>0</v>
      </c>
    </row>
    <row r="36" spans="1:15" ht="12.75" customHeight="1">
      <c r="A36" s="141" t="s">
        <v>154</v>
      </c>
      <c r="B36" s="417"/>
      <c r="C36" s="431"/>
      <c r="D36" s="131"/>
      <c r="E36" s="272"/>
      <c r="F36" s="279" t="e">
        <f t="shared" si="1"/>
        <v>#DIV/0!</v>
      </c>
      <c r="H36" s="146" t="s">
        <v>130</v>
      </c>
      <c r="I36" s="288">
        <f t="shared" si="2"/>
        <v>0</v>
      </c>
      <c r="J36" s="288">
        <f t="shared" si="2"/>
        <v>0</v>
      </c>
      <c r="K36" s="288">
        <f t="shared" si="2"/>
        <v>0</v>
      </c>
      <c r="L36" s="288">
        <f t="shared" si="2"/>
        <v>0</v>
      </c>
      <c r="M36" s="288">
        <f t="shared" si="2"/>
        <v>0</v>
      </c>
      <c r="N36" s="504">
        <f t="shared" si="2"/>
        <v>0</v>
      </c>
    </row>
    <row r="37" spans="1:15" ht="12.75" customHeight="1">
      <c r="A37" s="141" t="s">
        <v>155</v>
      </c>
      <c r="B37" s="417"/>
      <c r="C37" s="432"/>
      <c r="D37" s="131"/>
      <c r="E37" s="272"/>
      <c r="F37" s="279" t="e">
        <f t="shared" si="1"/>
        <v>#DIV/0!</v>
      </c>
      <c r="H37" s="146" t="s">
        <v>131</v>
      </c>
      <c r="I37" s="288">
        <f t="shared" si="2"/>
        <v>0</v>
      </c>
      <c r="J37" s="288">
        <f t="shared" si="2"/>
        <v>0</v>
      </c>
      <c r="K37" s="288">
        <f t="shared" si="2"/>
        <v>0</v>
      </c>
      <c r="L37" s="288">
        <f t="shared" si="2"/>
        <v>0</v>
      </c>
      <c r="M37" s="288">
        <f t="shared" si="2"/>
        <v>0</v>
      </c>
      <c r="N37" s="504">
        <f t="shared" si="2"/>
        <v>0</v>
      </c>
      <c r="O37" s="145"/>
    </row>
    <row r="38" spans="1:15" ht="14.25" customHeight="1">
      <c r="A38" s="141" t="s">
        <v>156</v>
      </c>
      <c r="B38" s="417"/>
      <c r="C38" s="431"/>
      <c r="D38" s="131"/>
      <c r="E38" s="272"/>
      <c r="F38" s="279" t="e">
        <f t="shared" si="1"/>
        <v>#DIV/0!</v>
      </c>
      <c r="H38" s="146" t="s">
        <v>133</v>
      </c>
      <c r="I38" s="288">
        <f t="shared" si="2"/>
        <v>0</v>
      </c>
      <c r="J38" s="288">
        <f t="shared" si="2"/>
        <v>0</v>
      </c>
      <c r="K38" s="288">
        <f t="shared" si="2"/>
        <v>0</v>
      </c>
      <c r="L38" s="288">
        <f t="shared" si="2"/>
        <v>0</v>
      </c>
      <c r="M38" s="288">
        <f t="shared" si="2"/>
        <v>0</v>
      </c>
      <c r="N38" s="504">
        <f t="shared" si="2"/>
        <v>0</v>
      </c>
      <c r="O38" s="145"/>
    </row>
    <row r="39" spans="1:15">
      <c r="A39" s="141" t="s">
        <v>157</v>
      </c>
      <c r="B39" s="417"/>
      <c r="C39" s="432"/>
      <c r="D39" s="131"/>
      <c r="E39" s="272"/>
      <c r="F39" s="279" t="e">
        <f t="shared" si="1"/>
        <v>#DIV/0!</v>
      </c>
      <c r="H39" s="146" t="s">
        <v>135</v>
      </c>
      <c r="I39" s="288">
        <f t="shared" si="2"/>
        <v>0</v>
      </c>
      <c r="J39" s="288">
        <f t="shared" si="2"/>
        <v>0</v>
      </c>
      <c r="K39" s="288">
        <f t="shared" si="2"/>
        <v>0</v>
      </c>
      <c r="L39" s="288">
        <f t="shared" si="2"/>
        <v>0</v>
      </c>
      <c r="M39" s="288">
        <f t="shared" si="2"/>
        <v>0</v>
      </c>
      <c r="N39" s="504">
        <f t="shared" si="2"/>
        <v>0</v>
      </c>
      <c r="O39" s="145"/>
    </row>
    <row r="40" spans="1:15">
      <c r="A40" s="141" t="s">
        <v>158</v>
      </c>
      <c r="B40" s="417"/>
      <c r="C40" s="409" t="s">
        <v>146</v>
      </c>
      <c r="D40" s="131"/>
      <c r="E40" s="272"/>
      <c r="F40" s="279" t="e">
        <f t="shared" si="1"/>
        <v>#DIV/0!</v>
      </c>
      <c r="H40" s="146" t="s">
        <v>137</v>
      </c>
      <c r="I40" s="288">
        <f t="shared" si="2"/>
        <v>0</v>
      </c>
      <c r="J40" s="288">
        <f t="shared" si="2"/>
        <v>0</v>
      </c>
      <c r="K40" s="288">
        <f t="shared" si="2"/>
        <v>0</v>
      </c>
      <c r="L40" s="288">
        <f t="shared" si="2"/>
        <v>0</v>
      </c>
      <c r="M40" s="288">
        <f t="shared" si="2"/>
        <v>0</v>
      </c>
      <c r="N40" s="504">
        <f t="shared" si="2"/>
        <v>0</v>
      </c>
      <c r="O40" s="145"/>
    </row>
    <row r="41" spans="1:15">
      <c r="A41" s="141" t="s">
        <v>159</v>
      </c>
      <c r="B41" s="417"/>
      <c r="C41" s="409"/>
      <c r="D41" s="131"/>
      <c r="E41" s="272"/>
      <c r="F41" s="279" t="e">
        <f t="shared" si="1"/>
        <v>#DIV/0!</v>
      </c>
      <c r="H41" s="147" t="s">
        <v>149</v>
      </c>
      <c r="I41" s="289">
        <f t="shared" ref="I41:N41" si="3">SUM(I34:I40)</f>
        <v>0</v>
      </c>
      <c r="J41" s="289">
        <f t="shared" si="3"/>
        <v>0</v>
      </c>
      <c r="K41" s="289">
        <f t="shared" si="3"/>
        <v>0</v>
      </c>
      <c r="L41" s="289">
        <f t="shared" si="3"/>
        <v>0</v>
      </c>
      <c r="M41" s="289">
        <f t="shared" si="3"/>
        <v>0</v>
      </c>
      <c r="N41" s="289">
        <f t="shared" si="3"/>
        <v>0</v>
      </c>
      <c r="O41" s="145"/>
    </row>
    <row r="42" spans="1:15">
      <c r="A42" s="428"/>
      <c r="B42" s="429"/>
      <c r="C42" s="433"/>
      <c r="D42" s="131"/>
      <c r="E42" s="272"/>
      <c r="F42" s="271"/>
      <c r="H42" s="145"/>
      <c r="I42" s="145"/>
      <c r="J42" s="145"/>
      <c r="K42" s="145"/>
      <c r="L42" s="145"/>
      <c r="M42" s="145"/>
      <c r="N42" s="145"/>
      <c r="O42" s="145"/>
    </row>
    <row r="43" spans="1:15">
      <c r="A43" s="410" t="s">
        <v>160</v>
      </c>
      <c r="B43" s="417"/>
      <c r="C43" s="142"/>
      <c r="D43" s="131"/>
      <c r="E43" s="273" t="e">
        <f>SUM(E32:E42)</f>
        <v>#DIV/0!</v>
      </c>
      <c r="F43" s="418" t="e">
        <f>IF(E43=0,0,E43/E$47)</f>
        <v>#DIV/0!</v>
      </c>
      <c r="H43" s="145"/>
      <c r="I43" s="145"/>
      <c r="J43" s="145"/>
      <c r="K43" s="145"/>
      <c r="L43" s="145"/>
      <c r="M43" s="145"/>
      <c r="N43" s="145"/>
      <c r="O43" s="145"/>
    </row>
    <row r="44" spans="1:15" ht="45">
      <c r="A44" s="141"/>
      <c r="B44" s="417"/>
      <c r="C44" s="142"/>
      <c r="D44" s="131"/>
      <c r="E44" s="269"/>
      <c r="F44" s="280"/>
      <c r="G44" s="520"/>
      <c r="H44" s="567" t="s">
        <v>161</v>
      </c>
      <c r="I44" s="568"/>
      <c r="J44" s="569"/>
      <c r="K44" s="217" t="s">
        <v>121</v>
      </c>
      <c r="L44" s="145"/>
      <c r="M44" s="145"/>
      <c r="N44" s="145"/>
      <c r="O44" s="145"/>
    </row>
    <row r="45" spans="1:15">
      <c r="A45" s="141" t="s">
        <v>162</v>
      </c>
      <c r="B45" s="417"/>
      <c r="C45" s="432"/>
      <c r="D45" s="131"/>
      <c r="E45" s="272"/>
      <c r="F45" s="418">
        <f>(IF(E45=0,0,E45/E$47))</f>
        <v>0</v>
      </c>
      <c r="H45" s="146"/>
      <c r="I45" s="404" t="s">
        <v>123</v>
      </c>
      <c r="J45" s="405" t="s">
        <v>123</v>
      </c>
      <c r="K45" s="269"/>
      <c r="L45" s="145"/>
      <c r="M45" s="145"/>
      <c r="N45" s="145"/>
    </row>
    <row r="46" spans="1:15">
      <c r="A46" s="141"/>
      <c r="B46" s="434"/>
      <c r="C46" s="142"/>
      <c r="D46" s="131"/>
      <c r="E46" s="269"/>
      <c r="F46" s="271"/>
      <c r="H46" s="149" t="s">
        <v>129</v>
      </c>
      <c r="I46" s="150"/>
      <c r="J46" s="151"/>
      <c r="K46" s="273">
        <f>E14</f>
        <v>0</v>
      </c>
      <c r="L46" s="145"/>
      <c r="M46" s="145"/>
      <c r="N46" s="145"/>
    </row>
    <row r="47" spans="1:15">
      <c r="A47" s="410" t="s">
        <v>163</v>
      </c>
      <c r="B47" s="435"/>
      <c r="C47" s="436"/>
      <c r="D47" s="131"/>
      <c r="E47" s="281" t="e">
        <f>SUM(E43:E46)</f>
        <v>#DIV/0!</v>
      </c>
      <c r="F47" s="282" t="e">
        <f>SUM(F43:F46)</f>
        <v>#DIV/0!</v>
      </c>
      <c r="H47" s="152" t="s">
        <v>132</v>
      </c>
      <c r="I47" s="153"/>
      <c r="J47" s="154"/>
      <c r="K47" s="275">
        <f>E16</f>
        <v>0</v>
      </c>
      <c r="L47" s="145"/>
      <c r="M47" s="145"/>
      <c r="N47" s="145"/>
    </row>
    <row r="48" spans="1:15">
      <c r="B48" s="148"/>
      <c r="C48" s="437"/>
      <c r="D48" s="131"/>
      <c r="E48" s="253"/>
      <c r="F48" s="283"/>
      <c r="H48" s="415" t="s">
        <v>134</v>
      </c>
      <c r="I48" s="153"/>
      <c r="J48" s="154"/>
      <c r="K48" s="276">
        <f>E17</f>
        <v>0</v>
      </c>
      <c r="L48" s="145"/>
      <c r="M48" s="145"/>
      <c r="N48" s="145"/>
    </row>
    <row r="49" spans="1:26">
      <c r="A49" s="438" t="s">
        <v>164</v>
      </c>
      <c r="B49" s="439"/>
      <c r="C49" s="440"/>
      <c r="D49" s="145"/>
      <c r="E49" s="284" t="e">
        <f>(E$25*1.3)+($E$47-$E$25)</f>
        <v>#DIV/0!</v>
      </c>
      <c r="F49" s="285"/>
      <c r="H49" s="415" t="s">
        <v>140</v>
      </c>
      <c r="I49" s="153"/>
      <c r="J49" s="154"/>
      <c r="K49" s="275" t="e">
        <f>E21</f>
        <v>#DIV/0!</v>
      </c>
      <c r="L49" s="145"/>
      <c r="M49" s="145"/>
      <c r="N49" s="145"/>
      <c r="O49" s="145"/>
    </row>
    <row r="50" spans="1:26">
      <c r="A50" s="145"/>
      <c r="B50" s="155"/>
      <c r="C50" s="156"/>
      <c r="D50" s="145"/>
      <c r="E50" s="286"/>
      <c r="F50" s="286"/>
      <c r="H50" s="415" t="s">
        <v>143</v>
      </c>
      <c r="I50" s="420"/>
      <c r="J50" s="421"/>
      <c r="K50" s="275" t="e">
        <f>E24</f>
        <v>#DIV/0!</v>
      </c>
      <c r="L50" s="145"/>
      <c r="M50" s="145"/>
      <c r="N50" s="145"/>
      <c r="O50" s="145"/>
    </row>
    <row r="51" spans="1:26">
      <c r="A51" s="438" t="s">
        <v>165</v>
      </c>
      <c r="B51" s="439"/>
      <c r="C51" s="440"/>
      <c r="D51" s="145"/>
      <c r="E51" s="284" t="e">
        <f>(E$25*1.5)+($E$47-$E$25)</f>
        <v>#DIV/0!</v>
      </c>
      <c r="F51" s="285"/>
      <c r="G51" s="145"/>
      <c r="H51" s="141" t="s">
        <v>145</v>
      </c>
      <c r="I51" s="424"/>
      <c r="J51" s="409"/>
      <c r="K51" s="270">
        <f>E27</f>
        <v>0</v>
      </c>
      <c r="L51" s="145"/>
      <c r="M51" s="145"/>
      <c r="N51" s="145"/>
      <c r="O51" s="145"/>
    </row>
    <row r="52" spans="1:26" s="13" customFormat="1">
      <c r="A52" s="145"/>
      <c r="B52" s="155"/>
      <c r="C52" s="156"/>
      <c r="D52" s="145"/>
      <c r="E52" s="286"/>
      <c r="F52" s="286"/>
      <c r="G52" s="145"/>
      <c r="H52" s="141" t="s">
        <v>147</v>
      </c>
      <c r="I52" s="425"/>
      <c r="J52" s="409"/>
      <c r="K52" s="270">
        <f>E28</f>
        <v>0</v>
      </c>
      <c r="L52" s="145"/>
      <c r="M52" s="57"/>
      <c r="N52" s="145"/>
      <c r="O52" s="145"/>
      <c r="P52" s="57"/>
      <c r="Q52" s="57"/>
      <c r="R52" s="57"/>
      <c r="S52" s="57"/>
      <c r="T52" s="57"/>
      <c r="U52" s="57"/>
      <c r="V52" s="2"/>
      <c r="W52" s="2"/>
      <c r="X52" s="2"/>
      <c r="Y52" s="2"/>
      <c r="Z52" s="2"/>
    </row>
    <row r="53" spans="1:26" s="13" customFormat="1">
      <c r="A53" s="438" t="s">
        <v>166</v>
      </c>
      <c r="B53" s="439"/>
      <c r="C53" s="440"/>
      <c r="D53" s="145"/>
      <c r="E53" s="284" t="e">
        <f>(E$25*2.5)+($E$47-$E$25)</f>
        <v>#DIV/0!</v>
      </c>
      <c r="F53" s="286"/>
      <c r="G53" s="145"/>
      <c r="H53" s="141" t="s">
        <v>148</v>
      </c>
      <c r="I53" s="417"/>
      <c r="J53" s="142" t="s">
        <v>123</v>
      </c>
      <c r="K53" s="270">
        <f>E29</f>
        <v>0</v>
      </c>
      <c r="L53" s="145"/>
      <c r="M53" s="57"/>
      <c r="N53" s="145"/>
      <c r="O53" s="145"/>
      <c r="P53" s="145"/>
      <c r="Q53" s="145"/>
      <c r="R53" s="145"/>
      <c r="S53" s="145"/>
      <c r="T53" s="145"/>
      <c r="U53" s="145"/>
    </row>
    <row r="54" spans="1:26" s="13" customFormat="1">
      <c r="A54" s="145"/>
      <c r="B54" s="155"/>
      <c r="C54" s="157"/>
      <c r="D54" s="145"/>
      <c r="E54" s="145"/>
      <c r="F54" s="158"/>
      <c r="G54" s="145"/>
      <c r="H54" s="141" t="s">
        <v>152</v>
      </c>
      <c r="I54" s="417"/>
      <c r="J54" s="431"/>
      <c r="K54" s="270">
        <f t="shared" ref="K54:K61" si="4">E34</f>
        <v>0</v>
      </c>
      <c r="L54" s="145"/>
      <c r="M54" s="57"/>
      <c r="N54" s="145"/>
      <c r="O54" s="145"/>
      <c r="P54" s="145"/>
      <c r="Q54" s="145"/>
      <c r="R54" s="145"/>
      <c r="S54" s="145"/>
      <c r="T54" s="145"/>
      <c r="U54" s="145"/>
    </row>
    <row r="55" spans="1:26" s="13" customFormat="1">
      <c r="A55" s="145"/>
      <c r="B55" s="155"/>
      <c r="C55" s="157"/>
      <c r="D55" s="145"/>
      <c r="E55" s="145"/>
      <c r="F55" s="158"/>
      <c r="G55" s="145"/>
      <c r="H55" s="141" t="s">
        <v>153</v>
      </c>
      <c r="I55" s="417"/>
      <c r="J55" s="431"/>
      <c r="K55" s="270">
        <f t="shared" si="4"/>
        <v>0</v>
      </c>
      <c r="L55" s="145"/>
      <c r="M55" s="57"/>
      <c r="N55" s="145"/>
      <c r="O55" s="145"/>
      <c r="P55" s="145"/>
      <c r="Q55" s="145"/>
      <c r="R55" s="145"/>
      <c r="S55" s="145"/>
      <c r="T55" s="145"/>
      <c r="U55" s="145"/>
    </row>
    <row r="56" spans="1:26" s="13" customFormat="1">
      <c r="A56" s="145"/>
      <c r="B56" s="145"/>
      <c r="C56" s="159"/>
      <c r="D56" s="145"/>
      <c r="E56" s="145"/>
      <c r="F56" s="158"/>
      <c r="G56" s="145"/>
      <c r="H56" s="141" t="s">
        <v>154</v>
      </c>
      <c r="I56" s="417"/>
      <c r="J56" s="431"/>
      <c r="K56" s="270">
        <f t="shared" si="4"/>
        <v>0</v>
      </c>
      <c r="L56" s="145"/>
      <c r="M56" s="57"/>
      <c r="N56" s="145"/>
      <c r="O56" s="145"/>
      <c r="P56" s="145"/>
      <c r="Q56" s="145"/>
      <c r="R56" s="145"/>
      <c r="S56" s="145"/>
      <c r="T56" s="145"/>
      <c r="U56" s="145"/>
    </row>
    <row r="57" spans="1:26" s="13" customFormat="1">
      <c r="A57" s="145"/>
      <c r="B57" s="145"/>
      <c r="C57" s="159"/>
      <c r="D57" s="145"/>
      <c r="E57" s="145"/>
      <c r="F57" s="158"/>
      <c r="G57" s="145"/>
      <c r="H57" s="141" t="s">
        <v>155</v>
      </c>
      <c r="I57" s="417"/>
      <c r="J57" s="432"/>
      <c r="K57" s="270">
        <f t="shared" si="4"/>
        <v>0</v>
      </c>
      <c r="L57" s="145"/>
      <c r="M57" s="57"/>
      <c r="N57" s="145"/>
      <c r="O57" s="145"/>
      <c r="P57" s="145"/>
      <c r="Q57" s="145"/>
      <c r="R57" s="145"/>
      <c r="S57" s="145"/>
      <c r="T57" s="145"/>
      <c r="U57" s="145"/>
    </row>
    <row r="58" spans="1:26" s="13" customFormat="1">
      <c r="A58" s="57"/>
      <c r="B58" s="145"/>
      <c r="C58" s="159"/>
      <c r="D58" s="145"/>
      <c r="E58" s="145"/>
      <c r="F58" s="158"/>
      <c r="G58" s="145"/>
      <c r="H58" s="141" t="s">
        <v>156</v>
      </c>
      <c r="I58" s="417"/>
      <c r="J58" s="431"/>
      <c r="K58" s="270">
        <f t="shared" si="4"/>
        <v>0</v>
      </c>
      <c r="L58" s="145"/>
      <c r="M58" s="57"/>
      <c r="N58" s="145"/>
      <c r="O58" s="145"/>
      <c r="P58" s="145"/>
      <c r="Q58" s="145"/>
      <c r="R58" s="145"/>
      <c r="S58" s="145"/>
      <c r="T58" s="145"/>
      <c r="U58" s="145"/>
    </row>
    <row r="59" spans="1:26" s="13" customFormat="1">
      <c r="A59" s="145"/>
      <c r="B59" s="145"/>
      <c r="C59" s="159"/>
      <c r="D59" s="159"/>
      <c r="E59" s="159"/>
      <c r="F59" s="159"/>
      <c r="G59" s="145"/>
      <c r="H59" s="141" t="s">
        <v>157</v>
      </c>
      <c r="I59" s="417"/>
      <c r="J59" s="432"/>
      <c r="K59" s="270">
        <f t="shared" si="4"/>
        <v>0</v>
      </c>
      <c r="L59" s="145"/>
      <c r="M59" s="57"/>
      <c r="N59" s="57"/>
      <c r="O59" s="145"/>
      <c r="P59" s="145"/>
      <c r="Q59" s="145"/>
      <c r="R59" s="145"/>
      <c r="S59" s="145"/>
      <c r="T59" s="145"/>
      <c r="U59" s="145"/>
    </row>
    <row r="60" spans="1:26" s="13" customFormat="1">
      <c r="A60" s="145"/>
      <c r="B60" s="145"/>
      <c r="C60" s="159"/>
      <c r="D60" s="145"/>
      <c r="E60" s="145"/>
      <c r="F60" s="158"/>
      <c r="G60" s="145"/>
      <c r="H60" s="141" t="s">
        <v>158</v>
      </c>
      <c r="I60" s="417"/>
      <c r="J60" s="409"/>
      <c r="K60" s="270">
        <f t="shared" si="4"/>
        <v>0</v>
      </c>
      <c r="L60" s="145"/>
      <c r="M60" s="57"/>
      <c r="N60" s="57"/>
      <c r="O60" s="145"/>
      <c r="P60" s="145"/>
      <c r="Q60" s="145"/>
      <c r="R60" s="145"/>
      <c r="S60" s="145"/>
      <c r="T60" s="145"/>
      <c r="U60" s="145"/>
    </row>
    <row r="61" spans="1:26" s="13" customFormat="1">
      <c r="A61" s="145"/>
      <c r="B61" s="145"/>
      <c r="C61" s="159"/>
      <c r="D61" s="145"/>
      <c r="E61" s="145"/>
      <c r="F61" s="158"/>
      <c r="G61" s="145"/>
      <c r="H61" s="141" t="s">
        <v>167</v>
      </c>
      <c r="I61" s="417"/>
      <c r="J61" s="409"/>
      <c r="K61" s="270">
        <f t="shared" si="4"/>
        <v>0</v>
      </c>
      <c r="L61" s="145"/>
      <c r="M61" s="57"/>
      <c r="N61" s="57"/>
      <c r="O61" s="145"/>
      <c r="P61" s="145"/>
      <c r="Q61" s="145"/>
      <c r="R61" s="145"/>
      <c r="S61" s="145"/>
      <c r="T61" s="145"/>
      <c r="U61" s="145"/>
    </row>
    <row r="62" spans="1:26" s="13" customFormat="1">
      <c r="A62" s="145"/>
      <c r="B62" s="145"/>
      <c r="C62" s="159"/>
      <c r="D62" s="145"/>
      <c r="E62" s="145"/>
      <c r="F62" s="158"/>
      <c r="G62" s="145"/>
      <c r="H62" s="141" t="s">
        <v>162</v>
      </c>
      <c r="I62" s="417"/>
      <c r="J62" s="432"/>
      <c r="K62" s="270">
        <f>E45</f>
        <v>0</v>
      </c>
      <c r="L62" s="145"/>
      <c r="M62" s="57"/>
      <c r="N62" s="57"/>
      <c r="O62" s="145"/>
      <c r="P62" s="145"/>
      <c r="Q62" s="145"/>
      <c r="R62" s="145"/>
      <c r="S62" s="145"/>
      <c r="T62" s="145"/>
      <c r="U62" s="145"/>
    </row>
    <row r="63" spans="1:26" s="13" customFormat="1">
      <c r="A63" s="145"/>
      <c r="B63" s="145"/>
      <c r="C63" s="159"/>
      <c r="D63" s="145"/>
      <c r="E63" s="145"/>
      <c r="F63" s="158"/>
      <c r="G63" s="145"/>
      <c r="H63" s="141"/>
      <c r="I63" s="434"/>
      <c r="J63" s="142"/>
      <c r="K63" s="269"/>
      <c r="L63" s="145"/>
      <c r="M63" s="57"/>
      <c r="N63" s="57"/>
      <c r="O63" s="145"/>
      <c r="P63" s="145"/>
      <c r="Q63" s="145"/>
      <c r="R63" s="145"/>
      <c r="S63" s="145"/>
      <c r="T63" s="145"/>
      <c r="U63" s="145"/>
    </row>
    <row r="64" spans="1:26" s="13" customFormat="1">
      <c r="A64" s="145"/>
      <c r="B64" s="145"/>
      <c r="C64" s="159"/>
      <c r="D64" s="145"/>
      <c r="E64" s="145"/>
      <c r="F64" s="158"/>
      <c r="G64" s="145"/>
      <c r="H64" s="410" t="s">
        <v>163</v>
      </c>
      <c r="I64" s="435"/>
      <c r="J64" s="436"/>
      <c r="K64" s="281" t="e">
        <f>SUM(K46:K63)</f>
        <v>#DIV/0!</v>
      </c>
      <c r="L64" s="145"/>
      <c r="M64" s="57"/>
      <c r="N64" s="57"/>
      <c r="O64" s="145"/>
      <c r="P64" s="145"/>
      <c r="Q64" s="145"/>
      <c r="R64" s="145"/>
      <c r="S64" s="145"/>
      <c r="T64" s="145"/>
      <c r="U64" s="145"/>
    </row>
    <row r="65" spans="1:22" s="13" customFormat="1">
      <c r="A65" s="145"/>
      <c r="B65" s="145"/>
      <c r="C65" s="159"/>
      <c r="D65" s="145"/>
      <c r="E65" s="57"/>
      <c r="F65" s="158"/>
      <c r="G65" s="145"/>
      <c r="H65" s="57"/>
      <c r="I65" s="148"/>
      <c r="J65" s="437"/>
      <c r="K65" s="253"/>
      <c r="L65" s="145"/>
      <c r="M65" s="57"/>
      <c r="N65" s="57"/>
      <c r="O65" s="145"/>
      <c r="P65" s="145"/>
      <c r="Q65" s="145"/>
      <c r="R65" s="145"/>
      <c r="S65" s="145"/>
      <c r="T65" s="145"/>
      <c r="U65" s="145"/>
    </row>
    <row r="66" spans="1:22" s="13" customFormat="1">
      <c r="A66" s="57"/>
      <c r="B66" s="57"/>
      <c r="C66" s="57"/>
      <c r="D66" s="57"/>
      <c r="E66" s="57"/>
      <c r="F66" s="57"/>
      <c r="G66" s="145"/>
      <c r="H66" s="438" t="s">
        <v>164</v>
      </c>
      <c r="I66" s="439"/>
      <c r="J66" s="440"/>
      <c r="K66" s="284" t="e">
        <f>E49</f>
        <v>#DIV/0!</v>
      </c>
      <c r="L66" s="145"/>
      <c r="M66" s="57"/>
      <c r="N66" s="57"/>
      <c r="O66" s="57"/>
      <c r="P66" s="145"/>
      <c r="Q66" s="145"/>
      <c r="R66" s="145"/>
      <c r="S66" s="145"/>
      <c r="T66" s="145"/>
      <c r="U66" s="145"/>
    </row>
    <row r="67" spans="1:22" s="13" customFormat="1">
      <c r="A67" s="57"/>
      <c r="B67" s="57"/>
      <c r="C67" s="57"/>
      <c r="D67" s="57"/>
      <c r="E67" s="57"/>
      <c r="F67" s="57"/>
      <c r="G67" s="145"/>
      <c r="H67" s="145"/>
      <c r="I67" s="155"/>
      <c r="J67" s="156"/>
      <c r="K67" s="286"/>
      <c r="L67" s="145"/>
      <c r="M67" s="57"/>
      <c r="N67" s="57"/>
      <c r="O67" s="57"/>
      <c r="P67" s="57"/>
      <c r="Q67" s="145"/>
      <c r="R67" s="145"/>
      <c r="S67" s="145"/>
      <c r="T67" s="145"/>
      <c r="U67" s="145"/>
    </row>
    <row r="68" spans="1:22" s="13" customFormat="1">
      <c r="A68" s="57"/>
      <c r="B68" s="57"/>
      <c r="C68" s="57"/>
      <c r="D68" s="57"/>
      <c r="E68" s="57"/>
      <c r="F68" s="57"/>
      <c r="G68" s="57"/>
      <c r="H68" s="438" t="s">
        <v>165</v>
      </c>
      <c r="I68" s="439"/>
      <c r="J68" s="440"/>
      <c r="K68" s="284" t="e">
        <f>E51</f>
        <v>#DIV/0!</v>
      </c>
      <c r="L68" s="145"/>
      <c r="M68" s="57"/>
      <c r="N68" s="57"/>
      <c r="O68" s="57"/>
      <c r="P68" s="57"/>
      <c r="Q68" s="57"/>
      <c r="R68" s="57"/>
      <c r="S68" s="57"/>
      <c r="T68" s="57"/>
      <c r="U68" s="57"/>
      <c r="V68" s="2"/>
    </row>
    <row r="69" spans="1:22">
      <c r="H69" s="145"/>
      <c r="I69" s="155"/>
      <c r="J69" s="156"/>
      <c r="K69" s="286"/>
      <c r="L69" s="145"/>
    </row>
    <row r="70" spans="1:22">
      <c r="H70" s="438" t="s">
        <v>166</v>
      </c>
      <c r="I70" s="439"/>
      <c r="J70" s="440"/>
      <c r="K70" s="284" t="e">
        <f>E53</f>
        <v>#DIV/0!</v>
      </c>
      <c r="L70" s="145"/>
    </row>
    <row r="72" spans="1:22">
      <c r="L72" s="145"/>
    </row>
    <row r="73" spans="1:22">
      <c r="L73" s="145"/>
    </row>
    <row r="74" spans="1:22">
      <c r="L74" s="145"/>
    </row>
  </sheetData>
  <dataConsolidate/>
  <mergeCells count="8">
    <mergeCell ref="I32:N32"/>
    <mergeCell ref="H44:J44"/>
    <mergeCell ref="E10:F10"/>
    <mergeCell ref="H1:N2"/>
    <mergeCell ref="H3:N3"/>
    <mergeCell ref="H4:N5"/>
    <mergeCell ref="I10:N10"/>
    <mergeCell ref="I20:N20"/>
  </mergeCells>
  <phoneticPr fontId="9"/>
  <conditionalFormatting sqref="O29">
    <cfRule type="cellIs" dxfId="7" priority="1" operator="greaterThan">
      <formula>1</formula>
    </cfRule>
    <cfRule type="cellIs" dxfId="6" priority="2" operator="between">
      <formula>0.999999</formula>
      <formula>0</formula>
    </cfRule>
    <cfRule type="cellIs" dxfId="5"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76"/>
  <sheetViews>
    <sheetView showGridLines="0" zoomScale="89" zoomScaleNormal="89" zoomScalePageLayoutView="50" workbookViewId="0">
      <pane ySplit="9" topLeftCell="A10" activePane="bottomLeft" state="frozen"/>
      <selection activeCell="B1" sqref="B1"/>
      <selection pane="bottomLeft" activeCell="O39" sqref="O39"/>
    </sheetView>
  </sheetViews>
  <sheetFormatPr defaultColWidth="11.44140625" defaultRowHeight="13.2"/>
  <cols>
    <col min="1" max="1" width="35.88671875" style="57" customWidth="1"/>
    <col min="2" max="2" width="21.33203125" style="57" customWidth="1"/>
    <col min="3" max="3" width="19.33203125" style="57" bestFit="1" customWidth="1"/>
    <col min="4" max="4" width="2" style="57" customWidth="1"/>
    <col min="5" max="5" width="14.44140625" style="57" customWidth="1"/>
    <col min="6" max="6" width="11.6640625" style="57" customWidth="1"/>
    <col min="7" max="7" width="6" style="57" customWidth="1"/>
    <col min="8" max="8" width="27.88671875" style="57" customWidth="1"/>
    <col min="9" max="15" width="11.44140625" style="57"/>
    <col min="16" max="16384" width="11.44140625" style="2"/>
  </cols>
  <sheetData>
    <row r="1" spans="1:15" ht="12.75" customHeight="1">
      <c r="A1" s="503" t="s">
        <v>5</v>
      </c>
      <c r="B1" s="102"/>
      <c r="C1" s="103"/>
      <c r="D1" s="103"/>
      <c r="E1" s="103"/>
      <c r="F1" s="103"/>
      <c r="H1" s="572"/>
      <c r="I1" s="572"/>
      <c r="J1" s="572"/>
      <c r="K1" s="572"/>
      <c r="L1" s="572"/>
      <c r="M1" s="572"/>
      <c r="N1" s="572"/>
    </row>
    <row r="2" spans="1:15">
      <c r="A2" s="103"/>
      <c r="B2" s="121"/>
      <c r="C2" s="122"/>
      <c r="D2" s="121"/>
      <c r="E2" s="123"/>
      <c r="F2" s="124"/>
      <c r="H2" s="572"/>
      <c r="I2" s="572"/>
      <c r="J2" s="572"/>
      <c r="K2" s="572"/>
      <c r="L2" s="572"/>
      <c r="M2" s="572"/>
      <c r="N2" s="572"/>
    </row>
    <row r="3" spans="1:15" ht="14.25" customHeight="1">
      <c r="A3" s="38" t="str">
        <f>'2-Kosten per locatie'!A3</f>
        <v>Naam opdrachtgever</v>
      </c>
      <c r="B3" s="125" t="str">
        <f>'2-Kosten per locatie'!B3</f>
        <v>Gemeente Lansingerland</v>
      </c>
      <c r="C3" s="126"/>
      <c r="D3" s="121"/>
      <c r="E3" s="127"/>
      <c r="F3" s="128"/>
      <c r="H3" s="572"/>
      <c r="I3" s="572"/>
      <c r="J3" s="572"/>
      <c r="K3" s="572"/>
      <c r="L3" s="572"/>
      <c r="M3" s="572"/>
      <c r="N3" s="572"/>
    </row>
    <row r="4" spans="1:15" ht="15.75" customHeight="1">
      <c r="A4" s="38" t="str">
        <f>'2-Kosten per locatie'!A4</f>
        <v>Calculatie onderdeel</v>
      </c>
      <c r="B4" s="129" t="str">
        <f ca="1">MID(CELL("bestandsnaam",$C$9),SEARCH("]",CELL("bestandsnaam",$C$9),1)+1,256)</f>
        <v>7-Opbouw uurtarief toezicht</v>
      </c>
      <c r="C4" s="130"/>
      <c r="D4" s="131"/>
      <c r="H4" s="572"/>
      <c r="I4" s="572"/>
      <c r="J4" s="572"/>
      <c r="K4" s="572"/>
      <c r="L4" s="572"/>
      <c r="M4" s="572"/>
      <c r="N4" s="572"/>
    </row>
    <row r="5" spans="1:15" ht="15.6">
      <c r="A5" s="38" t="str">
        <f>'2-Kosten per locatie'!A5</f>
        <v>Onderdeel</v>
      </c>
      <c r="B5" s="125" t="str">
        <f>'2-Kosten per locatie'!B5</f>
        <v>Perceel 1 Schoonmaak</v>
      </c>
      <c r="C5" s="130"/>
      <c r="D5" s="131"/>
      <c r="H5" s="572"/>
      <c r="I5" s="572"/>
      <c r="J5" s="572"/>
      <c r="K5" s="572"/>
      <c r="L5" s="572"/>
      <c r="M5" s="572"/>
      <c r="N5" s="572"/>
    </row>
    <row r="6" spans="1:15" ht="15.6">
      <c r="A6" s="38" t="str">
        <f>'2-Kosten per locatie'!A6</f>
        <v>Referentie nummer</v>
      </c>
      <c r="B6" s="125" t="str">
        <f>'2-Kosten per locatie'!B6</f>
        <v>TN602303</v>
      </c>
      <c r="C6" s="130"/>
      <c r="D6" s="131"/>
      <c r="H6" s="132"/>
      <c r="I6" s="132"/>
      <c r="J6" s="132"/>
      <c r="K6" s="132"/>
      <c r="L6" s="132"/>
      <c r="M6" s="132"/>
      <c r="N6" s="132"/>
    </row>
    <row r="7" spans="1:15" ht="15.6">
      <c r="A7" s="38" t="str">
        <f>'2-Kosten per locatie'!A7</f>
        <v>Naam dienstverlener</v>
      </c>
      <c r="B7" s="125">
        <f>'2-Kosten per locatie'!B7</f>
        <v>0</v>
      </c>
      <c r="C7" s="130"/>
      <c r="D7" s="131"/>
      <c r="H7" s="132"/>
      <c r="I7" s="132"/>
      <c r="J7" s="132"/>
      <c r="K7" s="132"/>
      <c r="L7" s="132"/>
      <c r="M7" s="132"/>
      <c r="N7" s="132"/>
    </row>
    <row r="8" spans="1:15" ht="15.6">
      <c r="A8" s="38" t="str">
        <f>'2-Kosten per locatie'!A8</f>
        <v>Prijspeil</v>
      </c>
      <c r="B8" s="287">
        <f>'2-Kosten per locatie'!B8</f>
        <v>46388</v>
      </c>
      <c r="C8" s="130"/>
      <c r="D8" s="131"/>
      <c r="J8" s="132"/>
      <c r="K8" s="132"/>
      <c r="L8" s="132"/>
      <c r="M8" s="132"/>
      <c r="N8" s="132"/>
      <c r="O8" s="133"/>
    </row>
    <row r="9" spans="1:15" ht="15.6">
      <c r="A9" s="134"/>
      <c r="B9" s="135"/>
      <c r="C9" s="136"/>
      <c r="D9" s="131"/>
      <c r="E9" s="137"/>
      <c r="F9" s="138"/>
    </row>
    <row r="10" spans="1:15" s="21" customFormat="1" ht="30.75" customHeight="1">
      <c r="A10" s="441" t="s">
        <v>168</v>
      </c>
      <c r="B10" s="402"/>
      <c r="C10" s="403"/>
      <c r="D10" s="214"/>
      <c r="E10" s="570" t="s">
        <v>169</v>
      </c>
      <c r="F10" s="571"/>
      <c r="G10" s="133"/>
      <c r="H10" s="216" t="s">
        <v>122</v>
      </c>
      <c r="I10" s="573" t="s">
        <v>714</v>
      </c>
      <c r="J10" s="574"/>
      <c r="K10" s="574"/>
      <c r="L10" s="574"/>
      <c r="M10" s="574"/>
      <c r="N10" s="574"/>
      <c r="O10" s="133"/>
    </row>
    <row r="11" spans="1:15" ht="14.4" customHeight="1">
      <c r="A11" s="146"/>
      <c r="B11" s="404" t="s">
        <v>123</v>
      </c>
      <c r="C11" s="405" t="s">
        <v>123</v>
      </c>
      <c r="D11" s="131"/>
      <c r="E11" s="139"/>
      <c r="F11" s="442"/>
      <c r="H11" s="146"/>
      <c r="I11" s="290"/>
      <c r="J11" s="290">
        <v>2</v>
      </c>
      <c r="K11" s="290">
        <v>3</v>
      </c>
      <c r="L11" s="290">
        <v>4</v>
      </c>
      <c r="M11" s="290">
        <v>5</v>
      </c>
      <c r="N11" s="290">
        <v>6</v>
      </c>
    </row>
    <row r="12" spans="1:15" ht="12.75" customHeight="1">
      <c r="A12" s="146" t="s">
        <v>124</v>
      </c>
      <c r="B12" s="407" t="s">
        <v>125</v>
      </c>
      <c r="C12" s="408"/>
      <c r="D12" s="131"/>
      <c r="E12" s="270">
        <f>SUM(I31:N31)</f>
        <v>0</v>
      </c>
      <c r="F12" s="271"/>
      <c r="H12" s="146" t="s">
        <v>131</v>
      </c>
      <c r="I12" s="291"/>
      <c r="J12" s="291"/>
      <c r="K12" s="291"/>
      <c r="L12" s="291"/>
      <c r="M12" s="291"/>
      <c r="N12" s="291"/>
    </row>
    <row r="13" spans="1:15">
      <c r="A13" s="146" t="s">
        <v>127</v>
      </c>
      <c r="B13" s="407" t="s">
        <v>125</v>
      </c>
      <c r="C13" s="409"/>
      <c r="D13" s="131"/>
      <c r="E13" s="272"/>
      <c r="F13" s="271"/>
      <c r="H13" s="146" t="s">
        <v>133</v>
      </c>
      <c r="I13" s="291"/>
      <c r="J13" s="291"/>
      <c r="K13" s="291"/>
      <c r="L13" s="291"/>
      <c r="M13" s="291"/>
      <c r="N13" s="291"/>
    </row>
    <row r="14" spans="1:15">
      <c r="A14" s="410" t="s">
        <v>129</v>
      </c>
      <c r="B14" s="411"/>
      <c r="C14" s="412"/>
      <c r="D14" s="143"/>
      <c r="E14" s="273">
        <f>SUM(E12:E13)</f>
        <v>0</v>
      </c>
      <c r="F14" s="271"/>
      <c r="H14" s="146" t="s">
        <v>135</v>
      </c>
      <c r="I14" s="291"/>
      <c r="J14" s="291"/>
      <c r="K14" s="291"/>
      <c r="L14" s="291"/>
      <c r="M14" s="291"/>
      <c r="N14" s="291"/>
    </row>
    <row r="15" spans="1:15">
      <c r="A15" s="141"/>
      <c r="B15" s="413"/>
      <c r="C15" s="414"/>
      <c r="D15" s="131"/>
      <c r="E15" s="274"/>
      <c r="F15" s="271"/>
      <c r="H15" s="146" t="s">
        <v>137</v>
      </c>
      <c r="I15" s="291"/>
      <c r="J15" s="291"/>
      <c r="K15" s="291"/>
      <c r="L15" s="291"/>
      <c r="M15" s="291"/>
      <c r="N15" s="291"/>
    </row>
    <row r="16" spans="1:15">
      <c r="A16" s="415" t="s">
        <v>132</v>
      </c>
      <c r="B16" s="407" t="s">
        <v>125</v>
      </c>
      <c r="C16" s="416"/>
      <c r="D16" s="131"/>
      <c r="E16" s="275">
        <f>$C16*E14</f>
        <v>0</v>
      </c>
      <c r="F16" s="271"/>
    </row>
    <row r="17" spans="1:15" ht="14.4" customHeight="1">
      <c r="A17" s="415" t="s">
        <v>134</v>
      </c>
      <c r="B17" s="407" t="s">
        <v>125</v>
      </c>
      <c r="C17" s="416"/>
      <c r="D17" s="131"/>
      <c r="E17" s="276">
        <f>$C17*E14</f>
        <v>0</v>
      </c>
      <c r="F17" s="271"/>
      <c r="H17" s="216" t="s">
        <v>122</v>
      </c>
      <c r="I17" s="564" t="s">
        <v>139</v>
      </c>
      <c r="J17" s="565"/>
      <c r="K17" s="565"/>
      <c r="L17" s="565"/>
      <c r="M17" s="565"/>
      <c r="N17" s="566"/>
    </row>
    <row r="18" spans="1:15" ht="13.2" customHeight="1">
      <c r="A18" s="410" t="s">
        <v>136</v>
      </c>
      <c r="B18" s="417"/>
      <c r="C18" s="142"/>
      <c r="D18" s="131"/>
      <c r="E18" s="273">
        <f>SUM(E14:E17)</f>
        <v>0</v>
      </c>
      <c r="F18" s="418">
        <f>IF(E18=0,0,E18/E$46)</f>
        <v>0</v>
      </c>
      <c r="H18" s="146"/>
      <c r="I18" s="290">
        <v>1</v>
      </c>
      <c r="J18" s="290">
        <v>2</v>
      </c>
      <c r="K18" s="290">
        <v>3</v>
      </c>
      <c r="L18" s="290">
        <v>4</v>
      </c>
      <c r="M18" s="290">
        <v>5</v>
      </c>
      <c r="N18" s="290">
        <v>6</v>
      </c>
      <c r="O18" s="253"/>
    </row>
    <row r="19" spans="1:15">
      <c r="A19" s="141"/>
      <c r="B19" s="413"/>
      <c r="C19" s="414"/>
      <c r="D19" s="131"/>
      <c r="E19" s="274"/>
      <c r="F19" s="271"/>
      <c r="H19" s="146" t="s">
        <v>131</v>
      </c>
      <c r="I19" s="422"/>
      <c r="J19" s="422"/>
      <c r="K19" s="422"/>
      <c r="L19" s="422"/>
      <c r="M19" s="422"/>
      <c r="N19" s="422"/>
      <c r="O19" s="253"/>
    </row>
    <row r="20" spans="1:15">
      <c r="A20" s="419" t="s">
        <v>138</v>
      </c>
      <c r="B20" s="420"/>
      <c r="C20" s="414"/>
      <c r="D20" s="144"/>
      <c r="E20" s="277">
        <f>E18*0.96</f>
        <v>0</v>
      </c>
      <c r="F20" s="278"/>
      <c r="H20" s="146" t="s">
        <v>133</v>
      </c>
      <c r="I20" s="422"/>
      <c r="J20" s="422"/>
      <c r="K20" s="422"/>
      <c r="L20" s="422"/>
      <c r="M20" s="422"/>
      <c r="N20" s="422"/>
      <c r="O20" s="286"/>
    </row>
    <row r="21" spans="1:15">
      <c r="A21" s="415" t="s">
        <v>140</v>
      </c>
      <c r="B21" s="420"/>
      <c r="C21" s="421" t="s">
        <v>141</v>
      </c>
      <c r="D21" s="131"/>
      <c r="E21" s="275" t="e">
        <f>E20*'5-Premies en opslagen'!$C24</f>
        <v>#DIV/0!</v>
      </c>
      <c r="F21" s="271"/>
      <c r="G21" s="145"/>
      <c r="H21" s="146" t="s">
        <v>135</v>
      </c>
      <c r="I21" s="422"/>
      <c r="J21" s="422"/>
      <c r="K21" s="422"/>
      <c r="L21" s="422"/>
      <c r="M21" s="422"/>
      <c r="N21" s="422"/>
      <c r="O21" s="253"/>
    </row>
    <row r="22" spans="1:15" s="13" customFormat="1">
      <c r="A22" s="410" t="s">
        <v>142</v>
      </c>
      <c r="B22" s="423"/>
      <c r="C22" s="142"/>
      <c r="D22" s="131"/>
      <c r="E22" s="273" t="e">
        <f>E21+E18</f>
        <v>#DIV/0!</v>
      </c>
      <c r="F22" s="418" t="e">
        <f>IF(E22=0,0,E22/E$46)</f>
        <v>#DIV/0!</v>
      </c>
      <c r="G22" s="57"/>
      <c r="H22" s="146" t="s">
        <v>137</v>
      </c>
      <c r="I22" s="422"/>
      <c r="J22" s="422"/>
      <c r="K22" s="422"/>
      <c r="L22" s="422"/>
      <c r="M22" s="422"/>
      <c r="N22" s="422"/>
      <c r="O22" s="253"/>
    </row>
    <row r="23" spans="1:15" ht="14.25" customHeight="1">
      <c r="A23" s="141"/>
      <c r="B23" s="417"/>
      <c r="C23" s="142"/>
      <c r="D23" s="131"/>
      <c r="E23" s="269"/>
      <c r="F23" s="271"/>
      <c r="H23" s="147" t="s">
        <v>149</v>
      </c>
      <c r="I23" s="426">
        <f t="shared" ref="I23:N23" si="0">SUM(I19:I22)</f>
        <v>0</v>
      </c>
      <c r="J23" s="426">
        <f t="shared" si="0"/>
        <v>0</v>
      </c>
      <c r="K23" s="426">
        <f t="shared" si="0"/>
        <v>0</v>
      </c>
      <c r="L23" s="426">
        <f t="shared" si="0"/>
        <v>0</v>
      </c>
      <c r="M23" s="426">
        <f t="shared" si="0"/>
        <v>0</v>
      </c>
      <c r="N23" s="426">
        <f t="shared" si="0"/>
        <v>0</v>
      </c>
      <c r="O23" s="427">
        <f>SUM(I23:N23)</f>
        <v>0</v>
      </c>
    </row>
    <row r="24" spans="1:15" ht="12.75" customHeight="1">
      <c r="A24" s="415" t="s">
        <v>143</v>
      </c>
      <c r="B24" s="420"/>
      <c r="C24" s="421" t="s">
        <v>141</v>
      </c>
      <c r="D24" s="131"/>
      <c r="E24" s="275" t="e">
        <f>E22*'5-Premies en opslagen'!$B53</f>
        <v>#DIV/0!</v>
      </c>
      <c r="F24" s="271"/>
    </row>
    <row r="25" spans="1:15" ht="12.75" customHeight="1">
      <c r="A25" s="410" t="s">
        <v>144</v>
      </c>
      <c r="B25" s="417"/>
      <c r="C25" s="142"/>
      <c r="D25" s="131"/>
      <c r="E25" s="273" t="e">
        <f>SUM(E22:E24)</f>
        <v>#DIV/0!</v>
      </c>
      <c r="F25" s="418" t="e">
        <f>IF(E25=0,0,E25/E$46)</f>
        <v>#DIV/0!</v>
      </c>
      <c r="H25" s="216" t="s">
        <v>122</v>
      </c>
      <c r="I25" s="573" t="s">
        <v>151</v>
      </c>
      <c r="J25" s="574"/>
      <c r="K25" s="574"/>
      <c r="L25" s="574"/>
      <c r="M25" s="574"/>
      <c r="N25" s="574"/>
    </row>
    <row r="26" spans="1:15">
      <c r="A26" s="141"/>
      <c r="B26" s="417"/>
      <c r="C26" s="142"/>
      <c r="D26" s="131"/>
      <c r="E26" s="269"/>
      <c r="F26" s="271"/>
      <c r="H26" s="292"/>
      <c r="I26" s="290">
        <v>1</v>
      </c>
      <c r="J26" s="290">
        <v>2</v>
      </c>
      <c r="K26" s="290">
        <v>3</v>
      </c>
      <c r="L26" s="290">
        <v>4</v>
      </c>
      <c r="M26" s="290">
        <v>5</v>
      </c>
      <c r="N26" s="290">
        <v>6</v>
      </c>
    </row>
    <row r="27" spans="1:15" ht="13.2" customHeight="1">
      <c r="A27" s="141" t="s">
        <v>145</v>
      </c>
      <c r="B27" s="424"/>
      <c r="C27" s="409" t="s">
        <v>146</v>
      </c>
      <c r="D27" s="131"/>
      <c r="E27" s="272"/>
      <c r="F27" s="271">
        <v>0</v>
      </c>
      <c r="H27" s="146" t="s">
        <v>131</v>
      </c>
      <c r="I27" s="505">
        <f t="shared" ref="I27:N30" si="1">I19*I12</f>
        <v>0</v>
      </c>
      <c r="J27" s="505">
        <f t="shared" si="1"/>
        <v>0</v>
      </c>
      <c r="K27" s="505">
        <f t="shared" si="1"/>
        <v>0</v>
      </c>
      <c r="L27" s="505">
        <f t="shared" si="1"/>
        <v>0</v>
      </c>
      <c r="M27" s="505">
        <f t="shared" si="1"/>
        <v>0</v>
      </c>
      <c r="N27" s="505">
        <f t="shared" si="1"/>
        <v>0</v>
      </c>
    </row>
    <row r="28" spans="1:15">
      <c r="A28" s="141" t="s">
        <v>147</v>
      </c>
      <c r="B28" s="425"/>
      <c r="C28" s="409" t="s">
        <v>146</v>
      </c>
      <c r="D28" s="131"/>
      <c r="E28" s="272"/>
      <c r="F28" s="271">
        <v>0</v>
      </c>
      <c r="H28" s="146" t="s">
        <v>133</v>
      </c>
      <c r="I28" s="505">
        <f t="shared" si="1"/>
        <v>0</v>
      </c>
      <c r="J28" s="505">
        <f t="shared" si="1"/>
        <v>0</v>
      </c>
      <c r="K28" s="505">
        <f t="shared" si="1"/>
        <v>0</v>
      </c>
      <c r="L28" s="505">
        <f t="shared" si="1"/>
        <v>0</v>
      </c>
      <c r="M28" s="505">
        <f t="shared" si="1"/>
        <v>0</v>
      </c>
      <c r="N28" s="505">
        <f t="shared" si="1"/>
        <v>0</v>
      </c>
    </row>
    <row r="29" spans="1:15">
      <c r="A29" s="141" t="s">
        <v>170</v>
      </c>
      <c r="B29" s="417"/>
      <c r="C29" s="142"/>
      <c r="D29" s="131"/>
      <c r="E29" s="272"/>
      <c r="F29" s="271"/>
      <c r="H29" s="146" t="s">
        <v>135</v>
      </c>
      <c r="I29" s="505">
        <f t="shared" si="1"/>
        <v>0</v>
      </c>
      <c r="J29" s="505">
        <f t="shared" si="1"/>
        <v>0</v>
      </c>
      <c r="K29" s="505">
        <f t="shared" si="1"/>
        <v>0</v>
      </c>
      <c r="L29" s="505">
        <f t="shared" si="1"/>
        <v>0</v>
      </c>
      <c r="M29" s="505">
        <f t="shared" si="1"/>
        <v>0</v>
      </c>
      <c r="N29" s="505">
        <f t="shared" si="1"/>
        <v>0</v>
      </c>
    </row>
    <row r="30" spans="1:15">
      <c r="A30" s="428"/>
      <c r="B30" s="429"/>
      <c r="C30" s="430" t="s">
        <v>123</v>
      </c>
      <c r="D30" s="131"/>
      <c r="E30" s="272"/>
      <c r="F30" s="271"/>
      <c r="H30" s="146" t="s">
        <v>137</v>
      </c>
      <c r="I30" s="505">
        <f t="shared" si="1"/>
        <v>0</v>
      </c>
      <c r="J30" s="505">
        <f t="shared" si="1"/>
        <v>0</v>
      </c>
      <c r="K30" s="505">
        <f t="shared" si="1"/>
        <v>0</v>
      </c>
      <c r="L30" s="505">
        <f t="shared" si="1"/>
        <v>0</v>
      </c>
      <c r="M30" s="505">
        <f t="shared" si="1"/>
        <v>0</v>
      </c>
      <c r="N30" s="505">
        <f t="shared" si="1"/>
        <v>0</v>
      </c>
    </row>
    <row r="31" spans="1:15" ht="12.75" customHeight="1">
      <c r="A31" s="410" t="s">
        <v>150</v>
      </c>
      <c r="B31" s="417"/>
      <c r="C31" s="142"/>
      <c r="D31" s="131"/>
      <c r="E31" s="273" t="e">
        <f>SUM(E25:E30)</f>
        <v>#DIV/0!</v>
      </c>
      <c r="F31" s="418" t="e">
        <f>IF(E31=0,0,E31/E$46)</f>
        <v>#DIV/0!</v>
      </c>
      <c r="H31" s="147" t="s">
        <v>149</v>
      </c>
      <c r="I31" s="443">
        <f t="shared" ref="I31:N31" si="2">SUM(I27:I30)</f>
        <v>0</v>
      </c>
      <c r="J31" s="443">
        <f t="shared" si="2"/>
        <v>0</v>
      </c>
      <c r="K31" s="443">
        <f t="shared" si="2"/>
        <v>0</v>
      </c>
      <c r="L31" s="443">
        <f t="shared" si="2"/>
        <v>0</v>
      </c>
      <c r="M31" s="443">
        <f t="shared" si="2"/>
        <v>0</v>
      </c>
      <c r="N31" s="443">
        <f t="shared" si="2"/>
        <v>0</v>
      </c>
    </row>
    <row r="32" spans="1:15" ht="12.75" customHeight="1">
      <c r="A32" s="141"/>
      <c r="B32" s="417"/>
      <c r="C32" s="142"/>
      <c r="D32" s="131"/>
      <c r="E32" s="269"/>
      <c r="F32" s="271"/>
    </row>
    <row r="33" spans="1:15" ht="12.75" customHeight="1">
      <c r="A33" s="141" t="s">
        <v>152</v>
      </c>
      <c r="B33" s="417"/>
      <c r="C33" s="431"/>
      <c r="D33" s="131"/>
      <c r="E33" s="272"/>
      <c r="F33" s="279" t="e">
        <f>E33/$E$46</f>
        <v>#DIV/0!</v>
      </c>
    </row>
    <row r="34" spans="1:15" ht="12.75" customHeight="1">
      <c r="A34" s="141" t="s">
        <v>153</v>
      </c>
      <c r="B34" s="417"/>
      <c r="C34" s="431"/>
      <c r="D34" s="131"/>
      <c r="E34" s="272"/>
      <c r="F34" s="279" t="e">
        <f t="shared" ref="F34:F40" si="3">E34/$E$46</f>
        <v>#DIV/0!</v>
      </c>
    </row>
    <row r="35" spans="1:15" ht="12.75" customHeight="1">
      <c r="A35" s="141" t="s">
        <v>154</v>
      </c>
      <c r="B35" s="417"/>
      <c r="C35" s="431"/>
      <c r="D35" s="131"/>
      <c r="E35" s="272"/>
      <c r="F35" s="279" t="e">
        <f t="shared" si="3"/>
        <v>#DIV/0!</v>
      </c>
    </row>
    <row r="36" spans="1:15" ht="14.25" customHeight="1">
      <c r="A36" s="141" t="s">
        <v>155</v>
      </c>
      <c r="B36" s="417"/>
      <c r="C36" s="432"/>
      <c r="D36" s="131"/>
      <c r="E36" s="272"/>
      <c r="F36" s="279" t="e">
        <f t="shared" si="3"/>
        <v>#DIV/0!</v>
      </c>
    </row>
    <row r="37" spans="1:15">
      <c r="A37" s="141" t="s">
        <v>156</v>
      </c>
      <c r="B37" s="417"/>
      <c r="C37" s="431"/>
      <c r="D37" s="131"/>
      <c r="E37" s="272"/>
      <c r="F37" s="279" t="e">
        <f t="shared" si="3"/>
        <v>#DIV/0!</v>
      </c>
    </row>
    <row r="38" spans="1:15">
      <c r="A38" s="141" t="s">
        <v>157</v>
      </c>
      <c r="B38" s="417"/>
      <c r="C38" s="432"/>
      <c r="D38" s="131"/>
      <c r="E38" s="272"/>
      <c r="F38" s="279" t="e">
        <f t="shared" si="3"/>
        <v>#DIV/0!</v>
      </c>
    </row>
    <row r="39" spans="1:15">
      <c r="A39" s="141" t="s">
        <v>158</v>
      </c>
      <c r="B39" s="417"/>
      <c r="C39" s="409" t="s">
        <v>146</v>
      </c>
      <c r="D39" s="131"/>
      <c r="E39" s="272"/>
      <c r="F39" s="279" t="e">
        <f t="shared" si="3"/>
        <v>#DIV/0!</v>
      </c>
    </row>
    <row r="40" spans="1:15">
      <c r="A40" s="141" t="s">
        <v>167</v>
      </c>
      <c r="B40" s="417"/>
      <c r="C40" s="409"/>
      <c r="D40" s="131"/>
      <c r="E40" s="272"/>
      <c r="F40" s="279" t="e">
        <f t="shared" si="3"/>
        <v>#DIV/0!</v>
      </c>
    </row>
    <row r="41" spans="1:15">
      <c r="A41" s="428"/>
      <c r="B41" s="429"/>
      <c r="C41" s="433"/>
      <c r="D41" s="131"/>
      <c r="E41" s="272"/>
      <c r="F41" s="271"/>
      <c r="H41" s="145"/>
      <c r="I41" s="145"/>
      <c r="J41" s="145"/>
      <c r="K41" s="145"/>
      <c r="L41" s="145"/>
      <c r="M41" s="145"/>
      <c r="N41" s="145"/>
      <c r="O41" s="145"/>
    </row>
    <row r="42" spans="1:15">
      <c r="A42" s="410" t="s">
        <v>160</v>
      </c>
      <c r="B42" s="417"/>
      <c r="C42" s="142"/>
      <c r="D42" s="131"/>
      <c r="E42" s="273" t="e">
        <f>SUM(E31:E41)</f>
        <v>#DIV/0!</v>
      </c>
      <c r="F42" s="418" t="e">
        <f>IF(E42=0,0,E42/E$46)</f>
        <v>#DIV/0!</v>
      </c>
      <c r="H42" s="145"/>
      <c r="I42" s="145"/>
      <c r="J42" s="145"/>
      <c r="K42" s="145"/>
      <c r="L42" s="145"/>
      <c r="M42" s="145"/>
      <c r="N42" s="145"/>
      <c r="O42" s="145"/>
    </row>
    <row r="43" spans="1:15" ht="45">
      <c r="A43" s="141"/>
      <c r="B43" s="417"/>
      <c r="C43" s="142"/>
      <c r="D43" s="131"/>
      <c r="E43" s="269"/>
      <c r="F43" s="280"/>
      <c r="H43" s="441" t="s">
        <v>161</v>
      </c>
      <c r="I43" s="402"/>
      <c r="J43" s="403"/>
      <c r="K43" s="217" t="s">
        <v>121</v>
      </c>
      <c r="L43" s="145"/>
      <c r="M43" s="145"/>
      <c r="N43" s="145"/>
    </row>
    <row r="44" spans="1:15">
      <c r="A44" s="141" t="s">
        <v>162</v>
      </c>
      <c r="B44" s="417"/>
      <c r="C44" s="432"/>
      <c r="D44" s="131"/>
      <c r="E44" s="272"/>
      <c r="F44" s="418">
        <f>(IF(E44=0,0,E44/E$46))</f>
        <v>0</v>
      </c>
      <c r="H44" s="146"/>
      <c r="I44" s="404" t="s">
        <v>123</v>
      </c>
      <c r="J44" s="405" t="s">
        <v>123</v>
      </c>
      <c r="K44" s="269"/>
      <c r="L44" s="145"/>
      <c r="M44" s="145"/>
      <c r="N44" s="145"/>
    </row>
    <row r="45" spans="1:15">
      <c r="A45" s="141"/>
      <c r="B45" s="434"/>
      <c r="C45" s="142"/>
      <c r="D45" s="131"/>
      <c r="E45" s="269"/>
      <c r="F45" s="271"/>
      <c r="H45" s="149" t="s">
        <v>129</v>
      </c>
      <c r="I45" s="150"/>
      <c r="J45" s="151"/>
      <c r="K45" s="273">
        <f>E14</f>
        <v>0</v>
      </c>
      <c r="L45" s="145"/>
      <c r="M45" s="145"/>
      <c r="N45" s="145"/>
    </row>
    <row r="46" spans="1:15">
      <c r="A46" s="410" t="s">
        <v>163</v>
      </c>
      <c r="B46" s="435"/>
      <c r="C46" s="436"/>
      <c r="D46" s="131"/>
      <c r="E46" s="281" t="e">
        <f>SUM(E42:E45)</f>
        <v>#DIV/0!</v>
      </c>
      <c r="F46" s="282" t="e">
        <f>SUM(F42:F45)</f>
        <v>#DIV/0!</v>
      </c>
      <c r="H46" s="152" t="s">
        <v>132</v>
      </c>
      <c r="I46" s="153"/>
      <c r="J46" s="154"/>
      <c r="K46" s="275">
        <f>E16</f>
        <v>0</v>
      </c>
      <c r="L46" s="145"/>
      <c r="M46" s="145"/>
      <c r="N46" s="145"/>
    </row>
    <row r="47" spans="1:15">
      <c r="B47" s="148"/>
      <c r="C47" s="437"/>
      <c r="D47" s="131"/>
      <c r="E47" s="253"/>
      <c r="F47" s="283"/>
      <c r="H47" s="415" t="s">
        <v>134</v>
      </c>
      <c r="I47" s="153"/>
      <c r="J47" s="154"/>
      <c r="K47" s="276">
        <f>E17</f>
        <v>0</v>
      </c>
      <c r="L47" s="145"/>
      <c r="M47" s="145"/>
      <c r="N47" s="145"/>
      <c r="O47" s="145"/>
    </row>
    <row r="48" spans="1:15">
      <c r="A48" s="438" t="s">
        <v>164</v>
      </c>
      <c r="B48" s="439"/>
      <c r="C48" s="440"/>
      <c r="D48" s="145"/>
      <c r="E48" s="284" t="e">
        <f>(E$25*1.3)+($E$46-$E$25)</f>
        <v>#DIV/0!</v>
      </c>
      <c r="F48" s="285"/>
      <c r="H48" s="415" t="s">
        <v>140</v>
      </c>
      <c r="I48" s="153"/>
      <c r="J48" s="154"/>
      <c r="K48" s="275" t="e">
        <f>E21</f>
        <v>#DIV/0!</v>
      </c>
      <c r="L48" s="145"/>
      <c r="M48" s="145"/>
      <c r="N48" s="145"/>
      <c r="O48" s="145"/>
    </row>
    <row r="49" spans="1:15">
      <c r="A49" s="145"/>
      <c r="B49" s="155"/>
      <c r="C49" s="156"/>
      <c r="D49" s="145"/>
      <c r="E49" s="286"/>
      <c r="F49" s="286"/>
      <c r="G49" s="145"/>
      <c r="H49" s="415" t="s">
        <v>143</v>
      </c>
      <c r="I49" s="420"/>
      <c r="J49" s="421"/>
      <c r="K49" s="275" t="e">
        <f>E24</f>
        <v>#DIV/0!</v>
      </c>
      <c r="L49" s="145"/>
      <c r="M49" s="145"/>
      <c r="N49" s="145"/>
      <c r="O49" s="145"/>
    </row>
    <row r="50" spans="1:15" s="13" customFormat="1">
      <c r="A50" s="438" t="s">
        <v>165</v>
      </c>
      <c r="B50" s="439"/>
      <c r="C50" s="440"/>
      <c r="D50" s="145"/>
      <c r="E50" s="284" t="e">
        <f>(E$25*1.5)+($E$46-$E$25)</f>
        <v>#DIV/0!</v>
      </c>
      <c r="F50" s="285"/>
      <c r="G50" s="145"/>
      <c r="H50" s="141" t="s">
        <v>145</v>
      </c>
      <c r="I50" s="424"/>
      <c r="J50" s="409"/>
      <c r="K50" s="270">
        <f>E27</f>
        <v>0</v>
      </c>
      <c r="L50" s="145"/>
      <c r="M50" s="145"/>
      <c r="N50" s="145"/>
      <c r="O50" s="145"/>
    </row>
    <row r="51" spans="1:15" s="13" customFormat="1">
      <c r="A51" s="145"/>
      <c r="B51" s="155"/>
      <c r="C51" s="156"/>
      <c r="D51" s="145"/>
      <c r="E51" s="286"/>
      <c r="F51" s="286"/>
      <c r="G51" s="145"/>
      <c r="H51" s="141" t="s">
        <v>147</v>
      </c>
      <c r="I51" s="425"/>
      <c r="J51" s="409"/>
      <c r="K51" s="270">
        <f t="shared" ref="K51:K52" si="4">E28</f>
        <v>0</v>
      </c>
      <c r="L51" s="145"/>
      <c r="M51" s="57"/>
      <c r="N51" s="145"/>
      <c r="O51" s="145"/>
    </row>
    <row r="52" spans="1:15" s="13" customFormat="1">
      <c r="A52" s="438" t="s">
        <v>166</v>
      </c>
      <c r="B52" s="439"/>
      <c r="C52" s="440"/>
      <c r="D52" s="145"/>
      <c r="E52" s="284" t="e">
        <f>(E$25*2.5)+($E$46-$E$25)</f>
        <v>#DIV/0!</v>
      </c>
      <c r="F52" s="286"/>
      <c r="G52" s="145"/>
      <c r="H52" s="141" t="s">
        <v>148</v>
      </c>
      <c r="I52" s="417"/>
      <c r="J52" s="142" t="s">
        <v>123</v>
      </c>
      <c r="K52" s="270">
        <f t="shared" si="4"/>
        <v>0</v>
      </c>
      <c r="L52" s="145"/>
      <c r="M52" s="57"/>
      <c r="N52" s="145"/>
      <c r="O52" s="145"/>
    </row>
    <row r="53" spans="1:15" s="13" customFormat="1">
      <c r="A53" s="145"/>
      <c r="B53" s="155"/>
      <c r="C53" s="157"/>
      <c r="D53" s="145"/>
      <c r="E53" s="145"/>
      <c r="F53" s="158"/>
      <c r="G53" s="145"/>
      <c r="H53" s="141" t="s">
        <v>152</v>
      </c>
      <c r="I53" s="417"/>
      <c r="J53" s="431"/>
      <c r="K53" s="270">
        <f>E33</f>
        <v>0</v>
      </c>
      <c r="L53" s="145"/>
      <c r="M53" s="57"/>
      <c r="N53" s="145"/>
      <c r="O53" s="145"/>
    </row>
    <row r="54" spans="1:15" s="13" customFormat="1">
      <c r="A54" s="145"/>
      <c r="B54" s="155"/>
      <c r="C54" s="157"/>
      <c r="D54" s="145"/>
      <c r="E54" s="145"/>
      <c r="F54" s="158"/>
      <c r="G54" s="145"/>
      <c r="H54" s="141" t="s">
        <v>153</v>
      </c>
      <c r="I54" s="417"/>
      <c r="J54" s="431"/>
      <c r="K54" s="270">
        <f t="shared" ref="K54:K60" si="5">E34</f>
        <v>0</v>
      </c>
      <c r="L54" s="145"/>
      <c r="M54" s="57"/>
      <c r="N54" s="145"/>
      <c r="O54" s="145"/>
    </row>
    <row r="55" spans="1:15" s="13" customFormat="1">
      <c r="A55" s="145"/>
      <c r="B55" s="145"/>
      <c r="C55" s="159"/>
      <c r="D55" s="145"/>
      <c r="E55" s="145"/>
      <c r="F55" s="158"/>
      <c r="G55" s="145"/>
      <c r="H55" s="141" t="s">
        <v>154</v>
      </c>
      <c r="I55" s="417"/>
      <c r="J55" s="431"/>
      <c r="K55" s="270">
        <f t="shared" si="5"/>
        <v>0</v>
      </c>
      <c r="L55" s="145"/>
      <c r="M55" s="57"/>
      <c r="N55" s="145"/>
      <c r="O55" s="145"/>
    </row>
    <row r="56" spans="1:15" s="13" customFormat="1">
      <c r="A56" s="145"/>
      <c r="B56" s="145"/>
      <c r="C56" s="159"/>
      <c r="D56" s="145"/>
      <c r="E56" s="145"/>
      <c r="F56" s="158"/>
      <c r="G56" s="145"/>
      <c r="H56" s="141" t="s">
        <v>155</v>
      </c>
      <c r="I56" s="417"/>
      <c r="J56" s="432"/>
      <c r="K56" s="270">
        <f t="shared" si="5"/>
        <v>0</v>
      </c>
      <c r="L56" s="145"/>
      <c r="M56" s="57"/>
      <c r="N56" s="145"/>
      <c r="O56" s="145"/>
    </row>
    <row r="57" spans="1:15" s="13" customFormat="1">
      <c r="A57" s="57"/>
      <c r="B57" s="145"/>
      <c r="C57" s="159"/>
      <c r="D57" s="145"/>
      <c r="E57" s="145"/>
      <c r="F57" s="158"/>
      <c r="G57" s="145"/>
      <c r="H57" s="141" t="s">
        <v>156</v>
      </c>
      <c r="I57" s="417"/>
      <c r="J57" s="431"/>
      <c r="K57" s="270">
        <f t="shared" si="5"/>
        <v>0</v>
      </c>
      <c r="L57" s="145"/>
      <c r="M57" s="57"/>
      <c r="N57" s="145"/>
      <c r="O57" s="145"/>
    </row>
    <row r="58" spans="1:15" s="13" customFormat="1">
      <c r="A58" s="145"/>
      <c r="B58" s="145"/>
      <c r="C58" s="159"/>
      <c r="D58" s="145"/>
      <c r="E58" s="145"/>
      <c r="F58" s="158"/>
      <c r="G58" s="145"/>
      <c r="H58" s="141" t="s">
        <v>157</v>
      </c>
      <c r="I58" s="417"/>
      <c r="J58" s="432"/>
      <c r="K58" s="270">
        <f t="shared" si="5"/>
        <v>0</v>
      </c>
      <c r="L58" s="145"/>
      <c r="M58" s="57"/>
      <c r="N58" s="57"/>
      <c r="O58" s="145"/>
    </row>
    <row r="59" spans="1:15" s="13" customFormat="1">
      <c r="A59" s="145"/>
      <c r="B59" s="145"/>
      <c r="C59" s="159"/>
      <c r="D59" s="145"/>
      <c r="E59" s="145"/>
      <c r="F59" s="158"/>
      <c r="G59" s="145"/>
      <c r="H59" s="141" t="s">
        <v>158</v>
      </c>
      <c r="I59" s="417"/>
      <c r="J59" s="409"/>
      <c r="K59" s="270">
        <f t="shared" si="5"/>
        <v>0</v>
      </c>
      <c r="L59" s="145"/>
      <c r="M59" s="57"/>
      <c r="N59" s="57"/>
      <c r="O59" s="145"/>
    </row>
    <row r="60" spans="1:15" s="13" customFormat="1">
      <c r="A60" s="145"/>
      <c r="B60" s="145"/>
      <c r="C60" s="159"/>
      <c r="D60" s="145"/>
      <c r="E60" s="145"/>
      <c r="F60" s="158"/>
      <c r="G60" s="145"/>
      <c r="H60" s="141" t="s">
        <v>167</v>
      </c>
      <c r="I60" s="417"/>
      <c r="J60" s="409"/>
      <c r="K60" s="270">
        <f t="shared" si="5"/>
        <v>0</v>
      </c>
      <c r="L60" s="145"/>
      <c r="M60" s="57"/>
      <c r="N60" s="57"/>
      <c r="O60" s="145"/>
    </row>
    <row r="61" spans="1:15" s="13" customFormat="1">
      <c r="A61" s="145"/>
      <c r="B61" s="145"/>
      <c r="C61" s="159"/>
      <c r="D61" s="145"/>
      <c r="E61" s="145"/>
      <c r="F61" s="158"/>
      <c r="G61" s="145"/>
      <c r="H61" s="141" t="s">
        <v>162</v>
      </c>
      <c r="I61" s="417"/>
      <c r="J61" s="432"/>
      <c r="K61" s="270">
        <f>E44</f>
        <v>0</v>
      </c>
      <c r="L61" s="145"/>
      <c r="M61" s="57"/>
      <c r="N61" s="57"/>
      <c r="O61" s="145"/>
    </row>
    <row r="62" spans="1:15" s="13" customFormat="1">
      <c r="A62" s="145"/>
      <c r="B62" s="145"/>
      <c r="C62" s="159"/>
      <c r="D62" s="145"/>
      <c r="E62" s="145"/>
      <c r="F62" s="158"/>
      <c r="G62" s="145"/>
      <c r="H62" s="141"/>
      <c r="I62" s="434"/>
      <c r="J62" s="142"/>
      <c r="K62" s="269"/>
      <c r="L62" s="145"/>
      <c r="M62" s="57"/>
      <c r="N62" s="57"/>
      <c r="O62" s="145"/>
    </row>
    <row r="63" spans="1:15" s="13" customFormat="1">
      <c r="A63" s="145"/>
      <c r="B63" s="145"/>
      <c r="C63" s="159"/>
      <c r="D63" s="145"/>
      <c r="E63" s="145"/>
      <c r="F63" s="158"/>
      <c r="G63" s="145"/>
      <c r="H63" s="410" t="s">
        <v>163</v>
      </c>
      <c r="I63" s="435"/>
      <c r="J63" s="436"/>
      <c r="K63" s="281" t="e">
        <f>SUM(K45:K62)</f>
        <v>#DIV/0!</v>
      </c>
      <c r="L63" s="145"/>
      <c r="M63" s="57"/>
      <c r="N63" s="57"/>
      <c r="O63" s="145"/>
    </row>
    <row r="64" spans="1:15" s="13" customFormat="1">
      <c r="A64" s="145"/>
      <c r="B64" s="145"/>
      <c r="C64" s="159"/>
      <c r="D64" s="145"/>
      <c r="E64" s="57"/>
      <c r="F64" s="158"/>
      <c r="G64" s="145"/>
      <c r="H64" s="57"/>
      <c r="I64" s="148"/>
      <c r="J64" s="437"/>
      <c r="K64" s="253"/>
      <c r="L64" s="145"/>
      <c r="M64" s="57"/>
      <c r="N64" s="57"/>
      <c r="O64" s="57"/>
    </row>
    <row r="65" spans="1:15" s="13" customFormat="1">
      <c r="A65" s="57"/>
      <c r="B65" s="57"/>
      <c r="C65" s="57"/>
      <c r="D65" s="57"/>
      <c r="E65" s="57"/>
      <c r="F65" s="57"/>
      <c r="G65" s="145"/>
      <c r="H65" s="438" t="s">
        <v>164</v>
      </c>
      <c r="I65" s="439"/>
      <c r="J65" s="440"/>
      <c r="K65" s="284" t="e">
        <f>E48</f>
        <v>#DIV/0!</v>
      </c>
      <c r="L65" s="145"/>
      <c r="M65" s="57"/>
      <c r="N65" s="57"/>
      <c r="O65" s="57"/>
    </row>
    <row r="66" spans="1:15">
      <c r="H66" s="145"/>
      <c r="I66" s="155"/>
      <c r="J66" s="156"/>
      <c r="K66" s="286"/>
      <c r="L66" s="145"/>
    </row>
    <row r="67" spans="1:15">
      <c r="H67" s="438" t="s">
        <v>165</v>
      </c>
      <c r="I67" s="439"/>
      <c r="J67" s="440"/>
      <c r="K67" s="284" t="e">
        <f>E50</f>
        <v>#DIV/0!</v>
      </c>
      <c r="L67" s="145"/>
    </row>
    <row r="68" spans="1:15">
      <c r="H68" s="145"/>
      <c r="I68" s="155"/>
      <c r="J68" s="156"/>
      <c r="K68" s="286"/>
      <c r="L68" s="145"/>
    </row>
    <row r="69" spans="1:15">
      <c r="H69" s="438" t="s">
        <v>166</v>
      </c>
      <c r="I69" s="439"/>
      <c r="J69" s="440"/>
      <c r="K69" s="284" t="e">
        <f>E52</f>
        <v>#DIV/0!</v>
      </c>
      <c r="L69" s="145"/>
    </row>
    <row r="70" spans="1:15">
      <c r="L70" s="145"/>
      <c r="O70" s="145"/>
    </row>
    <row r="71" spans="1:15">
      <c r="O71" s="145"/>
    </row>
    <row r="72" spans="1:15">
      <c r="O72" s="145"/>
    </row>
    <row r="73" spans="1:15">
      <c r="O73" s="145"/>
    </row>
    <row r="74" spans="1:15">
      <c r="O74" s="145"/>
    </row>
    <row r="75" spans="1:15">
      <c r="O75" s="145"/>
    </row>
    <row r="76" spans="1:15">
      <c r="O76" s="145"/>
    </row>
  </sheetData>
  <mergeCells count="7">
    <mergeCell ref="I25:N25"/>
    <mergeCell ref="I17:N17"/>
    <mergeCell ref="E10:F10"/>
    <mergeCell ref="I10:N10"/>
    <mergeCell ref="H1:N2"/>
    <mergeCell ref="H3:N3"/>
    <mergeCell ref="H4:N5"/>
  </mergeCells>
  <conditionalFormatting sqref="O23">
    <cfRule type="cellIs" dxfId="4" priority="1" operator="greaterThan">
      <formula>1</formula>
    </cfRule>
    <cfRule type="cellIs" dxfId="3" priority="2" operator="between">
      <formula>0.999999</formula>
      <formula>0</formula>
    </cfRule>
    <cfRule type="cellIs" dxfId="2"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17"/>
  <sheetViews>
    <sheetView showGridLines="0" zoomScale="70" zoomScaleNormal="70" workbookViewId="0">
      <pane ySplit="10" topLeftCell="A11" activePane="bottomLeft" state="frozen"/>
      <selection activeCell="B1" sqref="B1"/>
      <selection pane="bottomLeft" activeCell="I30" sqref="I30"/>
    </sheetView>
  </sheetViews>
  <sheetFormatPr defaultColWidth="9.109375" defaultRowHeight="13.2"/>
  <cols>
    <col min="1" max="1" width="28.109375" style="57" customWidth="1"/>
    <col min="2" max="2" width="54.6640625" style="57" bestFit="1" customWidth="1"/>
    <col min="3" max="3" width="12.88671875" style="57" customWidth="1"/>
    <col min="4" max="4" width="43.88671875" style="57" bestFit="1" customWidth="1"/>
    <col min="5" max="5" width="15.33203125" style="57" customWidth="1"/>
    <col min="6" max="6" width="12.88671875" style="57" customWidth="1"/>
    <col min="7" max="7" width="12.33203125" style="57" bestFit="1" customWidth="1"/>
    <col min="8" max="8" width="13.6640625" style="57" bestFit="1" customWidth="1"/>
    <col min="9" max="9" width="19.88671875" style="2" customWidth="1"/>
    <col min="10" max="16384" width="9.109375" style="2"/>
  </cols>
  <sheetData>
    <row r="1" spans="1:9">
      <c r="A1" s="503" t="s">
        <v>5</v>
      </c>
      <c r="I1" s="57"/>
    </row>
    <row r="2" spans="1:9">
      <c r="A2" s="103"/>
      <c r="I2" s="57"/>
    </row>
    <row r="3" spans="1:9" ht="15.6">
      <c r="A3" s="38" t="str">
        <f>'2-Kosten per locatie'!A3</f>
        <v>Naam opdrachtgever</v>
      </c>
      <c r="B3" s="161" t="str">
        <f>'2-Kosten per locatie'!B3</f>
        <v>Gemeente Lansingerland</v>
      </c>
      <c r="I3" s="57"/>
    </row>
    <row r="4" spans="1:9" ht="15.6">
      <c r="A4" s="38" t="str">
        <f>'2-Kosten per locatie'!A4</f>
        <v>Calculatie onderdeel</v>
      </c>
      <c r="B4" s="46" t="str">
        <f ca="1">MID(CELL("bestandsnaam",$C$9),SEARCH("]",CELL("bestandsnaam",$C$9),1)+1,256)</f>
        <v>8-Additionele kosten</v>
      </c>
      <c r="I4" s="57"/>
    </row>
    <row r="5" spans="1:9" ht="15.6">
      <c r="A5" s="38" t="str">
        <f>'2-Kosten per locatie'!A5</f>
        <v>Onderdeel</v>
      </c>
      <c r="B5" s="161" t="str">
        <f>'2-Kosten per locatie'!B5</f>
        <v>Perceel 1 Schoonmaak</v>
      </c>
      <c r="I5" s="57"/>
    </row>
    <row r="6" spans="1:9" ht="15.6">
      <c r="A6" s="38" t="str">
        <f>'2-Kosten per locatie'!A6</f>
        <v>Referentie nummer</v>
      </c>
      <c r="B6" s="161" t="str">
        <f>'2-Kosten per locatie'!B6</f>
        <v>TN602303</v>
      </c>
      <c r="I6" s="57"/>
    </row>
    <row r="7" spans="1:9" ht="15" customHeight="1">
      <c r="A7" s="38" t="str">
        <f>'2-Kosten per locatie'!A7</f>
        <v>Naam dienstverlener</v>
      </c>
      <c r="B7" s="161">
        <f>'2-Kosten per locatie'!B7</f>
        <v>0</v>
      </c>
      <c r="I7" s="57"/>
    </row>
    <row r="8" spans="1:9" ht="15.6">
      <c r="A8" s="38" t="str">
        <f>'2-Kosten per locatie'!A8</f>
        <v>Prijspeil</v>
      </c>
      <c r="B8" s="294">
        <f>'2-Kosten per locatie'!B8</f>
        <v>46388</v>
      </c>
      <c r="I8" s="57"/>
    </row>
    <row r="10" spans="1:9" ht="48.6">
      <c r="A10" s="444" t="s">
        <v>20</v>
      </c>
      <c r="B10" s="444" t="s">
        <v>171</v>
      </c>
      <c r="C10" s="444" t="s">
        <v>172</v>
      </c>
      <c r="D10" s="444" t="s">
        <v>173</v>
      </c>
      <c r="E10" s="444" t="s">
        <v>174</v>
      </c>
      <c r="F10" s="444" t="s">
        <v>175</v>
      </c>
      <c r="G10" s="444" t="s">
        <v>176</v>
      </c>
      <c r="H10" s="444" t="s">
        <v>177</v>
      </c>
    </row>
    <row r="11" spans="1:9" ht="26.4">
      <c r="A11" s="318" t="s">
        <v>257</v>
      </c>
      <c r="B11" s="530" t="s">
        <v>661</v>
      </c>
      <c r="C11" s="445">
        <f>9*11</f>
        <v>99</v>
      </c>
      <c r="D11" s="445">
        <v>12</v>
      </c>
      <c r="E11" s="305"/>
      <c r="F11" s="446">
        <f>E11*D11</f>
        <v>0</v>
      </c>
      <c r="G11" s="293"/>
      <c r="H11" s="237">
        <f>G11*F11</f>
        <v>0</v>
      </c>
    </row>
    <row r="12" spans="1:9" ht="79.2">
      <c r="A12" s="318" t="s">
        <v>257</v>
      </c>
      <c r="B12" s="530" t="s">
        <v>662</v>
      </c>
      <c r="C12" s="445">
        <v>1</v>
      </c>
      <c r="D12" s="445">
        <f>52*4</f>
        <v>208</v>
      </c>
      <c r="E12" s="305"/>
      <c r="F12" s="446">
        <f t="shared" ref="F12" si="0">E12*D12</f>
        <v>0</v>
      </c>
      <c r="G12" s="293"/>
      <c r="H12" s="237">
        <f t="shared" ref="H12" si="1">G12*F12</f>
        <v>0</v>
      </c>
    </row>
    <row r="13" spans="1:9">
      <c r="A13" s="101"/>
      <c r="C13" s="84"/>
      <c r="D13" s="84"/>
      <c r="E13" s="84"/>
      <c r="F13" s="84"/>
      <c r="G13" s="84"/>
      <c r="H13" s="84"/>
    </row>
    <row r="14" spans="1:9" ht="32.4">
      <c r="A14" s="444" t="s">
        <v>20</v>
      </c>
      <c r="B14" s="218" t="s">
        <v>178</v>
      </c>
      <c r="C14" s="218"/>
      <c r="D14" s="219"/>
      <c r="E14" s="219"/>
      <c r="F14" s="219"/>
      <c r="G14" s="220"/>
      <c r="H14" s="220" t="s">
        <v>179</v>
      </c>
    </row>
    <row r="15" spans="1:9">
      <c r="A15" s="318" t="s">
        <v>0</v>
      </c>
      <c r="B15" s="71" t="s">
        <v>148</v>
      </c>
      <c r="C15" s="162"/>
      <c r="D15" s="163"/>
      <c r="E15" s="163"/>
      <c r="F15" s="163"/>
      <c r="G15" s="164"/>
      <c r="H15" s="447">
        <f>'12-Machinekosten'!Q30</f>
        <v>0</v>
      </c>
    </row>
    <row r="16" spans="1:9">
      <c r="H16" s="253"/>
    </row>
    <row r="17" spans="1:8" s="12" customFormat="1">
      <c r="A17" s="373" t="s">
        <v>26</v>
      </c>
      <c r="B17" s="385"/>
      <c r="C17" s="385"/>
      <c r="D17" s="385"/>
      <c r="E17" s="385"/>
      <c r="F17" s="448">
        <f>SUM(F11:F12)</f>
        <v>0</v>
      </c>
      <c r="G17" s="385"/>
      <c r="H17" s="289">
        <f>SUM(H11:H16)</f>
        <v>0</v>
      </c>
    </row>
  </sheetData>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56"/>
  <sheetViews>
    <sheetView showGridLines="0" showZeros="0" zoomScaleNormal="100" zoomScaleSheetLayoutView="75" zoomScalePageLayoutView="50" workbookViewId="0">
      <pane ySplit="10" topLeftCell="A11" activePane="bottomLeft" state="frozen"/>
      <selection activeCell="B1" sqref="B1"/>
      <selection pane="bottomLeft" activeCell="F42" activeCellId="3" sqref="C15:F19 E24:F28 E33:F37 F42:F44"/>
    </sheetView>
  </sheetViews>
  <sheetFormatPr defaultColWidth="11.44140625" defaultRowHeight="13.2"/>
  <cols>
    <col min="1" max="1" width="39" style="57" customWidth="1"/>
    <col min="2" max="2" width="20.33203125" style="57" customWidth="1"/>
    <col min="3" max="6" width="17.5546875" style="57" customWidth="1"/>
    <col min="7" max="16384" width="11.44140625" style="2"/>
  </cols>
  <sheetData>
    <row r="1" spans="1:6">
      <c r="A1" s="503" t="s">
        <v>5</v>
      </c>
      <c r="B1" s="165"/>
      <c r="C1" s="165"/>
      <c r="D1" s="166"/>
    </row>
    <row r="2" spans="1:6">
      <c r="A2" s="103"/>
    </row>
    <row r="3" spans="1:6" ht="15.6">
      <c r="A3" s="38" t="str">
        <f>'2-Kosten per locatie'!A3</f>
        <v>Naam opdrachtgever</v>
      </c>
      <c r="B3" s="46" t="str">
        <f>'2-Kosten per locatie'!B3</f>
        <v>Gemeente Lansingerland</v>
      </c>
      <c r="C3" s="167"/>
      <c r="D3" s="167"/>
    </row>
    <row r="4" spans="1:6" ht="15.6">
      <c r="A4" s="38" t="str">
        <f>'2-Kosten per locatie'!A4</f>
        <v>Calculatie onderdeel</v>
      </c>
      <c r="B4" s="46" t="str">
        <f ca="1">MID(CELL("bestandsnaam",$C$9),SEARCH("]",CELL("bestandsnaam",$C$9),1)+1,256)</f>
        <v>9-Afroepprijs</v>
      </c>
      <c r="C4" s="168"/>
      <c r="D4" s="169"/>
    </row>
    <row r="5" spans="1:6" ht="15.6">
      <c r="A5" s="38" t="str">
        <f>'2-Kosten per locatie'!A5</f>
        <v>Onderdeel</v>
      </c>
      <c r="B5" s="46" t="str">
        <f>'2-Kosten per locatie'!B5</f>
        <v>Perceel 1 Schoonmaak</v>
      </c>
      <c r="C5" s="168"/>
      <c r="D5" s="169"/>
    </row>
    <row r="6" spans="1:6" ht="15.6">
      <c r="A6" s="38" t="str">
        <f>'2-Kosten per locatie'!A6</f>
        <v>Referentie nummer</v>
      </c>
      <c r="B6" s="46" t="str">
        <f>'2-Kosten per locatie'!B6</f>
        <v>TN602303</v>
      </c>
      <c r="C6" s="168"/>
      <c r="D6" s="169"/>
    </row>
    <row r="7" spans="1:6" ht="15.6">
      <c r="A7" s="38" t="str">
        <f>'2-Kosten per locatie'!A7</f>
        <v>Naam dienstverlener</v>
      </c>
      <c r="B7" s="46">
        <f>'2-Kosten per locatie'!B7</f>
        <v>0</v>
      </c>
      <c r="C7" s="168"/>
      <c r="D7" s="169"/>
    </row>
    <row r="8" spans="1:6" ht="15.6">
      <c r="A8" s="38" t="str">
        <f>'2-Kosten per locatie'!A8</f>
        <v>Prijspeil</v>
      </c>
      <c r="B8" s="265">
        <f>'2-Kosten per locatie'!B8</f>
        <v>46388</v>
      </c>
      <c r="C8" s="168"/>
      <c r="D8" s="169"/>
    </row>
    <row r="9" spans="1:6" ht="15.6">
      <c r="A9" s="170"/>
      <c r="B9" s="171"/>
      <c r="C9" s="168"/>
      <c r="D9" s="169"/>
    </row>
    <row r="10" spans="1:6">
      <c r="A10" s="172"/>
      <c r="B10" s="173"/>
      <c r="C10" s="173"/>
      <c r="D10" s="173"/>
    </row>
    <row r="11" spans="1:6" ht="18.600000000000001">
      <c r="A11" s="449" t="s">
        <v>180</v>
      </c>
      <c r="B11" s="450"/>
      <c r="C11" s="450"/>
      <c r="D11" s="451"/>
      <c r="E11" s="451"/>
      <c r="F11" s="452"/>
    </row>
    <row r="13" spans="1:6">
      <c r="A13" s="453"/>
      <c r="B13" s="454"/>
      <c r="C13" s="575" t="s">
        <v>181</v>
      </c>
      <c r="D13" s="576"/>
      <c r="E13" s="576"/>
      <c r="F13" s="577"/>
    </row>
    <row r="14" spans="1:6">
      <c r="A14" s="455" t="s">
        <v>182</v>
      </c>
      <c r="B14" s="455" t="s">
        <v>183</v>
      </c>
      <c r="C14" s="456" t="s">
        <v>184</v>
      </c>
      <c r="D14" s="445" t="s">
        <v>185</v>
      </c>
      <c r="E14" s="445" t="s">
        <v>186</v>
      </c>
      <c r="F14" s="445" t="s">
        <v>187</v>
      </c>
    </row>
    <row r="15" spans="1:6">
      <c r="A15" s="457" t="s">
        <v>188</v>
      </c>
      <c r="B15" s="457" t="s">
        <v>189</v>
      </c>
      <c r="C15" s="458"/>
      <c r="D15" s="458"/>
      <c r="E15" s="458"/>
      <c r="F15" s="458"/>
    </row>
    <row r="16" spans="1:6">
      <c r="A16" s="457" t="s">
        <v>190</v>
      </c>
      <c r="B16" s="457" t="s">
        <v>189</v>
      </c>
      <c r="C16" s="458"/>
      <c r="D16" s="458"/>
      <c r="E16" s="458"/>
      <c r="F16" s="458"/>
    </row>
    <row r="17" spans="1:6">
      <c r="A17" s="457" t="s">
        <v>191</v>
      </c>
      <c r="B17" s="457" t="s">
        <v>192</v>
      </c>
      <c r="C17" s="458"/>
      <c r="D17" s="458"/>
      <c r="E17" s="458"/>
      <c r="F17" s="458"/>
    </row>
    <row r="18" spans="1:6">
      <c r="A18" s="455" t="s">
        <v>193</v>
      </c>
      <c r="B18" s="459"/>
      <c r="C18" s="458"/>
      <c r="D18" s="458"/>
      <c r="E18" s="458"/>
      <c r="F18" s="458"/>
    </row>
    <row r="19" spans="1:6">
      <c r="A19" s="455" t="s">
        <v>194</v>
      </c>
      <c r="B19" s="459"/>
      <c r="C19" s="458"/>
      <c r="D19" s="458"/>
      <c r="E19" s="458"/>
      <c r="F19" s="458"/>
    </row>
    <row r="20" spans="1:6">
      <c r="A20" s="174"/>
      <c r="B20" s="174"/>
      <c r="C20" s="174"/>
      <c r="D20" s="165"/>
    </row>
    <row r="21" spans="1:6" ht="18.600000000000001">
      <c r="A21" s="449" t="s">
        <v>195</v>
      </c>
      <c r="B21" s="460"/>
      <c r="C21" s="460"/>
      <c r="D21" s="460"/>
      <c r="E21" s="460"/>
      <c r="F21" s="461"/>
    </row>
    <row r="22" spans="1:6">
      <c r="A22" s="175"/>
      <c r="B22" s="174"/>
      <c r="C22" s="174"/>
      <c r="D22" s="165"/>
      <c r="E22" s="575" t="s">
        <v>196</v>
      </c>
      <c r="F22" s="577"/>
    </row>
    <row r="23" spans="1:6">
      <c r="A23" s="455" t="s">
        <v>197</v>
      </c>
      <c r="B23" s="462" t="s">
        <v>183</v>
      </c>
      <c r="C23" s="463"/>
      <c r="D23" s="464"/>
      <c r="E23" s="465" t="s">
        <v>198</v>
      </c>
      <c r="F23" s="465" t="s">
        <v>199</v>
      </c>
    </row>
    <row r="24" spans="1:6">
      <c r="A24" s="457" t="s">
        <v>200</v>
      </c>
      <c r="B24" s="459" t="s">
        <v>201</v>
      </c>
      <c r="C24" s="203"/>
      <c r="D24" s="203"/>
      <c r="E24" s="458"/>
      <c r="F24" s="458"/>
    </row>
    <row r="25" spans="1:6">
      <c r="A25" s="457" t="s">
        <v>202</v>
      </c>
      <c r="B25" s="459" t="s">
        <v>201</v>
      </c>
      <c r="C25" s="466"/>
      <c r="D25" s="466"/>
      <c r="E25" s="458"/>
      <c r="F25" s="458"/>
    </row>
    <row r="26" spans="1:6">
      <c r="A26" s="457" t="s">
        <v>203</v>
      </c>
      <c r="B26" s="459" t="s">
        <v>201</v>
      </c>
      <c r="C26" s="466"/>
      <c r="D26" s="466"/>
      <c r="E26" s="458"/>
      <c r="F26" s="458"/>
    </row>
    <row r="27" spans="1:6">
      <c r="A27" s="457" t="s">
        <v>204</v>
      </c>
      <c r="B27" s="459" t="s">
        <v>201</v>
      </c>
      <c r="C27" s="467"/>
      <c r="D27" s="466"/>
      <c r="E27" s="458"/>
      <c r="F27" s="458"/>
    </row>
    <row r="28" spans="1:6">
      <c r="A28" s="457" t="s">
        <v>205</v>
      </c>
      <c r="B28" s="459" t="s">
        <v>201</v>
      </c>
      <c r="C28" s="467"/>
      <c r="D28" s="466"/>
      <c r="E28" s="458"/>
      <c r="F28" s="458"/>
    </row>
    <row r="29" spans="1:6">
      <c r="A29" s="176"/>
      <c r="B29" s="177"/>
      <c r="C29" s="177"/>
      <c r="D29" s="176"/>
    </row>
    <row r="30" spans="1:6" ht="18.600000000000001">
      <c r="A30" s="449" t="s">
        <v>206</v>
      </c>
      <c r="B30" s="460"/>
      <c r="C30" s="460"/>
      <c r="D30" s="460"/>
      <c r="E30" s="460"/>
      <c r="F30" s="461"/>
    </row>
    <row r="31" spans="1:6">
      <c r="A31" s="468"/>
      <c r="B31" s="468"/>
      <c r="C31" s="468"/>
      <c r="D31" s="468"/>
    </row>
    <row r="32" spans="1:6" ht="26.4">
      <c r="A32" s="469" t="s">
        <v>207</v>
      </c>
      <c r="B32" s="470" t="s">
        <v>183</v>
      </c>
      <c r="C32" s="463"/>
      <c r="D32" s="464"/>
      <c r="E32" s="471" t="s">
        <v>208</v>
      </c>
      <c r="F32" s="472" t="s">
        <v>209</v>
      </c>
    </row>
    <row r="33" spans="1:6">
      <c r="A33" s="457" t="s">
        <v>210</v>
      </c>
      <c r="B33" s="459" t="s">
        <v>201</v>
      </c>
      <c r="C33" s="203"/>
      <c r="D33" s="203"/>
      <c r="E33" s="458"/>
      <c r="F33" s="458"/>
    </row>
    <row r="34" spans="1:6">
      <c r="A34" s="457" t="s">
        <v>211</v>
      </c>
      <c r="B34" s="459" t="s">
        <v>201</v>
      </c>
      <c r="C34" s="466"/>
      <c r="D34" s="466"/>
      <c r="E34" s="458"/>
      <c r="F34" s="458"/>
    </row>
    <row r="35" spans="1:6">
      <c r="A35" s="457" t="s">
        <v>212</v>
      </c>
      <c r="B35" s="459" t="s">
        <v>201</v>
      </c>
      <c r="C35" s="467"/>
      <c r="D35" s="466"/>
      <c r="E35" s="458"/>
      <c r="F35" s="458"/>
    </row>
    <row r="36" spans="1:6">
      <c r="A36" s="457" t="s">
        <v>213</v>
      </c>
      <c r="B36" s="459" t="s">
        <v>201</v>
      </c>
      <c r="C36" s="467"/>
      <c r="D36" s="466"/>
      <c r="E36" s="458"/>
      <c r="F36" s="458"/>
    </row>
    <row r="37" spans="1:6">
      <c r="A37" s="457" t="s">
        <v>214</v>
      </c>
      <c r="B37" s="459" t="s">
        <v>201</v>
      </c>
      <c r="C37" s="467"/>
      <c r="D37" s="466"/>
      <c r="E37" s="458"/>
      <c r="F37" s="458"/>
    </row>
    <row r="39" spans="1:6" ht="18.600000000000001">
      <c r="A39" s="449" t="s">
        <v>215</v>
      </c>
      <c r="B39" s="460"/>
      <c r="C39" s="460"/>
      <c r="D39" s="460"/>
      <c r="E39" s="460"/>
      <c r="F39" s="461"/>
    </row>
    <row r="40" spans="1:6">
      <c r="A40" s="175"/>
      <c r="B40" s="174"/>
      <c r="C40" s="174"/>
      <c r="D40" s="165"/>
    </row>
    <row r="41" spans="1:6">
      <c r="A41" s="455" t="s">
        <v>182</v>
      </c>
      <c r="B41" s="453" t="s">
        <v>183</v>
      </c>
      <c r="C41" s="468"/>
      <c r="D41" s="468"/>
      <c r="E41" s="468"/>
      <c r="F41" s="473" t="s">
        <v>216</v>
      </c>
    </row>
    <row r="42" spans="1:6">
      <c r="A42" s="457" t="s">
        <v>217</v>
      </c>
      <c r="B42" s="178" t="s">
        <v>218</v>
      </c>
      <c r="C42" s="178"/>
      <c r="D42" s="178"/>
      <c r="E42" s="178"/>
      <c r="F42" s="458"/>
    </row>
    <row r="43" spans="1:6">
      <c r="A43" s="457" t="s">
        <v>217</v>
      </c>
      <c r="B43" s="178" t="s">
        <v>219</v>
      </c>
      <c r="C43" s="178"/>
      <c r="D43" s="178"/>
      <c r="E43" s="178"/>
      <c r="F43" s="458"/>
    </row>
    <row r="44" spans="1:6">
      <c r="A44" s="457" t="s">
        <v>217</v>
      </c>
      <c r="B44" s="178" t="s">
        <v>220</v>
      </c>
      <c r="C44" s="178"/>
      <c r="D44" s="178"/>
      <c r="E44" s="178"/>
      <c r="F44" s="458"/>
    </row>
    <row r="45" spans="1:6">
      <c r="A45" s="174"/>
      <c r="B45" s="165"/>
      <c r="C45" s="165"/>
      <c r="D45" s="174"/>
    </row>
    <row r="46" spans="1:6" ht="15.6">
      <c r="A46" s="221" t="s">
        <v>221</v>
      </c>
      <c r="B46" s="165"/>
      <c r="C46" s="165"/>
      <c r="D46" s="174"/>
    </row>
    <row r="47" spans="1:6">
      <c r="A47" s="174" t="s">
        <v>222</v>
      </c>
    </row>
    <row r="48" spans="1:6">
      <c r="A48" s="174" t="s">
        <v>223</v>
      </c>
      <c r="B48" s="165"/>
      <c r="C48" s="165"/>
      <c r="D48" s="174"/>
    </row>
    <row r="49" spans="1:4" ht="12.75" customHeight="1">
      <c r="A49" s="174"/>
      <c r="B49" s="165"/>
      <c r="C49" s="165"/>
      <c r="D49" s="174"/>
    </row>
    <row r="50" spans="1:4">
      <c r="A50" s="174"/>
      <c r="B50" s="165"/>
      <c r="C50" s="165"/>
      <c r="D50" s="174"/>
    </row>
    <row r="51" spans="1:4">
      <c r="A51" s="174"/>
      <c r="B51" s="165"/>
      <c r="C51" s="165"/>
      <c r="D51" s="174"/>
    </row>
    <row r="53" spans="1:4">
      <c r="A53" s="179"/>
      <c r="B53" s="165"/>
      <c r="C53" s="165"/>
      <c r="D53" s="165"/>
    </row>
    <row r="54" spans="1:4">
      <c r="A54" s="179"/>
    </row>
    <row r="55" spans="1:4">
      <c r="A55" s="179"/>
    </row>
    <row r="56" spans="1:4">
      <c r="A56" s="179"/>
    </row>
  </sheetData>
  <mergeCells count="2">
    <mergeCell ref="C13:F13"/>
    <mergeCell ref="E22:F22"/>
  </mergeCells>
  <phoneticPr fontId="11"/>
  <conditionalFormatting sqref="E24:F37">
    <cfRule type="cellIs" dxfId="1" priority="3" stopIfTrue="1" operator="equal">
      <formula>"nvt"</formula>
    </cfRule>
  </conditionalFormatting>
  <conditionalFormatting sqref="F42:F44">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78a7a5468991e359e576355340f4f657">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a376fbf08105f2ebb6138b5316753209"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3E4837-CE50-4A32-A54A-9639DA900BA8}">
  <ds:schemaRefs>
    <ds:schemaRef ds:uri="http://schemas.microsoft.com/office/2006/metadata/properties"/>
    <ds:schemaRef ds:uri="http://purl.org/dc/terms/"/>
    <ds:schemaRef ds:uri="http://www.w3.org/XML/1998/namespace"/>
    <ds:schemaRef ds:uri="http://purl.org/dc/dcmitype/"/>
    <ds:schemaRef ds:uri="http://purl.org/dc/elements/1.1/"/>
    <ds:schemaRef ds:uri="http://schemas.microsoft.com/office/infopath/2007/PartnerControls"/>
    <ds:schemaRef ds:uri="cdf3e959-8d05-4aaa-9efb-590277d127e5"/>
    <ds:schemaRef ds:uri="http://schemas.microsoft.com/office/2006/documentManagement/types"/>
    <ds:schemaRef ds:uri="http://schemas.openxmlformats.org/package/2006/metadata/core-properties"/>
  </ds:schemaRefs>
</ds:datastoreItem>
</file>

<file path=customXml/itemProps2.xml><?xml version="1.0" encoding="utf-8"?>
<ds:datastoreItem xmlns:ds="http://schemas.openxmlformats.org/officeDocument/2006/customXml" ds:itemID="{CB9357A0-74EE-4EF5-91F0-DC5FEC2CAEE1}">
  <ds:schemaRefs>
    <ds:schemaRef ds:uri="http://schemas.microsoft.com/sharepoint/v3/contenttype/forms"/>
  </ds:schemaRefs>
</ds:datastoreItem>
</file>

<file path=customXml/itemProps3.xml><?xml version="1.0" encoding="utf-8"?>
<ds:datastoreItem xmlns:ds="http://schemas.openxmlformats.org/officeDocument/2006/customXml" ds:itemID="{2F170E02-3DD0-48B3-BD9B-1F0DA49E91A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17</vt:i4>
      </vt:variant>
    </vt:vector>
  </HeadingPairs>
  <TitlesOfParts>
    <vt:vector size="29"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10-Vloeronderhoud</vt:lpstr>
      <vt:lpstr>11-Sanitaire voorzieningen</vt:lpstr>
      <vt:lpstr>12-Machinekosten</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'9-Afroepprijs'!Afdrukbereik</vt:lpstr>
      <vt:lpstr>'10-Vloeronderhoud'!Afdruktitels</vt:lpstr>
      <vt:lpstr>'11-Sanitaire voorzieningen'!Afdruktitels</vt:lpstr>
      <vt:lpstr>'2-Kosten per locatie'!Afdruktitels</vt:lpstr>
      <vt:lpstr>'4-Basis ruimtestaat'!Afdruktitels</vt:lpstr>
      <vt:lpstr>'6-Opbouw uurtarief productie'!Afdruktitels</vt:lpstr>
      <vt:lpstr>'9-Afroepprijs'!Afdruktitels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Stef den Boer | CONTRAST</cp:lastModifiedBy>
  <cp:revision/>
  <dcterms:created xsi:type="dcterms:W3CDTF">1999-10-05T12:28:40Z</dcterms:created>
  <dcterms:modified xsi:type="dcterms:W3CDTF">2026-07-16T12:35:06Z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