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4.xml" ContentType="application/vnd.ms-excel.controlproperties+xml"/>
  <Override PartName="/xl/drawings/drawing7.xml" ContentType="application/vnd.openxmlformats-officedocument.drawing+xml"/>
  <Override PartName="/xl/ctrlProps/ctrlProp5.xml" ContentType="application/vnd.ms-excel.controlproperties+xml"/>
  <Override PartName="/xl/drawings/drawing8.xml" ContentType="application/vnd.openxmlformats-officedocument.drawing+xml"/>
  <Override PartName="/xl/ctrlProps/ctrlProp6.xml" ContentType="application/vnd.ms-excel.controlproperties+xml"/>
  <Override PartName="/xl/drawings/drawing9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xis.sharepoint.com/sites/SWO-260120267/Besloten documenten/003 Inkoop/Bijlagen/Gunningscriterium 4 Duurzaamheid/"/>
    </mc:Choice>
  </mc:AlternateContent>
  <xr:revisionPtr revIDLastSave="0" documentId="8_{3F43F8B8-9BAA-4C56-97B6-CA601167C9FD}" xr6:coauthVersionLast="47" xr6:coauthVersionMax="47" xr10:uidLastSave="{00000000-0000-0000-0000-000000000000}"/>
  <bookViews>
    <workbookView xWindow="-110" yWindow="-110" windowWidth="19420" windowHeight="11500" activeTab="2" xr2:uid="{A81738C0-F212-4C3F-85B9-F4AA33E5F06B}"/>
  </bookViews>
  <sheets>
    <sheet name="Introduction" sheetId="32" r:id="rId1"/>
    <sheet name="Goal" sheetId="1" state="veryHidden" r:id="rId2"/>
    <sheet name="Start - Tender" sheetId="5" r:id="rId3"/>
    <sheet name="Start - Prepare tender" sheetId="19" state="veryHidden" r:id="rId4"/>
    <sheet name="Start - Insight" sheetId="22" state="veryHidden" r:id="rId5"/>
    <sheet name="Asset #1" sheetId="21" r:id="rId6"/>
    <sheet name="Asset #2" sheetId="35" r:id="rId7"/>
    <sheet name="Asset #3" sheetId="36" state="veryHidden" r:id="rId8"/>
    <sheet name="Results" sheetId="12" r:id="rId9"/>
    <sheet name="BI - Data + Results" sheetId="16" state="veryHidden" r:id="rId10"/>
    <sheet name="BI - References" sheetId="25" state="veryHidden" r:id="rId11"/>
    <sheet name="BI - Dropdown" sheetId="3" state="veryHidden" r:id="rId12"/>
    <sheet name="BI - Version_history" sheetId="18" state="veryHidden" r:id="rId13"/>
    <sheet name="BI - Extra buttons" sheetId="28" state="veryHidden" r:id="rId14"/>
  </sheets>
  <definedNames>
    <definedName name="asset_based_on_passport" localSheetId="5">'Asset #1'!$C$21</definedName>
    <definedName name="asset_based_on_passport" localSheetId="6">'Asset #2'!$C$21</definedName>
    <definedName name="asset_based_on_passport" localSheetId="7">'Asset #3'!$C$21</definedName>
    <definedName name="asset_dependent_GWP_switch_gas1" localSheetId="5">'Asset #1'!$C$174</definedName>
    <definedName name="asset_dependent_GWP_switch_gas1" localSheetId="6">'Asset #2'!$C$174</definedName>
    <definedName name="asset_dependent_GWP_switch_gas1" localSheetId="7">'Asset #3'!$C$174</definedName>
    <definedName name="asset_dependent_GWP_switch_gas2" localSheetId="5">'Asset #1'!$C$175</definedName>
    <definedName name="asset_dependent_GWP_switch_gas2" localSheetId="6">'Asset #2'!$C$175</definedName>
    <definedName name="asset_dependent_GWP_switch_gas2" localSheetId="7">'Asset #3'!$C$175</definedName>
    <definedName name="asset_start_date_passport" localSheetId="5">'Asset #1'!$C$22</definedName>
    <definedName name="asset_start_date_passport" localSheetId="6">'Asset #2'!$C$22</definedName>
    <definedName name="asset_start_date_passport" localSheetId="7">'Asset #3'!$C$22</definedName>
    <definedName name="asset_type_switch_gas" localSheetId="5">'Asset #1'!$C$173</definedName>
    <definedName name="asset_type_switch_gas" localSheetId="6">'Asset #2'!$C$173</definedName>
    <definedName name="asset_type_switch_gas" localSheetId="7">'Asset #3'!$C$173</definedName>
    <definedName name="asset_weight_other_material" localSheetId="5">'Asset #1'!$C$108</definedName>
    <definedName name="asset_weight_other_material" localSheetId="6">'Asset #2'!$C$108</definedName>
    <definedName name="asset_weight_other_material" localSheetId="7">'Asset #3'!$C$108</definedName>
    <definedName name="BI_ref_assembly_energy_tender">'BI - References'!$C$73</definedName>
    <definedName name="BI_ref_asset">'BI - References'!$E$8</definedName>
    <definedName name="BI_ref_asset_and_subasset">'BI - References'!$D$60</definedName>
    <definedName name="BI_ref_assetname_electricity_cable">'BI - References'!$C$65</definedName>
    <definedName name="BI_ref_assetname_gas_tube">'BI - References'!$C$66</definedName>
    <definedName name="BI_ref_assetname_other_asset">'BI - References'!$C$70</definedName>
    <definedName name="BI_ref_assetname_switch_gear">'BI - References'!$C$67</definedName>
    <definedName name="BI_ref_assetname_transformer">'BI - References'!$C$68</definedName>
    <definedName name="BI_ref_assetname_transformer_substation">'BI - References'!$C$69</definedName>
    <definedName name="BI_ref_baseline_circ">'BI - References'!$E$44</definedName>
    <definedName name="BI_ref_baseline_conflict">'BI - References'!$E$45</definedName>
    <definedName name="BI_ref_baseline_GWP_per_year">'BI - References'!$E$43</definedName>
    <definedName name="BI_ref_baseline_GWP_total">'BI - References'!$D$58</definedName>
    <definedName name="BI_ref_baseline_lifetime">'BI - References'!$E$46</definedName>
    <definedName name="BI_ref_baseline_price">'BI - References'!$E$47</definedName>
    <definedName name="BI_ref_environmental_price">'BI - References'!$E$49</definedName>
    <definedName name="BI_ref_functional_unit">'BI - References'!$D$57</definedName>
    <definedName name="BI_Ref_g_kg">'BI - References'!$D$62</definedName>
    <definedName name="BI_ref_goalname_insight">'BI - References'!$C$71</definedName>
    <definedName name="BI_ref_goalname_tender">'BI - References'!$C$72</definedName>
    <definedName name="BI_ref_losses">'BI - References'!$E$15</definedName>
    <definedName name="BI_ref_losses_switchgear">'BI - References'!$E$21</definedName>
    <definedName name="BI_ref_losses_transformer">'BI - References'!$E$41</definedName>
    <definedName name="BI_REF_multiplier_kg_g">'BI - References'!$D$61</definedName>
    <definedName name="BI_ref_number">'BI - References'!$E$51</definedName>
    <definedName name="BI_ref_number_of_functionalities">'BI - References'!$E$20</definedName>
    <definedName name="BI_ref_selected_goal">'BI - References'!$D$56</definedName>
    <definedName name="BI_ref_subasset">'BI - References'!$E$9</definedName>
    <definedName name="dd_asset_insight">'BI - Dropdown'!$C$5:$C$11</definedName>
    <definedName name="dd_asset_tender">'BI - Dropdown'!$B$5:$B$10</definedName>
    <definedName name="dd_empty">'BI - Dropdown'!$H$29</definedName>
    <definedName name="dd_eol">'BI - Dropdown'!$M$5:$M$7</definedName>
    <definedName name="dd_filled_in_by">'BI - Dropdown'!$E$5:$E$7</definedName>
    <definedName name="dd_funtional_unit">'BI - Dropdown'!$N$5:$N$7</definedName>
    <definedName name="dd_legend_demo_dropdown">'BI - Dropdown'!$G$29:$G$32</definedName>
    <definedName name="dd_materials_used_in_asset">'BI - Dropdown'!$D$29:$D$30</definedName>
    <definedName name="dd_network_operator">'BI - Dropdown'!$C$29:$C$32</definedName>
    <definedName name="dd_number">'BI - Dropdown'!$D$5:$D$8</definedName>
    <definedName name="dd_number_of_fields">'BI - Dropdown'!$F$29:$F$35</definedName>
    <definedName name="dd_number_of_phases">'BI - Dropdown'!$E$29:$E$31</definedName>
    <definedName name="dd_rec_down">'BI - Dropdown'!$L$5:$L$8</definedName>
    <definedName name="dd_subasset_cable">'BI - Dropdown'!$G$5:$G$12</definedName>
    <definedName name="dd_subasset_gas_tube">'BI - Dropdown'!$K$5:$K$9</definedName>
    <definedName name="dd_subasset_generic">'BI - Dropdown'!$B$29:$B$30</definedName>
    <definedName name="dd_subasset_switch_gear">'BI - Dropdown'!$H$5:$H$9</definedName>
    <definedName name="dd_subasset_transformer">'BI - Dropdown'!$I$5:$I$17</definedName>
    <definedName name="dd_subasset_transformer_substation">'BI - Dropdown'!$J$5:$J$10</definedName>
    <definedName name="dd_switchgas">'BI - Dropdown'!$O$5:$O$7</definedName>
    <definedName name="dd_yes_no">'BI - Dropdown'!$F$5:$F$7</definedName>
    <definedName name="last_visible_cell" localSheetId="5">'Asset #1'!$G$181</definedName>
    <definedName name="last_visible_cell" localSheetId="6">'Asset #2'!$G$181</definedName>
    <definedName name="last_visible_cell" localSheetId="7">'Asset #3'!$G$181</definedName>
    <definedName name="last_visible_cell" localSheetId="1">Goal!$M$35</definedName>
    <definedName name="last_visible_cell" localSheetId="0">Introduction!$M$54</definedName>
    <definedName name="last_visible_cell" localSheetId="8">Results!$I$60</definedName>
    <definedName name="last_visible_cell" localSheetId="4">'Start - Insight'!$G$63</definedName>
    <definedName name="last_visible_cell" localSheetId="3">'Start - Prepare tender'!$G$68</definedName>
    <definedName name="last_visible_cell" localSheetId="2">'Start - Tender'!$G$35</definedName>
    <definedName name="start_insight_asset">'Start - Insight'!$C$14</definedName>
    <definedName name="start_insight_baseline_circ">'Start - Insight'!$C$48</definedName>
    <definedName name="start_insight_baseline_conflict">'Start - Insight'!#REF!</definedName>
    <definedName name="start_insight_baseline_GWP">'Start - Insight'!$C$47</definedName>
    <definedName name="start_insight_baseline_lifetime">'Start - Insight'!$C$49</definedName>
    <definedName name="start_insight_baseline_price">'Start - Insight'!$C$50</definedName>
    <definedName name="start_insight_energy_losses">'Start - Insight'!$C$22</definedName>
    <definedName name="start_insight_energy_losses_switchgear">'Start - Insight'!$C$29</definedName>
    <definedName name="start_insight_energy_losses_transformer">'Start - Insight'!$C$44</definedName>
    <definedName name="start_insight_number">'Start - Insight'!$C$56</definedName>
    <definedName name="start_insight_number_of_functionalities">'Start - Insight'!$C$28</definedName>
    <definedName name="start_insight_subasset">'Start - Insight'!$C$15</definedName>
    <definedName name="start_prepare_asset">'Start - Prepare tender'!$C$17</definedName>
    <definedName name="start_prepare_baseline_circ">'Start - Prepare tender'!$C$55</definedName>
    <definedName name="start_prepare_baseline_conflict">'Start - Prepare tender'!#REF!</definedName>
    <definedName name="start_prepare_baseline_GWP">'Start - Prepare tender'!$C$54</definedName>
    <definedName name="start_prepare_baseline_lifetime">'Start - Prepare tender'!$C$56</definedName>
    <definedName name="start_prepare_energy">'Start - Prepare tender'!$C$21</definedName>
    <definedName name="start_prepare_energy_losses">'Start - Prepare tender'!$C$29</definedName>
    <definedName name="start_prepare_energy_losses_switchgear">'Start - Prepare tender'!$C$36</definedName>
    <definedName name="start_prepare_energy_losses_transformer">'Start - Prepare tender'!$C$51</definedName>
    <definedName name="start_prepare_network_operator_contact">'Start - Prepare tender'!$C$14</definedName>
    <definedName name="start_prepare_network_operator_name">'Start - Prepare tender'!$C$13</definedName>
    <definedName name="start_prepare_number_functionalities">'Start - Prepare tender'!$C$35</definedName>
    <definedName name="start_prepare_subasset">'Start - Prepare tender'!$C$18</definedName>
    <definedName name="start_tender_number">'Start - Tender'!$C$27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" i="36" l="1"/>
  <c r="C52" i="36"/>
  <c r="D142" i="16" l="1"/>
  <c r="C41" i="25"/>
  <c r="D41" i="25"/>
  <c r="E41" i="25" s="1"/>
  <c r="G213" i="16" s="1"/>
  <c r="C21" i="25"/>
  <c r="D21" i="25"/>
  <c r="C24" i="36"/>
  <c r="C24" i="35"/>
  <c r="C24" i="21"/>
  <c r="E21" i="25" l="1"/>
  <c r="F213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G38" i="16"/>
  <c r="AG39" i="16"/>
  <c r="AG40" i="16"/>
  <c r="AG41" i="16"/>
  <c r="AG42" i="16"/>
  <c r="AG43" i="16"/>
  <c r="AG44" i="16"/>
  <c r="AG45" i="16"/>
  <c r="AG46" i="16"/>
  <c r="AG47" i="16"/>
  <c r="AG48" i="16"/>
  <c r="AG49" i="16"/>
  <c r="AG50" i="16"/>
  <c r="AG51" i="16"/>
  <c r="AG52" i="16"/>
  <c r="AG53" i="16"/>
  <c r="AG54" i="16"/>
  <c r="AG55" i="16"/>
  <c r="AG56" i="16"/>
  <c r="AG57" i="16"/>
  <c r="AG58" i="16"/>
  <c r="AG59" i="16"/>
  <c r="AG60" i="16"/>
  <c r="AG61" i="16"/>
  <c r="AG62" i="16"/>
  <c r="AG63" i="16"/>
  <c r="AG64" i="16"/>
  <c r="AG65" i="16"/>
  <c r="AG66" i="16"/>
  <c r="AG67" i="16"/>
  <c r="AG68" i="16"/>
  <c r="AG69" i="16"/>
  <c r="AG70" i="16"/>
  <c r="AG71" i="16"/>
  <c r="AG72" i="16"/>
  <c r="AG73" i="16"/>
  <c r="AG74" i="16"/>
  <c r="AG75" i="16"/>
  <c r="AG76" i="16"/>
  <c r="AG77" i="16"/>
  <c r="AG78" i="16"/>
  <c r="AG79" i="16"/>
  <c r="AG80" i="16"/>
  <c r="AG81" i="16"/>
  <c r="AG82" i="16"/>
  <c r="AG83" i="16"/>
  <c r="AG84" i="16"/>
  <c r="AG85" i="16"/>
  <c r="AG86" i="16"/>
  <c r="AG87" i="16"/>
  <c r="AG88" i="16"/>
  <c r="AG89" i="16"/>
  <c r="AG90" i="16"/>
  <c r="AG91" i="16"/>
  <c r="AG92" i="16"/>
  <c r="AG93" i="16"/>
  <c r="AG94" i="16"/>
  <c r="AG95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Y49" i="16"/>
  <c r="Y50" i="16"/>
  <c r="Y51" i="16"/>
  <c r="Y52" i="16"/>
  <c r="Y53" i="16"/>
  <c r="Y54" i="16"/>
  <c r="Y55" i="16"/>
  <c r="Y56" i="16"/>
  <c r="Y57" i="16"/>
  <c r="Y58" i="16"/>
  <c r="Y59" i="16"/>
  <c r="Y60" i="16"/>
  <c r="Y61" i="16"/>
  <c r="Y62" i="16"/>
  <c r="Y63" i="16"/>
  <c r="Y64" i="16"/>
  <c r="Y65" i="16"/>
  <c r="Y66" i="16"/>
  <c r="Y67" i="16"/>
  <c r="Y68" i="16"/>
  <c r="Y69" i="16"/>
  <c r="Y70" i="16"/>
  <c r="Y71" i="16"/>
  <c r="Y72" i="16"/>
  <c r="Y73" i="16"/>
  <c r="Y74" i="16"/>
  <c r="Y75" i="16"/>
  <c r="Y76" i="16"/>
  <c r="Y77" i="16"/>
  <c r="Y78" i="16"/>
  <c r="Y79" i="16"/>
  <c r="Y80" i="16"/>
  <c r="Y81" i="16"/>
  <c r="Y82" i="16"/>
  <c r="Y83" i="16"/>
  <c r="Y84" i="16"/>
  <c r="Y85" i="16"/>
  <c r="Y86" i="16"/>
  <c r="Y87" i="16"/>
  <c r="Y88" i="16"/>
  <c r="Y89" i="16"/>
  <c r="Y90" i="16"/>
  <c r="Y91" i="16"/>
  <c r="Y92" i="16"/>
  <c r="Y93" i="16"/>
  <c r="Y94" i="16"/>
  <c r="Y95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5" i="16"/>
  <c r="X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62" i="16"/>
  <c r="X63" i="16"/>
  <c r="X64" i="16"/>
  <c r="X65" i="16"/>
  <c r="X66" i="16"/>
  <c r="X67" i="16"/>
  <c r="X68" i="16"/>
  <c r="X69" i="16"/>
  <c r="X70" i="16"/>
  <c r="X71" i="16"/>
  <c r="X72" i="16"/>
  <c r="X73" i="16"/>
  <c r="X74" i="16"/>
  <c r="X75" i="16"/>
  <c r="X76" i="16"/>
  <c r="X77" i="16"/>
  <c r="X78" i="16"/>
  <c r="X79" i="16"/>
  <c r="X80" i="16"/>
  <c r="X81" i="16"/>
  <c r="X82" i="16"/>
  <c r="X83" i="16"/>
  <c r="X84" i="16"/>
  <c r="X85" i="16"/>
  <c r="X86" i="16"/>
  <c r="X87" i="16"/>
  <c r="X88" i="16"/>
  <c r="X89" i="16"/>
  <c r="X90" i="16"/>
  <c r="X91" i="16"/>
  <c r="X92" i="16"/>
  <c r="X93" i="16"/>
  <c r="X94" i="16"/>
  <c r="X95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F113" i="16"/>
  <c r="E113" i="16"/>
  <c r="D113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E30" i="16"/>
  <c r="AE31" i="16"/>
  <c r="AE32" i="16"/>
  <c r="AE33" i="16"/>
  <c r="AE34" i="16"/>
  <c r="AE35" i="16"/>
  <c r="AE36" i="16"/>
  <c r="AE37" i="16"/>
  <c r="AE38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E56" i="16"/>
  <c r="AE57" i="16"/>
  <c r="AE58" i="16"/>
  <c r="AE59" i="16"/>
  <c r="AE60" i="16"/>
  <c r="AE61" i="16"/>
  <c r="AE62" i="16"/>
  <c r="AE63" i="16"/>
  <c r="AE64" i="16"/>
  <c r="AE65" i="16"/>
  <c r="AE66" i="16"/>
  <c r="AE67" i="16"/>
  <c r="AE68" i="16"/>
  <c r="AE69" i="16"/>
  <c r="AE70" i="16"/>
  <c r="AE71" i="16"/>
  <c r="AE72" i="16"/>
  <c r="AE73" i="16"/>
  <c r="AE74" i="16"/>
  <c r="AE75" i="16"/>
  <c r="AE76" i="16"/>
  <c r="AE77" i="16"/>
  <c r="AE78" i="16"/>
  <c r="AE79" i="16"/>
  <c r="AE80" i="16"/>
  <c r="AE81" i="16"/>
  <c r="AE82" i="16"/>
  <c r="AE83" i="16"/>
  <c r="AE84" i="16"/>
  <c r="AE85" i="16"/>
  <c r="AE86" i="16"/>
  <c r="AE87" i="16"/>
  <c r="AE88" i="16"/>
  <c r="AE89" i="16"/>
  <c r="AE90" i="16"/>
  <c r="AE91" i="16"/>
  <c r="AE92" i="16"/>
  <c r="AE93" i="16"/>
  <c r="AE94" i="16"/>
  <c r="AE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2" i="16"/>
  <c r="W33" i="16"/>
  <c r="W34" i="16"/>
  <c r="W35" i="16"/>
  <c r="W36" i="16"/>
  <c r="W37" i="16"/>
  <c r="W38" i="16"/>
  <c r="W40" i="16"/>
  <c r="W41" i="16"/>
  <c r="W42" i="16"/>
  <c r="W43" i="16"/>
  <c r="W44" i="16"/>
  <c r="W45" i="16"/>
  <c r="W46" i="16"/>
  <c r="W47" i="16"/>
  <c r="W48" i="16"/>
  <c r="W49" i="16"/>
  <c r="W50" i="16"/>
  <c r="W51" i="16"/>
  <c r="W52" i="16"/>
  <c r="W53" i="16"/>
  <c r="W54" i="16"/>
  <c r="W55" i="16"/>
  <c r="W56" i="16"/>
  <c r="W57" i="16"/>
  <c r="W58" i="16"/>
  <c r="W59" i="16"/>
  <c r="W60" i="16"/>
  <c r="W61" i="16"/>
  <c r="W62" i="16"/>
  <c r="W63" i="16"/>
  <c r="W64" i="16"/>
  <c r="W65" i="16"/>
  <c r="W66" i="16"/>
  <c r="W67" i="16"/>
  <c r="W68" i="16"/>
  <c r="W69" i="16"/>
  <c r="W70" i="16"/>
  <c r="W71" i="16"/>
  <c r="W72" i="16"/>
  <c r="W73" i="16"/>
  <c r="W74" i="16"/>
  <c r="W75" i="16"/>
  <c r="W76" i="16"/>
  <c r="W77" i="16"/>
  <c r="W78" i="16"/>
  <c r="W79" i="16"/>
  <c r="W80" i="16"/>
  <c r="W81" i="16"/>
  <c r="W82" i="16"/>
  <c r="W83" i="16"/>
  <c r="W84" i="16"/>
  <c r="W85" i="16"/>
  <c r="W86" i="16"/>
  <c r="W87" i="16"/>
  <c r="W88" i="16"/>
  <c r="W89" i="16"/>
  <c r="W90" i="16"/>
  <c r="W91" i="16"/>
  <c r="W92" i="16"/>
  <c r="W93" i="16"/>
  <c r="W94" i="16"/>
  <c r="W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12" i="16"/>
  <c r="D177" i="36"/>
  <c r="D177" i="35"/>
  <c r="C177" i="35" s="1"/>
  <c r="C52" i="35" s="1"/>
  <c r="D177" i="21"/>
  <c r="C177" i="21" s="1"/>
  <c r="C52" i="21" s="1"/>
  <c r="D208" i="16"/>
  <c r="B46" i="19"/>
  <c r="B31" i="19"/>
  <c r="B24" i="22"/>
  <c r="U75" i="16" l="1"/>
  <c r="AC77" i="16"/>
  <c r="AC53" i="16"/>
  <c r="C231" i="16"/>
  <c r="E225" i="16"/>
  <c r="H225" i="16" s="1"/>
  <c r="G225" i="16"/>
  <c r="F225" i="16"/>
  <c r="E231" i="16"/>
  <c r="D231" i="16"/>
  <c r="U67" i="16"/>
  <c r="AK82" i="16"/>
  <c r="AK58" i="16"/>
  <c r="AC52" i="16"/>
  <c r="AC76" i="16"/>
  <c r="U94" i="16"/>
  <c r="AK27" i="16"/>
  <c r="U80" i="16"/>
  <c r="U72" i="16"/>
  <c r="U56" i="16"/>
  <c r="U19" i="16"/>
  <c r="U70" i="16"/>
  <c r="U54" i="16"/>
  <c r="AC87" i="16"/>
  <c r="U43" i="16"/>
  <c r="U87" i="16"/>
  <c r="U79" i="16"/>
  <c r="U63" i="16"/>
  <c r="U30" i="16"/>
  <c r="U31" i="16"/>
  <c r="U55" i="16"/>
  <c r="AC63" i="16"/>
  <c r="U81" i="16"/>
  <c r="U73" i="16"/>
  <c r="AK21" i="16"/>
  <c r="W39" i="16"/>
  <c r="AC39" i="16" s="1"/>
  <c r="U92" i="16"/>
  <c r="U57" i="16"/>
  <c r="U90" i="16"/>
  <c r="U82" i="16"/>
  <c r="U66" i="16"/>
  <c r="U42" i="16"/>
  <c r="AE39" i="16"/>
  <c r="AK39" i="16" s="1"/>
  <c r="O39" i="16"/>
  <c r="U39" i="16" s="1"/>
  <c r="AC75" i="16"/>
  <c r="AC51" i="16"/>
  <c r="AC65" i="16"/>
  <c r="AC89" i="16"/>
  <c r="U85" i="16"/>
  <c r="AK33" i="16"/>
  <c r="AK57" i="16"/>
  <c r="AC90" i="16"/>
  <c r="U84" i="16"/>
  <c r="U68" i="16"/>
  <c r="U60" i="16"/>
  <c r="U44" i="16"/>
  <c r="AC80" i="16"/>
  <c r="AC56" i="16"/>
  <c r="U93" i="16"/>
  <c r="U61" i="16"/>
  <c r="AK15" i="16"/>
  <c r="AC15" i="16"/>
  <c r="AC78" i="16"/>
  <c r="AC54" i="16"/>
  <c r="AC30" i="16"/>
  <c r="AC64" i="16"/>
  <c r="AC40" i="16"/>
  <c r="AC29" i="16"/>
  <c r="AC92" i="16"/>
  <c r="AC68" i="16"/>
  <c r="AC88" i="16"/>
  <c r="AC27" i="16"/>
  <c r="AC66" i="16"/>
  <c r="AC42" i="16"/>
  <c r="AC18" i="16"/>
  <c r="AC41" i="16"/>
  <c r="AC17" i="16"/>
  <c r="U78" i="16"/>
  <c r="AK26" i="16"/>
  <c r="AK62" i="16"/>
  <c r="AK35" i="16"/>
  <c r="AK23" i="16"/>
  <c r="AK83" i="16"/>
  <c r="AK71" i="16"/>
  <c r="AK47" i="16"/>
  <c r="AK34" i="16"/>
  <c r="AK22" i="16"/>
  <c r="AK38" i="16"/>
  <c r="AK14" i="16"/>
  <c r="AK86" i="16"/>
  <c r="AK50" i="16"/>
  <c r="AK94" i="16"/>
  <c r="AK70" i="16"/>
  <c r="AK46" i="16"/>
  <c r="AK93" i="16"/>
  <c r="AK81" i="16"/>
  <c r="AK69" i="16"/>
  <c r="AK45" i="16"/>
  <c r="AK74" i="16"/>
  <c r="AC67" i="16"/>
  <c r="AC32" i="16"/>
  <c r="AC20" i="16"/>
  <c r="AC44" i="16"/>
  <c r="AC31" i="16"/>
  <c r="AC19" i="16"/>
  <c r="AC91" i="16"/>
  <c r="AC79" i="16"/>
  <c r="AC55" i="16"/>
  <c r="AC43" i="16"/>
  <c r="AC14" i="16"/>
  <c r="AC38" i="16"/>
  <c r="AC26" i="16"/>
  <c r="AC86" i="16"/>
  <c r="AC74" i="16"/>
  <c r="AC62" i="16"/>
  <c r="AC50" i="16"/>
  <c r="AK19" i="16"/>
  <c r="AK43" i="16"/>
  <c r="AK66" i="16"/>
  <c r="AK54" i="16"/>
  <c r="AK42" i="16"/>
  <c r="AK29" i="16"/>
  <c r="AK17" i="16"/>
  <c r="AK89" i="16"/>
  <c r="AK77" i="16"/>
  <c r="AK65" i="16"/>
  <c r="AK53" i="16"/>
  <c r="AK41" i="16"/>
  <c r="AK28" i="16"/>
  <c r="AK16" i="16"/>
  <c r="AK20" i="16"/>
  <c r="AK68" i="16"/>
  <c r="AK31" i="16"/>
  <c r="AK79" i="16"/>
  <c r="AK18" i="16"/>
  <c r="AK78" i="16"/>
  <c r="AK76" i="16"/>
  <c r="AK87" i="16"/>
  <c r="AK63" i="16"/>
  <c r="AK37" i="16"/>
  <c r="AK25" i="16"/>
  <c r="AK13" i="16"/>
  <c r="AK56" i="16"/>
  <c r="AK55" i="16"/>
  <c r="AK64" i="16"/>
  <c r="AK85" i="16"/>
  <c r="AK73" i="16"/>
  <c r="AK61" i="16"/>
  <c r="AK49" i="16"/>
  <c r="AK36" i="16"/>
  <c r="AK24" i="16"/>
  <c r="AK32" i="16"/>
  <c r="AK92" i="16"/>
  <c r="AK80" i="16"/>
  <c r="AK44" i="16"/>
  <c r="AK91" i="16"/>
  <c r="AK67" i="16"/>
  <c r="AK30" i="16"/>
  <c r="AK90" i="16"/>
  <c r="AK88" i="16"/>
  <c r="AK52" i="16"/>
  <c r="AK40" i="16"/>
  <c r="AK75" i="16"/>
  <c r="AK51" i="16"/>
  <c r="AK84" i="16"/>
  <c r="AK72" i="16"/>
  <c r="AK60" i="16"/>
  <c r="AK48" i="16"/>
  <c r="AC25" i="16"/>
  <c r="AC61" i="16"/>
  <c r="AC84" i="16"/>
  <c r="AC83" i="16"/>
  <c r="AC71" i="16"/>
  <c r="AC59" i="16"/>
  <c r="AC47" i="16"/>
  <c r="AC34" i="16"/>
  <c r="AC22" i="16"/>
  <c r="AC94" i="16"/>
  <c r="AC82" i="16"/>
  <c r="AC70" i="16"/>
  <c r="AC58" i="16"/>
  <c r="AC46" i="16"/>
  <c r="AC33" i="16"/>
  <c r="AC21" i="16"/>
  <c r="AC37" i="16"/>
  <c r="AC13" i="16"/>
  <c r="AC85" i="16"/>
  <c r="AC73" i="16"/>
  <c r="AC49" i="16"/>
  <c r="AC24" i="16"/>
  <c r="AC72" i="16"/>
  <c r="AC60" i="16"/>
  <c r="AC35" i="16"/>
  <c r="AC23" i="16"/>
  <c r="AC93" i="16"/>
  <c r="AC81" i="16"/>
  <c r="AC69" i="16"/>
  <c r="AC57" i="16"/>
  <c r="AC45" i="16"/>
  <c r="AC36" i="16"/>
  <c r="AC48" i="16"/>
  <c r="AC28" i="16"/>
  <c r="AC16" i="16"/>
  <c r="U91" i="16"/>
  <c r="U51" i="16"/>
  <c r="U46" i="16"/>
  <c r="U33" i="16"/>
  <c r="U21" i="16"/>
  <c r="U45" i="16"/>
  <c r="U32" i="16"/>
  <c r="U20" i="16"/>
  <c r="AK59" i="16"/>
  <c r="U27" i="16"/>
  <c r="U58" i="16"/>
  <c r="U69" i="16"/>
  <c r="U49" i="16"/>
  <c r="U48" i="16"/>
  <c r="U36" i="16"/>
  <c r="U18" i="16"/>
  <c r="U24" i="16"/>
  <c r="U15" i="16"/>
  <c r="U28" i="16"/>
  <c r="U16" i="16"/>
  <c r="U29" i="16"/>
  <c r="U17" i="16"/>
  <c r="U89" i="16"/>
  <c r="U77" i="16"/>
  <c r="U65" i="16"/>
  <c r="U53" i="16"/>
  <c r="U41" i="16"/>
  <c r="U38" i="16"/>
  <c r="U26" i="16"/>
  <c r="U14" i="16"/>
  <c r="U88" i="16"/>
  <c r="U76" i="16"/>
  <c r="U64" i="16"/>
  <c r="U52" i="16"/>
  <c r="U40" i="16"/>
  <c r="U86" i="16"/>
  <c r="U74" i="16"/>
  <c r="U62" i="16"/>
  <c r="U50" i="16"/>
  <c r="U37" i="16"/>
  <c r="U25" i="16"/>
  <c r="U13" i="16"/>
  <c r="U35" i="16"/>
  <c r="U23" i="16"/>
  <c r="U83" i="16"/>
  <c r="U71" i="16"/>
  <c r="U59" i="16"/>
  <c r="U47" i="16"/>
  <c r="U34" i="16"/>
  <c r="U22" i="16"/>
  <c r="AB13" i="16"/>
  <c r="Z13" i="16"/>
  <c r="AA13" i="16" s="1"/>
  <c r="AJ13" i="16"/>
  <c r="AH13" i="16"/>
  <c r="AI13" i="16" s="1"/>
  <c r="AB14" i="16"/>
  <c r="Z14" i="16"/>
  <c r="AA14" i="16" s="1"/>
  <c r="AJ14" i="16"/>
  <c r="AH14" i="16"/>
  <c r="AI14" i="16" s="1"/>
  <c r="AB15" i="16"/>
  <c r="Z15" i="16"/>
  <c r="AA15" i="16" s="1"/>
  <c r="AJ15" i="16"/>
  <c r="AH15" i="16"/>
  <c r="AI15" i="16" s="1"/>
  <c r="AB16" i="16"/>
  <c r="Z16" i="16"/>
  <c r="AA16" i="16" s="1"/>
  <c r="AJ16" i="16"/>
  <c r="AH16" i="16"/>
  <c r="AI16" i="16" s="1"/>
  <c r="AB17" i="16"/>
  <c r="Z17" i="16"/>
  <c r="AA17" i="16" s="1"/>
  <c r="AJ17" i="16"/>
  <c r="AH17" i="16"/>
  <c r="AI17" i="16" s="1"/>
  <c r="AB18" i="16"/>
  <c r="Z18" i="16"/>
  <c r="AA18" i="16" s="1"/>
  <c r="AJ18" i="16"/>
  <c r="AH18" i="16"/>
  <c r="AI18" i="16" s="1"/>
  <c r="AB19" i="16"/>
  <c r="Z19" i="16"/>
  <c r="AA19" i="16" s="1"/>
  <c r="AJ19" i="16"/>
  <c r="AH19" i="16"/>
  <c r="AI19" i="16" s="1"/>
  <c r="AB20" i="16"/>
  <c r="Z20" i="16"/>
  <c r="AA20" i="16" s="1"/>
  <c r="AJ20" i="16"/>
  <c r="AH20" i="16"/>
  <c r="AI20" i="16" s="1"/>
  <c r="AB21" i="16"/>
  <c r="Z21" i="16"/>
  <c r="AA21" i="16" s="1"/>
  <c r="AJ21" i="16"/>
  <c r="AH21" i="16"/>
  <c r="AI21" i="16" s="1"/>
  <c r="AB22" i="16"/>
  <c r="Z22" i="16"/>
  <c r="AA22" i="16" s="1"/>
  <c r="AJ22" i="16"/>
  <c r="AH22" i="16"/>
  <c r="AI22" i="16" s="1"/>
  <c r="AB23" i="16"/>
  <c r="Z23" i="16"/>
  <c r="AA23" i="16" s="1"/>
  <c r="AJ23" i="16"/>
  <c r="AH23" i="16"/>
  <c r="AI23" i="16" s="1"/>
  <c r="AB24" i="16"/>
  <c r="Z24" i="16"/>
  <c r="AA24" i="16" s="1"/>
  <c r="AJ24" i="16"/>
  <c r="AH24" i="16"/>
  <c r="AI24" i="16" s="1"/>
  <c r="AB25" i="16"/>
  <c r="Z25" i="16"/>
  <c r="AA25" i="16" s="1"/>
  <c r="AJ25" i="16"/>
  <c r="AH25" i="16"/>
  <c r="AI25" i="16" s="1"/>
  <c r="AB26" i="16"/>
  <c r="Z26" i="16"/>
  <c r="AA26" i="16" s="1"/>
  <c r="AJ26" i="16"/>
  <c r="AH26" i="16"/>
  <c r="AI26" i="16" s="1"/>
  <c r="AB27" i="16"/>
  <c r="Z27" i="16"/>
  <c r="AA27" i="16" s="1"/>
  <c r="AJ27" i="16"/>
  <c r="AH27" i="16"/>
  <c r="AI27" i="16" s="1"/>
  <c r="AB28" i="16"/>
  <c r="Z28" i="16"/>
  <c r="AA28" i="16" s="1"/>
  <c r="AJ28" i="16"/>
  <c r="AH28" i="16"/>
  <c r="AI28" i="16" s="1"/>
  <c r="AB29" i="16"/>
  <c r="Z29" i="16"/>
  <c r="AA29" i="16" s="1"/>
  <c r="AJ29" i="16"/>
  <c r="AH29" i="16"/>
  <c r="AI29" i="16" s="1"/>
  <c r="AB30" i="16"/>
  <c r="Z30" i="16"/>
  <c r="AA30" i="16" s="1"/>
  <c r="AJ30" i="16"/>
  <c r="AH30" i="16"/>
  <c r="AI30" i="16" s="1"/>
  <c r="AB31" i="16"/>
  <c r="Z31" i="16"/>
  <c r="AA31" i="16" s="1"/>
  <c r="AJ31" i="16"/>
  <c r="AH31" i="16"/>
  <c r="AI31" i="16" s="1"/>
  <c r="AB32" i="16"/>
  <c r="Z32" i="16"/>
  <c r="AA32" i="16" s="1"/>
  <c r="AJ32" i="16"/>
  <c r="AH32" i="16"/>
  <c r="AI32" i="16" s="1"/>
  <c r="AB33" i="16"/>
  <c r="Z33" i="16"/>
  <c r="AA33" i="16" s="1"/>
  <c r="AJ33" i="16"/>
  <c r="AH33" i="16"/>
  <c r="AI33" i="16" s="1"/>
  <c r="AB34" i="16"/>
  <c r="Z34" i="16"/>
  <c r="AA34" i="16" s="1"/>
  <c r="AJ34" i="16"/>
  <c r="AH34" i="16"/>
  <c r="AI34" i="16" s="1"/>
  <c r="AB35" i="16"/>
  <c r="Z35" i="16"/>
  <c r="AA35" i="16" s="1"/>
  <c r="AJ35" i="16"/>
  <c r="AH35" i="16"/>
  <c r="AI35" i="16" s="1"/>
  <c r="AB36" i="16"/>
  <c r="Z36" i="16"/>
  <c r="AA36" i="16" s="1"/>
  <c r="AJ36" i="16"/>
  <c r="AH36" i="16"/>
  <c r="AI36" i="16" s="1"/>
  <c r="AB37" i="16"/>
  <c r="Z37" i="16"/>
  <c r="AA37" i="16" s="1"/>
  <c r="AJ37" i="16"/>
  <c r="AH37" i="16"/>
  <c r="AI37" i="16" s="1"/>
  <c r="AB38" i="16"/>
  <c r="Z38" i="16"/>
  <c r="AA38" i="16" s="1"/>
  <c r="AJ38" i="16"/>
  <c r="AH38" i="16"/>
  <c r="AI38" i="16" s="1"/>
  <c r="AB39" i="16"/>
  <c r="Z39" i="16"/>
  <c r="AA39" i="16" s="1"/>
  <c r="AJ39" i="16"/>
  <c r="AH39" i="16"/>
  <c r="AI39" i="16" s="1"/>
  <c r="AB40" i="16"/>
  <c r="Z40" i="16"/>
  <c r="AA40" i="16" s="1"/>
  <c r="AJ40" i="16"/>
  <c r="AH40" i="16"/>
  <c r="AI40" i="16" s="1"/>
  <c r="AB41" i="16"/>
  <c r="Z41" i="16"/>
  <c r="AA41" i="16" s="1"/>
  <c r="AJ41" i="16"/>
  <c r="AH41" i="16"/>
  <c r="AI41" i="16" s="1"/>
  <c r="AB42" i="16"/>
  <c r="Z42" i="16"/>
  <c r="AA42" i="16" s="1"/>
  <c r="AJ42" i="16"/>
  <c r="AH42" i="16"/>
  <c r="AI42" i="16" s="1"/>
  <c r="AB43" i="16"/>
  <c r="Z43" i="16"/>
  <c r="AA43" i="16" s="1"/>
  <c r="AJ43" i="16"/>
  <c r="AH43" i="16"/>
  <c r="AI43" i="16" s="1"/>
  <c r="AB44" i="16"/>
  <c r="Z44" i="16"/>
  <c r="AA44" i="16" s="1"/>
  <c r="AJ44" i="16"/>
  <c r="AH44" i="16"/>
  <c r="AI44" i="16" s="1"/>
  <c r="AB45" i="16"/>
  <c r="Z45" i="16"/>
  <c r="AA45" i="16" s="1"/>
  <c r="AJ45" i="16"/>
  <c r="AH45" i="16"/>
  <c r="AI45" i="16" s="1"/>
  <c r="AB46" i="16"/>
  <c r="Z46" i="16"/>
  <c r="AA46" i="16" s="1"/>
  <c r="AJ46" i="16"/>
  <c r="AH46" i="16"/>
  <c r="AI46" i="16" s="1"/>
  <c r="AB47" i="16"/>
  <c r="Z47" i="16"/>
  <c r="AA47" i="16" s="1"/>
  <c r="AJ47" i="16"/>
  <c r="AH47" i="16"/>
  <c r="AI47" i="16" s="1"/>
  <c r="AB48" i="16"/>
  <c r="Z48" i="16"/>
  <c r="AA48" i="16" s="1"/>
  <c r="AJ48" i="16"/>
  <c r="AH48" i="16"/>
  <c r="AI48" i="16" s="1"/>
  <c r="AB49" i="16"/>
  <c r="Z49" i="16"/>
  <c r="AA49" i="16" s="1"/>
  <c r="AJ49" i="16"/>
  <c r="AH49" i="16"/>
  <c r="AI49" i="16" s="1"/>
  <c r="AB50" i="16"/>
  <c r="Z50" i="16"/>
  <c r="AA50" i="16" s="1"/>
  <c r="AJ50" i="16"/>
  <c r="AH50" i="16"/>
  <c r="AI50" i="16" s="1"/>
  <c r="AB51" i="16"/>
  <c r="Z51" i="16"/>
  <c r="AA51" i="16" s="1"/>
  <c r="AJ51" i="16"/>
  <c r="AH51" i="16"/>
  <c r="AI51" i="16" s="1"/>
  <c r="AB52" i="16"/>
  <c r="Z52" i="16"/>
  <c r="AA52" i="16" s="1"/>
  <c r="AJ52" i="16"/>
  <c r="AH52" i="16"/>
  <c r="AI52" i="16" s="1"/>
  <c r="AB53" i="16"/>
  <c r="Z53" i="16"/>
  <c r="AA53" i="16" s="1"/>
  <c r="AJ53" i="16"/>
  <c r="AH53" i="16"/>
  <c r="AI53" i="16" s="1"/>
  <c r="AB54" i="16"/>
  <c r="Z54" i="16"/>
  <c r="AA54" i="16" s="1"/>
  <c r="AJ54" i="16"/>
  <c r="AH54" i="16"/>
  <c r="AI54" i="16" s="1"/>
  <c r="AB55" i="16"/>
  <c r="Z55" i="16"/>
  <c r="AA55" i="16" s="1"/>
  <c r="AJ55" i="16"/>
  <c r="AH55" i="16"/>
  <c r="AI55" i="16" s="1"/>
  <c r="AB56" i="16"/>
  <c r="Z56" i="16"/>
  <c r="AA56" i="16" s="1"/>
  <c r="AJ56" i="16"/>
  <c r="AH56" i="16"/>
  <c r="AI56" i="16" s="1"/>
  <c r="AB57" i="16"/>
  <c r="Z57" i="16"/>
  <c r="AA57" i="16" s="1"/>
  <c r="AJ57" i="16"/>
  <c r="AH57" i="16"/>
  <c r="AI57" i="16" s="1"/>
  <c r="AB58" i="16"/>
  <c r="Z58" i="16"/>
  <c r="AA58" i="16" s="1"/>
  <c r="AJ58" i="16"/>
  <c r="AH58" i="16"/>
  <c r="AI58" i="16" s="1"/>
  <c r="AB59" i="16"/>
  <c r="Z59" i="16"/>
  <c r="AA59" i="16" s="1"/>
  <c r="AJ59" i="16"/>
  <c r="AH59" i="16"/>
  <c r="AI59" i="16" s="1"/>
  <c r="AB60" i="16"/>
  <c r="Z60" i="16"/>
  <c r="AA60" i="16" s="1"/>
  <c r="AJ60" i="16"/>
  <c r="AH60" i="16"/>
  <c r="AI60" i="16" s="1"/>
  <c r="AB61" i="16"/>
  <c r="Z61" i="16"/>
  <c r="AA61" i="16" s="1"/>
  <c r="AJ61" i="16"/>
  <c r="AH61" i="16"/>
  <c r="AI61" i="16" s="1"/>
  <c r="AB62" i="16"/>
  <c r="Z62" i="16"/>
  <c r="AA62" i="16" s="1"/>
  <c r="AJ62" i="16"/>
  <c r="AH62" i="16"/>
  <c r="AI62" i="16" s="1"/>
  <c r="AB63" i="16"/>
  <c r="Z63" i="16"/>
  <c r="AA63" i="16" s="1"/>
  <c r="AJ63" i="16"/>
  <c r="AH63" i="16"/>
  <c r="AI63" i="16" s="1"/>
  <c r="AB64" i="16"/>
  <c r="Z64" i="16"/>
  <c r="AA64" i="16" s="1"/>
  <c r="AJ64" i="16"/>
  <c r="AH64" i="16"/>
  <c r="AI64" i="16" s="1"/>
  <c r="AB65" i="16"/>
  <c r="Z65" i="16"/>
  <c r="AA65" i="16" s="1"/>
  <c r="AJ65" i="16"/>
  <c r="AH65" i="16"/>
  <c r="AI65" i="16" s="1"/>
  <c r="AB66" i="16"/>
  <c r="Z66" i="16"/>
  <c r="AA66" i="16" s="1"/>
  <c r="AJ66" i="16"/>
  <c r="AH66" i="16"/>
  <c r="AI66" i="16" s="1"/>
  <c r="AB67" i="16"/>
  <c r="Z67" i="16"/>
  <c r="AA67" i="16" s="1"/>
  <c r="AJ67" i="16"/>
  <c r="AH67" i="16"/>
  <c r="AI67" i="16" s="1"/>
  <c r="AB68" i="16"/>
  <c r="Z68" i="16"/>
  <c r="AA68" i="16" s="1"/>
  <c r="AJ68" i="16"/>
  <c r="AH68" i="16"/>
  <c r="AI68" i="16" s="1"/>
  <c r="AB69" i="16"/>
  <c r="Z69" i="16"/>
  <c r="AA69" i="16" s="1"/>
  <c r="AJ69" i="16"/>
  <c r="AH69" i="16"/>
  <c r="AI69" i="16" s="1"/>
  <c r="AB70" i="16"/>
  <c r="Z70" i="16"/>
  <c r="AA70" i="16" s="1"/>
  <c r="AJ70" i="16"/>
  <c r="AH70" i="16"/>
  <c r="AI70" i="16" s="1"/>
  <c r="AB71" i="16"/>
  <c r="Z71" i="16"/>
  <c r="AA71" i="16" s="1"/>
  <c r="AJ71" i="16"/>
  <c r="AH71" i="16"/>
  <c r="AI71" i="16" s="1"/>
  <c r="AB72" i="16"/>
  <c r="Z72" i="16"/>
  <c r="AA72" i="16" s="1"/>
  <c r="AJ72" i="16"/>
  <c r="AH72" i="16"/>
  <c r="AI72" i="16" s="1"/>
  <c r="AB73" i="16"/>
  <c r="Z73" i="16"/>
  <c r="AA73" i="16" s="1"/>
  <c r="AH73" i="16"/>
  <c r="AI73" i="16" s="1"/>
  <c r="AB74" i="16"/>
  <c r="Z74" i="16"/>
  <c r="AA74" i="16" s="1"/>
  <c r="AJ74" i="16"/>
  <c r="AH74" i="16"/>
  <c r="AI74" i="16" s="1"/>
  <c r="AB75" i="16"/>
  <c r="Z75" i="16"/>
  <c r="AA75" i="16" s="1"/>
  <c r="AJ75" i="16"/>
  <c r="AH75" i="16"/>
  <c r="AI75" i="16" s="1"/>
  <c r="AB76" i="16"/>
  <c r="Z76" i="16"/>
  <c r="AA76" i="16" s="1"/>
  <c r="AJ76" i="16"/>
  <c r="AH76" i="16"/>
  <c r="AI76" i="16" s="1"/>
  <c r="AB77" i="16"/>
  <c r="Z77" i="16"/>
  <c r="AA77" i="16" s="1"/>
  <c r="AJ77" i="16"/>
  <c r="AH77" i="16"/>
  <c r="AI77" i="16" s="1"/>
  <c r="AB78" i="16"/>
  <c r="Z78" i="16"/>
  <c r="AA78" i="16" s="1"/>
  <c r="AJ78" i="16"/>
  <c r="AH78" i="16"/>
  <c r="AI78" i="16" s="1"/>
  <c r="AB79" i="16"/>
  <c r="Z79" i="16"/>
  <c r="AA79" i="16" s="1"/>
  <c r="AJ79" i="16"/>
  <c r="AH79" i="16"/>
  <c r="AI79" i="16" s="1"/>
  <c r="AB80" i="16"/>
  <c r="Z80" i="16"/>
  <c r="AA80" i="16" s="1"/>
  <c r="AJ80" i="16"/>
  <c r="AH80" i="16"/>
  <c r="AI80" i="16" s="1"/>
  <c r="AB81" i="16"/>
  <c r="Z81" i="16"/>
  <c r="AA81" i="16" s="1"/>
  <c r="AJ81" i="16"/>
  <c r="AH81" i="16"/>
  <c r="AI81" i="16" s="1"/>
  <c r="AB82" i="16"/>
  <c r="Z82" i="16"/>
  <c r="AA82" i="16" s="1"/>
  <c r="AJ82" i="16"/>
  <c r="AH82" i="16"/>
  <c r="AI82" i="16" s="1"/>
  <c r="AB83" i="16"/>
  <c r="Z83" i="16"/>
  <c r="AA83" i="16" s="1"/>
  <c r="AJ83" i="16"/>
  <c r="AH83" i="16"/>
  <c r="AI83" i="16" s="1"/>
  <c r="AB84" i="16"/>
  <c r="Z84" i="16"/>
  <c r="AA84" i="16" s="1"/>
  <c r="AJ84" i="16"/>
  <c r="AH84" i="16"/>
  <c r="AI84" i="16" s="1"/>
  <c r="AB85" i="16"/>
  <c r="Z85" i="16"/>
  <c r="AA85" i="16" s="1"/>
  <c r="AJ85" i="16"/>
  <c r="AH85" i="16"/>
  <c r="AI85" i="16" s="1"/>
  <c r="AB86" i="16"/>
  <c r="Z86" i="16"/>
  <c r="AA86" i="16" s="1"/>
  <c r="AJ86" i="16"/>
  <c r="AH86" i="16"/>
  <c r="AI86" i="16" s="1"/>
  <c r="AB87" i="16"/>
  <c r="Z87" i="16"/>
  <c r="AA87" i="16" s="1"/>
  <c r="AJ87" i="16"/>
  <c r="AH87" i="16"/>
  <c r="AI87" i="16" s="1"/>
  <c r="AB88" i="16"/>
  <c r="Z88" i="16"/>
  <c r="AA88" i="16" s="1"/>
  <c r="AJ88" i="16"/>
  <c r="AH88" i="16"/>
  <c r="AI88" i="16" s="1"/>
  <c r="AB89" i="16"/>
  <c r="Z89" i="16"/>
  <c r="AA89" i="16" s="1"/>
  <c r="AJ89" i="16"/>
  <c r="AH89" i="16"/>
  <c r="AI89" i="16" s="1"/>
  <c r="AB90" i="16"/>
  <c r="Z90" i="16"/>
  <c r="AA90" i="16" s="1"/>
  <c r="AJ90" i="16"/>
  <c r="AH90" i="16"/>
  <c r="AI90" i="16" s="1"/>
  <c r="AB91" i="16"/>
  <c r="Z91" i="16"/>
  <c r="AA91" i="16" s="1"/>
  <c r="AJ91" i="16"/>
  <c r="AH91" i="16"/>
  <c r="AI91" i="16" s="1"/>
  <c r="AB92" i="16"/>
  <c r="Z92" i="16"/>
  <c r="AA92" i="16" s="1"/>
  <c r="AJ92" i="16"/>
  <c r="AH92" i="16"/>
  <c r="AI92" i="16" s="1"/>
  <c r="AB93" i="16"/>
  <c r="Z93" i="16"/>
  <c r="AA93" i="16" s="1"/>
  <c r="AJ93" i="16"/>
  <c r="AH93" i="16"/>
  <c r="AI93" i="16" s="1"/>
  <c r="AB94" i="16"/>
  <c r="Z94" i="16"/>
  <c r="AA94" i="16" s="1"/>
  <c r="AJ94" i="16"/>
  <c r="AH94" i="16"/>
  <c r="AI94" i="16" s="1"/>
  <c r="AB95" i="16"/>
  <c r="Z95" i="16"/>
  <c r="AA95" i="16" s="1"/>
  <c r="AJ95" i="16"/>
  <c r="AH95" i="16"/>
  <c r="AI95" i="16" s="1"/>
  <c r="R13" i="16"/>
  <c r="S13" i="16" s="1"/>
  <c r="R14" i="16"/>
  <c r="S14" i="16" s="1"/>
  <c r="R15" i="16"/>
  <c r="S15" i="16" s="1"/>
  <c r="R16" i="16"/>
  <c r="S16" i="16" s="1"/>
  <c r="R17" i="16"/>
  <c r="S17" i="16" s="1"/>
  <c r="R18" i="16"/>
  <c r="S18" i="16" s="1"/>
  <c r="R19" i="16"/>
  <c r="S19" i="16" s="1"/>
  <c r="R20" i="16"/>
  <c r="S20" i="16" s="1"/>
  <c r="R21" i="16"/>
  <c r="S21" i="16" s="1"/>
  <c r="R22" i="16"/>
  <c r="S22" i="16" s="1"/>
  <c r="R23" i="16"/>
  <c r="S23" i="16" s="1"/>
  <c r="R24" i="16"/>
  <c r="S24" i="16" s="1"/>
  <c r="R25" i="16"/>
  <c r="S25" i="16" s="1"/>
  <c r="R26" i="16"/>
  <c r="S26" i="16" s="1"/>
  <c r="R27" i="16"/>
  <c r="S27" i="16" s="1"/>
  <c r="R28" i="16"/>
  <c r="S28" i="16" s="1"/>
  <c r="R29" i="16"/>
  <c r="S29" i="16" s="1"/>
  <c r="R30" i="16"/>
  <c r="S30" i="16" s="1"/>
  <c r="R31" i="16"/>
  <c r="S31" i="16" s="1"/>
  <c r="R32" i="16"/>
  <c r="S32" i="16" s="1"/>
  <c r="R33" i="16"/>
  <c r="S33" i="16" s="1"/>
  <c r="R34" i="16"/>
  <c r="S34" i="16" s="1"/>
  <c r="R35" i="16"/>
  <c r="S35" i="16" s="1"/>
  <c r="R36" i="16"/>
  <c r="S36" i="16" s="1"/>
  <c r="R37" i="16"/>
  <c r="S37" i="16" s="1"/>
  <c r="R38" i="16"/>
  <c r="S38" i="16" s="1"/>
  <c r="R39" i="16"/>
  <c r="S39" i="16" s="1"/>
  <c r="R40" i="16"/>
  <c r="S40" i="16" s="1"/>
  <c r="R41" i="16"/>
  <c r="S41" i="16" s="1"/>
  <c r="R42" i="16"/>
  <c r="S42" i="16" s="1"/>
  <c r="R43" i="16"/>
  <c r="S43" i="16" s="1"/>
  <c r="R44" i="16"/>
  <c r="S44" i="16" s="1"/>
  <c r="R45" i="16"/>
  <c r="S45" i="16" s="1"/>
  <c r="R46" i="16"/>
  <c r="S46" i="16" s="1"/>
  <c r="R47" i="16"/>
  <c r="S47" i="16" s="1"/>
  <c r="R48" i="16"/>
  <c r="S48" i="16" s="1"/>
  <c r="R49" i="16"/>
  <c r="S49" i="16" s="1"/>
  <c r="R50" i="16"/>
  <c r="S50" i="16" s="1"/>
  <c r="R51" i="16"/>
  <c r="S51" i="16" s="1"/>
  <c r="R52" i="16"/>
  <c r="S52" i="16" s="1"/>
  <c r="R53" i="16"/>
  <c r="S53" i="16" s="1"/>
  <c r="R54" i="16"/>
  <c r="S54" i="16" s="1"/>
  <c r="R55" i="16"/>
  <c r="S55" i="16" s="1"/>
  <c r="R56" i="16"/>
  <c r="S56" i="16" s="1"/>
  <c r="R57" i="16"/>
  <c r="S57" i="16" s="1"/>
  <c r="R58" i="16"/>
  <c r="S58" i="16" s="1"/>
  <c r="R59" i="16"/>
  <c r="S59" i="16" s="1"/>
  <c r="R60" i="16"/>
  <c r="S60" i="16" s="1"/>
  <c r="R61" i="16"/>
  <c r="S61" i="16" s="1"/>
  <c r="R62" i="16"/>
  <c r="S62" i="16" s="1"/>
  <c r="R63" i="16"/>
  <c r="S63" i="16" s="1"/>
  <c r="R64" i="16"/>
  <c r="S64" i="16" s="1"/>
  <c r="R65" i="16"/>
  <c r="S65" i="16" s="1"/>
  <c r="R66" i="16"/>
  <c r="S66" i="16" s="1"/>
  <c r="R67" i="16"/>
  <c r="S67" i="16" s="1"/>
  <c r="R68" i="16"/>
  <c r="S68" i="16" s="1"/>
  <c r="R69" i="16"/>
  <c r="S69" i="16" s="1"/>
  <c r="R70" i="16"/>
  <c r="S70" i="16" s="1"/>
  <c r="R71" i="16"/>
  <c r="S71" i="16" s="1"/>
  <c r="R72" i="16"/>
  <c r="S72" i="16" s="1"/>
  <c r="R73" i="16"/>
  <c r="S73" i="16" s="1"/>
  <c r="R74" i="16"/>
  <c r="S74" i="16" s="1"/>
  <c r="R75" i="16"/>
  <c r="S75" i="16" s="1"/>
  <c r="R76" i="16"/>
  <c r="S76" i="16" s="1"/>
  <c r="R77" i="16"/>
  <c r="S77" i="16" s="1"/>
  <c r="R78" i="16"/>
  <c r="S78" i="16" s="1"/>
  <c r="R79" i="16"/>
  <c r="S79" i="16" s="1"/>
  <c r="R80" i="16"/>
  <c r="S80" i="16" s="1"/>
  <c r="R81" i="16"/>
  <c r="S81" i="16" s="1"/>
  <c r="R82" i="16"/>
  <c r="S82" i="16" s="1"/>
  <c r="R83" i="16"/>
  <c r="S83" i="16" s="1"/>
  <c r="R84" i="16"/>
  <c r="S84" i="16" s="1"/>
  <c r="R85" i="16"/>
  <c r="S85" i="16" s="1"/>
  <c r="R86" i="16"/>
  <c r="S86" i="16" s="1"/>
  <c r="R87" i="16"/>
  <c r="S87" i="16" s="1"/>
  <c r="R88" i="16"/>
  <c r="S88" i="16" s="1"/>
  <c r="R89" i="16"/>
  <c r="S89" i="16" s="1"/>
  <c r="R90" i="16"/>
  <c r="S90" i="16" s="1"/>
  <c r="R91" i="16"/>
  <c r="S91" i="16" s="1"/>
  <c r="R92" i="16"/>
  <c r="S92" i="16" s="1"/>
  <c r="R93" i="16"/>
  <c r="S93" i="16" s="1"/>
  <c r="R94" i="16"/>
  <c r="S94" i="16" s="1"/>
  <c r="R95" i="16"/>
  <c r="S95" i="16" s="1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B59" i="35"/>
  <c r="B60" i="35"/>
  <c r="B61" i="35"/>
  <c r="B62" i="35"/>
  <c r="B63" i="35"/>
  <c r="B64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80" i="35"/>
  <c r="B81" i="35"/>
  <c r="B82" i="35"/>
  <c r="B83" i="35"/>
  <c r="B84" i="35"/>
  <c r="B85" i="35"/>
  <c r="B86" i="35"/>
  <c r="B87" i="35"/>
  <c r="B88" i="35"/>
  <c r="B89" i="35"/>
  <c r="B90" i="35"/>
  <c r="B91" i="35"/>
  <c r="B92" i="35"/>
  <c r="B93" i="35"/>
  <c r="B94" i="35"/>
  <c r="B95" i="35"/>
  <c r="B96" i="35"/>
  <c r="B97" i="35"/>
  <c r="B98" i="35"/>
  <c r="B99" i="35"/>
  <c r="B100" i="35"/>
  <c r="B101" i="35"/>
  <c r="B102" i="35"/>
  <c r="B103" i="35"/>
  <c r="B104" i="35"/>
  <c r="B105" i="35"/>
  <c r="B106" i="35"/>
  <c r="B107" i="35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AD13" i="16" l="1"/>
  <c r="AL91" i="16"/>
  <c r="AL76" i="16"/>
  <c r="AD34" i="16"/>
  <c r="AD25" i="16"/>
  <c r="AL24" i="16"/>
  <c r="AL52" i="16"/>
  <c r="AL40" i="16"/>
  <c r="AD14" i="16"/>
  <c r="AD22" i="16"/>
  <c r="AD35" i="16"/>
  <c r="AL16" i="16"/>
  <c r="AD43" i="16"/>
  <c r="AD20" i="16"/>
  <c r="AD30" i="16"/>
  <c r="AL83" i="16"/>
  <c r="AL77" i="16"/>
  <c r="AL59" i="16"/>
  <c r="AL15" i="16"/>
  <c r="AL69" i="16"/>
  <c r="AL45" i="16"/>
  <c r="AL90" i="16"/>
  <c r="AL92" i="16"/>
  <c r="AL61" i="16"/>
  <c r="AL60" i="16"/>
  <c r="AL26" i="16"/>
  <c r="AL75" i="16"/>
  <c r="AL67" i="16"/>
  <c r="AL74" i="16"/>
  <c r="AL66" i="16"/>
  <c r="AL43" i="16"/>
  <c r="AL19" i="16"/>
  <c r="AD42" i="16"/>
  <c r="AD36" i="16"/>
  <c r="AD28" i="16"/>
  <c r="AD23" i="16"/>
  <c r="AD16" i="16"/>
  <c r="AD29" i="16"/>
  <c r="AD18" i="16"/>
  <c r="AD44" i="16"/>
  <c r="AD31" i="16"/>
  <c r="AD38" i="16"/>
  <c r="AD26" i="16"/>
  <c r="AD17" i="16"/>
  <c r="AL84" i="16"/>
  <c r="AL39" i="16"/>
  <c r="AL80" i="16"/>
  <c r="AL51" i="16"/>
  <c r="AL50" i="16"/>
  <c r="AL27" i="16"/>
  <c r="AL56" i="16"/>
  <c r="AL23" i="16"/>
  <c r="AL53" i="16"/>
  <c r="AL49" i="16"/>
  <c r="AL34" i="16"/>
  <c r="AL88" i="16"/>
  <c r="AL82" i="16"/>
  <c r="AL72" i="16"/>
  <c r="AL64" i="16"/>
  <c r="AL58" i="16"/>
  <c r="AL35" i="16"/>
  <c r="AL32" i="16"/>
  <c r="AL81" i="16"/>
  <c r="AL68" i="16"/>
  <c r="AL42" i="16"/>
  <c r="AL31" i="16"/>
  <c r="AL57" i="16"/>
  <c r="AL48" i="16"/>
  <c r="AL85" i="16"/>
  <c r="AL93" i="16"/>
  <c r="AL89" i="16"/>
  <c r="AL73" i="16"/>
  <c r="AL65" i="16"/>
  <c r="AD33" i="16"/>
  <c r="AD21" i="16"/>
  <c r="AD15" i="16"/>
  <c r="AD41" i="16"/>
  <c r="AD39" i="16"/>
  <c r="AD94" i="16"/>
  <c r="AD40" i="16"/>
  <c r="AD37" i="16"/>
  <c r="AD32" i="16"/>
  <c r="AD27" i="16"/>
  <c r="AD24" i="16"/>
  <c r="AD19" i="16"/>
  <c r="AD91" i="16"/>
  <c r="V84" i="16"/>
  <c r="V68" i="16"/>
  <c r="V60" i="16"/>
  <c r="V52" i="16"/>
  <c r="V44" i="16"/>
  <c r="V36" i="16"/>
  <c r="V28" i="16"/>
  <c r="V20" i="16"/>
  <c r="V76" i="16"/>
  <c r="V92" i="16"/>
  <c r="V72" i="16"/>
  <c r="V64" i="16"/>
  <c r="V56" i="16"/>
  <c r="V48" i="16"/>
  <c r="V40" i="16"/>
  <c r="V32" i="16"/>
  <c r="V24" i="16"/>
  <c r="V16" i="16"/>
  <c r="V80" i="16"/>
  <c r="V88" i="16"/>
  <c r="AL94" i="16"/>
  <c r="AL86" i="16"/>
  <c r="AL78" i="16"/>
  <c r="AL70" i="16"/>
  <c r="AL62" i="16"/>
  <c r="AL54" i="16"/>
  <c r="AL46" i="16"/>
  <c r="AL41" i="16"/>
  <c r="AL33" i="16"/>
  <c r="AL25" i="16"/>
  <c r="AL17" i="16"/>
  <c r="AL18" i="16"/>
  <c r="AL87" i="16"/>
  <c r="AL79" i="16"/>
  <c r="AJ73" i="16"/>
  <c r="AL71" i="16"/>
  <c r="AL63" i="16"/>
  <c r="AL55" i="16"/>
  <c r="AL47" i="16"/>
  <c r="AL44" i="16"/>
  <c r="AL36" i="16"/>
  <c r="AL28" i="16"/>
  <c r="AL20" i="16"/>
  <c r="AL37" i="16"/>
  <c r="AL29" i="16"/>
  <c r="AL21" i="16"/>
  <c r="AL13" i="16"/>
  <c r="AL38" i="16"/>
  <c r="AL30" i="16"/>
  <c r="AL22" i="16"/>
  <c r="AL14" i="16"/>
  <c r="AD93" i="16"/>
  <c r="AD89" i="16"/>
  <c r="AD82" i="16"/>
  <c r="AD79" i="16"/>
  <c r="AD69" i="16"/>
  <c r="AD64" i="16"/>
  <c r="AD61" i="16"/>
  <c r="AD57" i="16"/>
  <c r="AD52" i="16"/>
  <c r="AD48" i="16"/>
  <c r="AD46" i="16"/>
  <c r="AD92" i="16"/>
  <c r="AD86" i="16"/>
  <c r="AD81" i="16"/>
  <c r="AD76" i="16"/>
  <c r="AD72" i="16"/>
  <c r="AD67" i="16"/>
  <c r="AD62" i="16"/>
  <c r="AD54" i="16"/>
  <c r="AD85" i="16"/>
  <c r="AD77" i="16"/>
  <c r="AD70" i="16"/>
  <c r="AD66" i="16"/>
  <c r="AD58" i="16"/>
  <c r="AD49" i="16"/>
  <c r="AD87" i="16"/>
  <c r="AD83" i="16"/>
  <c r="AD75" i="16"/>
  <c r="AD71" i="16"/>
  <c r="AD63" i="16"/>
  <c r="AD56" i="16"/>
  <c r="AD51" i="16"/>
  <c r="AD88" i="16"/>
  <c r="AD80" i="16"/>
  <c r="AD74" i="16"/>
  <c r="AD68" i="16"/>
  <c r="AD59" i="16"/>
  <c r="AD53" i="16"/>
  <c r="AD47" i="16"/>
  <c r="AD90" i="16"/>
  <c r="AD84" i="16"/>
  <c r="AD78" i="16"/>
  <c r="AD73" i="16"/>
  <c r="AD65" i="16"/>
  <c r="AD60" i="16"/>
  <c r="AD55" i="16"/>
  <c r="AD50" i="16"/>
  <c r="AD45" i="16"/>
  <c r="V91" i="16"/>
  <c r="V87" i="16"/>
  <c r="V83" i="16"/>
  <c r="V79" i="16"/>
  <c r="V75" i="16"/>
  <c r="V71" i="16"/>
  <c r="V67" i="16"/>
  <c r="V63" i="16"/>
  <c r="V59" i="16"/>
  <c r="V55" i="16"/>
  <c r="V51" i="16"/>
  <c r="V47" i="16"/>
  <c r="V43" i="16"/>
  <c r="V39" i="16"/>
  <c r="V35" i="16"/>
  <c r="V31" i="16"/>
  <c r="V27" i="16"/>
  <c r="V23" i="16"/>
  <c r="V19" i="16"/>
  <c r="V15" i="16"/>
  <c r="V94" i="16"/>
  <c r="V90" i="16"/>
  <c r="V86" i="16"/>
  <c r="V82" i="16"/>
  <c r="V78" i="16"/>
  <c r="V74" i="16"/>
  <c r="V70" i="16"/>
  <c r="V66" i="16"/>
  <c r="V62" i="16"/>
  <c r="V58" i="16"/>
  <c r="V54" i="16"/>
  <c r="V50" i="16"/>
  <c r="V46" i="16"/>
  <c r="V42" i="16"/>
  <c r="V38" i="16"/>
  <c r="V34" i="16"/>
  <c r="V30" i="16"/>
  <c r="V26" i="16"/>
  <c r="V22" i="16"/>
  <c r="V18" i="16"/>
  <c r="V14" i="16"/>
  <c r="V93" i="16"/>
  <c r="V89" i="16"/>
  <c r="V85" i="16"/>
  <c r="V81" i="16"/>
  <c r="V77" i="16"/>
  <c r="V73" i="16"/>
  <c r="V69" i="16"/>
  <c r="V65" i="16"/>
  <c r="V61" i="16"/>
  <c r="V57" i="16"/>
  <c r="V53" i="16"/>
  <c r="V49" i="16"/>
  <c r="V45" i="16"/>
  <c r="V41" i="16"/>
  <c r="V37" i="16"/>
  <c r="V33" i="16"/>
  <c r="V29" i="16"/>
  <c r="V25" i="16"/>
  <c r="V21" i="16"/>
  <c r="V17" i="16"/>
  <c r="V13" i="16"/>
  <c r="F171" i="16"/>
  <c r="F172" i="16"/>
  <c r="F173" i="16"/>
  <c r="F174" i="16"/>
  <c r="F175" i="16"/>
  <c r="E171" i="16"/>
  <c r="E172" i="16"/>
  <c r="E173" i="16"/>
  <c r="E174" i="16"/>
  <c r="E175" i="16"/>
  <c r="E232" i="16" l="1"/>
  <c r="E234" i="16" s="1"/>
  <c r="D232" i="16"/>
  <c r="D234" i="16" s="1"/>
  <c r="E233" i="16"/>
  <c r="D233" i="16"/>
  <c r="D171" i="16"/>
  <c r="D172" i="16"/>
  <c r="D173" i="16"/>
  <c r="D174" i="16"/>
  <c r="D175" i="16"/>
  <c r="B25" i="21"/>
  <c r="C108" i="36"/>
  <c r="AE95" i="16" s="1"/>
  <c r="AK95" i="16" s="1"/>
  <c r="D15" i="25"/>
  <c r="C15" i="25"/>
  <c r="C232" i="16" l="1"/>
  <c r="C234" i="16" s="1"/>
  <c r="C233" i="16"/>
  <c r="C235" i="16" s="1"/>
  <c r="AL95" i="16"/>
  <c r="E15" i="25"/>
  <c r="D124" i="16"/>
  <c r="E124" i="16"/>
  <c r="F124" i="16"/>
  <c r="D125" i="16"/>
  <c r="E125" i="16"/>
  <c r="F125" i="16"/>
  <c r="D126" i="16"/>
  <c r="E126" i="16"/>
  <c r="F126" i="16"/>
  <c r="D127" i="16"/>
  <c r="E127" i="16"/>
  <c r="F127" i="16"/>
  <c r="D128" i="16"/>
  <c r="E128" i="16"/>
  <c r="F128" i="16"/>
  <c r="D129" i="16"/>
  <c r="E129" i="16"/>
  <c r="F129" i="16"/>
  <c r="D130" i="16"/>
  <c r="E130" i="16"/>
  <c r="F130" i="16"/>
  <c r="E12" i="25"/>
  <c r="C14" i="25"/>
  <c r="C13" i="25"/>
  <c r="B144" i="21"/>
  <c r="D141" i="36"/>
  <c r="D140" i="36"/>
  <c r="D141" i="35"/>
  <c r="D140" i="35"/>
  <c r="D141" i="21"/>
  <c r="D140" i="21"/>
  <c r="X12" i="16" l="1"/>
  <c r="P12" i="16"/>
  <c r="Q12" i="16"/>
  <c r="R12" i="16"/>
  <c r="S12" i="16" s="1"/>
  <c r="AB12" i="16" l="1"/>
  <c r="AC12" i="16"/>
  <c r="T12" i="16"/>
  <c r="U12" i="16"/>
  <c r="B24" i="19"/>
  <c r="B147" i="21"/>
  <c r="B147" i="35"/>
  <c r="B147" i="36"/>
  <c r="B17" i="22"/>
  <c r="C73" i="25" l="1"/>
  <c r="AH12" i="16"/>
  <c r="AG12" i="16"/>
  <c r="AF12" i="16"/>
  <c r="Z12" i="16"/>
  <c r="Y12" i="16"/>
  <c r="AJ12" i="16" l="1"/>
  <c r="AK12" i="16"/>
  <c r="AI12" i="16"/>
  <c r="AA12" i="16"/>
  <c r="F102" i="16"/>
  <c r="F103" i="16"/>
  <c r="F104" i="16"/>
  <c r="F105" i="16"/>
  <c r="F106" i="16"/>
  <c r="F110" i="16"/>
  <c r="F111" i="16"/>
  <c r="F112" i="16"/>
  <c r="F115" i="16"/>
  <c r="F116" i="16"/>
  <c r="F118" i="16"/>
  <c r="F119" i="16"/>
  <c r="F120" i="16"/>
  <c r="F121" i="16"/>
  <c r="F123" i="16"/>
  <c r="F132" i="16"/>
  <c r="F133" i="16"/>
  <c r="F135" i="16"/>
  <c r="F141" i="16"/>
  <c r="F142" i="16"/>
  <c r="F150" i="16"/>
  <c r="F151" i="16"/>
  <c r="F163" i="16"/>
  <c r="F164" i="16"/>
  <c r="F165" i="16"/>
  <c r="F166" i="16"/>
  <c r="F167" i="16"/>
  <c r="F168" i="16"/>
  <c r="F170" i="16"/>
  <c r="E235" i="16" s="1"/>
  <c r="E102" i="16"/>
  <c r="E103" i="16"/>
  <c r="E104" i="16"/>
  <c r="E105" i="16"/>
  <c r="E106" i="16"/>
  <c r="E110" i="16"/>
  <c r="E111" i="16"/>
  <c r="E112" i="16"/>
  <c r="E115" i="16"/>
  <c r="E116" i="16"/>
  <c r="E118" i="16"/>
  <c r="E119" i="16"/>
  <c r="E120" i="16"/>
  <c r="E121" i="16"/>
  <c r="E123" i="16"/>
  <c r="E132" i="16"/>
  <c r="E133" i="16"/>
  <c r="E135" i="16"/>
  <c r="E141" i="16"/>
  <c r="E142" i="16"/>
  <c r="E150" i="16"/>
  <c r="E151" i="16"/>
  <c r="E163" i="16"/>
  <c r="E164" i="16"/>
  <c r="E165" i="16"/>
  <c r="E166" i="16"/>
  <c r="E167" i="16"/>
  <c r="E168" i="16"/>
  <c r="E170" i="16"/>
  <c r="D235" i="16" s="1"/>
  <c r="B170" i="36"/>
  <c r="B156" i="36"/>
  <c r="B144" i="36"/>
  <c r="B135" i="36"/>
  <c r="B131" i="36"/>
  <c r="B127" i="36"/>
  <c r="B25" i="36"/>
  <c r="B170" i="35"/>
  <c r="B156" i="35"/>
  <c r="B144" i="35"/>
  <c r="B135" i="35"/>
  <c r="B131" i="35"/>
  <c r="B127" i="35"/>
  <c r="C108" i="35"/>
  <c r="W95" i="16" s="1"/>
  <c r="AC95" i="16" s="1"/>
  <c r="B25" i="35"/>
  <c r="C285" i="16"/>
  <c r="C281" i="16"/>
  <c r="C273" i="16"/>
  <c r="C269" i="16"/>
  <c r="C260" i="16"/>
  <c r="C256" i="16"/>
  <c r="C38" i="25"/>
  <c r="D38" i="25"/>
  <c r="C39" i="25"/>
  <c r="D39" i="25"/>
  <c r="C40" i="25"/>
  <c r="D40" i="25"/>
  <c r="D37" i="25"/>
  <c r="C37" i="25"/>
  <c r="D35" i="25"/>
  <c r="C35" i="25"/>
  <c r="B39" i="22"/>
  <c r="D141" i="16"/>
  <c r="AD95" i="16" l="1"/>
  <c r="AL12" i="16"/>
  <c r="E189" i="16"/>
  <c r="E190" i="16"/>
  <c r="E191" i="16"/>
  <c r="E192" i="16"/>
  <c r="E193" i="16"/>
  <c r="E194" i="16"/>
  <c r="E195" i="16"/>
  <c r="E196" i="16"/>
  <c r="F190" i="16"/>
  <c r="F191" i="16"/>
  <c r="F192" i="16"/>
  <c r="F193" i="16"/>
  <c r="F194" i="16"/>
  <c r="F195" i="16"/>
  <c r="F196" i="16"/>
  <c r="F189" i="16"/>
  <c r="E38" i="25"/>
  <c r="E37" i="25"/>
  <c r="C136" i="35" s="1"/>
  <c r="E137" i="16" s="1"/>
  <c r="E39" i="25"/>
  <c r="E40" i="25"/>
  <c r="AD12" i="16" l="1"/>
  <c r="F197" i="16"/>
  <c r="E197" i="16"/>
  <c r="C139" i="36"/>
  <c r="F140" i="16" s="1"/>
  <c r="C139" i="35"/>
  <c r="E140" i="16" s="1"/>
  <c r="C139" i="21"/>
  <c r="D140" i="16" s="1"/>
  <c r="C138" i="36"/>
  <c r="F139" i="16" s="1"/>
  <c r="C138" i="35"/>
  <c r="E139" i="16" s="1"/>
  <c r="C138" i="21"/>
  <c r="D139" i="16" s="1"/>
  <c r="C137" i="36"/>
  <c r="F138" i="16" s="1"/>
  <c r="C137" i="35"/>
  <c r="E138" i="16" s="1"/>
  <c r="C137" i="21"/>
  <c r="D138" i="16" s="1"/>
  <c r="C136" i="36"/>
  <c r="F137" i="16" s="1"/>
  <c r="C136" i="21"/>
  <c r="D137" i="16" s="1"/>
  <c r="F247" i="16"/>
  <c r="E247" i="16"/>
  <c r="F273" i="16" l="1"/>
  <c r="F260" i="16"/>
  <c r="F285" i="16"/>
  <c r="F269" i="16"/>
  <c r="F281" i="16"/>
  <c r="F256" i="16"/>
  <c r="E281" i="16"/>
  <c r="E273" i="16"/>
  <c r="E285" i="16"/>
  <c r="E260" i="16"/>
  <c r="E256" i="16"/>
  <c r="E269" i="16"/>
  <c r="C51" i="12"/>
  <c r="C39" i="12"/>
  <c r="C40" i="12"/>
  <c r="C41" i="12"/>
  <c r="C42" i="12"/>
  <c r="C38" i="12"/>
  <c r="D49" i="25"/>
  <c r="C49" i="25"/>
  <c r="D31" i="25"/>
  <c r="D32" i="25"/>
  <c r="D33" i="25"/>
  <c r="D34" i="25"/>
  <c r="D30" i="25"/>
  <c r="D13" i="25"/>
  <c r="D14" i="25"/>
  <c r="D11" i="25"/>
  <c r="D24" i="25"/>
  <c r="D25" i="25"/>
  <c r="D26" i="25"/>
  <c r="D27" i="25"/>
  <c r="D28" i="25"/>
  <c r="D23" i="25"/>
  <c r="D18" i="25"/>
  <c r="D19" i="25"/>
  <c r="D20" i="25"/>
  <c r="D22" i="25"/>
  <c r="D17" i="25"/>
  <c r="C31" i="25"/>
  <c r="C32" i="25"/>
  <c r="C33" i="25"/>
  <c r="C34" i="25"/>
  <c r="C30" i="25"/>
  <c r="C24" i="25"/>
  <c r="C25" i="25"/>
  <c r="C26" i="25"/>
  <c r="C27" i="25"/>
  <c r="C28" i="25"/>
  <c r="C18" i="25"/>
  <c r="C19" i="25"/>
  <c r="C20" i="25"/>
  <c r="C22" i="25"/>
  <c r="C23" i="25"/>
  <c r="C17" i="25"/>
  <c r="E6" i="25"/>
  <c r="C11" i="25"/>
  <c r="C8" i="25"/>
  <c r="D51" i="25"/>
  <c r="G208" i="16"/>
  <c r="G209" i="16"/>
  <c r="G211" i="16"/>
  <c r="F208" i="16"/>
  <c r="F209" i="16"/>
  <c r="F211" i="16"/>
  <c r="D133" i="16"/>
  <c r="E209" i="16" s="1"/>
  <c r="D132" i="16"/>
  <c r="E208" i="16" s="1"/>
  <c r="D135" i="16"/>
  <c r="E211" i="16" s="1"/>
  <c r="D150" i="16"/>
  <c r="D151" i="16"/>
  <c r="E213" i="16" l="1"/>
  <c r="H213" i="16" s="1"/>
  <c r="E11" i="25"/>
  <c r="E18" i="25"/>
  <c r="C158" i="35" s="1"/>
  <c r="E154" i="16" s="1"/>
  <c r="E14" i="25"/>
  <c r="E17" i="25"/>
  <c r="C157" i="36" s="1"/>
  <c r="F153" i="16" s="1"/>
  <c r="E19" i="25"/>
  <c r="C159" i="35" s="1"/>
  <c r="E155" i="16" s="1"/>
  <c r="E22" i="25"/>
  <c r="E13" i="25"/>
  <c r="E49" i="25"/>
  <c r="E34" i="25"/>
  <c r="E30" i="25"/>
  <c r="C163" i="36" s="1"/>
  <c r="F157" i="16" s="1"/>
  <c r="E33" i="25"/>
  <c r="C166" i="36" s="1"/>
  <c r="F160" i="16" s="1"/>
  <c r="E35" i="25"/>
  <c r="E27" i="25"/>
  <c r="E28" i="25"/>
  <c r="E32" i="25"/>
  <c r="C165" i="36" s="1"/>
  <c r="F159" i="16" s="1"/>
  <c r="E31" i="25"/>
  <c r="C164" i="36" s="1"/>
  <c r="F158" i="16" s="1"/>
  <c r="E26" i="25"/>
  <c r="E25" i="25"/>
  <c r="E24" i="25"/>
  <c r="E23" i="25"/>
  <c r="E20" i="25"/>
  <c r="C160" i="36" s="1"/>
  <c r="F156" i="16" s="1"/>
  <c r="C150" i="35" l="1"/>
  <c r="E148" i="16" s="1"/>
  <c r="C150" i="21"/>
  <c r="D148" i="16" s="1"/>
  <c r="C150" i="36"/>
  <c r="F148" i="16" s="1"/>
  <c r="C151" i="21"/>
  <c r="D149" i="16" s="1"/>
  <c r="C151" i="36"/>
  <c r="F149" i="16" s="1"/>
  <c r="C151" i="35"/>
  <c r="E149" i="16" s="1"/>
  <c r="C148" i="35"/>
  <c r="E146" i="16" s="1"/>
  <c r="C148" i="21"/>
  <c r="D146" i="16" s="1"/>
  <c r="C148" i="36"/>
  <c r="F146" i="16" s="1"/>
  <c r="C168" i="36"/>
  <c r="F162" i="16" s="1"/>
  <c r="G223" i="16" s="1"/>
  <c r="J223" i="16" s="1"/>
  <c r="C168" i="35"/>
  <c r="E162" i="16" s="1"/>
  <c r="F223" i="16" s="1"/>
  <c r="I223" i="16" s="1"/>
  <c r="C168" i="21"/>
  <c r="C167" i="36"/>
  <c r="F161" i="16" s="1"/>
  <c r="G222" i="16" s="1"/>
  <c r="J222" i="16" s="1"/>
  <c r="C167" i="35"/>
  <c r="E161" i="16" s="1"/>
  <c r="F222" i="16" s="1"/>
  <c r="I222" i="16" s="1"/>
  <c r="C167" i="21"/>
  <c r="C157" i="21"/>
  <c r="D153" i="16" s="1"/>
  <c r="C158" i="21"/>
  <c r="D154" i="16" s="1"/>
  <c r="C157" i="35"/>
  <c r="E153" i="16" s="1"/>
  <c r="C158" i="36"/>
  <c r="F154" i="16" s="1"/>
  <c r="C159" i="21"/>
  <c r="D155" i="16" s="1"/>
  <c r="C159" i="36"/>
  <c r="F155" i="16" s="1"/>
  <c r="B168" i="35"/>
  <c r="B168" i="36"/>
  <c r="B167" i="35"/>
  <c r="B167" i="36"/>
  <c r="B163" i="35"/>
  <c r="B163" i="36"/>
  <c r="B164" i="35"/>
  <c r="B164" i="36"/>
  <c r="B165" i="35"/>
  <c r="B165" i="36"/>
  <c r="B166" i="35"/>
  <c r="B166" i="36"/>
  <c r="G221" i="16"/>
  <c r="J221" i="16" s="1"/>
  <c r="C166" i="35"/>
  <c r="E160" i="16" s="1"/>
  <c r="F221" i="16" s="1"/>
  <c r="I221" i="16" s="1"/>
  <c r="G219" i="16"/>
  <c r="J219" i="16" s="1"/>
  <c r="C164" i="35"/>
  <c r="E158" i="16" s="1"/>
  <c r="F219" i="16" s="1"/>
  <c r="I219" i="16" s="1"/>
  <c r="G218" i="16"/>
  <c r="J218" i="16" s="1"/>
  <c r="C163" i="35"/>
  <c r="E157" i="16" s="1"/>
  <c r="F218" i="16" s="1"/>
  <c r="I218" i="16" s="1"/>
  <c r="G220" i="16"/>
  <c r="J220" i="16" s="1"/>
  <c r="C165" i="35"/>
  <c r="E159" i="16" s="1"/>
  <c r="F220" i="16" s="1"/>
  <c r="I220" i="16" s="1"/>
  <c r="C160" i="35"/>
  <c r="E156" i="16" s="1"/>
  <c r="C163" i="21"/>
  <c r="C166" i="21"/>
  <c r="B167" i="21"/>
  <c r="B165" i="21"/>
  <c r="B164" i="21"/>
  <c r="B166" i="21"/>
  <c r="C164" i="21"/>
  <c r="C165" i="21"/>
  <c r="B168" i="21"/>
  <c r="B163" i="21"/>
  <c r="C160" i="21"/>
  <c r="D156" i="16" s="1"/>
  <c r="F216" i="16" l="1"/>
  <c r="G216" i="16"/>
  <c r="E216" i="16"/>
  <c r="G224" i="16"/>
  <c r="F224" i="16"/>
  <c r="I224" i="16" s="1"/>
  <c r="D164" i="16"/>
  <c r="D165" i="16"/>
  <c r="D166" i="16"/>
  <c r="D167" i="16"/>
  <c r="D168" i="16"/>
  <c r="D163" i="16"/>
  <c r="C168" i="16"/>
  <c r="D158" i="16"/>
  <c r="D159" i="16"/>
  <c r="D160" i="16"/>
  <c r="D161" i="16"/>
  <c r="D162" i="16"/>
  <c r="D157" i="16"/>
  <c r="C150" i="16"/>
  <c r="D225" i="16"/>
  <c r="D216" i="16"/>
  <c r="D213" i="16"/>
  <c r="D211" i="16"/>
  <c r="D209" i="16"/>
  <c r="B169" i="16"/>
  <c r="B207" i="16"/>
  <c r="B131" i="16"/>
  <c r="B127" i="21"/>
  <c r="B131" i="21"/>
  <c r="C133" i="16"/>
  <c r="C167" i="16"/>
  <c r="C166" i="16"/>
  <c r="C165" i="16"/>
  <c r="C164" i="16"/>
  <c r="C163" i="16"/>
  <c r="C135" i="16"/>
  <c r="C132" i="16"/>
  <c r="B152" i="16"/>
  <c r="B145" i="16"/>
  <c r="B143" i="16"/>
  <c r="B136" i="16"/>
  <c r="B134" i="16"/>
  <c r="B135" i="21"/>
  <c r="B170" i="21"/>
  <c r="B156" i="21"/>
  <c r="E218" i="16" l="1"/>
  <c r="H218" i="16" s="1"/>
  <c r="J224" i="16"/>
  <c r="I213" i="16"/>
  <c r="J213" i="16"/>
  <c r="I225" i="16"/>
  <c r="E223" i="16"/>
  <c r="H223" i="16" s="1"/>
  <c r="E222" i="16"/>
  <c r="H222" i="16" s="1"/>
  <c r="E221" i="16"/>
  <c r="H221" i="16" s="1"/>
  <c r="E220" i="16"/>
  <c r="E219" i="16"/>
  <c r="H219" i="16" s="1"/>
  <c r="J225" i="16"/>
  <c r="H209" i="16"/>
  <c r="I209" i="16"/>
  <c r="J209" i="16"/>
  <c r="I211" i="16"/>
  <c r="H211" i="16"/>
  <c r="J211" i="16"/>
  <c r="I216" i="16"/>
  <c r="H216" i="16"/>
  <c r="J216" i="16"/>
  <c r="I208" i="16"/>
  <c r="J208" i="16"/>
  <c r="H208" i="16"/>
  <c r="C108" i="21"/>
  <c r="O95" i="16" s="1"/>
  <c r="U95" i="16" s="1"/>
  <c r="H226" i="16" l="1"/>
  <c r="V95" i="16"/>
  <c r="H220" i="16"/>
  <c r="E224" i="16"/>
  <c r="J226" i="16"/>
  <c r="J227" i="16" s="1"/>
  <c r="I226" i="16"/>
  <c r="I227" i="16" s="1"/>
  <c r="F277" i="16"/>
  <c r="H224" i="16" l="1"/>
  <c r="E277" i="16"/>
  <c r="E275" i="16"/>
  <c r="F275" i="16"/>
  <c r="F274" i="16"/>
  <c r="E276" i="16"/>
  <c r="F276" i="16"/>
  <c r="F184" i="16"/>
  <c r="F183" i="16"/>
  <c r="F182" i="16"/>
  <c r="F181" i="16"/>
  <c r="F239" i="16"/>
  <c r="E184" i="16"/>
  <c r="E183" i="16"/>
  <c r="E182" i="16"/>
  <c r="E181" i="16"/>
  <c r="E239" i="16"/>
  <c r="D170" i="16"/>
  <c r="D123" i="16"/>
  <c r="D121" i="16"/>
  <c r="D184" i="16" s="1"/>
  <c r="D120" i="16"/>
  <c r="D183" i="16" s="1"/>
  <c r="D119" i="16"/>
  <c r="D182" i="16" s="1"/>
  <c r="D118" i="16"/>
  <c r="D181" i="16" s="1"/>
  <c r="D116" i="16"/>
  <c r="D115" i="16"/>
  <c r="D112" i="16"/>
  <c r="D257" i="16" s="1"/>
  <c r="D111" i="16"/>
  <c r="D239" i="16" s="1"/>
  <c r="D110" i="16"/>
  <c r="D247" i="16" s="1"/>
  <c r="D106" i="16"/>
  <c r="D105" i="16"/>
  <c r="D104" i="16"/>
  <c r="D103" i="16"/>
  <c r="D102" i="16"/>
  <c r="H227" i="16" l="1"/>
  <c r="D189" i="16"/>
  <c r="D190" i="16"/>
  <c r="D191" i="16"/>
  <c r="D192" i="16"/>
  <c r="D193" i="16"/>
  <c r="D194" i="16"/>
  <c r="D195" i="16"/>
  <c r="D196" i="16"/>
  <c r="D185" i="16"/>
  <c r="D281" i="16"/>
  <c r="D256" i="16"/>
  <c r="D260" i="16"/>
  <c r="D269" i="16"/>
  <c r="D273" i="16"/>
  <c r="D285" i="16"/>
  <c r="F185" i="16"/>
  <c r="E185" i="16"/>
  <c r="F278" i="16"/>
  <c r="D54" i="12"/>
  <c r="F257" i="16"/>
  <c r="F54" i="12"/>
  <c r="F50" i="12"/>
  <c r="E54" i="12"/>
  <c r="E50" i="12"/>
  <c r="E257" i="16"/>
  <c r="E274" i="16"/>
  <c r="E278" i="16" s="1"/>
  <c r="D197" i="16" l="1"/>
  <c r="F34" i="12"/>
  <c r="D50" i="12"/>
  <c r="C16" i="5"/>
  <c r="C15" i="5"/>
  <c r="F270" i="16" l="1"/>
  <c r="E270" i="16"/>
  <c r="C11" i="3" l="1"/>
  <c r="C10" i="3"/>
  <c r="B10" i="3"/>
  <c r="C9" i="3"/>
  <c r="B9" i="3"/>
  <c r="C8" i="3"/>
  <c r="B8" i="3"/>
  <c r="C7" i="3"/>
  <c r="B7" i="3"/>
  <c r="C6" i="3"/>
  <c r="B6" i="3"/>
  <c r="D47" i="25"/>
  <c r="E47" i="25" s="1"/>
  <c r="D46" i="25"/>
  <c r="D44" i="25"/>
  <c r="D43" i="25"/>
  <c r="D9" i="25"/>
  <c r="D8" i="25"/>
  <c r="C46" i="25"/>
  <c r="C44" i="25"/>
  <c r="C43" i="25"/>
  <c r="C9" i="25"/>
  <c r="C51" i="25"/>
  <c r="E51" i="25" s="1"/>
  <c r="D34" i="12"/>
  <c r="D37" i="12"/>
  <c r="E47" i="12"/>
  <c r="E46" i="12"/>
  <c r="B42" i="12"/>
  <c r="B41" i="12"/>
  <c r="B40" i="12"/>
  <c r="B39" i="12"/>
  <c r="B38" i="12"/>
  <c r="E37" i="12"/>
  <c r="E34" i="12"/>
  <c r="E33" i="12"/>
  <c r="E6" i="12"/>
  <c r="E8" i="25" l="1"/>
  <c r="E46" i="25"/>
  <c r="C257" i="16" s="1"/>
  <c r="C34" i="12" s="1"/>
  <c r="E44" i="25"/>
  <c r="C270" i="16" s="1"/>
  <c r="C47" i="12" s="1"/>
  <c r="E45" i="25"/>
  <c r="C278" i="16" s="1"/>
  <c r="E43" i="25"/>
  <c r="E9" i="25"/>
  <c r="C14" i="36" s="1"/>
  <c r="F109" i="16" s="1"/>
  <c r="C239" i="16"/>
  <c r="F47" i="12"/>
  <c r="D33" i="12"/>
  <c r="D6" i="12"/>
  <c r="D46" i="12"/>
  <c r="D62" i="25" l="1"/>
  <c r="D276" i="16"/>
  <c r="D274" i="16"/>
  <c r="D277" i="16"/>
  <c r="V12" i="16"/>
  <c r="D270" i="16"/>
  <c r="D47" i="12" s="1"/>
  <c r="D275" i="16"/>
  <c r="C253" i="16"/>
  <c r="C13" i="35"/>
  <c r="E108" i="16" s="1"/>
  <c r="C13" i="36"/>
  <c r="F108" i="16" s="1"/>
  <c r="D57" i="25"/>
  <c r="D16" i="36" s="1"/>
  <c r="C14" i="35"/>
  <c r="E109" i="16" s="1"/>
  <c r="D58" i="25"/>
  <c r="C19" i="5"/>
  <c r="C12" i="12"/>
  <c r="C14" i="12" s="1"/>
  <c r="C20" i="5"/>
  <c r="C14" i="21"/>
  <c r="C13" i="21"/>
  <c r="D60" i="25"/>
  <c r="F37" i="12"/>
  <c r="F33" i="12"/>
  <c r="F46" i="12"/>
  <c r="F6" i="12"/>
  <c r="B36" i="12" l="1"/>
  <c r="D278" i="16"/>
  <c r="C266" i="16"/>
  <c r="C43" i="12" s="1"/>
  <c r="D47" i="22"/>
  <c r="D61" i="25"/>
  <c r="D54" i="19"/>
  <c r="D59" i="25"/>
  <c r="B5" i="12"/>
  <c r="B246" i="16"/>
  <c r="B259" i="16"/>
  <c r="D128" i="35"/>
  <c r="D112" i="35"/>
  <c r="D113" i="35"/>
  <c r="D132" i="35"/>
  <c r="D128" i="36"/>
  <c r="D152" i="21"/>
  <c r="D113" i="36"/>
  <c r="B24" i="35"/>
  <c r="D129" i="36"/>
  <c r="D115" i="36"/>
  <c r="D114" i="35"/>
  <c r="D16" i="35"/>
  <c r="D152" i="36"/>
  <c r="B53" i="12"/>
  <c r="D112" i="36"/>
  <c r="B24" i="36"/>
  <c r="D129" i="35"/>
  <c r="D152" i="35"/>
  <c r="D132" i="36"/>
  <c r="D115" i="35"/>
  <c r="D114" i="36"/>
  <c r="A1" i="36"/>
  <c r="A1" i="35"/>
  <c r="D129" i="21"/>
  <c r="A1" i="21"/>
  <c r="D109" i="16"/>
  <c r="D108" i="16"/>
  <c r="D112" i="21"/>
  <c r="D50" i="22"/>
  <c r="D132" i="21"/>
  <c r="D16" i="21"/>
  <c r="D113" i="21"/>
  <c r="D128" i="21"/>
  <c r="D115" i="21"/>
  <c r="B24" i="21"/>
  <c r="D114" i="21"/>
  <c r="A2" i="12"/>
  <c r="D264" i="16" l="1"/>
  <c r="D251" i="16" s="1"/>
  <c r="D261" i="16"/>
  <c r="D248" i="16" s="1"/>
  <c r="D265" i="16"/>
  <c r="D252" i="16" s="1"/>
  <c r="D11" i="12" s="1"/>
  <c r="F261" i="16"/>
  <c r="E261" i="16"/>
  <c r="C286" i="16"/>
  <c r="C55" i="12" s="1"/>
  <c r="C240" i="16"/>
  <c r="C241" i="16" s="1"/>
  <c r="E263" i="16"/>
  <c r="D263" i="16"/>
  <c r="D250" i="16" s="1"/>
  <c r="E262" i="16"/>
  <c r="F263" i="16"/>
  <c r="F262" i="16"/>
  <c r="D262" i="16"/>
  <c r="D249" i="16" s="1"/>
  <c r="F265" i="16"/>
  <c r="E265" i="16"/>
  <c r="E264" i="16"/>
  <c r="E251" i="16" s="1"/>
  <c r="F264" i="16"/>
  <c r="F251" i="16" s="1"/>
  <c r="F266" i="16" l="1"/>
  <c r="E266" i="16"/>
  <c r="D266" i="16"/>
  <c r="D253" i="16" s="1"/>
  <c r="D7" i="12"/>
  <c r="D42" i="12"/>
  <c r="D38" i="12"/>
  <c r="D8" i="12"/>
  <c r="D39" i="12"/>
  <c r="F250" i="16"/>
  <c r="F9" i="12" s="1"/>
  <c r="F40" i="12"/>
  <c r="E249" i="16"/>
  <c r="E8" i="12" s="1"/>
  <c r="E39" i="12"/>
  <c r="D9" i="12"/>
  <c r="D40" i="12"/>
  <c r="D10" i="12"/>
  <c r="D41" i="12"/>
  <c r="E10" i="12"/>
  <c r="E41" i="12"/>
  <c r="F252" i="16"/>
  <c r="F11" i="12" s="1"/>
  <c r="F42" i="12"/>
  <c r="E250" i="16"/>
  <c r="E9" i="12" s="1"/>
  <c r="E40" i="12"/>
  <c r="F249" i="16"/>
  <c r="F8" i="12" s="1"/>
  <c r="F39" i="12"/>
  <c r="F10" i="12"/>
  <c r="F41" i="12"/>
  <c r="E252" i="16"/>
  <c r="E11" i="12" s="1"/>
  <c r="E42" i="12"/>
  <c r="F248" i="16"/>
  <c r="F7" i="12" s="1"/>
  <c r="F38" i="12"/>
  <c r="E248" i="16"/>
  <c r="E7" i="12" s="1"/>
  <c r="E38" i="12"/>
  <c r="D240" i="16" l="1"/>
  <c r="D241" i="16" s="1"/>
  <c r="D242" i="16" s="1"/>
  <c r="D282" i="16" s="1"/>
  <c r="E240" i="16"/>
  <c r="E241" i="16" s="1"/>
  <c r="E242" i="16" s="1"/>
  <c r="E253" i="16"/>
  <c r="E286" i="16" s="1"/>
  <c r="E43" i="12"/>
  <c r="D43" i="12"/>
  <c r="F253" i="16"/>
  <c r="F286" i="16" s="1"/>
  <c r="F240" i="16"/>
  <c r="F241" i="16" s="1"/>
  <c r="F242" i="16" s="1"/>
  <c r="F43" i="12"/>
  <c r="D51" i="12" l="1"/>
  <c r="D12" i="12"/>
  <c r="D286" i="16"/>
  <c r="D55" i="12" s="1"/>
  <c r="F12" i="12"/>
  <c r="F55" i="12"/>
  <c r="F282" i="16"/>
  <c r="F51" i="12"/>
  <c r="E12" i="12"/>
  <c r="E55" i="12"/>
  <c r="E282" i="16"/>
  <c r="E5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Marijke Meyer</author>
  </authors>
  <commentList>
    <comment ref="U11" authorId="0" shapeId="0" xr:uid="{844F4433-0285-4755-BF6B-FE61440D7846}">
      <text>
        <r>
          <rPr>
            <b/>
            <sz val="9"/>
            <color indexed="81"/>
            <rFont val="Tahoma"/>
            <family val="2"/>
          </rPr>
          <t>Marijke Meyer:</t>
        </r>
        <r>
          <rPr>
            <sz val="9"/>
            <color indexed="81"/>
            <rFont val="Tahoma"/>
            <family val="2"/>
          </rPr>
          <t xml:space="preserve">
For SF6 this is calculated in the GWP table for insulating/ switch gas!</t>
        </r>
      </text>
    </comment>
    <comment ref="AC11" authorId="0" shapeId="0" xr:uid="{E4907F3D-9D44-4021-9E0B-DAE295776BCC}">
      <text>
        <r>
          <rPr>
            <b/>
            <sz val="9"/>
            <color indexed="81"/>
            <rFont val="Tahoma"/>
            <family val="2"/>
          </rPr>
          <t>Marijke Meyer:</t>
        </r>
        <r>
          <rPr>
            <sz val="9"/>
            <color indexed="81"/>
            <rFont val="Tahoma"/>
            <family val="2"/>
          </rPr>
          <t xml:space="preserve">
For SF6 this is calculated in the GWP table for insulating/ switch gas!</t>
        </r>
      </text>
    </comment>
    <comment ref="AK11" authorId="0" shapeId="0" xr:uid="{EFC1DF47-A0A2-4499-8815-05A6557DEFC1}">
      <text>
        <r>
          <rPr>
            <b/>
            <sz val="9"/>
            <color indexed="81"/>
            <rFont val="Tahoma"/>
            <family val="2"/>
          </rPr>
          <t>Marijke Meyer:</t>
        </r>
        <r>
          <rPr>
            <sz val="9"/>
            <color indexed="81"/>
            <rFont val="Tahoma"/>
            <family val="2"/>
          </rPr>
          <t xml:space="preserve">
For SF6 this is calculated in the GWP table for insulating/ switch gas!</t>
        </r>
      </text>
    </comment>
    <comment ref="I39" authorId="0" shapeId="0" xr:uid="{457B9263-DDA6-449E-89FE-F7D3D97A2F42}">
      <text>
        <r>
          <rPr>
            <b/>
            <sz val="9"/>
            <color indexed="81"/>
            <rFont val="Tahoma"/>
            <family val="2"/>
          </rPr>
          <t>Marijke Meyer:</t>
        </r>
        <r>
          <rPr>
            <sz val="9"/>
            <color indexed="81"/>
            <rFont val="Tahoma"/>
            <family val="2"/>
          </rPr>
          <t xml:space="preserve">
zie Table - GWP emission of insulating/switch gas during lifetime</t>
        </r>
      </text>
    </comment>
    <comment ref="J39" authorId="0" shapeId="0" xr:uid="{587EB1CE-2FFD-41B3-A02A-48C3675FDF8B}">
      <text>
        <r>
          <rPr>
            <b/>
            <sz val="9"/>
            <color indexed="81"/>
            <rFont val="Tahoma"/>
            <family val="2"/>
          </rPr>
          <t>Marijke Meyer:</t>
        </r>
        <r>
          <rPr>
            <sz val="9"/>
            <color indexed="81"/>
            <rFont val="Tahoma"/>
            <family val="2"/>
          </rPr>
          <t xml:space="preserve">
zie Table - GWP emission of insulating/switch gas during lifetime</t>
        </r>
      </text>
    </comment>
  </commentList>
</comments>
</file>

<file path=xl/sharedStrings.xml><?xml version="1.0" encoding="utf-8"?>
<sst xmlns="http://schemas.openxmlformats.org/spreadsheetml/2006/main" count="1637" uniqueCount="567">
  <si>
    <t>Asset tool - Introduction</t>
  </si>
  <si>
    <t>Introduction</t>
  </si>
  <si>
    <t xml:space="preserve">The Dutch distribution system operators are all working towards a sustainable and future proof distribution grid. </t>
  </si>
  <si>
    <t xml:space="preserve">This includes harmonizing the way distribution system operators (DSOs) determine the sustainability of different </t>
  </si>
  <si>
    <t xml:space="preserve">assets used in the Dutch electricity and gas grid. Therefore Alliander, Enexis and Stedin have asked CE Delft to </t>
  </si>
  <si>
    <t>develop this Asset tool in Excel.</t>
  </si>
  <si>
    <t>The Asset tool focusses on the following aspects of sustainability: circularity, climate change and conflict minerals.</t>
  </si>
  <si>
    <t>How to use the tool</t>
  </si>
  <si>
    <t>Change the settings</t>
  </si>
  <si>
    <t>Before using the tool, make sure that your system uses a “.” as a decimal separator (instead of a “,”).</t>
  </si>
  <si>
    <t xml:space="preserve">This can be done by: </t>
  </si>
  <si>
    <r>
      <t xml:space="preserve">1. Click </t>
    </r>
    <r>
      <rPr>
        <b/>
        <sz val="10"/>
        <color theme="1"/>
        <rFont val="Trebuchet MS"/>
        <family val="2"/>
        <scheme val="minor"/>
      </rPr>
      <t>File</t>
    </r>
    <r>
      <rPr>
        <sz val="10"/>
        <color theme="1"/>
        <rFont val="Trebuchet MS"/>
        <family val="2"/>
        <scheme val="minor"/>
      </rPr>
      <t xml:space="preserve"> in the top left corner of the screen.</t>
    </r>
  </si>
  <si>
    <r>
      <t xml:space="preserve">2. Go to </t>
    </r>
    <r>
      <rPr>
        <b/>
        <sz val="10"/>
        <color theme="1"/>
        <rFont val="Trebuchet MS"/>
        <family val="2"/>
        <scheme val="minor"/>
      </rPr>
      <t>Options</t>
    </r>
    <r>
      <rPr>
        <sz val="10"/>
        <color theme="1"/>
        <rFont val="Trebuchet MS"/>
        <family val="2"/>
        <scheme val="minor"/>
      </rPr>
      <t>.</t>
    </r>
  </si>
  <si>
    <r>
      <t xml:space="preserve">3. Choose </t>
    </r>
    <r>
      <rPr>
        <b/>
        <sz val="10"/>
        <color theme="1"/>
        <rFont val="Trebuchet MS"/>
        <family val="2"/>
        <scheme val="minor"/>
      </rPr>
      <t>Advanced</t>
    </r>
    <r>
      <rPr>
        <sz val="10"/>
        <color theme="1"/>
        <rFont val="Trebuchet MS"/>
        <family val="2"/>
        <scheme val="minor"/>
      </rPr>
      <t xml:space="preserve"> and scroll down until you see </t>
    </r>
    <r>
      <rPr>
        <b/>
        <sz val="10"/>
        <color theme="1"/>
        <rFont val="Trebuchet MS"/>
        <family val="2"/>
        <scheme val="minor"/>
      </rPr>
      <t>Editing options</t>
    </r>
    <r>
      <rPr>
        <sz val="10"/>
        <color theme="1"/>
        <rFont val="Trebuchet MS"/>
        <family val="2"/>
        <scheme val="minor"/>
      </rPr>
      <t>.</t>
    </r>
  </si>
  <si>
    <t>4. There is a box that you can tick in front of ‘use system separators’, ensure that it is unticked.</t>
  </si>
  <si>
    <t>5. Manually change the decimal separator to a “.”, and the thousands separator to a “,”.</t>
  </si>
  <si>
    <t>6. Please turn off autosave in Excel.</t>
  </si>
  <si>
    <t>Guidelines</t>
  </si>
  <si>
    <t xml:space="preserve">For a complete result all blank fields should be filled out, following these guidelines:
</t>
  </si>
  <si>
    <t>— If a value is zero or not-applicable, please enter 0.</t>
  </si>
  <si>
    <t>— If a decimal separator “.” is used, write a half as 0.5 and not as 0,5.</t>
  </si>
  <si>
    <t>— Do not use thousand separators when filling in the tool; write a thousand as 1000 and not as 1,000.</t>
  </si>
  <si>
    <t>— Do not copy+paste data, as this could overwrite hidden cells and change the cell formats.</t>
  </si>
  <si>
    <t>Tool navigation</t>
  </si>
  <si>
    <t>— Use the navigation bar at the bottom of the Excel or the designated buttons to navigate to the next sheet.</t>
  </si>
  <si>
    <t>Legend</t>
  </si>
  <si>
    <t>The tool includes the following fields:</t>
  </si>
  <si>
    <r>
      <t xml:space="preserve">Fill out </t>
    </r>
    <r>
      <rPr>
        <b/>
        <sz val="10"/>
        <color rgb="FF000000"/>
        <rFont val="Trebuchet MS"/>
        <family val="2"/>
        <scheme val="minor"/>
      </rPr>
      <t>all</t>
    </r>
    <r>
      <rPr>
        <sz val="10"/>
        <color rgb="FF000000"/>
        <rFont val="Trebuchet MS"/>
        <family val="2"/>
        <scheme val="minor"/>
      </rPr>
      <t xml:space="preserve"> fields that are blank.</t>
    </r>
  </si>
  <si>
    <t>Fields to be filled out</t>
  </si>
  <si>
    <t>Fields that are indicated with a double outer line contain a drop down (multiple-choice) menu.</t>
  </si>
  <si>
    <t>Drop down menu</t>
  </si>
  <si>
    <t>Do not fill out any fields that are shown in grey.</t>
  </si>
  <si>
    <t>Predetermined cells</t>
  </si>
  <si>
    <t>Specific instructions and background data</t>
  </si>
  <si>
    <t xml:space="preserve">Specific instructions on how to use the Asset tool can be found in the document “Manual Asset tool”. 
</t>
  </si>
  <si>
    <t xml:space="preserve">The approach taken to develop the Asset tool and the data used are described in the document “Background </t>
  </si>
  <si>
    <t>document Asset tool”.</t>
  </si>
  <si>
    <t>Asset tool - Goal</t>
  </si>
  <si>
    <t>Goals</t>
  </si>
  <si>
    <t>The Dutch distribution system operators (DSOs) can use this tool for two purposes.</t>
  </si>
  <si>
    <t>The Asset tool can be used in a tender or to gain (more) insight.</t>
  </si>
  <si>
    <t>Description of goal: Tender</t>
  </si>
  <si>
    <t>Use the Asset tool to determine the climate change impact, circular content, conflict mineral content, and</t>
  </si>
  <si>
    <t>environmental cost of climate change impact of one or more asset(s). The climate change impact includes the</t>
  </si>
  <si>
    <t>impact of materials, transport, usage and end-of-life. It is possible to compare these results with the results of</t>
  </si>
  <si>
    <t>a baseline asset.</t>
  </si>
  <si>
    <t>In order to use the tool for a tender, the Asset tool must be prepared by the DSO.</t>
  </si>
  <si>
    <t>Description of goal: Insight</t>
  </si>
  <si>
    <t>In addition to all functionalities mentioned in 'Description of goal: Tender', it is possible to include energy use during</t>
  </si>
  <si>
    <t xml:space="preserve">final assembly and determine the cost effectiveness of climate change impact reduction of one or more asset(s). </t>
  </si>
  <si>
    <t>The tool could, for example, be used to gain insight into:</t>
  </si>
  <si>
    <t xml:space="preserve">— The difference between the current asset with a (proposed) design change of this asset. </t>
  </si>
  <si>
    <t>— The difference between an asset with the same functionality from different (potential) suppliers.</t>
  </si>
  <si>
    <t>— The hotspots in the carbon footprint of an asset.</t>
  </si>
  <si>
    <t>Step 0: Select a goal</t>
  </si>
  <si>
    <t>Asset tool - Start Tender</t>
  </si>
  <si>
    <t>Using the tool</t>
  </si>
  <si>
    <t>Step 1: Read the instructions in the document "Manual Asset tool" carefully</t>
  </si>
  <si>
    <t>Step 2: Fill out contact information</t>
  </si>
  <si>
    <t>Step 3: Select the number of assets (max 3 per Excel)</t>
  </si>
  <si>
    <t>Step 4: Fill out the datasheet(s). Make sure to fill out all fields.</t>
  </si>
  <si>
    <t>Step 5: Save datasheet(s) and results as PDF- or Excel document.</t>
  </si>
  <si>
    <t>Tender prepared by</t>
  </si>
  <si>
    <t>Network operator</t>
  </si>
  <si>
    <t>Contact network operator</t>
  </si>
  <si>
    <t>This tool is prepared for the following asset</t>
  </si>
  <si>
    <t>Asset</t>
  </si>
  <si>
    <t>Subtype</t>
  </si>
  <si>
    <t>Supplier / producer</t>
  </si>
  <si>
    <t>Contact supplier / producer</t>
  </si>
  <si>
    <t>Number of assets</t>
  </si>
  <si>
    <t>Asset tool - Start prepare tender</t>
  </si>
  <si>
    <t>Step 1: Fill out contact information</t>
  </si>
  <si>
    <t>Step 2: Select the asset and subtype</t>
  </si>
  <si>
    <t>Step 3: Add baseline results (optional)</t>
  </si>
  <si>
    <r>
      <t>Step 4: Add environmental price for CO2</t>
    </r>
    <r>
      <rPr>
        <sz val="10"/>
        <color theme="1"/>
        <rFont val="Trebuchet MS"/>
        <family val="2"/>
        <scheme val="minor"/>
      </rPr>
      <t xml:space="preserve"> (optional)</t>
    </r>
  </si>
  <si>
    <t>Step 5: Complete tender preparation and save</t>
  </si>
  <si>
    <t>Stedin</t>
  </si>
  <si>
    <t>Note: it is possible to enter something else</t>
  </si>
  <si>
    <t>Electricity cable</t>
  </si>
  <si>
    <t>Note: this could take a minute</t>
  </si>
  <si>
    <t>0.6/1 kV</t>
  </si>
  <si>
    <t xml:space="preserve">Step 2a: Include energy use of production or assembly </t>
  </si>
  <si>
    <t>Include energy use in calculation</t>
  </si>
  <si>
    <t>yes</t>
  </si>
  <si>
    <t>Please define in the instructions document for which steps energy use needs to be included</t>
  </si>
  <si>
    <t>@For electric cable</t>
  </si>
  <si>
    <t xml:space="preserve">Duration of use at (max) current load </t>
  </si>
  <si>
    <t>hours/year</t>
  </si>
  <si>
    <t xml:space="preserve">  specified for calculation of losses</t>
  </si>
  <si>
    <t>Number of load carrying conductors</t>
  </si>
  <si>
    <t>Current load for calculation of losses</t>
  </si>
  <si>
    <t>A</t>
  </si>
  <si>
    <t>@For switchgear</t>
  </si>
  <si>
    <t>Operation time</t>
  </si>
  <si>
    <t>Part of operation time in peak load</t>
  </si>
  <si>
    <t>%</t>
  </si>
  <si>
    <t>Number of phases</t>
  </si>
  <si>
    <t>Number of functionalities</t>
  </si>
  <si>
    <t>Name of functionality (optional)</t>
  </si>
  <si>
    <t>Nominal load (A)</t>
  </si>
  <si>
    <t>Functionality 1</t>
  </si>
  <si>
    <t>Functionality 2</t>
  </si>
  <si>
    <t>Functionality 3</t>
  </si>
  <si>
    <t>Functionality 4</t>
  </si>
  <si>
    <t>Functionality 5</t>
  </si>
  <si>
    <t>Functionality 6</t>
  </si>
  <si>
    <t>@For transformer</t>
  </si>
  <si>
    <t>Operation time (including standby time)</t>
  </si>
  <si>
    <t>Time under load for calculation</t>
  </si>
  <si>
    <t>Rated power</t>
  </si>
  <si>
    <t>MVA</t>
  </si>
  <si>
    <t>Climate change impact per year</t>
  </si>
  <si>
    <t>Circular content</t>
  </si>
  <si>
    <t>Lifetime</t>
  </si>
  <si>
    <t>years</t>
  </si>
  <si>
    <t>Step 4: Add environmental price for CO2 (optional)</t>
  </si>
  <si>
    <t>Environmental price of CO2</t>
  </si>
  <si>
    <r>
      <t>€/tonne CO2-</t>
    </r>
    <r>
      <rPr>
        <sz val="10"/>
        <color theme="1"/>
        <rFont val="Trebuchet MS"/>
        <family val="2"/>
        <scheme val="minor"/>
      </rPr>
      <t>eq</t>
    </r>
  </si>
  <si>
    <t>Asset tool - Start Insight</t>
  </si>
  <si>
    <t>Step 1: Select the asset and subtype</t>
  </si>
  <si>
    <t>Step 2: Add baseline results (optional)</t>
  </si>
  <si>
    <r>
      <t>Step 3: Add environmental price for CO2</t>
    </r>
    <r>
      <rPr>
        <sz val="10"/>
        <color theme="1"/>
        <rFont val="Trebuchet MS"/>
        <family val="2"/>
        <scheme val="minor"/>
      </rPr>
      <t xml:space="preserve"> (optional)</t>
    </r>
  </si>
  <si>
    <t>Step 4: Select the number of assets (max 3 per Excel)</t>
  </si>
  <si>
    <t>Step 5: Fill out the datasheet(s). Make sure to fill out all fields.</t>
  </si>
  <si>
    <t>Step 6: Save datasheet(s) and results as PDF- or Excel document.</t>
  </si>
  <si>
    <t>Price</t>
  </si>
  <si>
    <t>Step 3: Add environmental price for CO2 (optional)</t>
  </si>
  <si>
    <t>(not visible when goal = tender)</t>
  </si>
  <si>
    <t>Contact information</t>
  </si>
  <si>
    <t>Filled in by</t>
  </si>
  <si>
    <t>Product information</t>
  </si>
  <si>
    <t>Unique identifier product</t>
  </si>
  <si>
    <t>Guaranteed lifespan of asset</t>
  </si>
  <si>
    <t>Total weight of the asset</t>
  </si>
  <si>
    <t>Data source materials</t>
  </si>
  <si>
    <t>Based on material passport?</t>
  </si>
  <si>
    <t>if 'yes': start date material passport</t>
  </si>
  <si>
    <t>Recycled (%)*</t>
  </si>
  <si>
    <t>Recyclable (%)*</t>
  </si>
  <si>
    <t>Re/Down out*</t>
  </si>
  <si>
    <r>
      <t xml:space="preserve">Unknown/other materials </t>
    </r>
    <r>
      <rPr>
        <i/>
        <sz val="10"/>
        <rFont val="Trebuchet MS"/>
        <family val="2"/>
        <scheme val="minor"/>
      </rPr>
      <t>(based on total weight, proxy value)</t>
    </r>
  </si>
  <si>
    <t>N/A</t>
  </si>
  <si>
    <t>Energy required for production</t>
  </si>
  <si>
    <t>Electricity - average mix</t>
  </si>
  <si>
    <t>Electricity - green</t>
  </si>
  <si>
    <t>Heat from natural gas</t>
  </si>
  <si>
    <t>Diesel</t>
  </si>
  <si>
    <t>Transport from production location to network operator</t>
  </si>
  <si>
    <t>(Trans)oceanic ship</t>
  </si>
  <si>
    <t>km</t>
  </si>
  <si>
    <t>Coastal ship</t>
  </si>
  <si>
    <t>Barge ship</t>
  </si>
  <si>
    <t>Truck (Diesel)</t>
  </si>
  <si>
    <t>Truck (Electric)</t>
  </si>
  <si>
    <t>Truck (Hydrogen)</t>
  </si>
  <si>
    <t xml:space="preserve">Train </t>
  </si>
  <si>
    <t>Airplane</t>
  </si>
  <si>
    <t>Electricity loss</t>
  </si>
  <si>
    <t>Natural gass loss</t>
  </si>
  <si>
    <t>No energy losses taken into account</t>
  </si>
  <si>
    <t>Load loss*</t>
  </si>
  <si>
    <t>No-load loss*</t>
  </si>
  <si>
    <t>*Losses need to be calculated using assumption prescribed by DSO in manual.</t>
  </si>
  <si>
    <t>No energy losses present</t>
  </si>
  <si>
    <t>Resistance (use IEC 60287-1-1)</t>
  </si>
  <si>
    <t>λ-factor* (use IEC 60287-1-1)</t>
  </si>
  <si>
    <r>
      <t>* The λ-factor consists of the ratio of losses in sheaths and armour to 
total conductor losses. The λ-factor is calculated by adding up λ</t>
    </r>
    <r>
      <rPr>
        <vertAlign val="subscript"/>
        <sz val="10"/>
        <color theme="1"/>
        <rFont val="Trebuchet MS"/>
        <family val="2"/>
        <scheme val="minor"/>
      </rPr>
      <t>1</t>
    </r>
    <r>
      <rPr>
        <sz val="10"/>
        <color theme="1"/>
        <rFont val="Trebuchet MS"/>
        <family val="2"/>
        <scheme val="minor"/>
      </rPr>
      <t xml:space="preserve"> and λ</t>
    </r>
    <r>
      <rPr>
        <vertAlign val="subscript"/>
        <sz val="10"/>
        <color theme="1"/>
        <rFont val="Trebuchet MS"/>
        <family val="2"/>
        <scheme val="minor"/>
      </rPr>
      <t>2</t>
    </r>
    <r>
      <rPr>
        <sz val="10"/>
        <color theme="1"/>
        <rFont val="Trebuchet MS"/>
        <family val="2"/>
        <scheme val="minor"/>
      </rPr>
      <t>.</t>
    </r>
  </si>
  <si>
    <t>Resistance 
(Ω)</t>
  </si>
  <si>
    <t>Filling density of medium in appliance</t>
  </si>
  <si>
    <r>
      <t>kg/m</t>
    </r>
    <r>
      <rPr>
        <vertAlign val="superscript"/>
        <sz val="10"/>
        <color theme="1"/>
        <rFont val="Trebuchet MS"/>
        <family val="2"/>
        <scheme val="minor"/>
      </rPr>
      <t>3</t>
    </r>
  </si>
  <si>
    <t>The minimum functional density neccesary for insulation/switching</t>
  </si>
  <si>
    <t>Net volume of medium in appliance</t>
  </si>
  <si>
    <r>
      <t>m</t>
    </r>
    <r>
      <rPr>
        <vertAlign val="superscript"/>
        <sz val="10"/>
        <color theme="1"/>
        <rFont val="Trebuchet MS"/>
        <family val="2"/>
        <scheme val="minor"/>
      </rPr>
      <t>3</t>
    </r>
    <r>
      <rPr>
        <sz val="10"/>
        <color theme="1"/>
        <rFont val="Trebuchet MS"/>
        <family val="2"/>
        <scheme val="minor"/>
      </rPr>
      <t>/appliance</t>
    </r>
  </si>
  <si>
    <r>
      <t>* The λ-factor consists of the ratio of losses in sheaths and armour to 
total conductor losses. The λ-factor is calculated by adding up λ</t>
    </r>
    <r>
      <rPr>
        <vertAlign val="subscript"/>
        <sz val="10"/>
        <color theme="1"/>
        <rFont val="Trebuchet MS"/>
        <family val="2"/>
        <scheme val="minor"/>
      </rPr>
      <t>1</t>
    </r>
    <r>
      <rPr>
        <sz val="10"/>
        <color theme="1"/>
        <rFont val="Trebuchet MS"/>
        <family val="2"/>
        <scheme val="minor"/>
      </rPr>
      <t xml:space="preserve"> and λ</t>
    </r>
    <r>
      <rPr>
        <vertAlign val="subscript"/>
        <sz val="10"/>
        <color theme="1"/>
        <rFont val="Trebuchet MS"/>
        <family val="2"/>
        <scheme val="minor"/>
      </rPr>
      <t>2.</t>
    </r>
  </si>
  <si>
    <t>Baseline</t>
  </si>
  <si>
    <t>Material production</t>
  </si>
  <si>
    <t>-</t>
  </si>
  <si>
    <t>Energy usage (final assembly)</t>
  </si>
  <si>
    <t>Transport</t>
  </si>
  <si>
    <t>Usage (electricity/gas loss)</t>
  </si>
  <si>
    <t>End-of-life</t>
  </si>
  <si>
    <t>Total</t>
  </si>
  <si>
    <t>Lifetime (years)</t>
  </si>
  <si>
    <t>Circular content (between 0-100%)</t>
  </si>
  <si>
    <t>Cost effectiveness w.r.t baseline (cost (€) per reduction of 1 tonne CO2-eq emissions)</t>
  </si>
  <si>
    <t>Cost effectiveness</t>
  </si>
  <si>
    <t>Environmental cost</t>
  </si>
  <si>
    <t>All information about materials</t>
  </si>
  <si>
    <t>Instructions when adding a material in the 'Table - All information about materials':</t>
  </si>
  <si>
    <t>1. Replace the last 'ZZ - Addition space for future material' and fill out the properties for the new material. Place an 'X' for each asset using this material.</t>
  </si>
  <si>
    <t>2. Sort the 'Material' collumn from A to Z</t>
  </si>
  <si>
    <t>3. Drag the formula's present in 'Datasheet Asset #1/2/3' (e.g. collumns N:Q, V:Y and AD:AG) down such that they are correct again.</t>
  </si>
  <si>
    <t>Table - All information about materials</t>
  </si>
  <si>
    <t>Used in asset? (yes = X)</t>
  </si>
  <si>
    <t>Data on climate impact impact and end-of-life</t>
  </si>
  <si>
    <t>Datasheet Asset #1</t>
  </si>
  <si>
    <t>Results Asset #1</t>
  </si>
  <si>
    <t>Datasheet Asset #2</t>
  </si>
  <si>
    <t>Results Asset #2</t>
  </si>
  <si>
    <t>Datasheet Asset #3</t>
  </si>
  <si>
    <t>Results Asset #3</t>
  </si>
  <si>
    <t>Material</t>
  </si>
  <si>
    <t>Switchgear</t>
  </si>
  <si>
    <t>Transformer</t>
  </si>
  <si>
    <t>Transformer substation</t>
  </si>
  <si>
    <t>Pipeline</t>
  </si>
  <si>
    <t>Other asset</t>
  </si>
  <si>
    <t>Primary production (kg CO2-eq./kg)</t>
  </si>
  <si>
    <t>Secondary production (kg CO2-eq./kg)</t>
  </si>
  <si>
    <t>Incineration (kg CO2-eq./kg)</t>
  </si>
  <si>
    <t>Landfilling (kg CO2-eq./kg)</t>
  </si>
  <si>
    <t>EoL keuze CE Delft</t>
  </si>
  <si>
    <t>Biobased - yes = 1, no = 0</t>
  </si>
  <si>
    <t>Asset #1 - Weight (g)</t>
  </si>
  <si>
    <t>Asset #1 - Recycled (%)</t>
  </si>
  <si>
    <t>Asset #1 - Recyclable (%)</t>
  </si>
  <si>
    <t>Asset #1 - Re/Down out</t>
  </si>
  <si>
    <t>Asset #1 - Re (=1), Down (=0,5), N/A (=0)</t>
  </si>
  <si>
    <t>Asset #1 - Circular content</t>
  </si>
  <si>
    <t>Asset #1 - CFP_materials</t>
  </si>
  <si>
    <t>Asset #1 - CFP_eol</t>
  </si>
  <si>
    <t>Asset #2 - Weight (g)</t>
  </si>
  <si>
    <t>Asset #2 - Recycled (%)</t>
  </si>
  <si>
    <t>Asset #2 - Recyclable (%)</t>
  </si>
  <si>
    <t>Asset #2 - Re/Down out</t>
  </si>
  <si>
    <t>Asset #2 - Re (=1), Down (=0,5), N/A (=0)</t>
  </si>
  <si>
    <t>Asset #2 - Circular content</t>
  </si>
  <si>
    <t>Asset #2 - CFP_materials</t>
  </si>
  <si>
    <t>Asset #2 - CFP_eol</t>
  </si>
  <si>
    <t>Asset #3 - Weight (g)</t>
  </si>
  <si>
    <t>Asset #3 - Recycled (%)</t>
  </si>
  <si>
    <t>Asset #3 - Recyclable (%)</t>
  </si>
  <si>
    <t>Asset #3 - Re/Down out</t>
  </si>
  <si>
    <t>Asset #3 - Re (=1), Down (=0,5), N/A (=0)</t>
  </si>
  <si>
    <t>Asset #3 - Circular content</t>
  </si>
  <si>
    <t>Asset #3 - CFP_materials</t>
  </si>
  <si>
    <t>Asset #3 - CFP_eol</t>
  </si>
  <si>
    <t>ABS</t>
  </si>
  <si>
    <t>X</t>
  </si>
  <si>
    <t>Incineration</t>
  </si>
  <si>
    <t>Aluminium (alloys)</t>
  </si>
  <si>
    <t>Aluminium (electronic purity)</t>
  </si>
  <si>
    <t>Brass</t>
  </si>
  <si>
    <t>Bronze</t>
  </si>
  <si>
    <t>Cement (CEM I)</t>
  </si>
  <si>
    <t>Cement (CEM II)</t>
  </si>
  <si>
    <t>Cement (CEM III/A)</t>
  </si>
  <si>
    <t>Cement (CEM III/B)</t>
  </si>
  <si>
    <t>Cement (other)</t>
  </si>
  <si>
    <t>Circuit board</t>
  </si>
  <si>
    <t>Clay expanded</t>
  </si>
  <si>
    <t>Copper (electronic purity)</t>
  </si>
  <si>
    <t>Copper (mechanical purity)</t>
  </si>
  <si>
    <t>Copper (tinned)</t>
  </si>
  <si>
    <t>Cork</t>
  </si>
  <si>
    <t>Crushed limestone</t>
  </si>
  <si>
    <t>Epoxy resin</t>
  </si>
  <si>
    <t>Fibreglass (optics)</t>
  </si>
  <si>
    <t>Glass-fibre reinforced plastic</t>
  </si>
  <si>
    <t>Glue</t>
  </si>
  <si>
    <t>Gold</t>
  </si>
  <si>
    <t>Grit (stone for concrete)</t>
  </si>
  <si>
    <t>HDPE</t>
  </si>
  <si>
    <t>Ink</t>
  </si>
  <si>
    <t>Iron</t>
  </si>
  <si>
    <t>LDPE</t>
  </si>
  <si>
    <t>Lead</t>
  </si>
  <si>
    <t>LSZH</t>
  </si>
  <si>
    <t>MDPE</t>
  </si>
  <si>
    <t>Nickel</t>
  </si>
  <si>
    <t>Oil (lubrication)</t>
  </si>
  <si>
    <t>n/a</t>
  </si>
  <si>
    <t>PA6 (Nylon 6)</t>
  </si>
  <si>
    <t>PA6.6 (nylon 6.6)</t>
  </si>
  <si>
    <t>Paint</t>
  </si>
  <si>
    <t>Paper</t>
  </si>
  <si>
    <t>PBT</t>
  </si>
  <si>
    <t>PC</t>
  </si>
  <si>
    <t>PC GF10%</t>
  </si>
  <si>
    <t>PE (fossil)</t>
  </si>
  <si>
    <t>PE (biobased)</t>
  </si>
  <si>
    <t>PET</t>
  </si>
  <si>
    <t>Pigment</t>
  </si>
  <si>
    <t>Plasticiser for concrete</t>
  </si>
  <si>
    <t>Polyester</t>
  </si>
  <si>
    <t>Polystyrene</t>
  </si>
  <si>
    <t>Porcelain/ceramics</t>
  </si>
  <si>
    <t>PP</t>
  </si>
  <si>
    <t>PP (semicon)</t>
  </si>
  <si>
    <t>Pressboard</t>
  </si>
  <si>
    <t>PVC</t>
  </si>
  <si>
    <t>Rubber (not crosslinked)</t>
  </si>
  <si>
    <t>Sand for concrete</t>
  </si>
  <si>
    <t>Silver</t>
  </si>
  <si>
    <t>Steel</t>
  </si>
  <si>
    <t>Steel (carbon steel)</t>
  </si>
  <si>
    <t>Steel (grain oriented electrical steel)</t>
  </si>
  <si>
    <t>Steel (stainless steel)</t>
  </si>
  <si>
    <t>Steel (zinc plated)</t>
  </si>
  <si>
    <t>Tantalum</t>
  </si>
  <si>
    <t>Tin</t>
  </si>
  <si>
    <t>Tungsten</t>
  </si>
  <si>
    <t>Water (for concrete)</t>
  </si>
  <si>
    <t>Wood A quality</t>
  </si>
  <si>
    <t>Wood B quality</t>
  </si>
  <si>
    <t>XLPE insulation (natural)</t>
  </si>
  <si>
    <t>XLPE Semiconductive (black with carbon)</t>
  </si>
  <si>
    <t>Zinc</t>
  </si>
  <si>
    <t>ZZ - Additional space for future materials002</t>
  </si>
  <si>
    <t>ZZ - Additional space for future materials003</t>
  </si>
  <si>
    <t>ZZZZ - Other</t>
  </si>
  <si>
    <t>Reference to all non-material data from the asset sheets</t>
  </si>
  <si>
    <t>Table - Reference to all non-material data from the asset sheets</t>
  </si>
  <si>
    <t>Unit</t>
  </si>
  <si>
    <t>Asset #1</t>
  </si>
  <si>
    <t>Asset #2</t>
  </si>
  <si>
    <t>Asset #3</t>
  </si>
  <si>
    <t>Type number product</t>
  </si>
  <si>
    <t>€ / f.u.</t>
  </si>
  <si>
    <t>g</t>
  </si>
  <si>
    <t>kWh / f.u.</t>
  </si>
  <si>
    <t>MJ / f.u.</t>
  </si>
  <si>
    <t>Load loss</t>
  </si>
  <si>
    <t>kW</t>
  </si>
  <si>
    <t>No-load loss</t>
  </si>
  <si>
    <t>Nominal load</t>
  </si>
  <si>
    <t>Resistance</t>
  </si>
  <si>
    <t>λ-factor</t>
  </si>
  <si>
    <t>Nominal load (functionality 1)</t>
  </si>
  <si>
    <t>Nominal load (functionality 2)</t>
  </si>
  <si>
    <t>Nominal load (functionality 3)</t>
  </si>
  <si>
    <t>Nominal load (functionality 4)</t>
  </si>
  <si>
    <t>Nominal load (functionality 5)</t>
  </si>
  <si>
    <t>Nominal load (functionality 6)</t>
  </si>
  <si>
    <t>Resistance (functionality 1)</t>
  </si>
  <si>
    <t>Resistance (functionality 2)</t>
  </si>
  <si>
    <t>Resistance (functionality 3)</t>
  </si>
  <si>
    <t>Resistance (functionality 4)</t>
  </si>
  <si>
    <t>Resistance (functionality 5)</t>
  </si>
  <si>
    <t>Resistance (functionality 6)</t>
  </si>
  <si>
    <t>kg/m3</t>
  </si>
  <si>
    <t>kg CO2-eq/kg gas. If the GWP is unknown, fill in "unknown"</t>
  </si>
  <si>
    <t>m3/appliance</t>
  </si>
  <si>
    <t>Calculations</t>
  </si>
  <si>
    <t>Table - GWP Energy required for production</t>
  </si>
  <si>
    <t>GWP (kg CO2-eq/ kWh or MJ)</t>
  </si>
  <si>
    <t>Asset #1 - GWP (kg CO2-eq)</t>
  </si>
  <si>
    <t>Asset #2 - GWP (kg CO2-eq)</t>
  </si>
  <si>
    <t>Asset #3 - GWP (kg CO2-eq)</t>
  </si>
  <si>
    <t>Electricity - average mix (kWh)</t>
  </si>
  <si>
    <t>Electricity - green (kWh)</t>
  </si>
  <si>
    <t>Heat from natural gas (MJ)</t>
  </si>
  <si>
    <t>Diesel (MJ)</t>
  </si>
  <si>
    <t>Totaal</t>
  </si>
  <si>
    <t>Displays "" if no values are not given. Displays "" if error occurs.</t>
  </si>
  <si>
    <t>Table - GWP Transport</t>
  </si>
  <si>
    <t>GWP (kg CO2-eq/ tkm)</t>
  </si>
  <si>
    <t>Table - Global warming potential of electricity production and natural gass emissisions due to losses</t>
  </si>
  <si>
    <t>Amount</t>
  </si>
  <si>
    <t>Electricity production</t>
  </si>
  <si>
    <t>kg CO2/kWh</t>
  </si>
  <si>
    <t>Natural gass (emissisions due to losses)</t>
  </si>
  <si>
    <t>kg CO2/Nm3</t>
  </si>
  <si>
    <t>Table - GWP Energy losses during lifetime</t>
  </si>
  <si>
    <t>GWP (kg CO2-eq)</t>
  </si>
  <si>
    <t>GWP (kg CO2-eq/ unit)</t>
  </si>
  <si>
    <t>kWh</t>
  </si>
  <si>
    <t>Nm3</t>
  </si>
  <si>
    <t>Energy loss (Pipeline)</t>
  </si>
  <si>
    <t>Energy loss (Transformer)</t>
  </si>
  <si>
    <t>Energy loss (Transformer substation)</t>
  </si>
  <si>
    <t>Energy loss (Electricity cable)</t>
  </si>
  <si>
    <t>Energy loss (Switchgear)</t>
  </si>
  <si>
    <t>P1 = I1^2 * R1</t>
  </si>
  <si>
    <t>Watt</t>
  </si>
  <si>
    <t>P2 = I2^2 * R2</t>
  </si>
  <si>
    <t>P3 = I3^2 * R3</t>
  </si>
  <si>
    <t>P4 = I4^2 * R4</t>
  </si>
  <si>
    <t>P5 = I5^2 * R5</t>
  </si>
  <si>
    <t>P6 = I6^2 * R6</t>
  </si>
  <si>
    <t>SOM P</t>
  </si>
  <si>
    <t>Total GWP per year (kg CO2-eq/year) due to energy losses</t>
  </si>
  <si>
    <t>Displays "0" if an error occurs. For example, when the asset has no energy losses or no energy losses are provided.</t>
  </si>
  <si>
    <t>Total GWP during lifetime (kg CO2-eq) due to energy losses</t>
  </si>
  <si>
    <t>Displays "" if an error occurs. This happens when lifetime is not given.</t>
  </si>
  <si>
    <t>Kolom1</t>
  </si>
  <si>
    <t>.</t>
  </si>
  <si>
    <t>Emission of switch gas during total lifetime (kg)</t>
  </si>
  <si>
    <t>GWP emission insulating/switch gas during lifetime (kg CO2/per unit)</t>
  </si>
  <si>
    <t>Displays "0" if an error occurs. For example, when an other asset is selecten than 'Switchgear'.</t>
  </si>
  <si>
    <t>Table - Cost effectiveness</t>
  </si>
  <si>
    <t>GWP_Materials_Total (kg) entire lifetime</t>
  </si>
  <si>
    <t>GWP_Materials_Total (tonne) entire lifetime</t>
  </si>
  <si>
    <t>Displays "-" when not all required information is given. For example, when baseline price or the price of the asset is not given.</t>
  </si>
  <si>
    <t>All data used in the 'Results' sheet</t>
  </si>
  <si>
    <t>Remarks</t>
  </si>
  <si>
    <t>Materials</t>
  </si>
  <si>
    <t>Displays "" if an error occurs.</t>
  </si>
  <si>
    <t>Displays "" if no values are not given. Displays "" if error occurs. Displays "-" when the goal is 'Tender'.</t>
  </si>
  <si>
    <t>Displays "" if an error occurs. Displays "-" when the goal is not 'Insight' AND pipeline is selected. This is done to clarify that gass losses are not taken into account (instead of displaying 0).</t>
  </si>
  <si>
    <t>End-of-life (incineration/landfill)</t>
  </si>
  <si>
    <t>Displays "" if no lifetime is given</t>
  </si>
  <si>
    <t>Circ_content</t>
  </si>
  <si>
    <t>Conflict minerals (g/unit)</t>
  </si>
  <si>
    <t>Displays "" if value is not given.</t>
  </si>
  <si>
    <t>Displays "" if no values are not given. Otherwise shows the sum of conflict materials.</t>
  </si>
  <si>
    <t>Environmental cost per year (€/FU) with environmental price of € per tonne CO2-eq)</t>
  </si>
  <si>
    <t>Displays "-" when not all required information is given. For example, when environmental price is not given.</t>
  </si>
  <si>
    <t>Table - All parameters in 'Start - X' sheets except contact information. Based on the selected goal (either 'Tender' or 'Insight') the relevant parameters are used in the tool.</t>
  </si>
  <si>
    <t>Name selected parameter</t>
  </si>
  <si>
    <t>Tender</t>
  </si>
  <si>
    <t>Insight</t>
  </si>
  <si>
    <t>Named cell (X=yes)</t>
  </si>
  <si>
    <t>Step 1a: Predefine other properties (Electricity cable)</t>
  </si>
  <si>
    <t>Step 1a: Predefine other properties (Switchgear)</t>
  </si>
  <si>
    <t>Step 1a: Predefine other properties (Transformer)</t>
  </si>
  <si>
    <t>Circularity score</t>
  </si>
  <si>
    <t>Total amount of conflict minerals</t>
  </si>
  <si>
    <t>Price is only visible for goal = 'Insight', not goal = 'Tender'</t>
  </si>
  <si>
    <t>Number of assets for Tender is shown in 'Start - Tender'</t>
  </si>
  <si>
    <t>Table - Other dependent parameters</t>
  </si>
  <si>
    <t>Used in sheet:</t>
  </si>
  <si>
    <t>Name dependend parameter</t>
  </si>
  <si>
    <t>Value dependent parameter</t>
  </si>
  <si>
    <t>Goal</t>
  </si>
  <si>
    <t>Selected goal</t>
  </si>
  <si>
    <t>Either "Insight" or "Tender", depending on which button is clicked last. See Marco for each button.</t>
  </si>
  <si>
    <t>Multiple sheets</t>
  </si>
  <si>
    <t>Functional unit</t>
  </si>
  <si>
    <t>Based on selected asset.</t>
  </si>
  <si>
    <t>Results</t>
  </si>
  <si>
    <t>Baseline - Climate change impact total</t>
  </si>
  <si>
    <t>Calculated: GWP_per_year*lifetime</t>
  </si>
  <si>
    <t>Label y-axis of graph</t>
  </si>
  <si>
    <t>Assets + Results</t>
  </si>
  <si>
    <t>Asset + Subasset</t>
  </si>
  <si>
    <t>Combination of asset and subasset. If asset = "generic asset"  no subtype is displayed</t>
  </si>
  <si>
    <t>Multiplier g/kg</t>
  </si>
  <si>
    <t>Label y axis and results &amp; insight</t>
  </si>
  <si>
    <t>Desciption</t>
  </si>
  <si>
    <t>List of used terms</t>
  </si>
  <si>
    <t>Type of asset</t>
  </si>
  <si>
    <t>Change here and in "Table - All information about materials" in de "BI - Data +  results" sheet.</t>
  </si>
  <si>
    <t>Type of goal</t>
  </si>
  <si>
    <t>DO NOT USE THIS ONE YET. IT IS STILL HARD CODED IN VBA</t>
  </si>
  <si>
    <t>Include energy of assembly in tender</t>
  </si>
  <si>
    <t>Gas tube</t>
  </si>
  <si>
    <t>dd_asset_tender</t>
  </si>
  <si>
    <t>dd_asset_insight</t>
  </si>
  <si>
    <t>dd_number</t>
  </si>
  <si>
    <t>dd_filled_in_by</t>
  </si>
  <si>
    <t>dd_yes_no</t>
  </si>
  <si>
    <t>dd_subasset_cable</t>
  </si>
  <si>
    <t>dd_subasset_switch_gear</t>
  </si>
  <si>
    <t>dd_subasset_transformer</t>
  </si>
  <si>
    <t>dd_subasset_transformer_substation</t>
  </si>
  <si>
    <t>dd_subasset_gas_tube</t>
  </si>
  <si>
    <t>dd_rec_down</t>
  </si>
  <si>
    <t>dd_eol</t>
  </si>
  <si>
    <t>dd_funtional_unit</t>
  </si>
  <si>
    <t>dd_switchgas</t>
  </si>
  <si>
    <t>supplier / producer</t>
  </si>
  <si>
    <t>HV/MV</t>
  </si>
  <si>
    <t>20 MVA</t>
  </si>
  <si>
    <t>Small (max 630 kVA)</t>
  </si>
  <si>
    <t>Low pressure</t>
  </si>
  <si>
    <t>recycled</t>
  </si>
  <si>
    <t>incineration</t>
  </si>
  <si>
    <t>m</t>
  </si>
  <si>
    <r>
      <t>SF</t>
    </r>
    <r>
      <rPr>
        <vertAlign val="subscript"/>
        <sz val="10"/>
        <color theme="1"/>
        <rFont val="Trebuchet MS"/>
        <family val="2"/>
        <scheme val="minor"/>
      </rPr>
      <t>6</t>
    </r>
  </si>
  <si>
    <t>network operator</t>
  </si>
  <si>
    <t>no</t>
  </si>
  <si>
    <t>6/10 kV</t>
  </si>
  <si>
    <t>MV/LV: automatic</t>
  </si>
  <si>
    <t>40 MVA</t>
  </si>
  <si>
    <t>Medium (max 1000 kVA)</t>
  </si>
  <si>
    <t>High pressure</t>
  </si>
  <si>
    <t>downcycled</t>
  </si>
  <si>
    <t>landfill</t>
  </si>
  <si>
    <t>unit</t>
  </si>
  <si>
    <t>other</t>
  </si>
  <si>
    <t>8.7/15 kV</t>
  </si>
  <si>
    <t>MV/LV: manual</t>
  </si>
  <si>
    <t>50/53 MVA</t>
  </si>
  <si>
    <t>Large (intelligent)</t>
  </si>
  <si>
    <t>Low and high pressure</t>
  </si>
  <si>
    <t>12/20 kV</t>
  </si>
  <si>
    <t>80 MVA</t>
  </si>
  <si>
    <t>Accessible station</t>
  </si>
  <si>
    <t>18/30 kV</t>
  </si>
  <si>
    <t>100 MVA</t>
  </si>
  <si>
    <t>36/50 kV</t>
  </si>
  <si>
    <t>100 kVA</t>
  </si>
  <si>
    <t>160 kVA</t>
  </si>
  <si>
    <t>250 kVA</t>
  </si>
  <si>
    <t>400 kVA</t>
  </si>
  <si>
    <t>600/630 kVA</t>
  </si>
  <si>
    <t>1000 kVA</t>
  </si>
  <si>
    <t>dd_subasset_generic</t>
  </si>
  <si>
    <t>dd_network_operator</t>
  </si>
  <si>
    <t>dd_materials_used_in_asset</t>
  </si>
  <si>
    <t>dd_number_of_phases</t>
  </si>
  <si>
    <t>dd_number_of_fields</t>
  </si>
  <si>
    <t>dd_legend_demo_dropdown</t>
  </si>
  <si>
    <t>dd_empty</t>
  </si>
  <si>
    <t>Choice A</t>
  </si>
  <si>
    <t>Alliander</t>
  </si>
  <si>
    <t>Choice B</t>
  </si>
  <si>
    <t>Enexis</t>
  </si>
  <si>
    <t>Choice C</t>
  </si>
  <si>
    <t>Version history</t>
  </si>
  <si>
    <t>Version</t>
  </si>
  <si>
    <t>Date</t>
  </si>
  <si>
    <t>Name</t>
  </si>
  <si>
    <t>Description</t>
  </si>
  <si>
    <t>v0.1</t>
  </si>
  <si>
    <t>Mart Beeftink (CE Delft)</t>
  </si>
  <si>
    <t>First test version of the Asset Tool send to Enexis, Stedin and Alliander to be thoroughly tested by them en by some suppliers.</t>
  </si>
  <si>
    <t>v1.0</t>
  </si>
  <si>
    <r>
      <t xml:space="preserve">v0.1 was thoroughly tested by the network operators. A lot of helpfull input was given. Many, many, many things have changes since v0.1. The list below is not complete. The project folder of CE Delft (project: 200112) has more information on the changes (see: 'To-do's - Asset tool.docx').
</t>
    </r>
    <r>
      <rPr>
        <b/>
        <sz val="10"/>
        <color theme="1"/>
        <rFont val="Trebuchet MS"/>
        <family val="2"/>
        <scheme val="minor"/>
      </rPr>
      <t>Big changes:</t>
    </r>
    <r>
      <rPr>
        <sz val="10"/>
        <color theme="1"/>
        <rFont val="Trebuchet MS"/>
        <family val="2"/>
        <scheme val="minor"/>
      </rPr>
      <t xml:space="preserve">
- Speed increase after chosing 'Asset type' (solution: hide all rows are once, instead of looping)
- Save buttons: they work better (shows error when not saved, better suggested name, 'save Results as Excel' looks nicer)
- Energy losses formula for electric cables: Separated energy loss formula for electricity cables. Also the network operator defines some of these parameters beforehand such that these parameters are similar for all assets
- Transport: only one truck instead of three. Added transport by train and airplane
- Environmental price: Added environmental pricing as a optional parameter the network operator can define. The environmental costs are shown in the results sheet.
</t>
    </r>
    <r>
      <rPr>
        <b/>
        <sz val="10"/>
        <color theme="1"/>
        <rFont val="Trebuchet MS"/>
        <family val="2"/>
        <scheme val="minor"/>
      </rPr>
      <t>Small changes:</t>
    </r>
    <r>
      <rPr>
        <sz val="10"/>
        <color theme="1"/>
        <rFont val="Trebuchet MS"/>
        <family val="2"/>
        <scheme val="minor"/>
      </rPr>
      <t xml:space="preserve">
- Changed 'gas pipeline' to 'pipeline'. Added subtyp 'low and high pressure' to the dropdown list.
- Anything can be filled in the subtype cell (dropdown + free to fill out anything)
- Objects (buttons, figures, etc) do not dissapear anymore after macro is used (solution: scroll down+up after macro is run)
- Add Msgbox after 'Start'-sheet is completed that the user can navigate using the sheets.</t>
    </r>
  </si>
  <si>
    <t>v1.1.2</t>
  </si>
  <si>
    <t>Jan van de Pol (CE Delft</t>
  </si>
  <si>
    <t xml:space="preserve">Big changes:
- Possibility of including energy use for Tender
- Change in calculation of losses for electricity cable
Small changes
- Update in CF of energy and materials.
- Update in efficiency of waste incineration
- Some materials added and names changed to comply with "Material passport"
</t>
  </si>
  <si>
    <t>v2024.1</t>
  </si>
  <si>
    <t>Major changes:
- Electricity losses transformers
- Circularity score becomes circular content
- Circularity score removed from material footprint calculation. Now recycling at EoL.
- Change in FU for cables and pipelines. Meters instead of kilometers, also in results (g co2-eq)
Minor changes:
- New materials and changes for many metals,
- Extra transport options
- New material matrix
- No more weight of conflict minerals in results</t>
  </si>
  <si>
    <t>For now this button only works if it is places in the sheet Asset</t>
  </si>
  <si>
    <t>V2025.0.1</t>
  </si>
  <si>
    <t>Marijke Meyer (CE Delft)</t>
  </si>
  <si>
    <t>Include energy losses</t>
  </si>
  <si>
    <t>kg CO2-eq/kg gas</t>
  </si>
  <si>
    <t>GWP of production of switch gas (kg CO2-eq/kg)</t>
  </si>
  <si>
    <t>GWP of leaking of switch gas (kg CO2-eq/kg)</t>
  </si>
  <si>
    <t>*Note: a description of ‘Recycled (%)’ can be found in the manual.
**Note: aluminium (low CO2) is here defined as having a GWP of 5 or below for EPD phase A1-A3.
***Note: copper (low CO2) is here defined as having a GWP of 7 or below for EPD phase A1-A3.
****Note: steel (low CO2, DRI hydrogen) is here defined as having a GWP of 1 or below for phase A1-A3.
*****Note: steel (medium CO2, DRI natural gas) is here defined as having a GWP of 1,5 or below for phase A1-A3.</t>
  </si>
  <si>
    <t>Silicone insulation</t>
  </si>
  <si>
    <t>Update part 1 of 2
- PP also selectable bij switchgear (X in cell D63 tab BI - data + Results) (Josefien)
- Option to not includes cable losses 
- Disableling the far future waste phase
- Be able to fill out the asset materials in kg in stead of grams
- Added thousands separator
- Added new materials (low CO2 copper, low CO2 steel, medium CO2 steel, silicone insulation, insulating/ switch gas other)
- User must fill out production impact of insulating/ switch gas other</t>
  </si>
  <si>
    <t>Type of insulating/switch gas</t>
  </si>
  <si>
    <t xml:space="preserve">  if 'other': GWP of insulating/switch gas other (production)</t>
  </si>
  <si>
    <t xml:space="preserve">  if 'other': GWP of insulating/switch gas other (emission due to leaking)</t>
  </si>
  <si>
    <t>if 'other': GWP of insulating/switch gas other (production)</t>
  </si>
  <si>
    <t>if 'other': GWP of insulating/switch gas other (emission due to leaking)</t>
  </si>
  <si>
    <t>GWP production insulating/switch gas (kg CO2/per unit)</t>
  </si>
  <si>
    <t>Table - GWP emission of insulating/switch gas during lifetime and GWP of production of insulating/switch gas</t>
  </si>
  <si>
    <t>Oil (Biobased Ester)</t>
  </si>
  <si>
    <t>Oil (Standard Mineral)</t>
  </si>
  <si>
    <t>Copper (low CO2, with EPD)</t>
  </si>
  <si>
    <t>Steel (low-CO2, DRI hydrogen, with EPD)</t>
  </si>
  <si>
    <t>Steel (medium-CO2, DRI natural gas, with EPD)</t>
  </si>
  <si>
    <t>Insulating/ switch gas SF6</t>
  </si>
  <si>
    <t>Aluminium (low-CO2, with EPD)</t>
  </si>
  <si>
    <t>Nylon (PA)</t>
  </si>
  <si>
    <t>XLPE (biobased)</t>
  </si>
  <si>
    <t>PVC (biobased)</t>
  </si>
  <si>
    <t>ZZ - Additional space for future materials001</t>
  </si>
  <si>
    <t>v2025,2</t>
  </si>
  <si>
    <t>Update part 2 of 2
- added 2 new materials (PVC biobased and XLPE biobased)
- updated version number in footer
- changed unit choice to g/unit in stead of g/ on asset sheets
- @@
- @@
- @@
- @@</t>
  </si>
  <si>
    <t>24300 if SF6 is selected, otherwise use user specified value</t>
  </si>
  <si>
    <t>Weight of insulating/switch gas</t>
  </si>
  <si>
    <t>Fill in at "emission of insulating/switch gas" below</t>
  </si>
  <si>
    <t>kg/unit</t>
  </si>
  <si>
    <t>126,72617 and 32,872856 (recycled) if SF6 is selected, otherwise use user specified value</t>
  </si>
  <si>
    <t>Water blocking tapes</t>
  </si>
  <si>
    <t>also checks if user has choosen to includes losses</t>
  </si>
  <si>
    <t>Ingrid Schenk-Koops</t>
  </si>
  <si>
    <t>g/unit</t>
  </si>
  <si>
    <t>20cm kabelafdekband</t>
  </si>
  <si>
    <t xml:space="preserve">40cm kabelafdekband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</si>
</sst>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0.000"/>
    <numFmt numFmtId="167" formatCode="_ [$€-2]\ * #,##0.00_ ;_ [$€-2]\ * \-#,##0.00_ ;_ [$€-2]\ * &quot;-&quot;??_ ;_ @_ "/>
    <numFmt numFmtId="168" formatCode="0.0"/>
    <numFmt numFmtId="169" formatCode="_ [$€-413]\ * #,##0.00_ ;_ [$€-413]\ * \-#,##0.00_ ;_ [$€-413]\ * &quot;-&quot;??_ ;_ @_ "/>
    <numFmt numFmtId="170" formatCode="_ [$€-2]\ * #,##0_ ;_ [$€-2]\ * \-#,##0_ ;_ [$€-2]\ * &quot;-&quot;??_ ;_ @_ "/>
    <numFmt numFmtId="171" formatCode="&quot;€&quot;\ #,##0.00"/>
    <numFmt numFmtId="172" formatCode="#,##0.0"/>
    <numFmt numFmtId="173" formatCode="_ * #,##0_ ;_ * \-#,##0_ ;_ * &quot;-&quot;??_ ;_ @_ "/>
  </numFmts>
  <fonts count="34" x14ac:knownFonts="1">
    <font>
      <sz val="10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color theme="1"/>
      <name val="Trebuchet MS"/>
      <family val="2"/>
    </font>
    <font>
      <b/>
      <sz val="14"/>
      <color theme="1"/>
      <name val="Trebuchet MS"/>
      <family val="2"/>
      <scheme val="minor"/>
    </font>
    <font>
      <sz val="10"/>
      <color rgb="FFFF0000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name val="Trebuchet MS"/>
      <family val="2"/>
      <scheme val="minor"/>
    </font>
    <font>
      <i/>
      <sz val="10"/>
      <color theme="1"/>
      <name val="Trebuchet MS"/>
      <family val="2"/>
    </font>
    <font>
      <i/>
      <sz val="10"/>
      <color theme="1"/>
      <name val="Trebuchet MS"/>
      <family val="2"/>
      <scheme val="minor"/>
    </font>
    <font>
      <b/>
      <sz val="10"/>
      <color rgb="FFFF0000"/>
      <name val="Trebuchet MS"/>
      <family val="2"/>
      <scheme val="minor"/>
    </font>
    <font>
      <vertAlign val="subscript"/>
      <sz val="10"/>
      <color theme="1"/>
      <name val="Trebuchet MS"/>
      <family val="2"/>
      <scheme val="minor"/>
    </font>
    <font>
      <b/>
      <sz val="14"/>
      <color theme="1"/>
      <name val="Trebuchet MS"/>
      <family val="2"/>
    </font>
    <font>
      <b/>
      <sz val="10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  <scheme val="minor"/>
    </font>
    <font>
      <b/>
      <sz val="12"/>
      <color theme="1"/>
      <name val="Trebuchet MS"/>
      <family val="2"/>
      <scheme val="minor"/>
    </font>
    <font>
      <b/>
      <sz val="12"/>
      <name val="Trebuchet MS"/>
      <family val="2"/>
      <scheme val="minor"/>
    </font>
    <font>
      <sz val="10"/>
      <name val="Trebuchet MS"/>
      <family val="2"/>
    </font>
    <font>
      <u/>
      <sz val="10"/>
      <color theme="1"/>
      <name val="Trebuchet MS"/>
      <family val="2"/>
      <scheme val="minor"/>
    </font>
    <font>
      <sz val="16"/>
      <color theme="1"/>
      <name val="Trebuchet MS"/>
      <family val="2"/>
      <scheme val="minor"/>
    </font>
    <font>
      <b/>
      <sz val="16"/>
      <color theme="1"/>
      <name val="Trebuchet MS"/>
      <family val="2"/>
      <scheme val="minor"/>
    </font>
    <font>
      <b/>
      <sz val="11"/>
      <color rgb="FF000000"/>
      <name val="Trebuchet MS"/>
      <family val="2"/>
      <scheme val="minor"/>
    </font>
    <font>
      <sz val="10"/>
      <color rgb="FF000000"/>
      <name val="Trebuchet MS"/>
      <family val="2"/>
      <scheme val="minor"/>
    </font>
    <font>
      <b/>
      <sz val="12"/>
      <color rgb="FF000000"/>
      <name val="Trebuchet MS"/>
      <family val="2"/>
      <scheme val="minor"/>
    </font>
    <font>
      <b/>
      <sz val="10"/>
      <color rgb="FF000000"/>
      <name val="Trebuchet MS"/>
      <family val="2"/>
      <scheme val="minor"/>
    </font>
    <font>
      <i/>
      <sz val="10"/>
      <name val="Trebuchet MS"/>
      <family val="2"/>
      <scheme val="minor"/>
    </font>
    <font>
      <sz val="8"/>
      <name val="Trebuchet MS"/>
      <family val="2"/>
      <scheme val="minor"/>
    </font>
    <font>
      <b/>
      <sz val="11"/>
      <color rgb="FF000000"/>
      <name val="Trebuchet MS"/>
      <family val="2"/>
    </font>
    <font>
      <b/>
      <sz val="10"/>
      <color rgb="FF00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99">
    <xf numFmtId="0" fontId="0" fillId="0" borderId="0" xfId="0"/>
    <xf numFmtId="0" fontId="0" fillId="4" borderId="0" xfId="0" applyFill="1"/>
    <xf numFmtId="0" fontId="6" fillId="4" borderId="0" xfId="0" applyFont="1" applyFill="1"/>
    <xf numFmtId="0" fontId="8" fillId="4" borderId="0" xfId="0" applyFont="1" applyFill="1"/>
    <xf numFmtId="0" fontId="7" fillId="4" borderId="0" xfId="0" applyFont="1" applyFill="1"/>
    <xf numFmtId="0" fontId="4" fillId="4" borderId="0" xfId="2" applyFill="1"/>
    <xf numFmtId="0" fontId="10" fillId="4" borderId="0" xfId="0" applyFont="1" applyFill="1"/>
    <xf numFmtId="0" fontId="11" fillId="4" borderId="0" xfId="0" applyFont="1" applyFill="1"/>
    <xf numFmtId="0" fontId="0" fillId="4" borderId="0" xfId="0" quotePrefix="1" applyFill="1" applyAlignment="1">
      <alignment horizontal="center"/>
    </xf>
    <xf numFmtId="0" fontId="6" fillId="4" borderId="0" xfId="0" quotePrefix="1" applyFont="1" applyFill="1"/>
    <xf numFmtId="0" fontId="8" fillId="4" borderId="0" xfId="0" quotePrefix="1" applyFont="1" applyFill="1"/>
    <xf numFmtId="0" fontId="0" fillId="6" borderId="0" xfId="0" applyFill="1"/>
    <xf numFmtId="0" fontId="8" fillId="6" borderId="0" xfId="0" applyFont="1" applyFill="1"/>
    <xf numFmtId="9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7" fillId="6" borderId="3" xfId="0" applyFont="1" applyFill="1" applyBorder="1"/>
    <xf numFmtId="0" fontId="13" fillId="4" borderId="0" xfId="2" applyFont="1" applyFill="1"/>
    <xf numFmtId="0" fontId="14" fillId="6" borderId="3" xfId="0" applyFont="1" applyFill="1" applyBorder="1"/>
    <xf numFmtId="0" fontId="6" fillId="4" borderId="0" xfId="0" quotePrefix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68" fontId="0" fillId="0" borderId="0" xfId="0" applyNumberFormat="1" applyAlignment="1">
      <alignment horizontal="center"/>
    </xf>
    <xf numFmtId="0" fontId="15" fillId="4" borderId="0" xfId="0" applyFont="1" applyFill="1"/>
    <xf numFmtId="0" fontId="0" fillId="4" borderId="0" xfId="0" applyFill="1" applyAlignment="1">
      <alignment horizontal="left" indent="1"/>
    </xf>
    <xf numFmtId="0" fontId="8" fillId="4" borderId="0" xfId="0" applyFont="1" applyFill="1" applyAlignment="1">
      <alignment horizontal="left" indent="1"/>
    </xf>
    <xf numFmtId="0" fontId="4" fillId="4" borderId="0" xfId="2" applyFill="1" applyAlignment="1">
      <alignment horizontal="left" indent="1"/>
    </xf>
    <xf numFmtId="0" fontId="8" fillId="4" borderId="0" xfId="0" applyFont="1" applyFill="1" applyAlignment="1">
      <alignment horizontal="left" indent="2"/>
    </xf>
    <xf numFmtId="0" fontId="10" fillId="4" borderId="0" xfId="0" quotePrefix="1" applyFont="1" applyFill="1" applyAlignment="1">
      <alignment horizontal="left"/>
    </xf>
    <xf numFmtId="168" fontId="7" fillId="5" borderId="0" xfId="0" applyNumberFormat="1" applyFont="1" applyFill="1" applyAlignment="1">
      <alignment horizontal="center"/>
    </xf>
    <xf numFmtId="0" fontId="16" fillId="4" borderId="0" xfId="2" applyFont="1" applyFill="1"/>
    <xf numFmtId="0" fontId="0" fillId="4" borderId="0" xfId="0" applyFill="1" applyAlignment="1">
      <alignment horizontal="left" indent="2"/>
    </xf>
    <xf numFmtId="0" fontId="0" fillId="0" borderId="12" xfId="0" applyBorder="1" applyAlignment="1">
      <alignment wrapText="1"/>
    </xf>
    <xf numFmtId="0" fontId="7" fillId="7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4" fillId="4" borderId="0" xfId="0" applyFont="1" applyFill="1"/>
    <xf numFmtId="0" fontId="0" fillId="6" borderId="0" xfId="0" applyFill="1" applyAlignment="1">
      <alignment wrapText="1"/>
    </xf>
    <xf numFmtId="9" fontId="0" fillId="0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6" fillId="0" borderId="0" xfId="0" quotePrefix="1" applyFont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168" fontId="0" fillId="5" borderId="0" xfId="0" quotePrefix="1" applyNumberFormat="1" applyFill="1" applyAlignment="1">
      <alignment horizontal="center"/>
    </xf>
    <xf numFmtId="165" fontId="0" fillId="0" borderId="0" xfId="8" applyFont="1" applyAlignment="1"/>
    <xf numFmtId="165" fontId="0" fillId="0" borderId="0" xfId="0" applyNumberFormat="1"/>
    <xf numFmtId="0" fontId="0" fillId="0" borderId="0" xfId="0" applyAlignment="1">
      <alignment horizontal="left" wrapText="1"/>
    </xf>
    <xf numFmtId="168" fontId="0" fillId="0" borderId="0" xfId="8" applyNumberFormat="1" applyFont="1" applyAlignment="1"/>
    <xf numFmtId="169" fontId="0" fillId="0" borderId="0" xfId="0" applyNumberFormat="1"/>
    <xf numFmtId="0" fontId="0" fillId="0" borderId="0" xfId="0" quotePrefix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6" fillId="4" borderId="0" xfId="0" applyFont="1" applyFill="1" applyAlignment="1">
      <alignment horizontal="left"/>
    </xf>
    <xf numFmtId="0" fontId="0" fillId="8" borderId="1" xfId="0" applyFill="1" applyBorder="1" applyAlignment="1">
      <alignment horizontal="center" wrapText="1"/>
    </xf>
    <xf numFmtId="0" fontId="0" fillId="4" borderId="0" xfId="0" applyFill="1" applyAlignment="1">
      <alignment horizontal="left" vertical="center" wrapText="1" indent="1"/>
    </xf>
    <xf numFmtId="0" fontId="0" fillId="4" borderId="0" xfId="0" applyFill="1" applyAlignment="1">
      <alignment vertical="center"/>
    </xf>
    <xf numFmtId="0" fontId="0" fillId="4" borderId="0" xfId="0" quotePrefix="1" applyFill="1"/>
    <xf numFmtId="0" fontId="7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8" borderId="0" xfId="0" applyFill="1"/>
    <xf numFmtId="0" fontId="0" fillId="3" borderId="0" xfId="0" applyFill="1"/>
    <xf numFmtId="3" fontId="0" fillId="0" borderId="0" xfId="0" applyNumberFormat="1"/>
    <xf numFmtId="0" fontId="8" fillId="4" borderId="0" xfId="0" applyFont="1" applyFill="1" applyAlignment="1">
      <alignment horizontal="left"/>
    </xf>
    <xf numFmtId="0" fontId="6" fillId="0" borderId="0" xfId="0" applyFon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9" fontId="8" fillId="2" borderId="1" xfId="1" quotePrefix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9" fontId="8" fillId="2" borderId="1" xfId="1" quotePrefix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Continuous" vertical="center" wrapText="1"/>
    </xf>
    <xf numFmtId="0" fontId="0" fillId="0" borderId="26" xfId="0" applyBorder="1" applyAlignment="1">
      <alignment horizontal="left" wrapText="1"/>
    </xf>
    <xf numFmtId="14" fontId="0" fillId="0" borderId="26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27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7" fillId="6" borderId="19" xfId="0" applyFont="1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14" fillId="0" borderId="0" xfId="0" quotePrefix="1" applyFont="1"/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left" indent="1"/>
    </xf>
    <xf numFmtId="0" fontId="8" fillId="4" borderId="5" xfId="0" applyFont="1" applyFill="1" applyBorder="1" applyAlignment="1">
      <alignment horizontal="left" indent="1"/>
    </xf>
    <xf numFmtId="0" fontId="0" fillId="4" borderId="10" xfId="0" applyFill="1" applyBorder="1" applyAlignment="1">
      <alignment horizontal="left" indent="1"/>
    </xf>
    <xf numFmtId="0" fontId="14" fillId="6" borderId="2" xfId="0" applyFont="1" applyFill="1" applyBorder="1"/>
    <xf numFmtId="0" fontId="0" fillId="6" borderId="3" xfId="0" applyFill="1" applyBorder="1"/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0" fontId="7" fillId="6" borderId="2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2" fontId="0" fillId="6" borderId="6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4" borderId="0" xfId="0" quotePrefix="1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32" xfId="0" applyFill="1" applyBorder="1"/>
    <xf numFmtId="0" fontId="0" fillId="6" borderId="9" xfId="0" applyFill="1" applyBorder="1"/>
    <xf numFmtId="0" fontId="0" fillId="6" borderId="2" xfId="0" applyFill="1" applyBorder="1" applyAlignment="1">
      <alignment horizontal="left"/>
    </xf>
    <xf numFmtId="0" fontId="0" fillId="6" borderId="4" xfId="0" applyFill="1" applyBorder="1"/>
    <xf numFmtId="0" fontId="0" fillId="6" borderId="2" xfId="0" applyFill="1" applyBorder="1"/>
    <xf numFmtId="0" fontId="8" fillId="6" borderId="8" xfId="0" applyFont="1" applyFill="1" applyBorder="1"/>
    <xf numFmtId="0" fontId="0" fillId="6" borderId="2" xfId="0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/>
    <xf numFmtId="2" fontId="0" fillId="6" borderId="5" xfId="0" applyNumberFormat="1" applyFill="1" applyBorder="1" applyAlignment="1">
      <alignment horizontal="center"/>
    </xf>
    <xf numFmtId="168" fontId="0" fillId="0" borderId="0" xfId="0" applyNumberFormat="1"/>
    <xf numFmtId="9" fontId="0" fillId="8" borderId="1" xfId="1" applyFont="1" applyFill="1" applyBorder="1" applyAlignment="1" applyProtection="1">
      <alignment horizontal="center"/>
    </xf>
    <xf numFmtId="0" fontId="21" fillId="0" borderId="10" xfId="0" applyFont="1" applyBorder="1"/>
    <xf numFmtId="0" fontId="0" fillId="0" borderId="10" xfId="0" applyBorder="1" applyAlignment="1">
      <alignment horizontal="left" indent="1"/>
    </xf>
    <xf numFmtId="0" fontId="0" fillId="0" borderId="10" xfId="0" applyBorder="1" applyAlignment="1">
      <alignment horizontal="left" indent="2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7" fillId="0" borderId="8" xfId="0" applyFont="1" applyBorder="1"/>
    <xf numFmtId="0" fontId="7" fillId="0" borderId="32" xfId="0" applyFont="1" applyBorder="1"/>
    <xf numFmtId="0" fontId="7" fillId="0" borderId="32" xfId="0" applyFont="1" applyBorder="1" applyAlignment="1">
      <alignment wrapText="1"/>
    </xf>
    <xf numFmtId="0" fontId="7" fillId="0" borderId="9" xfId="0" applyFont="1" applyBorder="1"/>
    <xf numFmtId="0" fontId="21" fillId="0" borderId="2" xfId="0" applyFont="1" applyBorder="1"/>
    <xf numFmtId="0" fontId="7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3" xfId="0" applyBorder="1"/>
    <xf numFmtId="168" fontId="8" fillId="4" borderId="0" xfId="0" quotePrefix="1" applyNumberFormat="1" applyFont="1" applyFill="1" applyAlignment="1">
      <alignment horizontal="center" vertical="center"/>
    </xf>
    <xf numFmtId="9" fontId="8" fillId="4" borderId="0" xfId="1" quotePrefix="1" applyFont="1" applyFill="1" applyBorder="1" applyAlignment="1">
      <alignment horizontal="center" vertical="center"/>
    </xf>
    <xf numFmtId="0" fontId="11" fillId="0" borderId="0" xfId="0" applyFont="1"/>
    <xf numFmtId="0" fontId="22" fillId="6" borderId="32" xfId="0" applyFont="1" applyFill="1" applyBorder="1"/>
    <xf numFmtId="0" fontId="23" fillId="6" borderId="32" xfId="0" applyFont="1" applyFill="1" applyBorder="1"/>
    <xf numFmtId="0" fontId="22" fillId="6" borderId="32" xfId="0" applyFont="1" applyFill="1" applyBorder="1" applyAlignment="1">
      <alignment horizontal="center"/>
    </xf>
    <xf numFmtId="0" fontId="7" fillId="6" borderId="3" xfId="0" applyFont="1" applyFill="1" applyBorder="1" applyAlignment="1">
      <alignment wrapText="1"/>
    </xf>
    <xf numFmtId="0" fontId="8" fillId="4" borderId="0" xfId="0" quotePrefix="1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68" fontId="14" fillId="4" borderId="3" xfId="0" quotePrefix="1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9" fontId="8" fillId="4" borderId="0" xfId="1" applyFont="1" applyFill="1" applyBorder="1" applyAlignment="1">
      <alignment horizontal="center"/>
    </xf>
    <xf numFmtId="0" fontId="7" fillId="6" borderId="0" xfId="0" applyFont="1" applyFill="1"/>
    <xf numFmtId="0" fontId="0" fillId="6" borderId="0" xfId="0" applyFill="1" applyAlignment="1">
      <alignment horizontal="left" indent="1"/>
    </xf>
    <xf numFmtId="0" fontId="0" fillId="6" borderId="0" xfId="0" applyFill="1" applyAlignment="1">
      <alignment horizontal="left" indent="2"/>
    </xf>
    <xf numFmtId="0" fontId="8" fillId="6" borderId="0" xfId="0" applyFont="1" applyFill="1" applyAlignment="1">
      <alignment horizontal="left" indent="1"/>
    </xf>
    <xf numFmtId="0" fontId="14" fillId="6" borderId="0" xfId="0" applyFont="1" applyFill="1"/>
    <xf numFmtId="0" fontId="20" fillId="6" borderId="0" xfId="2" applyFont="1" applyFill="1" applyAlignment="1">
      <alignment horizontal="left" indent="1"/>
    </xf>
    <xf numFmtId="0" fontId="8" fillId="6" borderId="0" xfId="0" applyFont="1" applyFill="1" applyAlignment="1">
      <alignment horizontal="left" indent="2"/>
    </xf>
    <xf numFmtId="2" fontId="0" fillId="0" borderId="0" xfId="0" applyNumberFormat="1"/>
    <xf numFmtId="0" fontId="14" fillId="6" borderId="8" xfId="0" applyFont="1" applyFill="1" applyBorder="1"/>
    <xf numFmtId="2" fontId="0" fillId="6" borderId="32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166" fontId="0" fillId="0" borderId="0" xfId="0" applyNumberFormat="1"/>
    <xf numFmtId="166" fontId="8" fillId="0" borderId="0" xfId="0" applyNumberFormat="1" applyFont="1"/>
    <xf numFmtId="0" fontId="14" fillId="0" borderId="0" xfId="0" applyFont="1" applyAlignment="1">
      <alignment horizontal="left"/>
    </xf>
    <xf numFmtId="0" fontId="0" fillId="4" borderId="2" xfId="0" applyFill="1" applyBorder="1"/>
    <xf numFmtId="0" fontId="0" fillId="4" borderId="5" xfId="0" applyFill="1" applyBorder="1"/>
    <xf numFmtId="0" fontId="8" fillId="6" borderId="17" xfId="0" applyFont="1" applyFill="1" applyBorder="1"/>
    <xf numFmtId="0" fontId="8" fillId="6" borderId="18" xfId="0" applyFont="1" applyFill="1" applyBorder="1"/>
    <xf numFmtId="0" fontId="0" fillId="6" borderId="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0" fontId="0" fillId="4" borderId="0" xfId="0" applyFill="1" applyAlignment="1">
      <alignment vertical="top" wrapText="1"/>
    </xf>
    <xf numFmtId="0" fontId="24" fillId="4" borderId="0" xfId="0" applyFont="1" applyFill="1" applyAlignment="1">
      <alignment vertical="center"/>
    </xf>
    <xf numFmtId="0" fontId="7" fillId="4" borderId="0" xfId="0" applyFont="1" applyFill="1" applyAlignment="1">
      <alignment vertical="top"/>
    </xf>
    <xf numFmtId="0" fontId="0" fillId="4" borderId="0" xfId="0" applyFill="1" applyAlignment="1">
      <alignment horizontal="left" wrapText="1"/>
    </xf>
    <xf numFmtId="0" fontId="25" fillId="4" borderId="0" xfId="0" applyFont="1" applyFill="1"/>
    <xf numFmtId="0" fontId="26" fillId="4" borderId="0" xfId="0" applyFont="1" applyFill="1" applyAlignment="1">
      <alignment vertical="center"/>
    </xf>
    <xf numFmtId="0" fontId="25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170" fontId="8" fillId="4" borderId="0" xfId="0" applyNumberFormat="1" applyFont="1" applyFill="1" applyAlignment="1">
      <alignment horizontal="center"/>
    </xf>
    <xf numFmtId="169" fontId="8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70" fontId="8" fillId="5" borderId="0" xfId="0" applyNumberFormat="1" applyFont="1" applyFill="1" applyAlignment="1">
      <alignment horizontal="center"/>
    </xf>
    <xf numFmtId="0" fontId="23" fillId="6" borderId="32" xfId="0" applyFont="1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8" fillId="6" borderId="0" xfId="0" applyFont="1" applyFill="1" applyAlignment="1">
      <alignment vertical="top" wrapText="1"/>
    </xf>
    <xf numFmtId="0" fontId="7" fillId="6" borderId="0" xfId="0" applyFont="1" applyFill="1" applyAlignment="1">
      <alignment vertical="top" wrapText="1"/>
    </xf>
    <xf numFmtId="0" fontId="7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 wrapText="1"/>
    </xf>
    <xf numFmtId="0" fontId="11" fillId="0" borderId="0" xfId="0" quotePrefix="1" applyFont="1"/>
    <xf numFmtId="0" fontId="0" fillId="8" borderId="1" xfId="0" applyFill="1" applyBorder="1" applyAlignment="1">
      <alignment horizontal="center" vertical="center"/>
    </xf>
    <xf numFmtId="9" fontId="0" fillId="8" borderId="1" xfId="1" applyFont="1" applyFill="1" applyBorder="1" applyAlignment="1" applyProtection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25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9" fontId="0" fillId="0" borderId="1" xfId="1" applyFont="1" applyFill="1" applyBorder="1" applyAlignment="1" applyProtection="1">
      <alignment horizontal="center" vertical="center"/>
    </xf>
    <xf numFmtId="171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171" fontId="8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>
      <alignment horizontal="left" wrapText="1"/>
    </xf>
    <xf numFmtId="0" fontId="25" fillId="0" borderId="0" xfId="0" applyFont="1"/>
    <xf numFmtId="0" fontId="10" fillId="4" borderId="0" xfId="0" applyFont="1" applyFill="1" applyAlignment="1">
      <alignment horizontal="left" indent="1"/>
    </xf>
    <xf numFmtId="9" fontId="0" fillId="0" borderId="1" xfId="1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3" fontId="0" fillId="0" borderId="0" xfId="0" quotePrefix="1" applyNumberFormat="1"/>
    <xf numFmtId="0" fontId="8" fillId="0" borderId="0" xfId="0" applyFont="1" applyAlignment="1">
      <alignment horizontal="right"/>
    </xf>
    <xf numFmtId="0" fontId="0" fillId="9" borderId="6" xfId="0" applyFill="1" applyBorder="1"/>
    <xf numFmtId="9" fontId="25" fillId="0" borderId="0" xfId="1" applyFont="1"/>
    <xf numFmtId="172" fontId="8" fillId="5" borderId="0" xfId="0" quotePrefix="1" applyNumberFormat="1" applyFont="1" applyFill="1" applyAlignment="1">
      <alignment horizontal="center" vertical="center"/>
    </xf>
    <xf numFmtId="172" fontId="0" fillId="5" borderId="0" xfId="0" applyNumberFormat="1" applyFill="1" applyAlignment="1">
      <alignment horizontal="center"/>
    </xf>
    <xf numFmtId="172" fontId="7" fillId="5" borderId="3" xfId="0" applyNumberFormat="1" applyFont="1" applyFill="1" applyBorder="1" applyAlignment="1">
      <alignment horizontal="center"/>
    </xf>
    <xf numFmtId="172" fontId="0" fillId="4" borderId="0" xfId="0" applyNumberFormat="1" applyFill="1"/>
    <xf numFmtId="172" fontId="6" fillId="4" borderId="0" xfId="0" applyNumberFormat="1" applyFont="1" applyFill="1"/>
    <xf numFmtId="172" fontId="0" fillId="6" borderId="0" xfId="0" applyNumberFormat="1" applyFill="1" applyAlignment="1">
      <alignment vertical="top" wrapText="1"/>
    </xf>
    <xf numFmtId="173" fontId="0" fillId="5" borderId="0" xfId="13" applyNumberFormat="1" applyFont="1" applyFill="1" applyAlignment="1">
      <alignment horizontal="center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4" fontId="0" fillId="8" borderId="1" xfId="0" quotePrefix="1" applyNumberForma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/>
      <protection locked="0"/>
    </xf>
    <xf numFmtId="3" fontId="0" fillId="8" borderId="1" xfId="0" applyNumberFormat="1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4" fontId="0" fillId="0" borderId="18" xfId="0" applyNumberFormat="1" applyBorder="1" applyAlignment="1" applyProtection="1">
      <alignment horizontal="center"/>
      <protection locked="0"/>
    </xf>
    <xf numFmtId="0" fontId="0" fillId="4" borderId="0" xfId="0" applyFill="1" applyAlignment="1">
      <alignment horizontal="left" wrapText="1" indent="2"/>
    </xf>
    <xf numFmtId="168" fontId="14" fillId="4" borderId="3" xfId="0" applyNumberFormat="1" applyFont="1" applyFill="1" applyBorder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0" fontId="0" fillId="4" borderId="0" xfId="0" applyFill="1" applyProtection="1">
      <protection locked="0"/>
    </xf>
    <xf numFmtId="2" fontId="2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2" xfId="0" applyBorder="1" applyAlignment="1">
      <alignment horizontal="center" vertical="center"/>
    </xf>
    <xf numFmtId="4" fontId="0" fillId="5" borderId="0" xfId="0" applyNumberFormat="1" applyFill="1" applyAlignment="1">
      <alignment horizontal="center"/>
    </xf>
    <xf numFmtId="0" fontId="0" fillId="4" borderId="0" xfId="0" applyFill="1" applyAlignment="1">
      <alignment horizontal="right" indent="1"/>
    </xf>
    <xf numFmtId="0" fontId="14" fillId="4" borderId="0" xfId="0" applyFont="1" applyFill="1" applyAlignment="1">
      <alignment horizontal="right" wrapText="1" indent="1"/>
    </xf>
    <xf numFmtId="0" fontId="9" fillId="4" borderId="0" xfId="2" applyFont="1" applyFill="1" applyAlignment="1">
      <alignment vertical="top" wrapText="1"/>
    </xf>
    <xf numFmtId="4" fontId="0" fillId="2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9" fillId="4" borderId="0" xfId="0" applyFont="1" applyFill="1"/>
    <xf numFmtId="0" fontId="5" fillId="3" borderId="0" xfId="0" applyFont="1" applyFill="1" applyAlignment="1">
      <alignment horizontal="center" vertical="center"/>
    </xf>
    <xf numFmtId="0" fontId="0" fillId="8" borderId="8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4" borderId="0" xfId="0" applyFont="1" applyFill="1" applyAlignment="1">
      <alignment horizontal="left" wrapText="1"/>
    </xf>
    <xf numFmtId="0" fontId="10" fillId="4" borderId="0" xfId="0" applyFont="1" applyFill="1"/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19" fillId="3" borderId="0" xfId="0" applyFont="1" applyFill="1" applyAlignment="1">
      <alignment horizontal="center" vertical="center" wrapText="1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8" borderId="8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10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 indent="1"/>
    </xf>
    <xf numFmtId="0" fontId="0" fillId="4" borderId="0" xfId="0" applyFill="1" applyAlignment="1">
      <alignment horizontal="left" indent="1"/>
    </xf>
    <xf numFmtId="0" fontId="7" fillId="6" borderId="20" xfId="0" applyFont="1" applyFill="1" applyBorder="1" applyAlignment="1">
      <alignment horizontal="center" wrapText="1"/>
    </xf>
    <xf numFmtId="0" fontId="7" fillId="6" borderId="21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</cellXfs>
  <cellStyles count="14">
    <cellStyle name="Komma" xfId="13" builtinId="3"/>
    <cellStyle name="Komma 2" xfId="6" xr:uid="{00000000-0005-0000-0000-000000000000}"/>
    <cellStyle name="Komma 2 2" xfId="11" xr:uid="{00000000-0005-0000-0000-000001000000}"/>
    <cellStyle name="Procent" xfId="1" builtinId="5"/>
    <cellStyle name="Procent 2" xfId="7" xr:uid="{00000000-0005-0000-0000-000003000000}"/>
    <cellStyle name="Procent 2 2" xfId="12" xr:uid="{00000000-0005-0000-0000-000004000000}"/>
    <cellStyle name="Standaard" xfId="0" builtinId="0" customBuiltin="1"/>
    <cellStyle name="Standaard 2" xfId="2" xr:uid="{00000000-0005-0000-0000-000006000000}"/>
    <cellStyle name="Standaard 2 2" xfId="3" xr:uid="{00000000-0005-0000-0000-000007000000}"/>
    <cellStyle name="Standaard 3" xfId="5" xr:uid="{00000000-0005-0000-0000-000008000000}"/>
    <cellStyle name="Standaard 3 2" xfId="10" xr:uid="{00000000-0005-0000-0000-000009000000}"/>
    <cellStyle name="Standaard 5 2" xfId="4" xr:uid="{00000000-0005-0000-0000-00000A000000}"/>
    <cellStyle name="Standaard 5 2 2" xfId="9" xr:uid="{00000000-0005-0000-0000-00000B000000}"/>
    <cellStyle name="Valuta" xfId="8" builtinId="4"/>
  </cellStyles>
  <dxfs count="10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6" formatCode="0.0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Climate change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Results!$B$7</c:f>
              <c:strCache>
                <c:ptCount val="1"/>
                <c:pt idx="0">
                  <c:v>Material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Results!$C$7:$F$7</c:f>
              <c:numCache>
                <c:formatCode>#,##0.00</c:formatCode>
                <c:ptCount val="3"/>
                <c:pt idx="0" formatCode="#,##0.0">
                  <c:v>0</c:v>
                </c:pt>
                <c:pt idx="1">
                  <c:v>0</c:v>
                </c:pt>
                <c:pt idx="2" formatCode="#,##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1-45E9-9D8A-994D61FA1C69}"/>
            </c:ext>
          </c:extLst>
        </c:ser>
        <c:ser>
          <c:idx val="1"/>
          <c:order val="1"/>
          <c:tx>
            <c:strRef>
              <c:f>Results!$B$8</c:f>
              <c:strCache>
                <c:ptCount val="1"/>
                <c:pt idx="0">
                  <c:v>Energy usage (final assembly)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Results!$C$8:$F$8</c:f>
            </c:numRef>
          </c:val>
          <c:extLst>
            <c:ext xmlns:c16="http://schemas.microsoft.com/office/drawing/2014/chart" uri="{C3380CC4-5D6E-409C-BE32-E72D297353CC}">
              <c16:uniqueId val="{00000001-5291-45E9-9D8A-994D61FA1C69}"/>
            </c:ext>
          </c:extLst>
        </c:ser>
        <c:ser>
          <c:idx val="2"/>
          <c:order val="2"/>
          <c:tx>
            <c:strRef>
              <c:f>Results!$B$9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Results!$C$9:$F$9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1-45E9-9D8A-994D61FA1C69}"/>
            </c:ext>
          </c:extLst>
        </c:ser>
        <c:ser>
          <c:idx val="3"/>
          <c:order val="3"/>
          <c:tx>
            <c:strRef>
              <c:f>Results!$B$10</c:f>
              <c:strCache>
                <c:ptCount val="1"/>
                <c:pt idx="0">
                  <c:v>Usage (electricity/gas loss)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Results!$C$10:$F$10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91-45E9-9D8A-994D61FA1C69}"/>
            </c:ext>
          </c:extLst>
        </c:ser>
        <c:ser>
          <c:idx val="4"/>
          <c:order val="4"/>
          <c:tx>
            <c:strRef>
              <c:f>Results!$B$11</c:f>
              <c:strCache>
                <c:ptCount val="1"/>
                <c:pt idx="0">
                  <c:v>End-of-life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Results!$C$11:$F$11</c:f>
            </c:numRef>
          </c:val>
          <c:extLst>
            <c:ext xmlns:c16="http://schemas.microsoft.com/office/drawing/2014/chart" uri="{C3380CC4-5D6E-409C-BE32-E72D297353CC}">
              <c16:uniqueId val="{0000000A-5291-45E9-9D8A-994D61FA1C69}"/>
            </c:ext>
          </c:extLst>
        </c:ser>
        <c:ser>
          <c:idx val="6"/>
          <c:order val="5"/>
          <c:tx>
            <c:strRef>
              <c:f>Results!$B$14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rgbClr val="A6A6A6"/>
            </a:solidFill>
            <a:ln w="19050" cmpd="sng">
              <a:noFill/>
              <a:prstDash val="sysDash"/>
              <a:headEnd type="none"/>
            </a:ln>
            <a:effectLst/>
          </c:spPr>
          <c:invertIfNegative val="0"/>
          <c:cat>
            <c:strRef>
              <c:f>Results!$C$6:$F$6</c:f>
              <c:strCache>
                <c:ptCount val="3"/>
                <c:pt idx="0">
                  <c:v>Baseline</c:v>
                </c:pt>
                <c:pt idx="1">
                  <c:v>Asset 1: 20cm kabelafdekband</c:v>
                </c:pt>
                <c:pt idx="2">
                  <c:v>Asset 2: 40cm kabelafdekband </c:v>
                </c:pt>
              </c:strCache>
            </c:strRef>
          </c:cat>
          <c:val>
            <c:numRef>
              <c:f>Results!$C$14:$F$14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B-439C-A9EB-8465F16A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9959880"/>
        <c:axId val="689959552"/>
      </c:barChart>
      <c:catAx>
        <c:axId val="68995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9959552"/>
        <c:crosses val="autoZero"/>
        <c:auto val="1"/>
        <c:lblAlgn val="ctr"/>
        <c:lblOffset val="100"/>
        <c:noMultiLvlLbl val="0"/>
      </c:catAx>
      <c:valAx>
        <c:axId val="68995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'BI - References'!$D$59</c:f>
              <c:strCache>
                <c:ptCount val="1"/>
                <c:pt idx="0">
                  <c:v>kg CO2-eq/m per year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995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3175" cap="flat" cmpd="dbl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10" Type="http://schemas.openxmlformats.org/officeDocument/2006/relationships/image" Target="../media/image27.png"/><Relationship Id="rId4" Type="http://schemas.openxmlformats.org/officeDocument/2006/relationships/image" Target="../media/image22.png"/><Relationship Id="rId9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31.png"/><Relationship Id="rId2" Type="http://schemas.openxmlformats.org/officeDocument/2006/relationships/image" Target="../media/image2.png"/><Relationship Id="rId1" Type="http://schemas.openxmlformats.org/officeDocument/2006/relationships/image" Target="../media/image28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10" Type="http://schemas.openxmlformats.org/officeDocument/2006/relationships/image" Target="../media/image33.png"/><Relationship Id="rId4" Type="http://schemas.openxmlformats.org/officeDocument/2006/relationships/image" Target="../media/image11.png"/><Relationship Id="rId9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6.png"/><Relationship Id="rId7" Type="http://schemas.openxmlformats.org/officeDocument/2006/relationships/image" Target="../media/image31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10" Type="http://schemas.openxmlformats.org/officeDocument/2006/relationships/image" Target="../media/image33.png"/><Relationship Id="rId4" Type="http://schemas.openxmlformats.org/officeDocument/2006/relationships/image" Target="../media/image37.png"/><Relationship Id="rId9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2.png"/><Relationship Id="rId7" Type="http://schemas.openxmlformats.org/officeDocument/2006/relationships/image" Target="../media/image39.png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5" Type="http://schemas.openxmlformats.org/officeDocument/2006/relationships/image" Target="../media/image11.png"/><Relationship Id="rId10" Type="http://schemas.openxmlformats.org/officeDocument/2006/relationships/image" Target="../media/image42.png"/><Relationship Id="rId4" Type="http://schemas.openxmlformats.org/officeDocument/2006/relationships/image" Target="../media/image3.png"/><Relationship Id="rId9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180987</xdr:rowOff>
    </xdr:from>
    <xdr:to>
      <xdr:col>12</xdr:col>
      <xdr:colOff>11046</xdr:colOff>
      <xdr:row>54</xdr:row>
      <xdr:rowOff>0</xdr:rowOff>
    </xdr:to>
    <xdr:grpSp>
      <xdr:nvGrpSpPr>
        <xdr:cNvPr id="9" name="Groe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5100" y="9083687"/>
          <a:ext cx="6348346" cy="523863"/>
          <a:chOff x="120315" y="15222016"/>
          <a:chExt cx="6721023" cy="581773"/>
        </a:xfrm>
      </xdr:grpSpPr>
      <xdr:sp macro="" textlink="">
        <xdr:nvSpPr>
          <xdr:cNvPr id="10" name="Tekstvak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982783" y="15222016"/>
            <a:ext cx="3014046" cy="5817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</a:t>
            </a:r>
            <a:r>
              <a:rPr lang="nl-NL" sz="900" baseline="0"/>
              <a:t> - </a:t>
            </a:r>
            <a:r>
              <a:rPr lang="nl-NL" sz="900"/>
              <a:t>© CE Delft 2026</a:t>
            </a:r>
          </a:p>
        </xdr:txBody>
      </xdr:sp>
      <xdr:grpSp>
        <xdr:nvGrpSpPr>
          <xdr:cNvPr id="11" name="Groep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12" name="Afbeelding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13" name="Afbeelding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14" name="Afbeelding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15" name="Afbeelding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0</xdr:rowOff>
        </xdr:from>
        <xdr:to>
          <xdr:col>4</xdr:col>
          <xdr:colOff>31750</xdr:colOff>
          <xdr:row>3</xdr:row>
          <xdr:rowOff>31750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D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Unhide rows Assets + Result sheets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31750</xdr:colOff>
          <xdr:row>4</xdr:row>
          <xdr:rowOff>31750</xdr:rowOff>
        </xdr:from>
        <xdr:to>
          <xdr:col>3</xdr:col>
          <xdr:colOff>603250</xdr:colOff>
          <xdr:row>6</xdr:row>
          <xdr:rowOff>38100</xdr:rowOff>
        </xdr:to>
        <xdr:sp macro="" textlink="">
          <xdr:nvSpPr>
            <xdr:cNvPr id="41986" name="Button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D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Show all sheets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7</xdr:row>
          <xdr:rowOff>69850</xdr:rowOff>
        </xdr:from>
        <xdr:to>
          <xdr:col>3</xdr:col>
          <xdr:colOff>260350</xdr:colOff>
          <xdr:row>9</xdr:row>
          <xdr:rowOff>184150</xdr:rowOff>
        </xdr:to>
        <xdr:sp macro="" textlink="">
          <xdr:nvSpPr>
            <xdr:cNvPr id="41987" name="Button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D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Dummy values in asset sheets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26</xdr:row>
          <xdr:rowOff>76200</xdr:rowOff>
        </xdr:from>
        <xdr:to>
          <xdr:col>7</xdr:col>
          <xdr:colOff>31750</xdr:colOff>
          <xdr:row>29</xdr:row>
          <xdr:rowOff>76200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Insight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</xdr:colOff>
          <xdr:row>26</xdr:row>
          <xdr:rowOff>76200</xdr:rowOff>
        </xdr:from>
        <xdr:to>
          <xdr:col>3</xdr:col>
          <xdr:colOff>571500</xdr:colOff>
          <xdr:row>29</xdr:row>
          <xdr:rowOff>76200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Prepare tender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31</xdr:row>
      <xdr:rowOff>152409</xdr:rowOff>
    </xdr:from>
    <xdr:to>
      <xdr:col>12</xdr:col>
      <xdr:colOff>11046</xdr:colOff>
      <xdr:row>35</xdr:row>
      <xdr:rowOff>0</xdr:rowOff>
    </xdr:to>
    <xdr:grpSp>
      <xdr:nvGrpSpPr>
        <xdr:cNvPr id="11" name="Groe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165100" y="5645159"/>
          <a:ext cx="6348346" cy="533391"/>
          <a:chOff x="120315" y="15211420"/>
          <a:chExt cx="6721023" cy="592368"/>
        </a:xfrm>
      </xdr:grpSpPr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1846160" y="15211420"/>
            <a:ext cx="3069407" cy="592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3" name="Groep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14" name="Afbeelding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15" name="Afbeelding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16" name="Afbeelding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17" name="Afbeelding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31</xdr:row>
      <xdr:rowOff>142888</xdr:rowOff>
    </xdr:from>
    <xdr:to>
      <xdr:col>6</xdr:col>
      <xdr:colOff>607946</xdr:colOff>
      <xdr:row>35</xdr:row>
      <xdr:rowOff>0</xdr:rowOff>
    </xdr:to>
    <xdr:grpSp>
      <xdr:nvGrpSpPr>
        <xdr:cNvPr id="9" name="Groep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225425" y="5622938"/>
          <a:ext cx="6383271" cy="542912"/>
          <a:chOff x="120315" y="15299602"/>
          <a:chExt cx="6721023" cy="606135"/>
        </a:xfrm>
      </xdr:grpSpPr>
      <xdr:sp macro="" textlink="">
        <xdr:nvSpPr>
          <xdr:cNvPr id="10" name="Tekstvak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1908143" y="15299602"/>
            <a:ext cx="3010771" cy="6061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1" name="Groep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pSpPr/>
        </xdr:nvGrpSpPr>
        <xdr:grpSpPr>
          <a:xfrm>
            <a:off x="120315" y="15350768"/>
            <a:ext cx="6721023" cy="327226"/>
            <a:chOff x="120315" y="15350768"/>
            <a:chExt cx="6721023" cy="327226"/>
          </a:xfrm>
        </xdr:grpSpPr>
        <xdr:pic>
          <xdr:nvPicPr>
            <xdr:cNvPr id="12" name="Afbeelding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1446" y="15350768"/>
              <a:ext cx="818108" cy="325895"/>
            </a:xfrm>
            <a:prstGeom prst="rect">
              <a:avLst/>
            </a:prstGeom>
          </xdr:spPr>
        </xdr:pic>
        <xdr:pic>
          <xdr:nvPicPr>
            <xdr:cNvPr id="13" name="Afbeelding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14" name="Afbeelding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15" name="Afbeelding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61</xdr:row>
          <xdr:rowOff>114300</xdr:rowOff>
        </xdr:from>
        <xdr:to>
          <xdr:col>1</xdr:col>
          <xdr:colOff>1860550</xdr:colOff>
          <xdr:row>63</xdr:row>
          <xdr:rowOff>146050</xdr:rowOff>
        </xdr:to>
        <xdr:sp macro="" textlink="">
          <xdr:nvSpPr>
            <xdr:cNvPr id="16398" name="Button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3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nl-NL" sz="1000" b="1" i="0" u="none" strike="noStrike" baseline="0">
                  <a:solidFill>
                    <a:srgbClr val="000000"/>
                  </a:solidFill>
                  <a:latin typeface="Trebuchet MS"/>
                </a:rPr>
                <a:t>Tender preparation complete and save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19050</xdr:colOff>
      <xdr:row>64</xdr:row>
      <xdr:rowOff>142866</xdr:rowOff>
    </xdr:from>
    <xdr:to>
      <xdr:col>6</xdr:col>
      <xdr:colOff>552701</xdr:colOff>
      <xdr:row>67</xdr:row>
      <xdr:rowOff>171441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152400" y="7604116"/>
          <a:ext cx="6388351" cy="542925"/>
          <a:chOff x="120315" y="15200351"/>
          <a:chExt cx="6721023" cy="606136"/>
        </a:xfrm>
      </xdr:grpSpPr>
      <xdr:sp macro="" textlink="">
        <xdr:nvSpPr>
          <xdr:cNvPr id="11" name="Tekstvak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982782" y="15200351"/>
            <a:ext cx="3036270" cy="6061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2" name="Groep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13" name="Afbeelding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14" name="Afbeelding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15" name="Afbeelding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16" name="Afbeelding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  <xdr:twoCellAnchor editAs="absolute">
    <xdr:from>
      <xdr:col>4</xdr:col>
      <xdr:colOff>0</xdr:colOff>
      <xdr:row>4</xdr:row>
      <xdr:rowOff>0</xdr:rowOff>
    </xdr:from>
    <xdr:to>
      <xdr:col>6</xdr:col>
      <xdr:colOff>247907</xdr:colOff>
      <xdr:row>10</xdr:row>
      <xdr:rowOff>97158</xdr:rowOff>
    </xdr:to>
    <xdr:grpSp>
      <xdr:nvGrpSpPr>
        <xdr:cNvPr id="17" name="Groep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4667250" y="742950"/>
          <a:ext cx="1568707" cy="1138558"/>
          <a:chOff x="5029200" y="762000"/>
          <a:chExt cx="1624587" cy="1264923"/>
        </a:xfrm>
      </xdr:grpSpPr>
      <xdr:pic>
        <xdr:nvPicPr>
          <xdr:cNvPr id="18" name="fig_electricity_cable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19" name="fig_switchgear" hidden="1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0" name="fig_transformer_substation" hidden="1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1" name="fig_transformer" hidden="1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2" name="fig_other_asset" hidden="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3" name="fig_pipeline" hidden="1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59</xdr:row>
      <xdr:rowOff>161918</xdr:rowOff>
    </xdr:from>
    <xdr:to>
      <xdr:col>6</xdr:col>
      <xdr:colOff>553971</xdr:colOff>
      <xdr:row>62</xdr:row>
      <xdr:rowOff>168903</xdr:rowOff>
    </xdr:to>
    <xdr:grpSp>
      <xdr:nvGrpSpPr>
        <xdr:cNvPr id="9" name="Groe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152400" y="6892918"/>
          <a:ext cx="6389621" cy="521335"/>
          <a:chOff x="120315" y="15221619"/>
          <a:chExt cx="6721023" cy="584868"/>
        </a:xfrm>
      </xdr:grpSpPr>
      <xdr:sp macro="" textlink="">
        <xdr:nvSpPr>
          <xdr:cNvPr id="10" name="Tekstvak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1982782" y="15221619"/>
            <a:ext cx="3116742" cy="58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1" name="Groep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12" name="Afbeelding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13" name="Afbeelding 12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14" name="Afbeelding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15" name="Afbeelding 14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  <xdr:twoCellAnchor editAs="absolute">
    <xdr:from>
      <xdr:col>4</xdr:col>
      <xdr:colOff>0</xdr:colOff>
      <xdr:row>4</xdr:row>
      <xdr:rowOff>0</xdr:rowOff>
    </xdr:from>
    <xdr:to>
      <xdr:col>6</xdr:col>
      <xdr:colOff>246637</xdr:colOff>
      <xdr:row>10</xdr:row>
      <xdr:rowOff>104778</xdr:rowOff>
    </xdr:to>
    <xdr:grpSp>
      <xdr:nvGrpSpPr>
        <xdr:cNvPr id="23" name="Groep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/>
      </xdr:nvGrpSpPr>
      <xdr:grpSpPr>
        <a:xfrm>
          <a:off x="4667250" y="742950"/>
          <a:ext cx="1567437" cy="1146178"/>
          <a:chOff x="5029200" y="762000"/>
          <a:chExt cx="1624587" cy="1264923"/>
        </a:xfrm>
      </xdr:grpSpPr>
      <xdr:pic>
        <xdr:nvPicPr>
          <xdr:cNvPr id="24" name="fig_electricity_cable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5" name="fig_switchgear" hidden="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6" name="fig_transformer_substation" hidden="1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7" name="fig_transformer" hidden="1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8" name="fig_other_asset" hidden="1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9" name="fig_pipeline" hidden="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31750</xdr:colOff>
          <xdr:row>0</xdr:row>
          <xdr:rowOff>152400</xdr:rowOff>
        </xdr:from>
        <xdr:to>
          <xdr:col>1</xdr:col>
          <xdr:colOff>984250</xdr:colOff>
          <xdr:row>2</xdr:row>
          <xdr:rowOff>31750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Reset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38100</xdr:colOff>
      <xdr:row>177</xdr:row>
      <xdr:rowOff>142860</xdr:rowOff>
    </xdr:from>
    <xdr:to>
      <xdr:col>5</xdr:col>
      <xdr:colOff>402206</xdr:colOff>
      <xdr:row>181</xdr:row>
      <xdr:rowOff>57144</xdr:rowOff>
    </xdr:to>
    <xdr:grpSp>
      <xdr:nvGrpSpPr>
        <xdr:cNvPr id="15" name="Groep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171450" y="14277960"/>
          <a:ext cx="5818756" cy="600084"/>
          <a:chOff x="120315" y="15200351"/>
          <a:chExt cx="6721023" cy="683115"/>
        </a:xfrm>
      </xdr:grpSpPr>
      <xdr:sp macro="" textlink="">
        <xdr:nvSpPr>
          <xdr:cNvPr id="16" name="Tekstvak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1982782" y="15200351"/>
            <a:ext cx="3121316" cy="6831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7" name="Groep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20" name="Afbeelding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21" name="Afbeelding 20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22" name="Afbeelding 21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23" name="Afbeelding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  <xdr:twoCellAnchor editAs="absolute">
    <xdr:from>
      <xdr:col>4</xdr:col>
      <xdr:colOff>130553</xdr:colOff>
      <xdr:row>11</xdr:row>
      <xdr:rowOff>0</xdr:rowOff>
    </xdr:from>
    <xdr:to>
      <xdr:col>5</xdr:col>
      <xdr:colOff>401955</xdr:colOff>
      <xdr:row>18</xdr:row>
      <xdr:rowOff>97158</xdr:rowOff>
    </xdr:to>
    <xdr:grpSp>
      <xdr:nvGrpSpPr>
        <xdr:cNvPr id="30" name="Groep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pSpPr/>
      </xdr:nvGrpSpPr>
      <xdr:grpSpPr>
        <a:xfrm>
          <a:off x="4854953" y="685800"/>
          <a:ext cx="1135002" cy="1144908"/>
          <a:chOff x="5029200" y="762000"/>
          <a:chExt cx="1624587" cy="1264923"/>
        </a:xfrm>
      </xdr:grpSpPr>
      <xdr:pic>
        <xdr:nvPicPr>
          <xdr:cNvPr id="31" name="fig_electricity_cable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32" name="fig_switchgear" hidden="1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33" name="fig_transformer_substation" hidden="1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34" name="fig_transformer" hidden="1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35" name="fig_other_asset" hidden="1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36" name="fig_pipeline" hidden="1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31750</xdr:colOff>
          <xdr:row>0</xdr:row>
          <xdr:rowOff>152400</xdr:rowOff>
        </xdr:from>
        <xdr:to>
          <xdr:col>1</xdr:col>
          <xdr:colOff>984250</xdr:colOff>
          <xdr:row>2</xdr:row>
          <xdr:rowOff>31750</xdr:rowOff>
        </xdr:to>
        <xdr:sp macro="" textlink="">
          <xdr:nvSpPr>
            <xdr:cNvPr id="63489" name="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Reset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38100</xdr:colOff>
      <xdr:row>178</xdr:row>
      <xdr:rowOff>16572</xdr:rowOff>
    </xdr:from>
    <xdr:to>
      <xdr:col>6</xdr:col>
      <xdr:colOff>58671</xdr:colOff>
      <xdr:row>181</xdr:row>
      <xdr:rowOff>0</xdr:rowOff>
    </xdr:to>
    <xdr:grpSp>
      <xdr:nvGrpSpPr>
        <xdr:cNvPr id="15" name="Groep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pSpPr/>
      </xdr:nvGrpSpPr>
      <xdr:grpSpPr>
        <a:xfrm>
          <a:off x="171450" y="14323122"/>
          <a:ext cx="6338821" cy="497778"/>
          <a:chOff x="120315" y="15251474"/>
          <a:chExt cx="6721023" cy="555013"/>
        </a:xfrm>
      </xdr:grpSpPr>
      <xdr:sp macro="" textlink="">
        <xdr:nvSpPr>
          <xdr:cNvPr id="16" name="Tekstvak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/>
        </xdr:nvSpPr>
        <xdr:spPr>
          <a:xfrm>
            <a:off x="1982782" y="15251474"/>
            <a:ext cx="3074713" cy="5550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17" name="Groep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18" name="Afbeelding 17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19" name="Afbeelding 18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20" name="Afbeelding 19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21" name="Afbeelding 20">
              <a:extLst>
                <a:ext uri="{FF2B5EF4-FFF2-40B4-BE49-F238E27FC236}">
                  <a16:creationId xmlns:a16="http://schemas.microsoft.com/office/drawing/2014/main" id="{00000000-0008-0000-0600-000015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  <xdr:twoCellAnchor editAs="absolute">
    <xdr:from>
      <xdr:col>4</xdr:col>
      <xdr:colOff>134363</xdr:colOff>
      <xdr:row>11</xdr:row>
      <xdr:rowOff>0</xdr:rowOff>
    </xdr:from>
    <xdr:to>
      <xdr:col>5</xdr:col>
      <xdr:colOff>859155</xdr:colOff>
      <xdr:row>18</xdr:row>
      <xdr:rowOff>93348</xdr:rowOff>
    </xdr:to>
    <xdr:grpSp>
      <xdr:nvGrpSpPr>
        <xdr:cNvPr id="22" name="Groep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pSpPr/>
      </xdr:nvGrpSpPr>
      <xdr:grpSpPr>
        <a:xfrm>
          <a:off x="4858763" y="685800"/>
          <a:ext cx="1588392" cy="1141098"/>
          <a:chOff x="5029200" y="762000"/>
          <a:chExt cx="1624587" cy="1264923"/>
        </a:xfrm>
      </xdr:grpSpPr>
      <xdr:pic>
        <xdr:nvPicPr>
          <xdr:cNvPr id="23" name="fig_electricity_cable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4" name="fig_switchgear" hidden="1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5" name="fig_transformer_substation" hidden="1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6" name="fig_transformer" hidden="1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7" name="fig_other_asset" hidden="1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8" name="fig_pipeline" hidden="1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31750</xdr:colOff>
          <xdr:row>0</xdr:row>
          <xdr:rowOff>152400</xdr:rowOff>
        </xdr:from>
        <xdr:to>
          <xdr:col>1</xdr:col>
          <xdr:colOff>984250</xdr:colOff>
          <xdr:row>2</xdr:row>
          <xdr:rowOff>31750</xdr:rowOff>
        </xdr:to>
        <xdr:sp macro="" textlink="">
          <xdr:nvSpPr>
            <xdr:cNvPr id="64513" name="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7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Reset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29957</xdr:colOff>
      <xdr:row>178</xdr:row>
      <xdr:rowOff>98928</xdr:rowOff>
    </xdr:from>
    <xdr:to>
      <xdr:col>6</xdr:col>
      <xdr:colOff>57154</xdr:colOff>
      <xdr:row>180</xdr:row>
      <xdr:rowOff>44671</xdr:rowOff>
    </xdr:to>
    <xdr:grpSp>
      <xdr:nvGrpSpPr>
        <xdr:cNvPr id="17" name="Groep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pSpPr/>
      </xdr:nvGrpSpPr>
      <xdr:grpSpPr>
        <a:xfrm>
          <a:off x="163307" y="14405478"/>
          <a:ext cx="6345447" cy="288643"/>
          <a:chOff x="120315" y="15353994"/>
          <a:chExt cx="6721023" cy="324000"/>
        </a:xfrm>
      </xdr:grpSpPr>
      <xdr:pic>
        <xdr:nvPicPr>
          <xdr:cNvPr id="30" name="Afbeelding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435" t="35942" r="10724" b="35987"/>
          <a:stretch/>
        </xdr:blipFill>
        <xdr:spPr>
          <a:xfrm>
            <a:off x="5024794" y="15353994"/>
            <a:ext cx="818108" cy="324000"/>
          </a:xfrm>
          <a:prstGeom prst="rect">
            <a:avLst/>
          </a:prstGeom>
        </xdr:spPr>
      </xdr:pic>
      <xdr:pic>
        <xdr:nvPicPr>
          <xdr:cNvPr id="31" name="Afbeelding 30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60" t="18340" r="10971" b="18341"/>
          <a:stretch/>
        </xdr:blipFill>
        <xdr:spPr>
          <a:xfrm>
            <a:off x="1052674" y="15353994"/>
            <a:ext cx="851188" cy="324000"/>
          </a:xfrm>
          <a:prstGeom prst="rect">
            <a:avLst/>
          </a:prstGeom>
        </xdr:spPr>
      </xdr:pic>
      <xdr:pic>
        <xdr:nvPicPr>
          <xdr:cNvPr id="32" name="Afbeelding 31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158"/>
          <a:stretch/>
        </xdr:blipFill>
        <xdr:spPr>
          <a:xfrm>
            <a:off x="5969048" y="15371994"/>
            <a:ext cx="872290" cy="288000"/>
          </a:xfrm>
          <a:prstGeom prst="rect">
            <a:avLst/>
          </a:prstGeom>
        </xdr:spPr>
      </xdr:pic>
      <xdr:pic>
        <xdr:nvPicPr>
          <xdr:cNvPr id="33" name="Afbeelding 32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388" t="28947" r="14374" b="26316"/>
          <a:stretch/>
        </xdr:blipFill>
        <xdr:spPr>
          <a:xfrm>
            <a:off x="120315" y="15353994"/>
            <a:ext cx="842400" cy="324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134363</xdr:colOff>
      <xdr:row>11</xdr:row>
      <xdr:rowOff>0</xdr:rowOff>
    </xdr:from>
    <xdr:to>
      <xdr:col>5</xdr:col>
      <xdr:colOff>855345</xdr:colOff>
      <xdr:row>18</xdr:row>
      <xdr:rowOff>97158</xdr:rowOff>
    </xdr:to>
    <xdr:grpSp>
      <xdr:nvGrpSpPr>
        <xdr:cNvPr id="18" name="Groep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4858763" y="685800"/>
          <a:ext cx="1584582" cy="1144908"/>
          <a:chOff x="5029200" y="762000"/>
          <a:chExt cx="1624587" cy="1264923"/>
        </a:xfrm>
      </xdr:grpSpPr>
      <xdr:pic>
        <xdr:nvPicPr>
          <xdr:cNvPr id="19" name="fig_electricity_cable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0" name="fig_switchgear" hidden="1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1" name="fig_transformer_substation" hidden="1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2" name="fig_transformer" hidden="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23" name="fig_other_asset" hidden="1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24" name="fig_pipeline" hidden="1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1743075</xdr:colOff>
      <xdr:row>178</xdr:row>
      <xdr:rowOff>19747</xdr:rowOff>
    </xdr:from>
    <xdr:to>
      <xdr:col>4</xdr:col>
      <xdr:colOff>40102</xdr:colOff>
      <xdr:row>181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0D72DDE-70A0-4B76-AECE-42AD0C52C111}"/>
            </a:ext>
          </a:extLst>
        </xdr:cNvPr>
        <xdr:cNvSpPr txBox="1"/>
      </xdr:nvSpPr>
      <xdr:spPr>
        <a:xfrm>
          <a:off x="1876425" y="33985897"/>
          <a:ext cx="2897602" cy="494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900"/>
            <a:t>Asset tool developed for Dutch distribution system operators, initiated by Alliander, Enexis and Stedin. </a:t>
          </a:r>
        </a:p>
        <a:p>
          <a:pPr algn="ctr"/>
          <a:r>
            <a:rPr lang="nl-NL" sz="900"/>
            <a:t>Version 2026.1 - © CE Delft 2026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87550</xdr:colOff>
      <xdr:row>12</xdr:row>
      <xdr:rowOff>137432</xdr:rowOff>
    </xdr:from>
    <xdr:to>
      <xdr:col>8</xdr:col>
      <xdr:colOff>17743</xdr:colOff>
      <xdr:row>29</xdr:row>
      <xdr:rowOff>133208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0</xdr:row>
          <xdr:rowOff>76200</xdr:rowOff>
        </xdr:from>
        <xdr:to>
          <xdr:col>1</xdr:col>
          <xdr:colOff>946150</xdr:colOff>
          <xdr:row>1</xdr:row>
          <xdr:rowOff>146050</xdr:rowOff>
        </xdr:to>
        <xdr:sp macro="" textlink="">
          <xdr:nvSpPr>
            <xdr:cNvPr id="10251" name="Butto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Save 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222250</xdr:rowOff>
        </xdr:from>
        <xdr:to>
          <xdr:col>1</xdr:col>
          <xdr:colOff>946150</xdr:colOff>
          <xdr:row>2</xdr:row>
          <xdr:rowOff>114300</xdr:rowOff>
        </xdr:to>
        <xdr:sp macro="" textlink="">
          <xdr:nvSpPr>
            <xdr:cNvPr id="10252" name="Butto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nl-NL" sz="1100" b="1" i="0" u="none" strike="noStrike" baseline="0">
                  <a:solidFill>
                    <a:srgbClr val="000000"/>
                  </a:solidFill>
                  <a:latin typeface="Trebuchet MS"/>
                </a:rPr>
                <a:t>Save Excel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38100</xdr:colOff>
      <xdr:row>57</xdr:row>
      <xdr:rowOff>19046</xdr:rowOff>
    </xdr:from>
    <xdr:to>
      <xdr:col>8</xdr:col>
      <xdr:colOff>0</xdr:colOff>
      <xdr:row>60</xdr:row>
      <xdr:rowOff>0</xdr:rowOff>
    </xdr:to>
    <xdr:grpSp>
      <xdr:nvGrpSpPr>
        <xdr:cNvPr id="21" name="Groep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171450" y="10839446"/>
          <a:ext cx="6375400" cy="495304"/>
          <a:chOff x="120315" y="15253521"/>
          <a:chExt cx="6721023" cy="552966"/>
        </a:xfrm>
      </xdr:grpSpPr>
      <xdr:sp macro="" textlink="">
        <xdr:nvSpPr>
          <xdr:cNvPr id="22" name="Tekstvak 21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/>
        </xdr:nvSpPr>
        <xdr:spPr>
          <a:xfrm>
            <a:off x="1982782" y="15253521"/>
            <a:ext cx="3148116" cy="552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l-NL" sz="900"/>
              <a:t>Asset tool developed for Dutch distribution system operators, initiated by Alliander, Enexis and Stedin. </a:t>
            </a:r>
          </a:p>
          <a:p>
            <a:pPr algn="ctr"/>
            <a:r>
              <a:rPr lang="nl-NL" sz="900"/>
              <a:t>Version 2026.1 - © CE Delft 2026</a:t>
            </a:r>
          </a:p>
        </xdr:txBody>
      </xdr:sp>
      <xdr:grpSp>
        <xdr:nvGrpSpPr>
          <xdr:cNvPr id="23" name="Groep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GrpSpPr/>
        </xdr:nvGrpSpPr>
        <xdr:grpSpPr>
          <a:xfrm>
            <a:off x="120315" y="15353994"/>
            <a:ext cx="6721023" cy="324000"/>
            <a:chOff x="120315" y="15353994"/>
            <a:chExt cx="6721023" cy="324000"/>
          </a:xfrm>
        </xdr:grpSpPr>
        <xdr:pic>
          <xdr:nvPicPr>
            <xdr:cNvPr id="24" name="Afbeelding 23">
              <a:extLst>
                <a:ext uri="{FF2B5EF4-FFF2-40B4-BE49-F238E27FC236}">
                  <a16:creationId xmlns:a16="http://schemas.microsoft.com/office/drawing/2014/main" id="{00000000-0008-0000-0800-00001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435" t="35942" r="10724" b="35987"/>
            <a:stretch/>
          </xdr:blipFill>
          <xdr:spPr>
            <a:xfrm>
              <a:off x="5024794" y="15353994"/>
              <a:ext cx="818108" cy="324000"/>
            </a:xfrm>
            <a:prstGeom prst="rect">
              <a:avLst/>
            </a:prstGeom>
          </xdr:spPr>
        </xdr:pic>
        <xdr:pic>
          <xdr:nvPicPr>
            <xdr:cNvPr id="25" name="Afbeelding 24">
              <a:extLst>
                <a:ext uri="{FF2B5EF4-FFF2-40B4-BE49-F238E27FC236}">
                  <a16:creationId xmlns:a16="http://schemas.microsoft.com/office/drawing/2014/main" id="{00000000-0008-0000-0800-00001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60" t="18340" r="10971" b="18341"/>
            <a:stretch/>
          </xdr:blipFill>
          <xdr:spPr>
            <a:xfrm>
              <a:off x="1052674" y="15353994"/>
              <a:ext cx="851188" cy="324000"/>
            </a:xfrm>
            <a:prstGeom prst="rect">
              <a:avLst/>
            </a:prstGeom>
          </xdr:spPr>
        </xdr:pic>
        <xdr:pic>
          <xdr:nvPicPr>
            <xdr:cNvPr id="26" name="Afbeelding 25">
              <a:extLst>
                <a:ext uri="{FF2B5EF4-FFF2-40B4-BE49-F238E27FC236}">
                  <a16:creationId xmlns:a16="http://schemas.microsoft.com/office/drawing/2014/main" id="{00000000-0008-0000-0800-00001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4158"/>
            <a:stretch/>
          </xdr:blipFill>
          <xdr:spPr>
            <a:xfrm>
              <a:off x="5969048" y="15371994"/>
              <a:ext cx="872290" cy="288000"/>
            </a:xfrm>
            <a:prstGeom prst="rect">
              <a:avLst/>
            </a:prstGeom>
          </xdr:spPr>
        </xdr:pic>
        <xdr:pic>
          <xdr:nvPicPr>
            <xdr:cNvPr id="28" name="Afbeelding 27">
              <a:extLst>
                <a:ext uri="{FF2B5EF4-FFF2-40B4-BE49-F238E27FC236}">
                  <a16:creationId xmlns:a16="http://schemas.microsoft.com/office/drawing/2014/main" id="{00000000-0008-0000-0800-00001C00000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388" t="28947" r="14374" b="26316"/>
            <a:stretch/>
          </xdr:blipFill>
          <xdr:spPr>
            <a:xfrm>
              <a:off x="120315" y="15353994"/>
              <a:ext cx="842400" cy="324000"/>
            </a:xfrm>
            <a:prstGeom prst="rect">
              <a:avLst/>
            </a:prstGeom>
          </xdr:spPr>
        </xdr:pic>
      </xdr:grpSp>
    </xdr:grpSp>
    <xdr:clientData/>
  </xdr:twoCellAnchor>
  <xdr:twoCellAnchor editAs="absolute">
    <xdr:from>
      <xdr:col>7</xdr:col>
      <xdr:colOff>450215</xdr:colOff>
      <xdr:row>0</xdr:row>
      <xdr:rowOff>31115</xdr:rowOff>
    </xdr:from>
    <xdr:to>
      <xdr:col>9</xdr:col>
      <xdr:colOff>0</xdr:colOff>
      <xdr:row>2</xdr:row>
      <xdr:rowOff>169650</xdr:rowOff>
    </xdr:to>
    <xdr:grpSp>
      <xdr:nvGrpSpPr>
        <xdr:cNvPr id="12" name="Groep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>
          <a:grpSpLocks noChangeAspect="1"/>
        </xdr:cNvGrpSpPr>
      </xdr:nvGrpSpPr>
      <xdr:grpSpPr>
        <a:xfrm>
          <a:off x="5860415" y="31115"/>
          <a:ext cx="813435" cy="671935"/>
          <a:chOff x="5029200" y="762000"/>
          <a:chExt cx="1624587" cy="1264923"/>
        </a:xfrm>
      </xdr:grpSpPr>
      <xdr:pic>
        <xdr:nvPicPr>
          <xdr:cNvPr id="13" name="fig_electricity_cable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14" name="fig_switchgear" hidden="1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15" name="fig_transformer_substation" hidden="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16" name="fig_transformer" hidden="1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  <xdr:pic>
        <xdr:nvPicPr>
          <xdr:cNvPr id="17" name="fig_other_asset" hidden="1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4923"/>
          </a:xfrm>
          <a:prstGeom prst="rect">
            <a:avLst/>
          </a:prstGeom>
        </xdr:spPr>
      </xdr:pic>
      <xdr:pic>
        <xdr:nvPicPr>
          <xdr:cNvPr id="18" name="fig_pipeline" hidden="1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29200" y="762000"/>
            <a:ext cx="1624587" cy="126187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BI_Tbl_materials" displayName="BI_Tbl_materials" ref="B11:AL95" headerRowDxfId="94">
  <autoFilter ref="B11:AL95" xr:uid="{00000000-0009-0000-0100-000006000000}"/>
  <sortState xmlns:xlrd2="http://schemas.microsoft.com/office/spreadsheetml/2017/richdata2" ref="B12:AL95">
    <sortCondition ref="B11:B95"/>
  </sortState>
  <tableColumns count="37">
    <tableColumn id="1" xr3:uid="{00000000-0010-0000-0000-000001000000}" name="Material" totalsRowLabel="Totaal"/>
    <tableColumn id="2" xr3:uid="{00000000-0010-0000-0000-000002000000}" name="Electricity cable" dataDxfId="93" totalsRowDxfId="92"/>
    <tableColumn id="3" xr3:uid="{00000000-0010-0000-0000-000003000000}" name="Switchgear" dataDxfId="91" totalsRowDxfId="90"/>
    <tableColumn id="4" xr3:uid="{00000000-0010-0000-0000-000004000000}" name="Transformer" dataDxfId="89" totalsRowDxfId="88"/>
    <tableColumn id="5" xr3:uid="{00000000-0010-0000-0000-000005000000}" name="Transformer substation" dataDxfId="87" totalsRowDxfId="86"/>
    <tableColumn id="6" xr3:uid="{00000000-0010-0000-0000-000006000000}" name="Pipeline" dataDxfId="85" totalsRowDxfId="84"/>
    <tableColumn id="24" xr3:uid="{00000000-0010-0000-0000-000018000000}" name="Other asset" dataDxfId="83" totalsRowDxfId="82"/>
    <tableColumn id="7" xr3:uid="{00000000-0010-0000-0000-000007000000}" name="Primary production (kg CO2-eq./kg)" dataDxfId="81" totalsRowDxfId="80"/>
    <tableColumn id="8" xr3:uid="{00000000-0010-0000-0000-000008000000}" name="Secondary production (kg CO2-eq./kg)" dataDxfId="79" totalsRowDxfId="78"/>
    <tableColumn id="9" xr3:uid="{00000000-0010-0000-0000-000009000000}" name="Incineration (kg CO2-eq./kg)" dataDxfId="77" totalsRowDxfId="76"/>
    <tableColumn id="10" xr3:uid="{00000000-0010-0000-0000-00000A000000}" name="Landfilling (kg CO2-eq./kg)" dataDxfId="75" totalsRowDxfId="74"/>
    <tableColumn id="11" xr3:uid="{00000000-0010-0000-0000-00000B000000}" name="EoL keuze CE Delft" dataDxfId="73" totalsRowDxfId="72"/>
    <tableColumn id="38" xr3:uid="{0FEE02EC-5BF0-4679-A347-0B61ED0EDE6C}" name="Biobased - yes = 1, no = 0" dataDxfId="71" totalsRowDxfId="70"/>
    <tableColumn id="25" xr3:uid="{00000000-0010-0000-0000-000019000000}" name="Asset #1 - Weight (g)" dataDxfId="69">
      <calculatedColumnFormula>IF(ISBLANK('Asset #1'!C25),"",'Asset #1'!C25*IF('Asset #1'!$D$18="kg/unit",1000,1))</calculatedColumnFormula>
    </tableColumn>
    <tableColumn id="30" xr3:uid="{00000000-0010-0000-0000-00001E000000}" name="Asset #1 - Recycled (%)" dataDxfId="68" totalsRowDxfId="67" dataCellStyle="Procent">
      <calculatedColumnFormula>IF(ISBLANK('Asset #1'!D25),0,'Asset #1'!D25)</calculatedColumnFormula>
    </tableColumn>
    <tableColumn id="29" xr3:uid="{00000000-0010-0000-0000-00001D000000}" name="Asset #1 - Recyclable (%)" dataDxfId="66" totalsRowDxfId="65" dataCellStyle="Procent">
      <calculatedColumnFormula>IF(ISBLANK('Asset #1'!H25),0,'Asset #1'!H25)</calculatedColumnFormula>
    </tableColumn>
    <tableColumn id="28" xr3:uid="{00000000-0010-0000-0000-00001C000000}" name="Asset #1 - Re/Down out" dataDxfId="64" totalsRowDxfId="63">
      <calculatedColumnFormula>IF(ISBLANK('Asset #1'!I25),"N/A",'Asset #1'!I25)</calculatedColumnFormula>
    </tableColumn>
    <tableColumn id="12" xr3:uid="{00000000-0010-0000-0000-00000C000000}" name="Asset #1 - Re (=1), Down (=0,5), N/A (=0)" dataDxfId="62" totalsRowDxfId="61">
      <calculatedColumnFormula>IF(BI_Tbl_materials[[#This Row],[Asset '#1 - Re/Down out]]="Recycled",1, IF(BI_Tbl_materials[[#This Row],[Asset '#1 - Re/Down out]]="Downcycled", 0.5, 0))</calculatedColumnFormula>
    </tableColumn>
    <tableColumn id="13" xr3:uid="{00000000-0010-0000-0000-00000D000000}" name="Asset #1 - Circular content" dataDxfId="60" totalsRowDxfId="59">
      <calculatedColumnFormula>IFERROR(BI_Tbl_materials[[#This Row],[Biobased - yes = 1, no = 0]]*(1-BI_Tbl_materials[[#This Row],[Asset '#1 - Recycled (%)]])+BI_Tbl_materials[[#This Row],[Asset '#1 - Recycled (%)]],"")</calculatedColumnFormula>
    </tableColumn>
    <tableColumn id="14" xr3:uid="{00000000-0010-0000-0000-00000E000000}" name="Asset #1 - CFP_materials" dataDxfId="58">
      <calculatedColumnFormula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calculatedColumnFormula>
    </tableColumn>
    <tableColumn id="15" xr3:uid="{00000000-0010-0000-0000-00000F000000}" name="Asset #1 - CFP_eol" dataDxfId="57">
      <calculatedColumnFormula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calculatedColumnFormula>
    </tableColumn>
    <tableColumn id="26" xr3:uid="{00000000-0010-0000-0000-00001A000000}" name="Asset #2 - Weight (g)" dataDxfId="56">
      <calculatedColumnFormula>IF(ISBLANK('Asset #2'!C25),"",'Asset #2'!C25*IF('Asset #2'!$D$18="kg/unit",1000,1))</calculatedColumnFormula>
    </tableColumn>
    <tableColumn id="16" xr3:uid="{00000000-0010-0000-0000-000010000000}" name="Asset #2 - Recycled (%)" dataDxfId="55" totalsRowDxfId="54" dataCellStyle="Procent">
      <calculatedColumnFormula>IF(ISBLANK('Asset #2'!D25),0,'Asset #2'!D25)</calculatedColumnFormula>
    </tableColumn>
    <tableColumn id="17" xr3:uid="{00000000-0010-0000-0000-000011000000}" name="Asset #2 - Recyclable (%)" dataDxfId="53" totalsRowDxfId="52">
      <calculatedColumnFormula>IF(ISBLANK('Asset #2'!H25),0,'Asset #2'!H25)</calculatedColumnFormula>
    </tableColumn>
    <tableColumn id="18" xr3:uid="{00000000-0010-0000-0000-000012000000}" name="Asset #2 - Re/Down out" dataDxfId="51" totalsRowDxfId="50">
      <calculatedColumnFormula>IF(ISBLANK('Asset #2'!I25),"N/A",'Asset #2'!I25)</calculatedColumnFormula>
    </tableColumn>
    <tableColumn id="19" xr3:uid="{00000000-0010-0000-0000-000013000000}" name="Asset #2 - Re (=1), Down (=0,5), N/A (=0)" dataDxfId="49" totalsRowDxfId="48">
      <calculatedColumnFormula>IF(BI_Tbl_materials[[#This Row],[Asset '#2 - Re/Down out]]="Recycled",1, IF(BI_Tbl_materials[[#This Row],[Asset '#2 - Re/Down out]]="Downcycled", 0.5, 0))</calculatedColumnFormula>
    </tableColumn>
    <tableColumn id="27" xr3:uid="{00000000-0010-0000-0000-00001B000000}" name="Asset #2 - Circular content" dataDxfId="47" totalsRowDxfId="46">
      <calculatedColumnFormula>IFERROR(BI_Tbl_materials[[#This Row],[Biobased - yes = 1, no = 0]]*(1-BI_Tbl_materials[[#This Row],[Asset '#2 - Recycled (%)]])+BI_Tbl_materials[[#This Row],[Asset '#2 - Recycled (%)]],"")</calculatedColumnFormula>
    </tableColumn>
    <tableColumn id="20" xr3:uid="{00000000-0010-0000-0000-000014000000}" name="Asset #2 - CFP_materials" dataDxfId="45">
      <calculatedColumnFormula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calculatedColumnFormula>
    </tableColumn>
    <tableColumn id="21" xr3:uid="{00000000-0010-0000-0000-000015000000}" name="Asset #2 - CFP_eol" dataDxfId="44" totalsRowDxfId="43">
      <calculatedColumnFormula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calculatedColumnFormula>
    </tableColumn>
    <tableColumn id="22" xr3:uid="{00000000-0010-0000-0000-000016000000}" name="Asset #3 - Weight (g)" dataDxfId="42">
      <calculatedColumnFormula>IF(ISBLANK('Asset #3'!C25),"",'Asset #3'!C25*IF('Asset #3'!$D$18="kg/unit",1000,1))</calculatedColumnFormula>
    </tableColumn>
    <tableColumn id="23" xr3:uid="{00000000-0010-0000-0000-000017000000}" name="Asset #3 - Recycled (%)" dataDxfId="41" totalsRowDxfId="40">
      <calculatedColumnFormula>IF(ISBLANK('Asset #3'!D25),0,'Asset #3'!D25)</calculatedColumnFormula>
    </tableColumn>
    <tableColumn id="31" xr3:uid="{00000000-0010-0000-0000-00001F000000}" name="Asset #3 - Recyclable (%)" dataDxfId="39" totalsRowDxfId="38">
      <calculatedColumnFormula>IF(ISBLANK('Asset #3'!H25),0,'Asset #3'!H25)</calculatedColumnFormula>
    </tableColumn>
    <tableColumn id="32" xr3:uid="{00000000-0010-0000-0000-000020000000}" name="Asset #3 - Re/Down out" dataDxfId="37" totalsRowDxfId="36">
      <calculatedColumnFormula>IF(ISBLANK('Asset #3'!I25),"N/A",'Asset #3'!I25)</calculatedColumnFormula>
    </tableColumn>
    <tableColumn id="33" xr3:uid="{00000000-0010-0000-0000-000021000000}" name="Asset #3 - Re (=1), Down (=0,5), N/A (=0)" dataDxfId="35" totalsRowDxfId="34">
      <calculatedColumnFormula>IF(BI_Tbl_materials[[#This Row],[Asset '#3 - Re/Down out]]="Recycled",1, IF(BI_Tbl_materials[[#This Row],[Asset '#3 - Re/Down out]]="Downcycled", 0.5, 0))</calculatedColumnFormula>
    </tableColumn>
    <tableColumn id="34" xr3:uid="{00000000-0010-0000-0000-000022000000}" name="Asset #3 - Circular content" dataDxfId="33" totalsRowDxfId="32">
      <calculatedColumnFormula>IFERROR(BI_Tbl_materials[[#This Row],[Biobased - yes = 1, no = 0]]*(1-BI_Tbl_materials[[#This Row],[Asset '#3 - Recycled (%)]])+BI_Tbl_materials[[#This Row],[Asset '#3 - Recycled (%)]],"")</calculatedColumnFormula>
    </tableColumn>
    <tableColumn id="35" xr3:uid="{00000000-0010-0000-0000-000023000000}" name="Asset #3 - CFP_materials" dataDxfId="31" totalsRowDxfId="30">
      <calculatedColumnFormula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calculatedColumnFormula>
    </tableColumn>
    <tableColumn id="36" xr3:uid="{00000000-0010-0000-0000-000024000000}" name="Asset #3 - CFP_eol" dataDxfId="29" totalsRowDxfId="28">
      <calculatedColumnFormula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B180:F185" totalsRowShown="0">
  <autoFilter ref="B180:F185" xr:uid="{00000000-0009-0000-0100-000001000000}"/>
  <tableColumns count="5">
    <tableColumn id="1" xr3:uid="{00000000-0010-0000-0100-000001000000}" name="Energy required for production"/>
    <tableColumn id="3" xr3:uid="{00000000-0010-0000-0100-000003000000}" name="GWP (kg CO2-eq/ kWh or MJ)" dataDxfId="27" totalsRowDxfId="26"/>
    <tableColumn id="2" xr3:uid="{00000000-0010-0000-0100-000002000000}" name="Asset #1 - GWP (kg CO2-eq)" dataDxfId="25" totalsRowDxfId="24">
      <calculatedColumnFormula>IFERROR($C181 * D118, "")</calculatedColumnFormula>
    </tableColumn>
    <tableColumn id="4" xr3:uid="{00000000-0010-0000-0100-000004000000}" name="Asset #2 - GWP (kg CO2-eq)" dataDxfId="23" totalsRowDxfId="22">
      <calculatedColumnFormula>IFERROR($C181 * E118, "")</calculatedColumnFormula>
    </tableColumn>
    <tableColumn id="5" xr3:uid="{00000000-0010-0000-0100-000005000000}" name="Asset #3 - GWP (kg CO2-eq)" dataDxfId="21" totalsRowDxfId="20">
      <calculatedColumnFormula>IFERROR($C181 * F118, 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2" displayName="Tabel2" ref="B188:F197" totalsRowShown="0" headerRowDxfId="19" dataDxfId="18">
  <autoFilter ref="B188:F197" xr:uid="{00000000-0009-0000-0100-000002000000}"/>
  <tableColumns count="5">
    <tableColumn id="1" xr3:uid="{00000000-0010-0000-0200-000001000000}" name="Transport from production location to network operator" dataDxfId="17"/>
    <tableColumn id="2" xr3:uid="{00000000-0010-0000-0200-000002000000}" name="GWP (kg CO2-eq/ tkm)" dataDxfId="16" totalsRowDxfId="15"/>
    <tableColumn id="3" xr3:uid="{00000000-0010-0000-0200-000003000000}" name="Asset #1 - GWP (kg CO2-eq)" dataDxfId="14">
      <calculatedColumnFormula>IFERROR($C189 * D$113/10^6 * D123, "")</calculatedColumnFormula>
    </tableColumn>
    <tableColumn id="4" xr3:uid="{00000000-0010-0000-0200-000004000000}" name="Asset #2 - GWP (kg CO2-eq)" dataDxfId="13">
      <calculatedColumnFormula>IFERROR($C189 * E$113/10^6 * E123, "")</calculatedColumnFormula>
    </tableColumn>
    <tableColumn id="5" xr3:uid="{00000000-0010-0000-0200-000005000000}" name="Asset #3 - GWP (kg CO2-eq)" dataDxfId="12" totalsRowDxfId="11">
      <calculatedColumnFormula>IFERROR($C189 * F$113/10^6 * F123, 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4" displayName="Tabel4" ref="B238:F242" totalsRowShown="0" headerRowDxfId="10" dataDxfId="9" dataCellStyle="Valuta">
  <autoFilter ref="B238:F242" xr:uid="{00000000-0009-0000-0100-000004000000}"/>
  <tableColumns count="5">
    <tableColumn id="1" xr3:uid="{00000000-0010-0000-0300-000001000000}" name="Kolom1"/>
    <tableColumn id="2" xr3:uid="{00000000-0010-0000-0300-000002000000}" name="Baseline"/>
    <tableColumn id="3" xr3:uid="{00000000-0010-0000-0300-000003000000}" name="Asset #1" dataDxfId="8" dataCellStyle="Valuta"/>
    <tableColumn id="4" xr3:uid="{00000000-0010-0000-0300-000004000000}" name="Asset #2" dataDxfId="7" dataCellStyle="Valuta"/>
    <tableColumn id="5" xr3:uid="{00000000-0010-0000-0300-000005000000}" name="Asset #3" dataDxfId="6" dataCellStyle="Valu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el8" displayName="Tabel8" ref="B230:E235" totalsRowShown="0" headerRowDxfId="5" dataDxfId="4">
  <autoFilter ref="B230:E235" xr:uid="{00000000-0009-0000-0100-000008000000}"/>
  <tableColumns count="4">
    <tableColumn id="1" xr3:uid="{00000000-0010-0000-0400-000001000000}" name="Kolom1" dataDxfId="3"/>
    <tableColumn id="2" xr3:uid="{00000000-0010-0000-0400-000002000000}" name="Asset #1" dataDxfId="2"/>
    <tableColumn id="3" xr3:uid="{00000000-0010-0000-0400-000003000000}" name="Asset #2" dataDxfId="1"/>
    <tableColumn id="4" xr3:uid="{00000000-0010-0000-0400-000004000000}" name="Asset #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ema CE Delft">
  <a:themeElements>
    <a:clrScheme name="Kleuren CE Delf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DD8"/>
      </a:accent1>
      <a:accent2>
        <a:srgbClr val="8DD3FF"/>
      </a:accent2>
      <a:accent3>
        <a:srgbClr val="FFDB00"/>
      </a:accent3>
      <a:accent4>
        <a:srgbClr val="009133"/>
      </a:accent4>
      <a:accent5>
        <a:srgbClr val="70C82F"/>
      </a:accent5>
      <a:accent6>
        <a:srgbClr val="344893"/>
      </a:accent6>
      <a:hlink>
        <a:srgbClr val="009DD8"/>
      </a:hlink>
      <a:folHlink>
        <a:srgbClr val="009DD8"/>
      </a:folHlink>
    </a:clrScheme>
    <a:fontScheme name="Lettertypen CE Delf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Kleur 1">
      <a:srgbClr val="009DD8"/>
    </a:custClr>
    <a:custClr name="Kleur 2">
      <a:srgbClr val="8DD3FF"/>
    </a:custClr>
    <a:custClr name="Kleur 3">
      <a:srgbClr val="FFDB00"/>
    </a:custClr>
    <a:custClr name="Kleur 4">
      <a:srgbClr val="009133"/>
    </a:custClr>
    <a:custClr name="Kleur 5">
      <a:srgbClr val="70C82F"/>
    </a:custClr>
    <a:custClr name="Kleur 6">
      <a:srgbClr val="344893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Rasterlijnen">
      <a:srgbClr val="D9D9D9"/>
    </a:custClr>
    <a:custClr name="Tekstvlakken">
      <a:srgbClr val="B9E4FF"/>
    </a:custClr>
    <a:custClr name="Pijlen">
      <a:srgbClr val="A6A6A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teunkleur 1">
      <a:srgbClr val="F79646"/>
    </a:custClr>
    <a:custClr name="Steunkleur 2">
      <a:srgbClr val="FF0000"/>
    </a:custClr>
    <a:custClr name="Steunkleur 3">
      <a:srgbClr val="009C9E"/>
    </a:custClr>
    <a:custClr name="Steunkleur 4">
      <a:srgbClr val="41C4B3"/>
    </a:custClr>
    <a:custClr name="Steunkleur 5">
      <a:srgbClr val="902B8F"/>
    </a:custClr>
    <a:custClr name="Steunkleur 6">
      <a:srgbClr val="B55CAA"/>
    </a:custClr>
    <a:custClr name="Steunkleur 7">
      <a:srgbClr val="F27221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4">
    <tabColor theme="0" tint="-0.499984740745262"/>
    <pageSetUpPr autoPageBreaks="0"/>
  </sheetPr>
  <dimension ref="A1:M54"/>
  <sheetViews>
    <sheetView showRowColHeaders="0" zoomScaleNormal="100" workbookViewId="0">
      <selection activeCell="D56" sqref="D56"/>
    </sheetView>
  </sheetViews>
  <sheetFormatPr defaultColWidth="0" defaultRowHeight="15" customHeight="1" zeroHeight="1" x14ac:dyDescent="0.35"/>
  <cols>
    <col min="1" max="1" width="2.296875" style="1" customWidth="1"/>
    <col min="2" max="12" width="9.09765625" style="1" customWidth="1"/>
    <col min="13" max="13" width="2.09765625" style="1" customWidth="1"/>
    <col min="14" max="16384" width="3.8984375" style="1" hidden="1"/>
  </cols>
  <sheetData>
    <row r="1" spans="1:13" ht="15" customHeight="1" x14ac:dyDescent="0.3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15" customHeigh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 ht="15" customHeight="1" x14ac:dyDescent="0.3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ht="13.5" x14ac:dyDescent="0.35"/>
    <row r="5" spans="1:13" ht="15.5" x14ac:dyDescent="0.35">
      <c r="B5" s="206" t="s">
        <v>1</v>
      </c>
    </row>
    <row r="6" spans="1:13" ht="15" customHeight="1" x14ac:dyDescent="0.35">
      <c r="B6" s="225" t="s">
        <v>2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1:13" ht="13.5" x14ac:dyDescent="0.35">
      <c r="B7" s="225" t="s">
        <v>3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3" ht="15" customHeight="1" x14ac:dyDescent="0.35">
      <c r="B8" s="225" t="s">
        <v>4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ht="13.5" x14ac:dyDescent="0.35">
      <c r="B9" s="225" t="s">
        <v>5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3" ht="13.5" x14ac:dyDescent="0.35">
      <c r="B10" s="225"/>
      <c r="C10" s="207"/>
      <c r="D10" s="207"/>
      <c r="E10" s="207"/>
      <c r="F10" s="207"/>
      <c r="G10" s="207"/>
      <c r="H10" s="207"/>
      <c r="I10" s="207"/>
      <c r="J10" s="207"/>
      <c r="K10" s="207"/>
      <c r="L10" s="207"/>
    </row>
    <row r="11" spans="1:13" ht="13.5" x14ac:dyDescent="0.35">
      <c r="B11" s="225" t="s">
        <v>6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</row>
    <row r="12" spans="1:13" ht="13.5" x14ac:dyDescent="0.35">
      <c r="B12" s="225"/>
      <c r="C12" s="207"/>
      <c r="D12" s="207"/>
      <c r="E12" s="207"/>
      <c r="F12" s="207"/>
      <c r="G12" s="207"/>
      <c r="H12" s="207"/>
      <c r="I12" s="207"/>
      <c r="J12" s="207"/>
      <c r="K12" s="207"/>
      <c r="L12" s="207"/>
    </row>
    <row r="13" spans="1:13" ht="15" customHeight="1" x14ac:dyDescent="0.35">
      <c r="B13" s="206" t="s">
        <v>7</v>
      </c>
    </row>
    <row r="14" spans="1:13" ht="15" customHeight="1" x14ac:dyDescent="0.35">
      <c r="B14" s="203" t="s">
        <v>8</v>
      </c>
      <c r="C14" s="201"/>
      <c r="D14" s="201"/>
      <c r="E14" s="201"/>
      <c r="F14" s="201"/>
      <c r="G14" s="201"/>
      <c r="H14" s="201"/>
      <c r="I14" s="201"/>
      <c r="J14" s="201"/>
      <c r="K14" s="201"/>
    </row>
    <row r="15" spans="1:13" ht="15" customHeight="1" x14ac:dyDescent="0.35">
      <c r="B15" s="66" t="s">
        <v>9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08"/>
    </row>
    <row r="16" spans="1:13" ht="13.5" x14ac:dyDescent="0.35">
      <c r="B16" s="66" t="s">
        <v>10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</row>
    <row r="17" spans="2:12" ht="13.5" x14ac:dyDescent="0.35">
      <c r="B17" s="66" t="s">
        <v>11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2:12" ht="13.5" x14ac:dyDescent="0.35">
      <c r="B18" s="66" t="s">
        <v>12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2:12" ht="13.5" x14ac:dyDescent="0.35">
      <c r="B19" s="66" t="s">
        <v>13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</row>
    <row r="20" spans="2:12" ht="13.5" x14ac:dyDescent="0.35">
      <c r="B20" s="66" t="s">
        <v>14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</row>
    <row r="21" spans="2:12" ht="13.5" x14ac:dyDescent="0.35">
      <c r="B21" s="226" t="s">
        <v>15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</row>
    <row r="22" spans="2:12" ht="13.5" x14ac:dyDescent="0.35">
      <c r="B22" s="226" t="s">
        <v>16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2:12" ht="13.5" x14ac:dyDescent="0.35"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4" spans="2:12" ht="13.5" x14ac:dyDescent="0.35">
      <c r="B24" s="203" t="s">
        <v>17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2:12" ht="15" customHeight="1" x14ac:dyDescent="0.35">
      <c r="B25" s="1" t="s">
        <v>18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2:12" ht="15" customHeight="1" x14ac:dyDescent="0.35">
      <c r="B26" s="1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2:12" ht="13.5" x14ac:dyDescent="0.35">
      <c r="B27" s="1" t="s">
        <v>20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2:12" ht="13.5" x14ac:dyDescent="0.35">
      <c r="B28" s="1" t="s">
        <v>21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2:12" ht="13.5" x14ac:dyDescent="0.35">
      <c r="B29" s="1" t="s">
        <v>22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2:12" ht="13.5" x14ac:dyDescent="0.35"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2:12" ht="13.5" x14ac:dyDescent="0.35">
      <c r="B31" s="212" t="s">
        <v>23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</row>
    <row r="32" spans="2:12" ht="13.5" x14ac:dyDescent="0.35">
      <c r="B32" s="213" t="s">
        <v>24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2:12" ht="13.5" x14ac:dyDescent="0.35"/>
    <row r="34" spans="2:12" ht="13.5" x14ac:dyDescent="0.35">
      <c r="B34" s="4" t="s">
        <v>25</v>
      </c>
    </row>
    <row r="35" spans="2:12" ht="13.5" x14ac:dyDescent="0.35">
      <c r="B35" s="1" t="s">
        <v>26</v>
      </c>
    </row>
    <row r="36" spans="2:12" ht="15" customHeight="1" x14ac:dyDescent="0.35"/>
    <row r="37" spans="2:12" ht="13.5" x14ac:dyDescent="0.35">
      <c r="B37" s="205" t="s">
        <v>27</v>
      </c>
    </row>
    <row r="38" spans="2:12" ht="13.5" x14ac:dyDescent="0.35">
      <c r="B38" s="276" t="s">
        <v>28</v>
      </c>
      <c r="C38" s="277"/>
      <c r="D38" s="278"/>
    </row>
    <row r="39" spans="2:12" ht="15" customHeight="1" x14ac:dyDescent="0.35"/>
    <row r="40" spans="2:12" ht="14" thickBot="1" x14ac:dyDescent="0.4">
      <c r="B40" s="1" t="s">
        <v>29</v>
      </c>
    </row>
    <row r="41" spans="2:12" ht="14.5" thickTop="1" thickBot="1" x14ac:dyDescent="0.4">
      <c r="B41" s="279" t="s">
        <v>30</v>
      </c>
      <c r="C41" s="280"/>
      <c r="D41" s="281"/>
    </row>
    <row r="42" spans="2:12" ht="14" thickTop="1" x14ac:dyDescent="0.35"/>
    <row r="43" spans="2:12" ht="13.5" x14ac:dyDescent="0.35">
      <c r="B43" s="205" t="s">
        <v>31</v>
      </c>
    </row>
    <row r="44" spans="2:12" ht="13.5" x14ac:dyDescent="0.35">
      <c r="B44" s="273" t="s">
        <v>32</v>
      </c>
      <c r="C44" s="274"/>
      <c r="D44" s="275"/>
    </row>
    <row r="45" spans="2:12" ht="15" customHeight="1" x14ac:dyDescent="0.35">
      <c r="B45" s="2"/>
    </row>
    <row r="46" spans="2:12" ht="14.5" x14ac:dyDescent="0.35">
      <c r="B46" s="202" t="s">
        <v>33</v>
      </c>
    </row>
    <row r="47" spans="2:12" ht="15" customHeight="1" x14ac:dyDescent="0.35">
      <c r="B47" s="66" t="s">
        <v>34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2:12" ht="13.5" x14ac:dyDescent="0.35">
      <c r="B48" s="66" t="s">
        <v>35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3" ht="13.5" x14ac:dyDescent="0.35">
      <c r="B49" s="66" t="s">
        <v>36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3" ht="13.5" x14ac:dyDescent="0.35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3" ht="15" customHeight="1" x14ac:dyDescent="0.35"/>
    <row r="52" spans="1:13" ht="13.5" x14ac:dyDescent="0.35">
      <c r="A52" s="45"/>
      <c r="B52" s="46"/>
      <c r="C52" s="46"/>
      <c r="D52" s="45"/>
      <c r="E52" s="45"/>
      <c r="F52" s="45"/>
      <c r="G52" s="45"/>
      <c r="H52" s="45"/>
      <c r="I52" s="45"/>
      <c r="J52" s="45"/>
      <c r="K52" s="46"/>
      <c r="L52" s="46"/>
      <c r="M52" s="46"/>
    </row>
    <row r="53" spans="1:13" ht="13.5" x14ac:dyDescent="0.35">
      <c r="A53" s="46"/>
      <c r="B53" s="46"/>
      <c r="C53" s="46"/>
      <c r="D53" s="45"/>
      <c r="E53" s="45"/>
      <c r="F53" s="45"/>
      <c r="G53" s="45"/>
      <c r="H53" s="45"/>
      <c r="I53" s="45"/>
      <c r="J53" s="45"/>
      <c r="K53" s="46"/>
      <c r="L53" s="46"/>
      <c r="M53" s="46"/>
    </row>
    <row r="54" spans="1:13" ht="13.5" x14ac:dyDescent="0.35">
      <c r="A54" s="46"/>
      <c r="B54" s="46"/>
      <c r="C54" s="46"/>
      <c r="D54" s="45"/>
      <c r="E54" s="45"/>
      <c r="F54" s="45"/>
      <c r="G54" s="45"/>
      <c r="H54" s="45"/>
      <c r="I54" s="45"/>
      <c r="J54" s="45"/>
      <c r="K54" s="46"/>
      <c r="L54" s="46"/>
      <c r="M54" s="46"/>
    </row>
  </sheetData>
  <sheetProtection algorithmName="SHA-512" hashValue="xw8Rd+HC7HgKAXij7tE3IzVA/L7x+VZ7nhja02jiR/yx6wGBrKRnXJf05IoCfC8AHuZKzrwzjUibXNYx0PUtTA==" saltValue="JAfUD1dv5qgkVSxF3XNbdg==" spinCount="100000" sheet="1" objects="1" scenarios="1" selectLockedCells="1"/>
  <dataConsolidate/>
  <mergeCells count="4">
    <mergeCell ref="A1:M3"/>
    <mergeCell ref="B44:D44"/>
    <mergeCell ref="B38:D38"/>
    <mergeCell ref="B41:D41"/>
  </mergeCells>
  <dataValidations count="1">
    <dataValidation type="list" allowBlank="1" showInputMessage="1" showErrorMessage="1" sqref="B41:D41" xr:uid="{00000000-0002-0000-0000-000000000000}">
      <formula1>dd_legend_demo_dropdown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8">
    <pageSetUpPr autoPageBreaks="0"/>
  </sheetPr>
  <dimension ref="A2:AL286"/>
  <sheetViews>
    <sheetView showRowColHeaders="0" zoomScaleNormal="100" workbookViewId="0">
      <selection activeCell="XFD1" sqref="XFD1"/>
    </sheetView>
  </sheetViews>
  <sheetFormatPr defaultColWidth="9.09765625" defaultRowHeight="13.5" x14ac:dyDescent="0.35"/>
  <cols>
    <col min="1" max="1" width="8.8984375" customWidth="1"/>
    <col min="2" max="2" width="56.3984375" customWidth="1"/>
    <col min="3" max="3" width="26" customWidth="1"/>
    <col min="4" max="6" width="30.09765625" customWidth="1"/>
    <col min="7" max="7" width="31.3984375" customWidth="1"/>
    <col min="8" max="12" width="15.09765625" customWidth="1"/>
    <col min="13" max="14" width="15.3984375" customWidth="1"/>
    <col min="15" max="15" width="33.09765625" customWidth="1"/>
    <col min="16" max="22" width="15.3984375" customWidth="1"/>
    <col min="23" max="28" width="15.3984375" style="22" customWidth="1"/>
    <col min="29" max="38" width="15.59765625" style="22" customWidth="1"/>
    <col min="39" max="39" width="9.09765625" style="22"/>
    <col min="40" max="40" width="20.69921875" style="22" customWidth="1"/>
    <col min="41" max="16384" width="9.09765625" style="22"/>
  </cols>
  <sheetData>
    <row r="2" spans="1:38" s="171" customFormat="1" ht="20.5" x14ac:dyDescent="0.45">
      <c r="A2" s="169"/>
      <c r="B2" s="215" t="s">
        <v>188</v>
      </c>
      <c r="C2" s="169"/>
      <c r="D2" s="169"/>
      <c r="E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4" spans="1:38" x14ac:dyDescent="0.35">
      <c r="B4" s="100" t="s">
        <v>189</v>
      </c>
    </row>
    <row r="5" spans="1:38" x14ac:dyDescent="0.35">
      <c r="B5" t="s">
        <v>190</v>
      </c>
    </row>
    <row r="6" spans="1:38" x14ac:dyDescent="0.35">
      <c r="B6" t="s">
        <v>191</v>
      </c>
    </row>
    <row r="7" spans="1:38" x14ac:dyDescent="0.35">
      <c r="B7" t="s">
        <v>192</v>
      </c>
    </row>
    <row r="9" spans="1:38" x14ac:dyDescent="0.35">
      <c r="B9" s="70">
        <v>1</v>
      </c>
      <c r="C9" s="70">
        <v>2</v>
      </c>
      <c r="D9" s="70">
        <v>3</v>
      </c>
      <c r="E9" s="70">
        <v>4</v>
      </c>
      <c r="F9" s="70">
        <v>5</v>
      </c>
      <c r="G9" s="70">
        <v>6</v>
      </c>
      <c r="H9" s="70">
        <v>7</v>
      </c>
      <c r="I9" s="70">
        <v>8</v>
      </c>
      <c r="J9" s="70">
        <v>9</v>
      </c>
      <c r="K9" s="70">
        <v>10</v>
      </c>
      <c r="L9" s="70">
        <v>11</v>
      </c>
      <c r="M9" s="70">
        <v>12</v>
      </c>
      <c r="N9" s="70"/>
      <c r="O9" s="70">
        <v>13</v>
      </c>
      <c r="P9" s="70">
        <v>14</v>
      </c>
      <c r="Q9" s="70">
        <v>15</v>
      </c>
      <c r="R9" s="70">
        <v>16</v>
      </c>
      <c r="S9" s="70">
        <v>17</v>
      </c>
      <c r="T9" s="70">
        <v>18</v>
      </c>
      <c r="U9" s="70">
        <v>19</v>
      </c>
      <c r="V9" s="70">
        <v>20</v>
      </c>
      <c r="W9" s="70">
        <v>21</v>
      </c>
      <c r="X9" s="70">
        <v>22</v>
      </c>
      <c r="Y9" s="70">
        <v>23</v>
      </c>
      <c r="Z9" s="70">
        <v>24</v>
      </c>
      <c r="AA9" s="70">
        <v>25</v>
      </c>
      <c r="AB9" s="70">
        <v>26</v>
      </c>
      <c r="AC9" s="70">
        <v>27</v>
      </c>
      <c r="AD9" s="70">
        <v>28</v>
      </c>
      <c r="AE9" s="70">
        <v>29</v>
      </c>
      <c r="AF9" s="70">
        <v>30</v>
      </c>
      <c r="AG9" s="70">
        <v>31</v>
      </c>
      <c r="AH9" s="70">
        <v>32</v>
      </c>
      <c r="AI9" s="70">
        <v>33</v>
      </c>
      <c r="AJ9" s="70">
        <v>34</v>
      </c>
      <c r="AK9" s="70">
        <v>35</v>
      </c>
      <c r="AL9" s="70">
        <v>36</v>
      </c>
    </row>
    <row r="10" spans="1:38" x14ac:dyDescent="0.35">
      <c r="B10" s="21" t="s">
        <v>193</v>
      </c>
      <c r="C10" s="21" t="s">
        <v>194</v>
      </c>
      <c r="I10" s="21" t="s">
        <v>195</v>
      </c>
      <c r="O10" s="21" t="s">
        <v>196</v>
      </c>
      <c r="S10" s="21" t="s">
        <v>197</v>
      </c>
      <c r="W10" s="21" t="s">
        <v>198</v>
      </c>
      <c r="X10"/>
      <c r="Y10"/>
      <c r="Z10"/>
      <c r="AA10" s="21" t="s">
        <v>199</v>
      </c>
      <c r="AB10"/>
      <c r="AC10"/>
      <c r="AD10"/>
      <c r="AE10" s="21" t="s">
        <v>200</v>
      </c>
      <c r="AF10"/>
      <c r="AG10"/>
      <c r="AH10"/>
      <c r="AI10" s="21" t="s">
        <v>201</v>
      </c>
      <c r="AJ10"/>
      <c r="AK10"/>
      <c r="AL10"/>
    </row>
    <row r="11" spans="1:38" s="42" customFormat="1" ht="40.5" x14ac:dyDescent="0.35">
      <c r="A11" s="23"/>
      <c r="B11" s="23" t="s">
        <v>202</v>
      </c>
      <c r="C11" s="24" t="s">
        <v>79</v>
      </c>
      <c r="D11" s="23" t="s">
        <v>203</v>
      </c>
      <c r="E11" s="23" t="s">
        <v>204</v>
      </c>
      <c r="F11" s="23" t="s">
        <v>205</v>
      </c>
      <c r="G11" s="23" t="s">
        <v>206</v>
      </c>
      <c r="H11" s="23" t="s">
        <v>207</v>
      </c>
      <c r="I11" s="24" t="s">
        <v>208</v>
      </c>
      <c r="J11" s="23" t="s">
        <v>209</v>
      </c>
      <c r="K11" s="23" t="s">
        <v>210</v>
      </c>
      <c r="L11" s="23" t="s">
        <v>211</v>
      </c>
      <c r="M11" s="23" t="s">
        <v>212</v>
      </c>
      <c r="N11" s="23" t="s">
        <v>213</v>
      </c>
      <c r="O11" s="23" t="s">
        <v>214</v>
      </c>
      <c r="P11" s="23" t="s">
        <v>215</v>
      </c>
      <c r="Q11" s="23" t="s">
        <v>216</v>
      </c>
      <c r="R11" s="23" t="s">
        <v>217</v>
      </c>
      <c r="S11" s="23" t="s">
        <v>218</v>
      </c>
      <c r="T11" s="23" t="s">
        <v>219</v>
      </c>
      <c r="U11" s="23" t="s">
        <v>220</v>
      </c>
      <c r="V11" s="42" t="s">
        <v>221</v>
      </c>
      <c r="W11" s="50" t="s">
        <v>222</v>
      </c>
      <c r="X11" s="50" t="s">
        <v>223</v>
      </c>
      <c r="Y11" s="50" t="s">
        <v>224</v>
      </c>
      <c r="Z11" s="50" t="s">
        <v>225</v>
      </c>
      <c r="AA11" s="50" t="s">
        <v>226</v>
      </c>
      <c r="AB11" s="50" t="s">
        <v>227</v>
      </c>
      <c r="AC11" s="50" t="s">
        <v>228</v>
      </c>
      <c r="AD11" s="50" t="s">
        <v>229</v>
      </c>
      <c r="AE11" s="50" t="s">
        <v>230</v>
      </c>
      <c r="AF11" s="50" t="s">
        <v>231</v>
      </c>
      <c r="AG11" s="50" t="s">
        <v>232</v>
      </c>
      <c r="AH11" s="50" t="s">
        <v>233</v>
      </c>
      <c r="AI11" s="50" t="s">
        <v>234</v>
      </c>
      <c r="AJ11" s="50" t="s">
        <v>235</v>
      </c>
      <c r="AK11" s="50" t="s">
        <v>236</v>
      </c>
      <c r="AL11" s="50" t="s">
        <v>237</v>
      </c>
    </row>
    <row r="12" spans="1:38" x14ac:dyDescent="0.35">
      <c r="B12" s="231" t="s">
        <v>238</v>
      </c>
      <c r="C12" s="231"/>
      <c r="D12" s="231" t="s">
        <v>239</v>
      </c>
      <c r="E12" s="231"/>
      <c r="F12" s="231"/>
      <c r="G12" s="231"/>
      <c r="H12" s="231" t="s">
        <v>239</v>
      </c>
      <c r="I12" s="260">
        <v>4.6524840999999997</v>
      </c>
      <c r="J12" s="260">
        <v>0.71917266999999996</v>
      </c>
      <c r="K12" s="231">
        <v>0.88685349999999996</v>
      </c>
      <c r="L12" s="231">
        <v>0.10140971</v>
      </c>
      <c r="M12" s="231" t="s">
        <v>240</v>
      </c>
      <c r="N12" s="231">
        <v>0</v>
      </c>
      <c r="O12" s="231" t="str">
        <f>IF(ISBLANK('Asset #1'!C25),"",'Asset #1'!C25*IF('Asset #1'!$D$18="kg/unit",1000,1))</f>
        <v/>
      </c>
      <c r="P12" s="239">
        <f>IF(ISBLANK('Asset #1'!D25),0,'Asset #1'!D25)</f>
        <v>0</v>
      </c>
      <c r="Q12" s="40">
        <f>IF(ISBLANK('Asset #1'!H25),0,'Asset #1'!H25)</f>
        <v>0</v>
      </c>
      <c r="R12" s="22" t="str">
        <f>IF(ISBLANK('Asset #1'!I25),"N/A",'Asset #1'!I25)</f>
        <v>N/A</v>
      </c>
      <c r="S12" s="22">
        <f>IF(BI_Tbl_materials[[#This Row],[Asset '#1 - Re/Down out]]="Recycled",1, IF(BI_Tbl_materials[[#This Row],[Asset '#1 - Re/Down out]]="Downcycled", 0.5, 0))</f>
        <v>0</v>
      </c>
      <c r="T12" s="40">
        <f>IFERROR(BI_Tbl_materials[[#This Row],[Biobased - yes = 1, no = 0]]*(1-BI_Tbl_materials[[#This Row],[Asset '#1 - Recycled (%)]])+BI_Tbl_materials[[#This Row],[Asset '#1 - Recycled (%)]],"")</f>
        <v>0</v>
      </c>
      <c r="U1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2" s="43" t="str">
        <f>IF(ISBLANK('Asset #2'!C25),"",'Asset #2'!C25*IF('Asset #2'!$D$18="kg/unit",1000,1))</f>
        <v/>
      </c>
      <c r="X12" s="40">
        <f>IF(ISBLANK('Asset #2'!D25),0,'Asset #2'!D25)</f>
        <v>0</v>
      </c>
      <c r="Y12" s="75">
        <f>IF(ISBLANK('Asset #2'!H25),0,'Asset #2'!H25)</f>
        <v>0</v>
      </c>
      <c r="Z12" s="22" t="str">
        <f>IF(ISBLANK('Asset #2'!I25),"N/A",'Asset #2'!I25)</f>
        <v>N/A</v>
      </c>
      <c r="AA12" s="22">
        <f>IF(BI_Tbl_materials[[#This Row],[Asset '#2 - Re/Down out]]="Recycled",1, IF(BI_Tbl_materials[[#This Row],[Asset '#2 - Re/Down out]]="Downcycled", 0.5, 0))</f>
        <v>0</v>
      </c>
      <c r="AB12" s="76">
        <f>IFERROR(BI_Tbl_materials[[#This Row],[Biobased - yes = 1, no = 0]]*(1-BI_Tbl_materials[[#This Row],[Asset '#2 - Recycled (%)]])+BI_Tbl_materials[[#This Row],[Asset '#2 - Recycled (%)]],"")</f>
        <v>0</v>
      </c>
      <c r="AC1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2" s="43" t="str">
        <f>IF(ISBLANK('Asset #3'!C25),"",'Asset #3'!C25*IF('Asset #3'!$D$18="kg/unit",1000,1))</f>
        <v/>
      </c>
      <c r="AF12" s="75">
        <f>IF(ISBLANK('Asset #3'!D25),0,'Asset #3'!D25)</f>
        <v>0</v>
      </c>
      <c r="AG12" s="75">
        <f>IF(ISBLANK('Asset #3'!H25),0,'Asset #3'!H25)</f>
        <v>0</v>
      </c>
      <c r="AH12" s="22" t="str">
        <f>IF(ISBLANK('Asset #3'!I25),"N/A",'Asset #3'!I25)</f>
        <v>N/A</v>
      </c>
      <c r="AI12" s="22">
        <f>IF(BI_Tbl_materials[[#This Row],[Asset '#3 - Re/Down out]]="Recycled",1, IF(BI_Tbl_materials[[#This Row],[Asset '#3 - Re/Down out]]="Downcycled", 0.5, 0))</f>
        <v>0</v>
      </c>
      <c r="AJ12" s="76">
        <f>IFERROR(BI_Tbl_materials[[#This Row],[Biobased - yes = 1, no = 0]]*(1-BI_Tbl_materials[[#This Row],[Asset '#3 - Recycled (%)]])+BI_Tbl_materials[[#This Row],[Asset '#3 - Recycled (%)]],"")</f>
        <v>0</v>
      </c>
      <c r="AK1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3" spans="1:38" x14ac:dyDescent="0.35">
      <c r="B13" s="231" t="s">
        <v>241</v>
      </c>
      <c r="C13" s="231" t="s">
        <v>239</v>
      </c>
      <c r="D13" s="231" t="s">
        <v>239</v>
      </c>
      <c r="E13" s="231" t="s">
        <v>239</v>
      </c>
      <c r="F13" s="231" t="s">
        <v>239</v>
      </c>
      <c r="G13" s="231" t="s">
        <v>239</v>
      </c>
      <c r="H13" s="231" t="s">
        <v>239</v>
      </c>
      <c r="I13" s="260">
        <v>18.646339999999999</v>
      </c>
      <c r="J13" s="260">
        <v>0.79904828000000006</v>
      </c>
      <c r="K13" s="231">
        <v>1.5396620999999999E-2</v>
      </c>
      <c r="L13" s="231">
        <v>1.5163668999999999E-2</v>
      </c>
      <c r="M13" s="231" t="s">
        <v>240</v>
      </c>
      <c r="N13" s="231">
        <v>0</v>
      </c>
      <c r="O13" s="231" t="str">
        <f>IF(ISBLANK('Asset #1'!C26),"",'Asset #1'!C26*IF('Asset #1'!$D$18="kg/unit",1000,1))</f>
        <v/>
      </c>
      <c r="P13" s="239">
        <f>IF(ISBLANK('Asset #1'!D26),0,'Asset #1'!D26)</f>
        <v>0</v>
      </c>
      <c r="Q13" s="40">
        <f>IF(ISBLANK('Asset #1'!H26),0,'Asset #1'!H26)</f>
        <v>0</v>
      </c>
      <c r="R13" s="22" t="str">
        <f>IF(ISBLANK('Asset #1'!I26),"N/A",'Asset #1'!I26)</f>
        <v>N/A</v>
      </c>
      <c r="S13" s="22">
        <f>IF(BI_Tbl_materials[[#This Row],[Asset '#1 - Re/Down out]]="Recycled",1, IF(BI_Tbl_materials[[#This Row],[Asset '#1 - Re/Down out]]="Downcycled", 0.5, 0))</f>
        <v>0</v>
      </c>
      <c r="T13" s="40">
        <f>IFERROR(BI_Tbl_materials[[#This Row],[Biobased - yes = 1, no = 0]]*(1-BI_Tbl_materials[[#This Row],[Asset '#1 - Recycled (%)]])+BI_Tbl_materials[[#This Row],[Asset '#1 - Recycled (%)]],"")</f>
        <v>0</v>
      </c>
      <c r="U1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3" s="43" t="str">
        <f>IF(ISBLANK('Asset #2'!C26),"",'Asset #2'!C26*IF('Asset #2'!$D$18="kg/unit",1000,1))</f>
        <v/>
      </c>
      <c r="X13" s="40">
        <f>IF(ISBLANK('Asset #2'!D26),0,'Asset #2'!D26)</f>
        <v>0</v>
      </c>
      <c r="Y13" s="75">
        <f>IF(ISBLANK('Asset #2'!H26),0,'Asset #2'!H26)</f>
        <v>0</v>
      </c>
      <c r="Z13" s="22" t="str">
        <f>IF(ISBLANK('Asset #2'!I26),"N/A",'Asset #2'!I26)</f>
        <v>N/A</v>
      </c>
      <c r="AA13" s="22">
        <f>IF(BI_Tbl_materials[[#This Row],[Asset '#2 - Re/Down out]]="Recycled",1, IF(BI_Tbl_materials[[#This Row],[Asset '#2 - Re/Down out]]="Downcycled", 0.5, 0))</f>
        <v>0</v>
      </c>
      <c r="AB13" s="76">
        <f>IFERROR(BI_Tbl_materials[[#This Row],[Biobased - yes = 1, no = 0]]*(1-BI_Tbl_materials[[#This Row],[Asset '#2 - Recycled (%)]])+BI_Tbl_materials[[#This Row],[Asset '#2 - Recycled (%)]],"")</f>
        <v>0</v>
      </c>
      <c r="AC1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3" s="43" t="str">
        <f>IF(ISBLANK('Asset #3'!C26),"",'Asset #3'!C26*IF('Asset #3'!$D$18="kg/unit",1000,1))</f>
        <v/>
      </c>
      <c r="AF13" s="75">
        <f>IF(ISBLANK('Asset #3'!D26),0,'Asset #3'!D26)</f>
        <v>0</v>
      </c>
      <c r="AG13" s="75">
        <f>IF(ISBLANK('Asset #3'!H26),0,'Asset #3'!H26)</f>
        <v>0</v>
      </c>
      <c r="AH13" s="22" t="str">
        <f>IF(ISBLANK('Asset #3'!I26),"N/A",'Asset #3'!I26)</f>
        <v>N/A</v>
      </c>
      <c r="AI13" s="22">
        <f>IF(BI_Tbl_materials[[#This Row],[Asset '#3 - Re/Down out]]="Recycled",1, IF(BI_Tbl_materials[[#This Row],[Asset '#3 - Re/Down out]]="Downcycled", 0.5, 0))</f>
        <v>0</v>
      </c>
      <c r="AJ13" s="76">
        <f>IFERROR(BI_Tbl_materials[[#This Row],[Biobased - yes = 1, no = 0]]*(1-BI_Tbl_materials[[#This Row],[Asset '#3 - Recycled (%)]])+BI_Tbl_materials[[#This Row],[Asset '#3 - Recycled (%)]],"")</f>
        <v>0</v>
      </c>
      <c r="AK1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4" spans="1:38" x14ac:dyDescent="0.35">
      <c r="B14" s="231" t="s">
        <v>242</v>
      </c>
      <c r="C14" s="231" t="s">
        <v>239</v>
      </c>
      <c r="D14" s="231" t="s">
        <v>239</v>
      </c>
      <c r="E14" s="231" t="s">
        <v>239</v>
      </c>
      <c r="F14" s="231" t="s">
        <v>239</v>
      </c>
      <c r="G14" s="231" t="s">
        <v>239</v>
      </c>
      <c r="H14" s="231" t="s">
        <v>239</v>
      </c>
      <c r="I14" s="260">
        <v>18.646339999999999</v>
      </c>
      <c r="J14" s="260">
        <v>0.79904828000000006</v>
      </c>
      <c r="K14" s="231">
        <v>1.5396620999999999E-2</v>
      </c>
      <c r="L14" s="231">
        <v>1.5163668999999999E-2</v>
      </c>
      <c r="M14" s="231" t="s">
        <v>240</v>
      </c>
      <c r="N14" s="231">
        <v>0</v>
      </c>
      <c r="O14" s="231" t="str">
        <f>IF(ISBLANK('Asset #1'!C27),"",'Asset #1'!C27*IF('Asset #1'!$D$18="kg/unit",1000,1))</f>
        <v/>
      </c>
      <c r="P14" s="239">
        <f>IF(ISBLANK('Asset #1'!D27),0,'Asset #1'!D27)</f>
        <v>0</v>
      </c>
      <c r="Q14" s="40">
        <f>IF(ISBLANK('Asset #1'!H27),0,'Asset #1'!H27)</f>
        <v>0</v>
      </c>
      <c r="R14" s="22" t="str">
        <f>IF(ISBLANK('Asset #1'!I27),"N/A",'Asset #1'!I27)</f>
        <v>N/A</v>
      </c>
      <c r="S14" s="22">
        <f>IF(BI_Tbl_materials[[#This Row],[Asset '#1 - Re/Down out]]="Recycled",1, IF(BI_Tbl_materials[[#This Row],[Asset '#1 - Re/Down out]]="Downcycled", 0.5, 0))</f>
        <v>0</v>
      </c>
      <c r="T14" s="40">
        <f>IFERROR(BI_Tbl_materials[[#This Row],[Biobased - yes = 1, no = 0]]*(1-BI_Tbl_materials[[#This Row],[Asset '#1 - Recycled (%)]])+BI_Tbl_materials[[#This Row],[Asset '#1 - Recycled (%)]],"")</f>
        <v>0</v>
      </c>
      <c r="U1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4" s="43" t="str">
        <f>IF(ISBLANK('Asset #2'!C27),"",'Asset #2'!C27*IF('Asset #2'!$D$18="kg/unit",1000,1))</f>
        <v/>
      </c>
      <c r="X14" s="40">
        <f>IF(ISBLANK('Asset #2'!D27),0,'Asset #2'!D27)</f>
        <v>0</v>
      </c>
      <c r="Y14" s="75">
        <f>IF(ISBLANK('Asset #2'!H27),0,'Asset #2'!H27)</f>
        <v>0</v>
      </c>
      <c r="Z14" s="22" t="str">
        <f>IF(ISBLANK('Asset #2'!I27),"N/A",'Asset #2'!I27)</f>
        <v>N/A</v>
      </c>
      <c r="AA14" s="22">
        <f>IF(BI_Tbl_materials[[#This Row],[Asset '#2 - Re/Down out]]="Recycled",1, IF(BI_Tbl_materials[[#This Row],[Asset '#2 - Re/Down out]]="Downcycled", 0.5, 0))</f>
        <v>0</v>
      </c>
      <c r="AB14" s="76">
        <f>IFERROR(BI_Tbl_materials[[#This Row],[Biobased - yes = 1, no = 0]]*(1-BI_Tbl_materials[[#This Row],[Asset '#2 - Recycled (%)]])+BI_Tbl_materials[[#This Row],[Asset '#2 - Recycled (%)]],"")</f>
        <v>0</v>
      </c>
      <c r="AC1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4" s="43" t="str">
        <f>IF(ISBLANK('Asset #3'!C27),"",'Asset #3'!C27*IF('Asset #3'!$D$18="kg/unit",1000,1))</f>
        <v/>
      </c>
      <c r="AF14" s="75">
        <f>IF(ISBLANK('Asset #3'!D27),0,'Asset #3'!D27)</f>
        <v>0</v>
      </c>
      <c r="AG14" s="75">
        <f>IF(ISBLANK('Asset #3'!H27),0,'Asset #3'!H27)</f>
        <v>0</v>
      </c>
      <c r="AH14" s="22" t="str">
        <f>IF(ISBLANK('Asset #3'!I27),"N/A",'Asset #3'!I27)</f>
        <v>N/A</v>
      </c>
      <c r="AI14" s="22">
        <f>IF(BI_Tbl_materials[[#This Row],[Asset '#3 - Re/Down out]]="Recycled",1, IF(BI_Tbl_materials[[#This Row],[Asset '#3 - Re/Down out]]="Downcycled", 0.5, 0))</f>
        <v>0</v>
      </c>
      <c r="AJ14" s="76">
        <f>IFERROR(BI_Tbl_materials[[#This Row],[Biobased - yes = 1, no = 0]]*(1-BI_Tbl_materials[[#This Row],[Asset '#3 - Recycled (%)]])+BI_Tbl_materials[[#This Row],[Asset '#3 - Recycled (%)]],"")</f>
        <v>0</v>
      </c>
      <c r="AK1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5" spans="1:38" x14ac:dyDescent="0.35">
      <c r="A15" s="186"/>
      <c r="B15" t="s">
        <v>549</v>
      </c>
      <c r="C15" t="s">
        <v>239</v>
      </c>
      <c r="D15" t="s">
        <v>239</v>
      </c>
      <c r="E15" t="s">
        <v>239</v>
      </c>
      <c r="F15" t="s">
        <v>239</v>
      </c>
      <c r="G15" t="s">
        <v>239</v>
      </c>
      <c r="H15" t="s">
        <v>239</v>
      </c>
      <c r="I15" s="261">
        <v>4.3</v>
      </c>
      <c r="J15" s="261">
        <v>4.3</v>
      </c>
      <c r="K15">
        <v>1.5396620999999999E-2</v>
      </c>
      <c r="L15">
        <v>1.5163668999999999E-2</v>
      </c>
      <c r="M15" t="s">
        <v>240</v>
      </c>
      <c r="N15">
        <v>0</v>
      </c>
      <c r="O15" s="231" t="str">
        <f>IF(ISBLANK('Asset #1'!C28),"",'Asset #1'!C28*IF('Asset #1'!$D$18="kg/unit",1000,1))</f>
        <v/>
      </c>
      <c r="P15" s="239">
        <f>IF(ISBLANK('Asset #1'!D28),0,'Asset #1'!D28)</f>
        <v>0</v>
      </c>
      <c r="Q15" s="40">
        <f>IF(ISBLANK('Asset #1'!H28),0,'Asset #1'!H28)</f>
        <v>0</v>
      </c>
      <c r="R15" s="22" t="str">
        <f>IF(ISBLANK('Asset #1'!I28),"N/A",'Asset #1'!I28)</f>
        <v>N/A</v>
      </c>
      <c r="S15" s="22">
        <f>IF(BI_Tbl_materials[[#This Row],[Asset '#1 - Re/Down out]]="Recycled",1, IF(BI_Tbl_materials[[#This Row],[Asset '#1 - Re/Down out]]="Downcycled", 0.5, 0))</f>
        <v>0</v>
      </c>
      <c r="T15" s="40">
        <f>IFERROR(BI_Tbl_materials[[#This Row],[Biobased - yes = 1, no = 0]]*(1-BI_Tbl_materials[[#This Row],[Asset '#1 - Recycled (%)]])+BI_Tbl_materials[[#This Row],[Asset '#1 - Recycled (%)]],"")</f>
        <v>0</v>
      </c>
      <c r="U1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5" s="43" t="str">
        <f>IF(ISBLANK('Asset #2'!C28),"",'Asset #2'!C28*IF('Asset #2'!$D$18="kg/unit",1000,1))</f>
        <v/>
      </c>
      <c r="X15" s="40">
        <f>IF(ISBLANK('Asset #2'!D28),0,'Asset #2'!D28)</f>
        <v>0</v>
      </c>
      <c r="Y15" s="75">
        <f>IF(ISBLANK('Asset #2'!H28),0,'Asset #2'!H28)</f>
        <v>0</v>
      </c>
      <c r="Z15" s="22" t="str">
        <f>IF(ISBLANK('Asset #2'!I28),"N/A",'Asset #2'!I28)</f>
        <v>N/A</v>
      </c>
      <c r="AA15" s="22">
        <f>IF(BI_Tbl_materials[[#This Row],[Asset '#2 - Re/Down out]]="Recycled",1, IF(BI_Tbl_materials[[#This Row],[Asset '#2 - Re/Down out]]="Downcycled", 0.5, 0))</f>
        <v>0</v>
      </c>
      <c r="AB15" s="76">
        <f>IFERROR(BI_Tbl_materials[[#This Row],[Biobased - yes = 1, no = 0]]*(1-BI_Tbl_materials[[#This Row],[Asset '#2 - Recycled (%)]])+BI_Tbl_materials[[#This Row],[Asset '#2 - Recycled (%)]],"")</f>
        <v>0</v>
      </c>
      <c r="AC1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5" s="43" t="str">
        <f>IF(ISBLANK('Asset #3'!C28),"",'Asset #3'!C28*IF('Asset #3'!$D$18="kg/unit",1000,1))</f>
        <v/>
      </c>
      <c r="AF15" s="75">
        <f>IF(ISBLANK('Asset #3'!D28),0,'Asset #3'!D28)</f>
        <v>0</v>
      </c>
      <c r="AG15" s="75">
        <f>IF(ISBLANK('Asset #3'!H28),0,'Asset #3'!H28)</f>
        <v>0</v>
      </c>
      <c r="AH15" s="22" t="str">
        <f>IF(ISBLANK('Asset #3'!I28),"N/A",'Asset #3'!I28)</f>
        <v>N/A</v>
      </c>
      <c r="AI15" s="22">
        <f>IF(BI_Tbl_materials[[#This Row],[Asset '#3 - Re/Down out]]="Recycled",1, IF(BI_Tbl_materials[[#This Row],[Asset '#3 - Re/Down out]]="Downcycled", 0.5, 0))</f>
        <v>0</v>
      </c>
      <c r="AJ15" s="76">
        <f>IFERROR(BI_Tbl_materials[[#This Row],[Biobased - yes = 1, no = 0]]*(1-BI_Tbl_materials[[#This Row],[Asset '#3 - Recycled (%)]])+BI_Tbl_materials[[#This Row],[Asset '#3 - Recycled (%)]],"")</f>
        <v>0</v>
      </c>
      <c r="AK1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6" spans="1:38" x14ac:dyDescent="0.35">
      <c r="B16" s="231" t="s">
        <v>243</v>
      </c>
      <c r="C16" s="231"/>
      <c r="D16" s="231" t="s">
        <v>239</v>
      </c>
      <c r="E16" s="231" t="s">
        <v>239</v>
      </c>
      <c r="F16" s="231" t="s">
        <v>239</v>
      </c>
      <c r="G16" s="231"/>
      <c r="H16" s="231" t="s">
        <v>239</v>
      </c>
      <c r="I16" s="260">
        <v>6.6029752999999998</v>
      </c>
      <c r="J16" s="260">
        <v>2.6161492000000002</v>
      </c>
      <c r="K16" s="231">
        <v>1.5327402E-2</v>
      </c>
      <c r="L16" s="231">
        <v>1.5163668999999999E-2</v>
      </c>
      <c r="M16" s="231" t="s">
        <v>240</v>
      </c>
      <c r="N16" s="231">
        <v>0</v>
      </c>
      <c r="O16" s="231" t="str">
        <f>IF(ISBLANK('Asset #1'!C29),"",'Asset #1'!C29*IF('Asset #1'!$D$18="kg/unit",1000,1))</f>
        <v/>
      </c>
      <c r="P16" s="239">
        <f>IF(ISBLANK('Asset #1'!D29),0,'Asset #1'!D29)</f>
        <v>0</v>
      </c>
      <c r="Q16" s="40">
        <f>IF(ISBLANK('Asset #1'!H29),0,'Asset #1'!H29)</f>
        <v>0</v>
      </c>
      <c r="R16" s="22" t="str">
        <f>IF(ISBLANK('Asset #1'!I29),"N/A",'Asset #1'!I29)</f>
        <v>N/A</v>
      </c>
      <c r="S16" s="22">
        <f>IF(BI_Tbl_materials[[#This Row],[Asset '#1 - Re/Down out]]="Recycled",1, IF(BI_Tbl_materials[[#This Row],[Asset '#1 - Re/Down out]]="Downcycled", 0.5, 0))</f>
        <v>0</v>
      </c>
      <c r="T16" s="40">
        <f>IFERROR(BI_Tbl_materials[[#This Row],[Biobased - yes = 1, no = 0]]*(1-BI_Tbl_materials[[#This Row],[Asset '#1 - Recycled (%)]])+BI_Tbl_materials[[#This Row],[Asset '#1 - Recycled (%)]],"")</f>
        <v>0</v>
      </c>
      <c r="U1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6" s="43" t="str">
        <f>IF(ISBLANK('Asset #2'!C29),"",'Asset #2'!C29*IF('Asset #2'!$D$18="kg/unit",1000,1))</f>
        <v/>
      </c>
      <c r="X16" s="40">
        <f>IF(ISBLANK('Asset #2'!D29),0,'Asset #2'!D29)</f>
        <v>0</v>
      </c>
      <c r="Y16" s="75">
        <f>IF(ISBLANK('Asset #2'!H29),0,'Asset #2'!H29)</f>
        <v>0</v>
      </c>
      <c r="Z16" s="22" t="str">
        <f>IF(ISBLANK('Asset #2'!I29),"N/A",'Asset #2'!I29)</f>
        <v>N/A</v>
      </c>
      <c r="AA16" s="22">
        <f>IF(BI_Tbl_materials[[#This Row],[Asset '#2 - Re/Down out]]="Recycled",1, IF(BI_Tbl_materials[[#This Row],[Asset '#2 - Re/Down out]]="Downcycled", 0.5, 0))</f>
        <v>0</v>
      </c>
      <c r="AB16" s="76">
        <f>IFERROR(BI_Tbl_materials[[#This Row],[Biobased - yes = 1, no = 0]]*(1-BI_Tbl_materials[[#This Row],[Asset '#2 - Recycled (%)]])+BI_Tbl_materials[[#This Row],[Asset '#2 - Recycled (%)]],"")</f>
        <v>0</v>
      </c>
      <c r="AC1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6" s="43" t="str">
        <f>IF(ISBLANK('Asset #3'!C29),"",'Asset #3'!C29*IF('Asset #3'!$D$18="kg/unit",1000,1))</f>
        <v/>
      </c>
      <c r="AF16" s="75">
        <f>IF(ISBLANK('Asset #3'!D29),0,'Asset #3'!D29)</f>
        <v>0</v>
      </c>
      <c r="AG16" s="75">
        <f>IF(ISBLANK('Asset #3'!H29),0,'Asset #3'!H29)</f>
        <v>0</v>
      </c>
      <c r="AH16" s="22" t="str">
        <f>IF(ISBLANK('Asset #3'!I29),"N/A",'Asset #3'!I29)</f>
        <v>N/A</v>
      </c>
      <c r="AI16" s="22">
        <f>IF(BI_Tbl_materials[[#This Row],[Asset '#3 - Re/Down out]]="Recycled",1, IF(BI_Tbl_materials[[#This Row],[Asset '#3 - Re/Down out]]="Downcycled", 0.5, 0))</f>
        <v>0</v>
      </c>
      <c r="AJ16" s="76">
        <f>IFERROR(BI_Tbl_materials[[#This Row],[Biobased - yes = 1, no = 0]]*(1-BI_Tbl_materials[[#This Row],[Asset '#3 - Recycled (%)]])+BI_Tbl_materials[[#This Row],[Asset '#3 - Recycled (%)]],"")</f>
        <v>0</v>
      </c>
      <c r="AK1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7" spans="1:38" x14ac:dyDescent="0.35">
      <c r="B17" s="231" t="s">
        <v>244</v>
      </c>
      <c r="C17" s="231"/>
      <c r="D17" s="231" t="s">
        <v>239</v>
      </c>
      <c r="E17" s="231" t="s">
        <v>239</v>
      </c>
      <c r="F17" s="231" t="s">
        <v>239</v>
      </c>
      <c r="G17" s="231"/>
      <c r="H17" s="231" t="s">
        <v>239</v>
      </c>
      <c r="I17" s="260">
        <v>8.1884216999999992</v>
      </c>
      <c r="J17" s="260">
        <v>2.3444988000000002</v>
      </c>
      <c r="K17" s="231">
        <v>1.5327402E-2</v>
      </c>
      <c r="L17" s="231">
        <v>1.5163668999999999E-2</v>
      </c>
      <c r="M17" s="231" t="s">
        <v>240</v>
      </c>
      <c r="N17" s="231">
        <v>0</v>
      </c>
      <c r="O17" s="231" t="str">
        <f>IF(ISBLANK('Asset #1'!C30),"",'Asset #1'!C30*IF('Asset #1'!$D$18="kg/unit",1000,1))</f>
        <v/>
      </c>
      <c r="P17" s="239">
        <f>IF(ISBLANK('Asset #1'!D30),0,'Asset #1'!D30)</f>
        <v>0</v>
      </c>
      <c r="Q17" s="40">
        <f>IF(ISBLANK('Asset #1'!H30),0,'Asset #1'!H30)</f>
        <v>0</v>
      </c>
      <c r="R17" s="22" t="str">
        <f>IF(ISBLANK('Asset #1'!I30),"N/A",'Asset #1'!I30)</f>
        <v>N/A</v>
      </c>
      <c r="S17" s="22">
        <f>IF(BI_Tbl_materials[[#This Row],[Asset '#1 - Re/Down out]]="Recycled",1, IF(BI_Tbl_materials[[#This Row],[Asset '#1 - Re/Down out]]="Downcycled", 0.5, 0))</f>
        <v>0</v>
      </c>
      <c r="T17" s="40">
        <f>IFERROR(BI_Tbl_materials[[#This Row],[Biobased - yes = 1, no = 0]]*(1-BI_Tbl_materials[[#This Row],[Asset '#1 - Recycled (%)]])+BI_Tbl_materials[[#This Row],[Asset '#1 - Recycled (%)]],"")</f>
        <v>0</v>
      </c>
      <c r="U1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7" s="43" t="str">
        <f>IF(ISBLANK('Asset #2'!C30),"",'Asset #2'!C30*IF('Asset #2'!$D$18="kg/unit",1000,1))</f>
        <v/>
      </c>
      <c r="X17" s="40">
        <f>IF(ISBLANK('Asset #2'!D30),0,'Asset #2'!D30)</f>
        <v>0</v>
      </c>
      <c r="Y17" s="75">
        <f>IF(ISBLANK('Asset #2'!H30),0,'Asset #2'!H30)</f>
        <v>0</v>
      </c>
      <c r="Z17" s="22" t="str">
        <f>IF(ISBLANK('Asset #2'!I30),"N/A",'Asset #2'!I30)</f>
        <v>N/A</v>
      </c>
      <c r="AA17" s="22">
        <f>IF(BI_Tbl_materials[[#This Row],[Asset '#2 - Re/Down out]]="Recycled",1, IF(BI_Tbl_materials[[#This Row],[Asset '#2 - Re/Down out]]="Downcycled", 0.5, 0))</f>
        <v>0</v>
      </c>
      <c r="AB17" s="76">
        <f>IFERROR(BI_Tbl_materials[[#This Row],[Biobased - yes = 1, no = 0]]*(1-BI_Tbl_materials[[#This Row],[Asset '#2 - Recycled (%)]])+BI_Tbl_materials[[#This Row],[Asset '#2 - Recycled (%)]],"")</f>
        <v>0</v>
      </c>
      <c r="AC1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7" s="43" t="str">
        <f>IF(ISBLANK('Asset #3'!C30),"",'Asset #3'!C30*IF('Asset #3'!$D$18="kg/unit",1000,1))</f>
        <v/>
      </c>
      <c r="AF17" s="75">
        <f>IF(ISBLANK('Asset #3'!D30),0,'Asset #3'!D30)</f>
        <v>0</v>
      </c>
      <c r="AG17" s="75">
        <f>IF(ISBLANK('Asset #3'!H30),0,'Asset #3'!H30)</f>
        <v>0</v>
      </c>
      <c r="AH17" s="22" t="str">
        <f>IF(ISBLANK('Asset #3'!I30),"N/A",'Asset #3'!I30)</f>
        <v>N/A</v>
      </c>
      <c r="AI17" s="22">
        <f>IF(BI_Tbl_materials[[#This Row],[Asset '#3 - Re/Down out]]="Recycled",1, IF(BI_Tbl_materials[[#This Row],[Asset '#3 - Re/Down out]]="Downcycled", 0.5, 0))</f>
        <v>0</v>
      </c>
      <c r="AJ17" s="76">
        <f>IFERROR(BI_Tbl_materials[[#This Row],[Biobased - yes = 1, no = 0]]*(1-BI_Tbl_materials[[#This Row],[Asset '#3 - Recycled (%)]])+BI_Tbl_materials[[#This Row],[Asset '#3 - Recycled (%)]],"")</f>
        <v>0</v>
      </c>
      <c r="AK1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8" spans="1:38" x14ac:dyDescent="0.35">
      <c r="B18" s="231" t="s">
        <v>245</v>
      </c>
      <c r="C18" s="231"/>
      <c r="D18" s="231"/>
      <c r="E18" s="231"/>
      <c r="F18" s="231" t="s">
        <v>239</v>
      </c>
      <c r="G18" s="231"/>
      <c r="H18" s="231" t="s">
        <v>239</v>
      </c>
      <c r="I18" s="260">
        <v>0.87928572000000005</v>
      </c>
      <c r="J18" s="260">
        <v>2.7999999999999998E-4</v>
      </c>
      <c r="K18" s="231">
        <v>1.9753595999999998E-2</v>
      </c>
      <c r="L18" s="231">
        <v>5.6607693999999997E-3</v>
      </c>
      <c r="M18" s="231" t="s">
        <v>240</v>
      </c>
      <c r="N18" s="231">
        <v>0</v>
      </c>
      <c r="O18" s="231" t="str">
        <f>IF(ISBLANK('Asset #1'!C31),"",'Asset #1'!C31*IF('Asset #1'!$D$18="kg/unit",1000,1))</f>
        <v/>
      </c>
      <c r="P18" s="239">
        <f>IF(ISBLANK('Asset #1'!D31),0,'Asset #1'!D31)</f>
        <v>0</v>
      </c>
      <c r="Q18" s="40">
        <f>IF(ISBLANK('Asset #1'!H31),0,'Asset #1'!H31)</f>
        <v>0</v>
      </c>
      <c r="R18" s="22" t="str">
        <f>IF(ISBLANK('Asset #1'!I31),"N/A",'Asset #1'!I31)</f>
        <v>N/A</v>
      </c>
      <c r="S18" s="22">
        <f>IF(BI_Tbl_materials[[#This Row],[Asset '#1 - Re/Down out]]="Recycled",1, IF(BI_Tbl_materials[[#This Row],[Asset '#1 - Re/Down out]]="Downcycled", 0.5, 0))</f>
        <v>0</v>
      </c>
      <c r="T18" s="40">
        <f>IFERROR(BI_Tbl_materials[[#This Row],[Biobased - yes = 1, no = 0]]*(1-BI_Tbl_materials[[#This Row],[Asset '#1 - Recycled (%)]])+BI_Tbl_materials[[#This Row],[Asset '#1 - Recycled (%)]],"")</f>
        <v>0</v>
      </c>
      <c r="U1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8" s="43" t="str">
        <f>IF(ISBLANK('Asset #2'!C31),"",'Asset #2'!C31*IF('Asset #2'!$D$18="kg/unit",1000,1))</f>
        <v/>
      </c>
      <c r="X18" s="40">
        <f>IF(ISBLANK('Asset #2'!D31),0,'Asset #2'!D31)</f>
        <v>0</v>
      </c>
      <c r="Y18" s="75">
        <f>IF(ISBLANK('Asset #2'!H31),0,'Asset #2'!H31)</f>
        <v>0</v>
      </c>
      <c r="Z18" s="22" t="str">
        <f>IF(ISBLANK('Asset #2'!I31),"N/A",'Asset #2'!I31)</f>
        <v>N/A</v>
      </c>
      <c r="AA18" s="22">
        <f>IF(BI_Tbl_materials[[#This Row],[Asset '#2 - Re/Down out]]="Recycled",1, IF(BI_Tbl_materials[[#This Row],[Asset '#2 - Re/Down out]]="Downcycled", 0.5, 0))</f>
        <v>0</v>
      </c>
      <c r="AB18" s="76">
        <f>IFERROR(BI_Tbl_materials[[#This Row],[Biobased - yes = 1, no = 0]]*(1-BI_Tbl_materials[[#This Row],[Asset '#2 - Recycled (%)]])+BI_Tbl_materials[[#This Row],[Asset '#2 - Recycled (%)]],"")</f>
        <v>0</v>
      </c>
      <c r="AC1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8" s="43" t="str">
        <f>IF(ISBLANK('Asset #3'!C31),"",'Asset #3'!C31*IF('Asset #3'!$D$18="kg/unit",1000,1))</f>
        <v/>
      </c>
      <c r="AF18" s="75">
        <f>IF(ISBLANK('Asset #3'!D31),0,'Asset #3'!D31)</f>
        <v>0</v>
      </c>
      <c r="AG18" s="75">
        <f>IF(ISBLANK('Asset #3'!H31),0,'Asset #3'!H31)</f>
        <v>0</v>
      </c>
      <c r="AH18" s="22" t="str">
        <f>IF(ISBLANK('Asset #3'!I31),"N/A",'Asset #3'!I31)</f>
        <v>N/A</v>
      </c>
      <c r="AI18" s="22">
        <f>IF(BI_Tbl_materials[[#This Row],[Asset '#3 - Re/Down out]]="Recycled",1, IF(BI_Tbl_materials[[#This Row],[Asset '#3 - Re/Down out]]="Downcycled", 0.5, 0))</f>
        <v>0</v>
      </c>
      <c r="AJ18" s="76">
        <f>IFERROR(BI_Tbl_materials[[#This Row],[Biobased - yes = 1, no = 0]]*(1-BI_Tbl_materials[[#This Row],[Asset '#3 - Recycled (%)]])+BI_Tbl_materials[[#This Row],[Asset '#3 - Recycled (%)]],"")</f>
        <v>0</v>
      </c>
      <c r="AK1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19" spans="1:38" x14ac:dyDescent="0.35">
      <c r="B19" s="231" t="s">
        <v>246</v>
      </c>
      <c r="C19" s="231"/>
      <c r="D19" s="231"/>
      <c r="E19" s="231"/>
      <c r="F19" s="231" t="s">
        <v>239</v>
      </c>
      <c r="G19" s="231"/>
      <c r="H19" s="231" t="s">
        <v>239</v>
      </c>
      <c r="I19" s="260">
        <v>0.64300000000000002</v>
      </c>
      <c r="J19" s="260">
        <v>2.7999999999999998E-4</v>
      </c>
      <c r="K19" s="231">
        <v>1.9753595999999998E-2</v>
      </c>
      <c r="L19" s="231">
        <v>5.6607693999999997E-3</v>
      </c>
      <c r="M19" s="231" t="s">
        <v>240</v>
      </c>
      <c r="N19" s="231">
        <v>0</v>
      </c>
      <c r="O19" s="231" t="str">
        <f>IF(ISBLANK('Asset #1'!C32),"",'Asset #1'!C32*IF('Asset #1'!$D$18="kg/unit",1000,1))</f>
        <v/>
      </c>
      <c r="P19" s="239">
        <f>IF(ISBLANK('Asset #1'!D32),0,'Asset #1'!D32)</f>
        <v>0</v>
      </c>
      <c r="Q19" s="40">
        <f>IF(ISBLANK('Asset #1'!H32),0,'Asset #1'!H32)</f>
        <v>0</v>
      </c>
      <c r="R19" s="22" t="str">
        <f>IF(ISBLANK('Asset #1'!I32),"N/A",'Asset #1'!I32)</f>
        <v>N/A</v>
      </c>
      <c r="S19" s="22">
        <f>IF(BI_Tbl_materials[[#This Row],[Asset '#1 - Re/Down out]]="Recycled",1, IF(BI_Tbl_materials[[#This Row],[Asset '#1 - Re/Down out]]="Downcycled", 0.5, 0))</f>
        <v>0</v>
      </c>
      <c r="T19" s="40">
        <f>IFERROR(BI_Tbl_materials[[#This Row],[Biobased - yes = 1, no = 0]]*(1-BI_Tbl_materials[[#This Row],[Asset '#1 - Recycled (%)]])+BI_Tbl_materials[[#This Row],[Asset '#1 - Recycled (%)]],"")</f>
        <v>0</v>
      </c>
      <c r="U1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1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19" s="43" t="str">
        <f>IF(ISBLANK('Asset #2'!C32),"",'Asset #2'!C32*IF('Asset #2'!$D$18="kg/unit",1000,1))</f>
        <v/>
      </c>
      <c r="X19" s="40">
        <f>IF(ISBLANK('Asset #2'!D32),0,'Asset #2'!D32)</f>
        <v>0</v>
      </c>
      <c r="Y19" s="75">
        <f>IF(ISBLANK('Asset #2'!H32),0,'Asset #2'!H32)</f>
        <v>0</v>
      </c>
      <c r="Z19" s="22" t="str">
        <f>IF(ISBLANK('Asset #2'!I32),"N/A",'Asset #2'!I32)</f>
        <v>N/A</v>
      </c>
      <c r="AA19" s="22">
        <f>IF(BI_Tbl_materials[[#This Row],[Asset '#2 - Re/Down out]]="Recycled",1, IF(BI_Tbl_materials[[#This Row],[Asset '#2 - Re/Down out]]="Downcycled", 0.5, 0))</f>
        <v>0</v>
      </c>
      <c r="AB19" s="76">
        <f>IFERROR(BI_Tbl_materials[[#This Row],[Biobased - yes = 1, no = 0]]*(1-BI_Tbl_materials[[#This Row],[Asset '#2 - Recycled (%)]])+BI_Tbl_materials[[#This Row],[Asset '#2 - Recycled (%)]],"")</f>
        <v>0</v>
      </c>
      <c r="AC1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1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19" s="43" t="str">
        <f>IF(ISBLANK('Asset #3'!C32),"",'Asset #3'!C32*IF('Asset #3'!$D$18="kg/unit",1000,1))</f>
        <v/>
      </c>
      <c r="AF19" s="75">
        <f>IF(ISBLANK('Asset #3'!D32),0,'Asset #3'!D32)</f>
        <v>0</v>
      </c>
      <c r="AG19" s="75">
        <f>IF(ISBLANK('Asset #3'!H32),0,'Asset #3'!H32)</f>
        <v>0</v>
      </c>
      <c r="AH19" s="22" t="str">
        <f>IF(ISBLANK('Asset #3'!I32),"N/A",'Asset #3'!I32)</f>
        <v>N/A</v>
      </c>
      <c r="AI19" s="22">
        <f>IF(BI_Tbl_materials[[#This Row],[Asset '#3 - Re/Down out]]="Recycled",1, IF(BI_Tbl_materials[[#This Row],[Asset '#3 - Re/Down out]]="Downcycled", 0.5, 0))</f>
        <v>0</v>
      </c>
      <c r="AJ19" s="76">
        <f>IFERROR(BI_Tbl_materials[[#This Row],[Biobased - yes = 1, no = 0]]*(1-BI_Tbl_materials[[#This Row],[Asset '#3 - Recycled (%)]])+BI_Tbl_materials[[#This Row],[Asset '#3 - Recycled (%)]],"")</f>
        <v>0</v>
      </c>
      <c r="AK1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1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0" spans="1:38" x14ac:dyDescent="0.35">
      <c r="B20" s="231" t="s">
        <v>247</v>
      </c>
      <c r="C20" s="231"/>
      <c r="D20" s="231"/>
      <c r="E20" s="231"/>
      <c r="F20" s="231" t="s">
        <v>239</v>
      </c>
      <c r="G20" s="231"/>
      <c r="H20" s="231" t="s">
        <v>239</v>
      </c>
      <c r="I20" s="260">
        <v>0.57418932</v>
      </c>
      <c r="J20" s="260">
        <v>2.7999999999999998E-4</v>
      </c>
      <c r="K20" s="231">
        <v>1.9753595999999998E-2</v>
      </c>
      <c r="L20" s="231">
        <v>5.6607693999999997E-3</v>
      </c>
      <c r="M20" s="231" t="s">
        <v>240</v>
      </c>
      <c r="N20" s="231">
        <v>0</v>
      </c>
      <c r="O20" s="231" t="str">
        <f>IF(ISBLANK('Asset #1'!C33),"",'Asset #1'!C33*IF('Asset #1'!$D$18="kg/unit",1000,1))</f>
        <v/>
      </c>
      <c r="P20" s="239">
        <f>IF(ISBLANK('Asset #1'!D33),0,'Asset #1'!D33)</f>
        <v>0</v>
      </c>
      <c r="Q20" s="40">
        <f>IF(ISBLANK('Asset #1'!H33),0,'Asset #1'!H33)</f>
        <v>0</v>
      </c>
      <c r="R20" s="22" t="str">
        <f>IF(ISBLANK('Asset #1'!I33),"N/A",'Asset #1'!I33)</f>
        <v>N/A</v>
      </c>
      <c r="S20" s="22">
        <f>IF(BI_Tbl_materials[[#This Row],[Asset '#1 - Re/Down out]]="Recycled",1, IF(BI_Tbl_materials[[#This Row],[Asset '#1 - Re/Down out]]="Downcycled", 0.5, 0))</f>
        <v>0</v>
      </c>
      <c r="T20" s="40">
        <f>IFERROR(BI_Tbl_materials[[#This Row],[Biobased - yes = 1, no = 0]]*(1-BI_Tbl_materials[[#This Row],[Asset '#1 - Recycled (%)]])+BI_Tbl_materials[[#This Row],[Asset '#1 - Recycled (%)]],"")</f>
        <v>0</v>
      </c>
      <c r="U2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0" s="43" t="str">
        <f>IF(ISBLANK('Asset #2'!C33),"",'Asset #2'!C33*IF('Asset #2'!$D$18="kg/unit",1000,1))</f>
        <v/>
      </c>
      <c r="X20" s="40">
        <f>IF(ISBLANK('Asset #2'!D33),0,'Asset #2'!D33)</f>
        <v>0</v>
      </c>
      <c r="Y20" s="75">
        <f>IF(ISBLANK('Asset #2'!H33),0,'Asset #2'!H33)</f>
        <v>0</v>
      </c>
      <c r="Z20" s="22" t="str">
        <f>IF(ISBLANK('Asset #2'!I33),"N/A",'Asset #2'!I33)</f>
        <v>N/A</v>
      </c>
      <c r="AA20" s="22">
        <f>IF(BI_Tbl_materials[[#This Row],[Asset '#2 - Re/Down out]]="Recycled",1, IF(BI_Tbl_materials[[#This Row],[Asset '#2 - Re/Down out]]="Downcycled", 0.5, 0))</f>
        <v>0</v>
      </c>
      <c r="AB20" s="76">
        <f>IFERROR(BI_Tbl_materials[[#This Row],[Biobased - yes = 1, no = 0]]*(1-BI_Tbl_materials[[#This Row],[Asset '#2 - Recycled (%)]])+BI_Tbl_materials[[#This Row],[Asset '#2 - Recycled (%)]],"")</f>
        <v>0</v>
      </c>
      <c r="AC2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0" s="43" t="str">
        <f>IF(ISBLANK('Asset #3'!C33),"",'Asset #3'!C33*IF('Asset #3'!$D$18="kg/unit",1000,1))</f>
        <v/>
      </c>
      <c r="AF20" s="75">
        <f>IF(ISBLANK('Asset #3'!D33),0,'Asset #3'!D33)</f>
        <v>0</v>
      </c>
      <c r="AG20" s="75">
        <f>IF(ISBLANK('Asset #3'!H33),0,'Asset #3'!H33)</f>
        <v>0</v>
      </c>
      <c r="AH20" s="22" t="str">
        <f>IF(ISBLANK('Asset #3'!I33),"N/A",'Asset #3'!I33)</f>
        <v>N/A</v>
      </c>
      <c r="AI20" s="22">
        <f>IF(BI_Tbl_materials[[#This Row],[Asset '#3 - Re/Down out]]="Recycled",1, IF(BI_Tbl_materials[[#This Row],[Asset '#3 - Re/Down out]]="Downcycled", 0.5, 0))</f>
        <v>0</v>
      </c>
      <c r="AJ20" s="76">
        <f>IFERROR(BI_Tbl_materials[[#This Row],[Biobased - yes = 1, no = 0]]*(1-BI_Tbl_materials[[#This Row],[Asset '#3 - Recycled (%)]])+BI_Tbl_materials[[#This Row],[Asset '#3 - Recycled (%)]],"")</f>
        <v>0</v>
      </c>
      <c r="AK2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1" spans="1:38" x14ac:dyDescent="0.35">
      <c r="B21" s="231" t="s">
        <v>248</v>
      </c>
      <c r="C21" s="231"/>
      <c r="D21" s="231"/>
      <c r="E21" s="231"/>
      <c r="F21" s="231" t="s">
        <v>239</v>
      </c>
      <c r="G21" s="231"/>
      <c r="H21" s="231" t="s">
        <v>239</v>
      </c>
      <c r="I21" s="260">
        <v>0.41819843000000001</v>
      </c>
      <c r="J21" s="260">
        <v>2.7999999999999998E-4</v>
      </c>
      <c r="K21" s="231">
        <v>1.9753595999999998E-2</v>
      </c>
      <c r="L21" s="231">
        <v>5.6607693999999997E-3</v>
      </c>
      <c r="M21" s="231" t="s">
        <v>240</v>
      </c>
      <c r="N21" s="231">
        <v>0</v>
      </c>
      <c r="O21" s="231" t="str">
        <f>IF(ISBLANK('Asset #1'!C34),"",'Asset #1'!C34*IF('Asset #1'!$D$18="kg/unit",1000,1))</f>
        <v/>
      </c>
      <c r="P21" s="239">
        <f>IF(ISBLANK('Asset #1'!D34),0,'Asset #1'!D34)</f>
        <v>0</v>
      </c>
      <c r="Q21" s="40">
        <f>IF(ISBLANK('Asset #1'!H34),0,'Asset #1'!H34)</f>
        <v>0</v>
      </c>
      <c r="R21" s="22" t="str">
        <f>IF(ISBLANK('Asset #1'!I34),"N/A",'Asset #1'!I34)</f>
        <v>N/A</v>
      </c>
      <c r="S21" s="22">
        <f>IF(BI_Tbl_materials[[#This Row],[Asset '#1 - Re/Down out]]="Recycled",1, IF(BI_Tbl_materials[[#This Row],[Asset '#1 - Re/Down out]]="Downcycled", 0.5, 0))</f>
        <v>0</v>
      </c>
      <c r="T21" s="40">
        <f>IFERROR(BI_Tbl_materials[[#This Row],[Biobased - yes = 1, no = 0]]*(1-BI_Tbl_materials[[#This Row],[Asset '#1 - Recycled (%)]])+BI_Tbl_materials[[#This Row],[Asset '#1 - Recycled (%)]],"")</f>
        <v>0</v>
      </c>
      <c r="U2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1" s="43" t="str">
        <f>IF(ISBLANK('Asset #2'!C34),"",'Asset #2'!C34*IF('Asset #2'!$D$18="kg/unit",1000,1))</f>
        <v/>
      </c>
      <c r="X21" s="40">
        <f>IF(ISBLANK('Asset #2'!D34),0,'Asset #2'!D34)</f>
        <v>0</v>
      </c>
      <c r="Y21" s="75">
        <f>IF(ISBLANK('Asset #2'!H34),0,'Asset #2'!H34)</f>
        <v>0</v>
      </c>
      <c r="Z21" s="22" t="str">
        <f>IF(ISBLANK('Asset #2'!I34),"N/A",'Asset #2'!I34)</f>
        <v>N/A</v>
      </c>
      <c r="AA21" s="22">
        <f>IF(BI_Tbl_materials[[#This Row],[Asset '#2 - Re/Down out]]="Recycled",1, IF(BI_Tbl_materials[[#This Row],[Asset '#2 - Re/Down out]]="Downcycled", 0.5, 0))</f>
        <v>0</v>
      </c>
      <c r="AB21" s="76">
        <f>IFERROR(BI_Tbl_materials[[#This Row],[Biobased - yes = 1, no = 0]]*(1-BI_Tbl_materials[[#This Row],[Asset '#2 - Recycled (%)]])+BI_Tbl_materials[[#This Row],[Asset '#2 - Recycled (%)]],"")</f>
        <v>0</v>
      </c>
      <c r="AC2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1" s="43" t="str">
        <f>IF(ISBLANK('Asset #3'!C34),"",'Asset #3'!C34*IF('Asset #3'!$D$18="kg/unit",1000,1))</f>
        <v/>
      </c>
      <c r="AF21" s="75">
        <f>IF(ISBLANK('Asset #3'!D34),0,'Asset #3'!D34)</f>
        <v>0</v>
      </c>
      <c r="AG21" s="75">
        <f>IF(ISBLANK('Asset #3'!H34),0,'Asset #3'!H34)</f>
        <v>0</v>
      </c>
      <c r="AH21" s="22" t="str">
        <f>IF(ISBLANK('Asset #3'!I34),"N/A",'Asset #3'!I34)</f>
        <v>N/A</v>
      </c>
      <c r="AI21" s="22">
        <f>IF(BI_Tbl_materials[[#This Row],[Asset '#3 - Re/Down out]]="Recycled",1, IF(BI_Tbl_materials[[#This Row],[Asset '#3 - Re/Down out]]="Downcycled", 0.5, 0))</f>
        <v>0</v>
      </c>
      <c r="AJ21" s="76">
        <f>IFERROR(BI_Tbl_materials[[#This Row],[Biobased - yes = 1, no = 0]]*(1-BI_Tbl_materials[[#This Row],[Asset '#3 - Recycled (%)]])+BI_Tbl_materials[[#This Row],[Asset '#3 - Recycled (%)]],"")</f>
        <v>0</v>
      </c>
      <c r="AK2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2" spans="1:38" x14ac:dyDescent="0.35">
      <c r="B22" s="231" t="s">
        <v>249</v>
      </c>
      <c r="C22" s="231"/>
      <c r="D22" s="231"/>
      <c r="E22" s="231"/>
      <c r="F22" s="231" t="s">
        <v>239</v>
      </c>
      <c r="G22" s="231"/>
      <c r="H22" s="231" t="s">
        <v>239</v>
      </c>
      <c r="I22" s="260">
        <v>0.57418932</v>
      </c>
      <c r="J22" s="260">
        <v>2.7999999999999998E-4</v>
      </c>
      <c r="K22" s="231">
        <v>1.9753595999999998E-2</v>
      </c>
      <c r="L22" s="231">
        <v>5.6607693999999997E-3</v>
      </c>
      <c r="M22" s="231" t="s">
        <v>240</v>
      </c>
      <c r="N22" s="231">
        <v>0</v>
      </c>
      <c r="O22" s="231" t="str">
        <f>IF(ISBLANK('Asset #1'!C35),"",'Asset #1'!C35*IF('Asset #1'!$D$18="kg/unit",1000,1))</f>
        <v/>
      </c>
      <c r="P22" s="239">
        <f>IF(ISBLANK('Asset #1'!D35),0,'Asset #1'!D35)</f>
        <v>0</v>
      </c>
      <c r="Q22" s="40">
        <f>IF(ISBLANK('Asset #1'!H35),0,'Asset #1'!H35)</f>
        <v>0</v>
      </c>
      <c r="R22" s="22" t="str">
        <f>IF(ISBLANK('Asset #1'!I35),"N/A",'Asset #1'!I35)</f>
        <v>N/A</v>
      </c>
      <c r="S22" s="22">
        <f>IF(BI_Tbl_materials[[#This Row],[Asset '#1 - Re/Down out]]="Recycled",1, IF(BI_Tbl_materials[[#This Row],[Asset '#1 - Re/Down out]]="Downcycled", 0.5, 0))</f>
        <v>0</v>
      </c>
      <c r="T22" s="40">
        <f>IFERROR(BI_Tbl_materials[[#This Row],[Biobased - yes = 1, no = 0]]*(1-BI_Tbl_materials[[#This Row],[Asset '#1 - Recycled (%)]])+BI_Tbl_materials[[#This Row],[Asset '#1 - Recycled (%)]],"")</f>
        <v>0</v>
      </c>
      <c r="U2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2" s="43" t="str">
        <f>IF(ISBLANK('Asset #2'!C35),"",'Asset #2'!C35*IF('Asset #2'!$D$18="kg/unit",1000,1))</f>
        <v/>
      </c>
      <c r="X22" s="40">
        <f>IF(ISBLANK('Asset #2'!D35),0,'Asset #2'!D35)</f>
        <v>0</v>
      </c>
      <c r="Y22" s="75">
        <f>IF(ISBLANK('Asset #2'!H35),0,'Asset #2'!H35)</f>
        <v>0</v>
      </c>
      <c r="Z22" s="22" t="str">
        <f>IF(ISBLANK('Asset #2'!I35),"N/A",'Asset #2'!I35)</f>
        <v>N/A</v>
      </c>
      <c r="AA22" s="22">
        <f>IF(BI_Tbl_materials[[#This Row],[Asset '#2 - Re/Down out]]="Recycled",1, IF(BI_Tbl_materials[[#This Row],[Asset '#2 - Re/Down out]]="Downcycled", 0.5, 0))</f>
        <v>0</v>
      </c>
      <c r="AB22" s="76">
        <f>IFERROR(BI_Tbl_materials[[#This Row],[Biobased - yes = 1, no = 0]]*(1-BI_Tbl_materials[[#This Row],[Asset '#2 - Recycled (%)]])+BI_Tbl_materials[[#This Row],[Asset '#2 - Recycled (%)]],"")</f>
        <v>0</v>
      </c>
      <c r="AC2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2" s="43" t="str">
        <f>IF(ISBLANK('Asset #3'!C35),"",'Asset #3'!C35*IF('Asset #3'!$D$18="kg/unit",1000,1))</f>
        <v/>
      </c>
      <c r="AF22" s="75">
        <f>IF(ISBLANK('Asset #3'!D35),0,'Asset #3'!D35)</f>
        <v>0</v>
      </c>
      <c r="AG22" s="75">
        <f>IF(ISBLANK('Asset #3'!H35),0,'Asset #3'!H35)</f>
        <v>0</v>
      </c>
      <c r="AH22" s="22" t="str">
        <f>IF(ISBLANK('Asset #3'!I35),"N/A",'Asset #3'!I35)</f>
        <v>N/A</v>
      </c>
      <c r="AI22" s="22">
        <f>IF(BI_Tbl_materials[[#This Row],[Asset '#3 - Re/Down out]]="Recycled",1, IF(BI_Tbl_materials[[#This Row],[Asset '#3 - Re/Down out]]="Downcycled", 0.5, 0))</f>
        <v>0</v>
      </c>
      <c r="AJ22" s="76">
        <f>IFERROR(BI_Tbl_materials[[#This Row],[Biobased - yes = 1, no = 0]]*(1-BI_Tbl_materials[[#This Row],[Asset '#3 - Recycled (%)]])+BI_Tbl_materials[[#This Row],[Asset '#3 - Recycled (%)]],"")</f>
        <v>0</v>
      </c>
      <c r="AK2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3" spans="1:38" x14ac:dyDescent="0.35">
      <c r="B23" t="s">
        <v>250</v>
      </c>
      <c r="D23" t="s">
        <v>239</v>
      </c>
      <c r="E23" t="s">
        <v>239</v>
      </c>
      <c r="H23" t="s">
        <v>239</v>
      </c>
      <c r="I23" s="261">
        <v>301.41847999999999</v>
      </c>
      <c r="J23" s="261">
        <v>301.41847999999999</v>
      </c>
      <c r="K23">
        <v>1.4920829</v>
      </c>
      <c r="L23">
        <v>0.10140971</v>
      </c>
      <c r="M23" t="s">
        <v>240</v>
      </c>
      <c r="N23">
        <v>0</v>
      </c>
      <c r="O23" s="231" t="str">
        <f>IF(ISBLANK('Asset #1'!C36),"",'Asset #1'!C36*IF('Asset #1'!$D$18="kg/unit",1000,1))</f>
        <v/>
      </c>
      <c r="P23" s="239">
        <f>IF(ISBLANK('Asset #1'!D36),0,'Asset #1'!D36)</f>
        <v>0</v>
      </c>
      <c r="Q23" s="40">
        <f>IF(ISBLANK('Asset #1'!H36),0,'Asset #1'!H36)</f>
        <v>0</v>
      </c>
      <c r="R23" s="22" t="str">
        <f>IF(ISBLANK('Asset #1'!I36),"N/A",'Asset #1'!I36)</f>
        <v>N/A</v>
      </c>
      <c r="S23" s="22">
        <f>IF(BI_Tbl_materials[[#This Row],[Asset '#1 - Re/Down out]]="Recycled",1, IF(BI_Tbl_materials[[#This Row],[Asset '#1 - Re/Down out]]="Downcycled", 0.5, 0))</f>
        <v>0</v>
      </c>
      <c r="T23" s="40">
        <f>IFERROR(BI_Tbl_materials[[#This Row],[Biobased - yes = 1, no = 0]]*(1-BI_Tbl_materials[[#This Row],[Asset '#1 - Recycled (%)]])+BI_Tbl_materials[[#This Row],[Asset '#1 - Recycled (%)]],"")</f>
        <v>0</v>
      </c>
      <c r="U2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3" s="43" t="str">
        <f>IF(ISBLANK('Asset #2'!C36),"",'Asset #2'!C36*IF('Asset #2'!$D$18="kg/unit",1000,1))</f>
        <v/>
      </c>
      <c r="X23" s="40">
        <f>IF(ISBLANK('Asset #2'!D36),0,'Asset #2'!D36)</f>
        <v>0</v>
      </c>
      <c r="Y23" s="75">
        <f>IF(ISBLANK('Asset #2'!H36),0,'Asset #2'!H36)</f>
        <v>0</v>
      </c>
      <c r="Z23" s="22" t="str">
        <f>IF(ISBLANK('Asset #2'!I36),"N/A",'Asset #2'!I36)</f>
        <v>N/A</v>
      </c>
      <c r="AA23" s="22">
        <f>IF(BI_Tbl_materials[[#This Row],[Asset '#2 - Re/Down out]]="Recycled",1, IF(BI_Tbl_materials[[#This Row],[Asset '#2 - Re/Down out]]="Downcycled", 0.5, 0))</f>
        <v>0</v>
      </c>
      <c r="AB23" s="76">
        <f>IFERROR(BI_Tbl_materials[[#This Row],[Biobased - yes = 1, no = 0]]*(1-BI_Tbl_materials[[#This Row],[Asset '#2 - Recycled (%)]])+BI_Tbl_materials[[#This Row],[Asset '#2 - Recycled (%)]],"")</f>
        <v>0</v>
      </c>
      <c r="AC2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3" s="43" t="str">
        <f>IF(ISBLANK('Asset #3'!C36),"",'Asset #3'!C36*IF('Asset #3'!$D$18="kg/unit",1000,1))</f>
        <v/>
      </c>
      <c r="AF23" s="75">
        <f>IF(ISBLANK('Asset #3'!D36),0,'Asset #3'!D36)</f>
        <v>0</v>
      </c>
      <c r="AG23" s="75">
        <f>IF(ISBLANK('Asset #3'!H36),0,'Asset #3'!H36)</f>
        <v>0</v>
      </c>
      <c r="AH23" s="22" t="str">
        <f>IF(ISBLANK('Asset #3'!I36),"N/A",'Asset #3'!I36)</f>
        <v>N/A</v>
      </c>
      <c r="AI23" s="22">
        <f>IF(BI_Tbl_materials[[#This Row],[Asset '#3 - Re/Down out]]="Recycled",1, IF(BI_Tbl_materials[[#This Row],[Asset '#3 - Re/Down out]]="Downcycled", 0.5, 0))</f>
        <v>0</v>
      </c>
      <c r="AJ23" s="76">
        <f>IFERROR(BI_Tbl_materials[[#This Row],[Biobased - yes = 1, no = 0]]*(1-BI_Tbl_materials[[#This Row],[Asset '#3 - Recycled (%)]])+BI_Tbl_materials[[#This Row],[Asset '#3 - Recycled (%)]],"")</f>
        <v>0</v>
      </c>
      <c r="AK2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4" spans="1:38" x14ac:dyDescent="0.35">
      <c r="B24" t="s">
        <v>251</v>
      </c>
      <c r="F24" t="s">
        <v>239</v>
      </c>
      <c r="H24" t="s">
        <v>239</v>
      </c>
      <c r="I24" s="261">
        <v>0.38223613000000001</v>
      </c>
      <c r="J24" s="261">
        <v>0.38223613000000001</v>
      </c>
      <c r="K24">
        <v>1.9753595999999998E-2</v>
      </c>
      <c r="L24">
        <v>5.6607693999999997E-3</v>
      </c>
      <c r="M24" t="s">
        <v>240</v>
      </c>
      <c r="N24">
        <v>0</v>
      </c>
      <c r="O24" s="231" t="str">
        <f>IF(ISBLANK('Asset #1'!C37),"",'Asset #1'!C37*IF('Asset #1'!$D$18="kg/unit",1000,1))</f>
        <v/>
      </c>
      <c r="P24" s="239">
        <f>IF(ISBLANK('Asset #1'!D37),0,'Asset #1'!D37)</f>
        <v>0</v>
      </c>
      <c r="Q24" s="40">
        <f>IF(ISBLANK('Asset #1'!H37),0,'Asset #1'!H37)</f>
        <v>0</v>
      </c>
      <c r="R24" s="22" t="str">
        <f>IF(ISBLANK('Asset #1'!I37),"N/A",'Asset #1'!I37)</f>
        <v>N/A</v>
      </c>
      <c r="S24" s="22">
        <f>IF(BI_Tbl_materials[[#This Row],[Asset '#1 - Re/Down out]]="Recycled",1, IF(BI_Tbl_materials[[#This Row],[Asset '#1 - Re/Down out]]="Downcycled", 0.5, 0))</f>
        <v>0</v>
      </c>
      <c r="T24" s="40">
        <f>IFERROR(BI_Tbl_materials[[#This Row],[Biobased - yes = 1, no = 0]]*(1-BI_Tbl_materials[[#This Row],[Asset '#1 - Recycled (%)]])+BI_Tbl_materials[[#This Row],[Asset '#1 - Recycled (%)]],"")</f>
        <v>0</v>
      </c>
      <c r="U2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4" s="43" t="str">
        <f>IF(ISBLANK('Asset #2'!C37),"",'Asset #2'!C37*IF('Asset #2'!$D$18="kg/unit",1000,1))</f>
        <v/>
      </c>
      <c r="X24" s="40">
        <f>IF(ISBLANK('Asset #2'!D37),0,'Asset #2'!D37)</f>
        <v>0</v>
      </c>
      <c r="Y24" s="75">
        <f>IF(ISBLANK('Asset #2'!H37),0,'Asset #2'!H37)</f>
        <v>0</v>
      </c>
      <c r="Z24" s="22" t="str">
        <f>IF(ISBLANK('Asset #2'!I37),"N/A",'Asset #2'!I37)</f>
        <v>N/A</v>
      </c>
      <c r="AA24" s="22">
        <f>IF(BI_Tbl_materials[[#This Row],[Asset '#2 - Re/Down out]]="Recycled",1, IF(BI_Tbl_materials[[#This Row],[Asset '#2 - Re/Down out]]="Downcycled", 0.5, 0))</f>
        <v>0</v>
      </c>
      <c r="AB24" s="76">
        <f>IFERROR(BI_Tbl_materials[[#This Row],[Biobased - yes = 1, no = 0]]*(1-BI_Tbl_materials[[#This Row],[Asset '#2 - Recycled (%)]])+BI_Tbl_materials[[#This Row],[Asset '#2 - Recycled (%)]],"")</f>
        <v>0</v>
      </c>
      <c r="AC2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4" s="43" t="str">
        <f>IF(ISBLANK('Asset #3'!C37),"",'Asset #3'!C37*IF('Asset #3'!$D$18="kg/unit",1000,1))</f>
        <v/>
      </c>
      <c r="AF24" s="75">
        <f>IF(ISBLANK('Asset #3'!D37),0,'Asset #3'!D37)</f>
        <v>0</v>
      </c>
      <c r="AG24" s="75">
        <f>IF(ISBLANK('Asset #3'!H37),0,'Asset #3'!H37)</f>
        <v>0</v>
      </c>
      <c r="AH24" s="22" t="str">
        <f>IF(ISBLANK('Asset #3'!I37),"N/A",'Asset #3'!I37)</f>
        <v>N/A</v>
      </c>
      <c r="AI24" s="22">
        <f>IF(BI_Tbl_materials[[#This Row],[Asset '#3 - Re/Down out]]="Recycled",1, IF(BI_Tbl_materials[[#This Row],[Asset '#3 - Re/Down out]]="Downcycled", 0.5, 0))</f>
        <v>0</v>
      </c>
      <c r="AJ24" s="76">
        <f>IFERROR(BI_Tbl_materials[[#This Row],[Biobased - yes = 1, no = 0]]*(1-BI_Tbl_materials[[#This Row],[Asset '#3 - Recycled (%)]])+BI_Tbl_materials[[#This Row],[Asset '#3 - Recycled (%)]],"")</f>
        <v>0</v>
      </c>
      <c r="AK2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5" spans="1:38" x14ac:dyDescent="0.35">
      <c r="B25" s="231" t="s">
        <v>252</v>
      </c>
      <c r="C25" s="231" t="s">
        <v>239</v>
      </c>
      <c r="D25" s="231" t="s">
        <v>239</v>
      </c>
      <c r="E25" s="231" t="s">
        <v>239</v>
      </c>
      <c r="F25" s="231" t="s">
        <v>239</v>
      </c>
      <c r="G25" s="231" t="s">
        <v>239</v>
      </c>
      <c r="H25" s="231" t="s">
        <v>239</v>
      </c>
      <c r="I25" s="260">
        <v>8.2359723999999996</v>
      </c>
      <c r="J25" s="260">
        <v>2.3444988000000002</v>
      </c>
      <c r="K25" s="231">
        <v>1.5327402E-2</v>
      </c>
      <c r="L25" s="231">
        <v>1.5163668999999999E-2</v>
      </c>
      <c r="M25" s="231" t="s">
        <v>240</v>
      </c>
      <c r="N25" s="231">
        <v>0</v>
      </c>
      <c r="O25" s="231" t="str">
        <f>IF(ISBLANK('Asset #1'!C38),"",'Asset #1'!C38*IF('Asset #1'!$D$18="kg/unit",1000,1))</f>
        <v/>
      </c>
      <c r="P25" s="239">
        <f>IF(ISBLANK('Asset #1'!D38),0,'Asset #1'!D38)</f>
        <v>0</v>
      </c>
      <c r="Q25" s="40">
        <f>IF(ISBLANK('Asset #1'!H38),0,'Asset #1'!H38)</f>
        <v>0</v>
      </c>
      <c r="R25" s="22" t="str">
        <f>IF(ISBLANK('Asset #1'!I38),"N/A",'Asset #1'!I38)</f>
        <v>N/A</v>
      </c>
      <c r="S25" s="22">
        <f>IF(BI_Tbl_materials[[#This Row],[Asset '#1 - Re/Down out]]="Recycled",1, IF(BI_Tbl_materials[[#This Row],[Asset '#1 - Re/Down out]]="Downcycled", 0.5, 0))</f>
        <v>0</v>
      </c>
      <c r="T25" s="40">
        <f>IFERROR(BI_Tbl_materials[[#This Row],[Biobased - yes = 1, no = 0]]*(1-BI_Tbl_materials[[#This Row],[Asset '#1 - Recycled (%)]])+BI_Tbl_materials[[#This Row],[Asset '#1 - Recycled (%)]],"")</f>
        <v>0</v>
      </c>
      <c r="U2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5" s="43" t="str">
        <f>IF(ISBLANK('Asset #2'!C38),"",'Asset #2'!C38*IF('Asset #2'!$D$18="kg/unit",1000,1))</f>
        <v/>
      </c>
      <c r="X25" s="40">
        <f>IF(ISBLANK('Asset #2'!D38),0,'Asset #2'!D38)</f>
        <v>0</v>
      </c>
      <c r="Y25" s="75">
        <f>IF(ISBLANK('Asset #2'!H38),0,'Asset #2'!H38)</f>
        <v>0</v>
      </c>
      <c r="Z25" s="22" t="str">
        <f>IF(ISBLANK('Asset #2'!I38),"N/A",'Asset #2'!I38)</f>
        <v>N/A</v>
      </c>
      <c r="AA25" s="22">
        <f>IF(BI_Tbl_materials[[#This Row],[Asset '#2 - Re/Down out]]="Recycled",1, IF(BI_Tbl_materials[[#This Row],[Asset '#2 - Re/Down out]]="Downcycled", 0.5, 0))</f>
        <v>0</v>
      </c>
      <c r="AB25" s="76">
        <f>IFERROR(BI_Tbl_materials[[#This Row],[Biobased - yes = 1, no = 0]]*(1-BI_Tbl_materials[[#This Row],[Asset '#2 - Recycled (%)]])+BI_Tbl_materials[[#This Row],[Asset '#2 - Recycled (%)]],"")</f>
        <v>0</v>
      </c>
      <c r="AC2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5" s="43" t="str">
        <f>IF(ISBLANK('Asset #3'!C38),"",'Asset #3'!C38*IF('Asset #3'!$D$18="kg/unit",1000,1))</f>
        <v/>
      </c>
      <c r="AF25" s="75">
        <f>IF(ISBLANK('Asset #3'!D38),0,'Asset #3'!D38)</f>
        <v>0</v>
      </c>
      <c r="AG25" s="75">
        <f>IF(ISBLANK('Asset #3'!H38),0,'Asset #3'!H38)</f>
        <v>0</v>
      </c>
      <c r="AH25" s="22" t="str">
        <f>IF(ISBLANK('Asset #3'!I38),"N/A",'Asset #3'!I38)</f>
        <v>N/A</v>
      </c>
      <c r="AI25" s="22">
        <f>IF(BI_Tbl_materials[[#This Row],[Asset '#3 - Re/Down out]]="Recycled",1, IF(BI_Tbl_materials[[#This Row],[Asset '#3 - Re/Down out]]="Downcycled", 0.5, 0))</f>
        <v>0</v>
      </c>
      <c r="AJ25" s="76">
        <f>IFERROR(BI_Tbl_materials[[#This Row],[Biobased - yes = 1, no = 0]]*(1-BI_Tbl_materials[[#This Row],[Asset '#3 - Recycled (%)]])+BI_Tbl_materials[[#This Row],[Asset '#3 - Recycled (%)]],"")</f>
        <v>0</v>
      </c>
      <c r="AK2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6" spans="1:38" x14ac:dyDescent="0.35">
      <c r="A26" s="186"/>
      <c r="B26" s="231" t="s">
        <v>545</v>
      </c>
      <c r="C26" s="231" t="s">
        <v>239</v>
      </c>
      <c r="D26" s="231" t="s">
        <v>239</v>
      </c>
      <c r="E26" s="231" t="s">
        <v>239</v>
      </c>
      <c r="F26" s="231" t="s">
        <v>239</v>
      </c>
      <c r="G26" s="231" t="s">
        <v>239</v>
      </c>
      <c r="H26" s="231" t="s">
        <v>239</v>
      </c>
      <c r="I26" s="260">
        <v>6.46</v>
      </c>
      <c r="J26" s="260">
        <v>6.46</v>
      </c>
      <c r="K26" s="231" t="s">
        <v>272</v>
      </c>
      <c r="L26" s="231" t="s">
        <v>272</v>
      </c>
      <c r="M26" s="235"/>
      <c r="N26" s="231">
        <v>0</v>
      </c>
      <c r="O26" s="231" t="str">
        <f>IF(ISBLANK('Asset #1'!C39),"",'Asset #1'!C39*IF('Asset #1'!$D$18="kg/unit",1000,1))</f>
        <v/>
      </c>
      <c r="P26" s="239">
        <f>IF(ISBLANK('Asset #1'!D39),0,'Asset #1'!D39)</f>
        <v>0</v>
      </c>
      <c r="Q26" s="40">
        <f>IF(ISBLANK('Asset #1'!H39),0,'Asset #1'!H39)</f>
        <v>0</v>
      </c>
      <c r="R26" s="22" t="str">
        <f>IF(ISBLANK('Asset #1'!I39),"N/A",'Asset #1'!I39)</f>
        <v>N/A</v>
      </c>
      <c r="S26" s="22">
        <f>IF(BI_Tbl_materials[[#This Row],[Asset '#1 - Re/Down out]]="Recycled",1, IF(BI_Tbl_materials[[#This Row],[Asset '#1 - Re/Down out]]="Downcycled", 0.5, 0))</f>
        <v>0</v>
      </c>
      <c r="T26" s="40">
        <f>IFERROR(BI_Tbl_materials[[#This Row],[Biobased - yes = 1, no = 0]]*(1-BI_Tbl_materials[[#This Row],[Asset '#1 - Recycled (%)]])+BI_Tbl_materials[[#This Row],[Asset '#1 - Recycled (%)]],"")</f>
        <v>0</v>
      </c>
      <c r="U2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6" s="43" t="str">
        <f>IF(ISBLANK('Asset #2'!C39),"",'Asset #2'!C39*IF('Asset #2'!$D$18="kg/unit",1000,1))</f>
        <v/>
      </c>
      <c r="X26" s="40">
        <f>IF(ISBLANK('Asset #2'!D39),0,'Asset #2'!D39)</f>
        <v>0</v>
      </c>
      <c r="Y26" s="75">
        <f>IF(ISBLANK('Asset #2'!H39),0,'Asset #2'!H39)</f>
        <v>0</v>
      </c>
      <c r="Z26" s="22" t="str">
        <f>IF(ISBLANK('Asset #2'!I39),"N/A",'Asset #2'!I39)</f>
        <v>N/A</v>
      </c>
      <c r="AA26" s="22">
        <f>IF(BI_Tbl_materials[[#This Row],[Asset '#2 - Re/Down out]]="Recycled",1, IF(BI_Tbl_materials[[#This Row],[Asset '#2 - Re/Down out]]="Downcycled", 0.5, 0))</f>
        <v>0</v>
      </c>
      <c r="AB26" s="76">
        <f>IFERROR(BI_Tbl_materials[[#This Row],[Biobased - yes = 1, no = 0]]*(1-BI_Tbl_materials[[#This Row],[Asset '#2 - Recycled (%)]])+BI_Tbl_materials[[#This Row],[Asset '#2 - Recycled (%)]],"")</f>
        <v>0</v>
      </c>
      <c r="AC2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6" s="43" t="str">
        <f>IF(ISBLANK('Asset #3'!C39),"",'Asset #3'!C39*IF('Asset #3'!$D$18="kg/unit",1000,1))</f>
        <v/>
      </c>
      <c r="AF26" s="75">
        <f>IF(ISBLANK('Asset #3'!D39),0,'Asset #3'!D39)</f>
        <v>0</v>
      </c>
      <c r="AG26" s="75">
        <f>IF(ISBLANK('Asset #3'!H39),0,'Asset #3'!H39)</f>
        <v>0</v>
      </c>
      <c r="AH26" s="22" t="str">
        <f>IF(ISBLANK('Asset #3'!I39),"N/A",'Asset #3'!I39)</f>
        <v>N/A</v>
      </c>
      <c r="AI26" s="22">
        <f>IF(BI_Tbl_materials[[#This Row],[Asset '#3 - Re/Down out]]="Recycled",1, IF(BI_Tbl_materials[[#This Row],[Asset '#3 - Re/Down out]]="Downcycled", 0.5, 0))</f>
        <v>0</v>
      </c>
      <c r="AJ26" s="76">
        <f>IFERROR(BI_Tbl_materials[[#This Row],[Biobased - yes = 1, no = 0]]*(1-BI_Tbl_materials[[#This Row],[Asset '#3 - Recycled (%)]])+BI_Tbl_materials[[#This Row],[Asset '#3 - Recycled (%)]],"")</f>
        <v>0</v>
      </c>
      <c r="AK2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7" spans="1:38" x14ac:dyDescent="0.35">
      <c r="B27" s="231" t="s">
        <v>253</v>
      </c>
      <c r="C27" s="231" t="s">
        <v>239</v>
      </c>
      <c r="D27" s="231" t="s">
        <v>239</v>
      </c>
      <c r="E27" s="231" t="s">
        <v>239</v>
      </c>
      <c r="F27" s="231" t="s">
        <v>239</v>
      </c>
      <c r="G27" s="231" t="s">
        <v>239</v>
      </c>
      <c r="H27" s="231" t="s">
        <v>239</v>
      </c>
      <c r="I27" s="260">
        <v>7.8609033000000004</v>
      </c>
      <c r="J27" s="260">
        <v>2.3444988000000002</v>
      </c>
      <c r="K27" s="231">
        <v>1.5327402E-2</v>
      </c>
      <c r="L27" s="231">
        <v>1.5163668999999999E-2</v>
      </c>
      <c r="M27" s="231" t="s">
        <v>240</v>
      </c>
      <c r="N27" s="231">
        <v>0</v>
      </c>
      <c r="O27" s="231" t="str">
        <f>IF(ISBLANK('Asset #1'!C40),"",'Asset #1'!C40*IF('Asset #1'!$D$18="kg/unit",1000,1))</f>
        <v/>
      </c>
      <c r="P27" s="239">
        <f>IF(ISBLANK('Asset #1'!D40),0,'Asset #1'!D40)</f>
        <v>0</v>
      </c>
      <c r="Q27" s="40">
        <f>IF(ISBLANK('Asset #1'!H40),0,'Asset #1'!H40)</f>
        <v>0</v>
      </c>
      <c r="R27" s="22" t="str">
        <f>IF(ISBLANK('Asset #1'!I40),"N/A",'Asset #1'!I40)</f>
        <v>N/A</v>
      </c>
      <c r="S27" s="22">
        <f>IF(BI_Tbl_materials[[#This Row],[Asset '#1 - Re/Down out]]="Recycled",1, IF(BI_Tbl_materials[[#This Row],[Asset '#1 - Re/Down out]]="Downcycled", 0.5, 0))</f>
        <v>0</v>
      </c>
      <c r="T27" s="40">
        <f>IFERROR(BI_Tbl_materials[[#This Row],[Biobased - yes = 1, no = 0]]*(1-BI_Tbl_materials[[#This Row],[Asset '#1 - Recycled (%)]])+BI_Tbl_materials[[#This Row],[Asset '#1 - Recycled (%)]],"")</f>
        <v>0</v>
      </c>
      <c r="U2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7" s="43" t="str">
        <f>IF(ISBLANK('Asset #2'!C40),"",'Asset #2'!C40*IF('Asset #2'!$D$18="kg/unit",1000,1))</f>
        <v/>
      </c>
      <c r="X27" s="40">
        <f>IF(ISBLANK('Asset #2'!D40),0,'Asset #2'!D40)</f>
        <v>0</v>
      </c>
      <c r="Y27" s="75">
        <f>IF(ISBLANK('Asset #2'!H40),0,'Asset #2'!H40)</f>
        <v>0</v>
      </c>
      <c r="Z27" s="22" t="str">
        <f>IF(ISBLANK('Asset #2'!I40),"N/A",'Asset #2'!I40)</f>
        <v>N/A</v>
      </c>
      <c r="AA27" s="22">
        <f>IF(BI_Tbl_materials[[#This Row],[Asset '#2 - Re/Down out]]="Recycled",1, IF(BI_Tbl_materials[[#This Row],[Asset '#2 - Re/Down out]]="Downcycled", 0.5, 0))</f>
        <v>0</v>
      </c>
      <c r="AB27" s="76">
        <f>IFERROR(BI_Tbl_materials[[#This Row],[Biobased - yes = 1, no = 0]]*(1-BI_Tbl_materials[[#This Row],[Asset '#2 - Recycled (%)]])+BI_Tbl_materials[[#This Row],[Asset '#2 - Recycled (%)]],"")</f>
        <v>0</v>
      </c>
      <c r="AC2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7" s="43" t="str">
        <f>IF(ISBLANK('Asset #3'!C40),"",'Asset #3'!C40*IF('Asset #3'!$D$18="kg/unit",1000,1))</f>
        <v/>
      </c>
      <c r="AF27" s="75">
        <f>IF(ISBLANK('Asset #3'!D40),0,'Asset #3'!D40)</f>
        <v>0</v>
      </c>
      <c r="AG27" s="75">
        <f>IF(ISBLANK('Asset #3'!H40),0,'Asset #3'!H40)</f>
        <v>0</v>
      </c>
      <c r="AH27" s="22" t="str">
        <f>IF(ISBLANK('Asset #3'!I40),"N/A",'Asset #3'!I40)</f>
        <v>N/A</v>
      </c>
      <c r="AI27" s="22">
        <f>IF(BI_Tbl_materials[[#This Row],[Asset '#3 - Re/Down out]]="Recycled",1, IF(BI_Tbl_materials[[#This Row],[Asset '#3 - Re/Down out]]="Downcycled", 0.5, 0))</f>
        <v>0</v>
      </c>
      <c r="AJ27" s="76">
        <f>IFERROR(BI_Tbl_materials[[#This Row],[Biobased - yes = 1, no = 0]]*(1-BI_Tbl_materials[[#This Row],[Asset '#3 - Recycled (%)]])+BI_Tbl_materials[[#This Row],[Asset '#3 - Recycled (%)]],"")</f>
        <v>0</v>
      </c>
      <c r="AK2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8" spans="1:38" x14ac:dyDescent="0.35">
      <c r="B28" s="231" t="s">
        <v>254</v>
      </c>
      <c r="C28" s="231" t="s">
        <v>239</v>
      </c>
      <c r="D28" s="231" t="s">
        <v>239</v>
      </c>
      <c r="E28" s="231" t="s">
        <v>239</v>
      </c>
      <c r="F28" s="231"/>
      <c r="G28" s="231"/>
      <c r="H28" s="231" t="s">
        <v>239</v>
      </c>
      <c r="I28" s="260">
        <v>8.1012044999999997</v>
      </c>
      <c r="J28" s="260">
        <v>2.5848000999999998</v>
      </c>
      <c r="K28" s="231">
        <v>1.5327402E-2</v>
      </c>
      <c r="L28" s="231">
        <v>1.5163668999999999E-2</v>
      </c>
      <c r="M28" s="231" t="s">
        <v>240</v>
      </c>
      <c r="N28" s="231">
        <v>0</v>
      </c>
      <c r="O28" s="231" t="str">
        <f>IF(ISBLANK('Asset #1'!C41),"",'Asset #1'!C41*IF('Asset #1'!$D$18="kg/unit",1000,1))</f>
        <v/>
      </c>
      <c r="P28" s="239">
        <f>IF(ISBLANK('Asset #1'!D41),0,'Asset #1'!D41)</f>
        <v>0</v>
      </c>
      <c r="Q28" s="40">
        <f>IF(ISBLANK('Asset #1'!H41),0,'Asset #1'!H41)</f>
        <v>0</v>
      </c>
      <c r="R28" s="22" t="str">
        <f>IF(ISBLANK('Asset #1'!I41),"N/A",'Asset #1'!I41)</f>
        <v>N/A</v>
      </c>
      <c r="S28" s="22">
        <f>IF(BI_Tbl_materials[[#This Row],[Asset '#1 - Re/Down out]]="Recycled",1, IF(BI_Tbl_materials[[#This Row],[Asset '#1 - Re/Down out]]="Downcycled", 0.5, 0))</f>
        <v>0</v>
      </c>
      <c r="T28" s="40">
        <f>IFERROR(BI_Tbl_materials[[#This Row],[Biobased - yes = 1, no = 0]]*(1-BI_Tbl_materials[[#This Row],[Asset '#1 - Recycled (%)]])+BI_Tbl_materials[[#This Row],[Asset '#1 - Recycled (%)]],"")</f>
        <v>0</v>
      </c>
      <c r="U2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8" s="43" t="str">
        <f>IF(ISBLANK('Asset #2'!C41),"",'Asset #2'!C41*IF('Asset #2'!$D$18="kg/unit",1000,1))</f>
        <v/>
      </c>
      <c r="X28" s="40">
        <f>IF(ISBLANK('Asset #2'!D41),0,'Asset #2'!D41)</f>
        <v>0</v>
      </c>
      <c r="Y28" s="75">
        <f>IF(ISBLANK('Asset #2'!H41),0,'Asset #2'!H41)</f>
        <v>0</v>
      </c>
      <c r="Z28" s="22" t="str">
        <f>IF(ISBLANK('Asset #2'!I41),"N/A",'Asset #2'!I41)</f>
        <v>N/A</v>
      </c>
      <c r="AA28" s="22">
        <f>IF(BI_Tbl_materials[[#This Row],[Asset '#2 - Re/Down out]]="Recycled",1, IF(BI_Tbl_materials[[#This Row],[Asset '#2 - Re/Down out]]="Downcycled", 0.5, 0))</f>
        <v>0</v>
      </c>
      <c r="AB28" s="76">
        <f>IFERROR(BI_Tbl_materials[[#This Row],[Biobased - yes = 1, no = 0]]*(1-BI_Tbl_materials[[#This Row],[Asset '#2 - Recycled (%)]])+BI_Tbl_materials[[#This Row],[Asset '#2 - Recycled (%)]],"")</f>
        <v>0</v>
      </c>
      <c r="AC2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8" s="43" t="str">
        <f>IF(ISBLANK('Asset #3'!C41),"",'Asset #3'!C41*IF('Asset #3'!$D$18="kg/unit",1000,1))</f>
        <v/>
      </c>
      <c r="AF28" s="75">
        <f>IF(ISBLANK('Asset #3'!D41),0,'Asset #3'!D41)</f>
        <v>0</v>
      </c>
      <c r="AG28" s="75">
        <f>IF(ISBLANK('Asset #3'!H41),0,'Asset #3'!H41)</f>
        <v>0</v>
      </c>
      <c r="AH28" s="22" t="str">
        <f>IF(ISBLANK('Asset #3'!I41),"N/A",'Asset #3'!I41)</f>
        <v>N/A</v>
      </c>
      <c r="AI28" s="22">
        <f>IF(BI_Tbl_materials[[#This Row],[Asset '#3 - Re/Down out]]="Recycled",1, IF(BI_Tbl_materials[[#This Row],[Asset '#3 - Re/Down out]]="Downcycled", 0.5, 0))</f>
        <v>0</v>
      </c>
      <c r="AJ28" s="76">
        <f>IFERROR(BI_Tbl_materials[[#This Row],[Biobased - yes = 1, no = 0]]*(1-BI_Tbl_materials[[#This Row],[Asset '#3 - Recycled (%)]])+BI_Tbl_materials[[#This Row],[Asset '#3 - Recycled (%)]],"")</f>
        <v>0</v>
      </c>
      <c r="AK2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29" spans="1:38" x14ac:dyDescent="0.35">
      <c r="B29" s="231" t="s">
        <v>255</v>
      </c>
      <c r="C29" s="231"/>
      <c r="D29" s="231"/>
      <c r="E29" s="231" t="s">
        <v>239</v>
      </c>
      <c r="F29" s="231"/>
      <c r="G29" s="231"/>
      <c r="H29" s="231" t="s">
        <v>239</v>
      </c>
      <c r="I29" s="260">
        <v>0.95445137999999996</v>
      </c>
      <c r="J29" s="260">
        <v>0.95445137999999996</v>
      </c>
      <c r="K29" s="231">
        <v>-0.83240554</v>
      </c>
      <c r="L29" s="231">
        <v>7.4432239999999997E-2</v>
      </c>
      <c r="M29" s="231" t="s">
        <v>240</v>
      </c>
      <c r="N29" s="231">
        <v>1</v>
      </c>
      <c r="O29" s="231" t="str">
        <f>IF(ISBLANK('Asset #1'!C42),"",'Asset #1'!C42*IF('Asset #1'!$D$18="kg/unit",1000,1))</f>
        <v/>
      </c>
      <c r="P29" s="239">
        <f>IF(ISBLANK('Asset #1'!D42),0,'Asset #1'!D42)</f>
        <v>0</v>
      </c>
      <c r="Q29" s="40">
        <f>IF(ISBLANK('Asset #1'!H42),0,'Asset #1'!H42)</f>
        <v>0</v>
      </c>
      <c r="R29" s="22" t="str">
        <f>IF(ISBLANK('Asset #1'!I42),"N/A",'Asset #1'!I42)</f>
        <v>N/A</v>
      </c>
      <c r="S29" s="22">
        <f>IF(BI_Tbl_materials[[#This Row],[Asset '#1 - Re/Down out]]="Recycled",1, IF(BI_Tbl_materials[[#This Row],[Asset '#1 - Re/Down out]]="Downcycled", 0.5, 0))</f>
        <v>0</v>
      </c>
      <c r="T29" s="40">
        <f>IFERROR(BI_Tbl_materials[[#This Row],[Biobased - yes = 1, no = 0]]*(1-BI_Tbl_materials[[#This Row],[Asset '#1 - Recycled (%)]])+BI_Tbl_materials[[#This Row],[Asset '#1 - Recycled (%)]],"")</f>
        <v>1</v>
      </c>
      <c r="U2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2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29" s="43" t="str">
        <f>IF(ISBLANK('Asset #2'!C42),"",'Asset #2'!C42*IF('Asset #2'!$D$18="kg/unit",1000,1))</f>
        <v/>
      </c>
      <c r="X29" s="40">
        <f>IF(ISBLANK('Asset #2'!D42),0,'Asset #2'!D42)</f>
        <v>0</v>
      </c>
      <c r="Y29" s="75">
        <f>IF(ISBLANK('Asset #2'!H42),0,'Asset #2'!H42)</f>
        <v>0</v>
      </c>
      <c r="Z29" s="22" t="str">
        <f>IF(ISBLANK('Asset #2'!I42),"N/A",'Asset #2'!I42)</f>
        <v>N/A</v>
      </c>
      <c r="AA29" s="22">
        <f>IF(BI_Tbl_materials[[#This Row],[Asset '#2 - Re/Down out]]="Recycled",1, IF(BI_Tbl_materials[[#This Row],[Asset '#2 - Re/Down out]]="Downcycled", 0.5, 0))</f>
        <v>0</v>
      </c>
      <c r="AB29" s="76">
        <f>IFERROR(BI_Tbl_materials[[#This Row],[Biobased - yes = 1, no = 0]]*(1-BI_Tbl_materials[[#This Row],[Asset '#2 - Recycled (%)]])+BI_Tbl_materials[[#This Row],[Asset '#2 - Recycled (%)]],"")</f>
        <v>1</v>
      </c>
      <c r="AC2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2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29" s="43" t="str">
        <f>IF(ISBLANK('Asset #3'!C42),"",'Asset #3'!C42*IF('Asset #3'!$D$18="kg/unit",1000,1))</f>
        <v/>
      </c>
      <c r="AF29" s="75">
        <f>IF(ISBLANK('Asset #3'!D42),0,'Asset #3'!D42)</f>
        <v>0</v>
      </c>
      <c r="AG29" s="75">
        <f>IF(ISBLANK('Asset #3'!H42),0,'Asset #3'!H42)</f>
        <v>0</v>
      </c>
      <c r="AH29" s="22" t="str">
        <f>IF(ISBLANK('Asset #3'!I42),"N/A",'Asset #3'!I42)</f>
        <v>N/A</v>
      </c>
      <c r="AI29" s="22">
        <f>IF(BI_Tbl_materials[[#This Row],[Asset '#3 - Re/Down out]]="Recycled",1, IF(BI_Tbl_materials[[#This Row],[Asset '#3 - Re/Down out]]="Downcycled", 0.5, 0))</f>
        <v>0</v>
      </c>
      <c r="AJ29" s="76">
        <f>IFERROR(BI_Tbl_materials[[#This Row],[Biobased - yes = 1, no = 0]]*(1-BI_Tbl_materials[[#This Row],[Asset '#3 - Recycled (%)]])+BI_Tbl_materials[[#This Row],[Asset '#3 - Recycled (%)]],"")</f>
        <v>1</v>
      </c>
      <c r="AK2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2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0" spans="1:38" x14ac:dyDescent="0.35">
      <c r="B30" t="s">
        <v>256</v>
      </c>
      <c r="F30" t="s">
        <v>239</v>
      </c>
      <c r="H30" t="s">
        <v>239</v>
      </c>
      <c r="I30" s="261">
        <v>3.9240526999999997E-3</v>
      </c>
      <c r="J30" s="261">
        <v>2.7999999999999998E-4</v>
      </c>
      <c r="K30">
        <v>1.9753595999999998E-2</v>
      </c>
      <c r="L30">
        <v>5.6607693999999997E-3</v>
      </c>
      <c r="M30" t="s">
        <v>240</v>
      </c>
      <c r="N30">
        <v>0</v>
      </c>
      <c r="O30" s="231" t="str">
        <f>IF(ISBLANK('Asset #1'!C43),"",'Asset #1'!C43*IF('Asset #1'!$D$18="kg/unit",1000,1))</f>
        <v/>
      </c>
      <c r="P30" s="239">
        <f>IF(ISBLANK('Asset #1'!D43),0,'Asset #1'!D43)</f>
        <v>0</v>
      </c>
      <c r="Q30" s="40">
        <f>IF(ISBLANK('Asset #1'!H43),0,'Asset #1'!H43)</f>
        <v>0</v>
      </c>
      <c r="R30" s="22" t="str">
        <f>IF(ISBLANK('Asset #1'!I43),"N/A",'Asset #1'!I43)</f>
        <v>N/A</v>
      </c>
      <c r="S30" s="22">
        <f>IF(BI_Tbl_materials[[#This Row],[Asset '#1 - Re/Down out]]="Recycled",1, IF(BI_Tbl_materials[[#This Row],[Asset '#1 - Re/Down out]]="Downcycled", 0.5, 0))</f>
        <v>0</v>
      </c>
      <c r="T30" s="40">
        <f>IFERROR(BI_Tbl_materials[[#This Row],[Biobased - yes = 1, no = 0]]*(1-BI_Tbl_materials[[#This Row],[Asset '#1 - Recycled (%)]])+BI_Tbl_materials[[#This Row],[Asset '#1 - Recycled (%)]],"")</f>
        <v>0</v>
      </c>
      <c r="U3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0" s="43" t="str">
        <f>IF(ISBLANK('Asset #2'!C43),"",'Asset #2'!C43*IF('Asset #2'!$D$18="kg/unit",1000,1))</f>
        <v/>
      </c>
      <c r="X30" s="40">
        <f>IF(ISBLANK('Asset #2'!D43),0,'Asset #2'!D43)</f>
        <v>0</v>
      </c>
      <c r="Y30" s="75">
        <f>IF(ISBLANK('Asset #2'!H43),0,'Asset #2'!H43)</f>
        <v>0</v>
      </c>
      <c r="Z30" s="22" t="str">
        <f>IF(ISBLANK('Asset #2'!I43),"N/A",'Asset #2'!I43)</f>
        <v>N/A</v>
      </c>
      <c r="AA30" s="22">
        <f>IF(BI_Tbl_materials[[#This Row],[Asset '#2 - Re/Down out]]="Recycled",1, IF(BI_Tbl_materials[[#This Row],[Asset '#2 - Re/Down out]]="Downcycled", 0.5, 0))</f>
        <v>0</v>
      </c>
      <c r="AB30" s="76">
        <f>IFERROR(BI_Tbl_materials[[#This Row],[Biobased - yes = 1, no = 0]]*(1-BI_Tbl_materials[[#This Row],[Asset '#2 - Recycled (%)]])+BI_Tbl_materials[[#This Row],[Asset '#2 - Recycled (%)]],"")</f>
        <v>0</v>
      </c>
      <c r="AC3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0" s="43" t="str">
        <f>IF(ISBLANK('Asset #3'!C43),"",'Asset #3'!C43*IF('Asset #3'!$D$18="kg/unit",1000,1))</f>
        <v/>
      </c>
      <c r="AF30" s="75">
        <f>IF(ISBLANK('Asset #3'!D43),0,'Asset #3'!D43)</f>
        <v>0</v>
      </c>
      <c r="AG30" s="75">
        <f>IF(ISBLANK('Asset #3'!H43),0,'Asset #3'!H43)</f>
        <v>0</v>
      </c>
      <c r="AH30" s="22" t="str">
        <f>IF(ISBLANK('Asset #3'!I43),"N/A",'Asset #3'!I43)</f>
        <v>N/A</v>
      </c>
      <c r="AI30" s="22">
        <f>IF(BI_Tbl_materials[[#This Row],[Asset '#3 - Re/Down out]]="Recycled",1, IF(BI_Tbl_materials[[#This Row],[Asset '#3 - Re/Down out]]="Downcycled", 0.5, 0))</f>
        <v>0</v>
      </c>
      <c r="AJ30" s="76">
        <f>IFERROR(BI_Tbl_materials[[#This Row],[Biobased - yes = 1, no = 0]]*(1-BI_Tbl_materials[[#This Row],[Asset '#3 - Recycled (%)]])+BI_Tbl_materials[[#This Row],[Asset '#3 - Recycled (%)]],"")</f>
        <v>0</v>
      </c>
      <c r="AK3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1" spans="1:38" x14ac:dyDescent="0.35">
      <c r="B31" s="231" t="s">
        <v>257</v>
      </c>
      <c r="C31" s="231"/>
      <c r="D31" s="231" t="s">
        <v>239</v>
      </c>
      <c r="E31" s="231" t="s">
        <v>239</v>
      </c>
      <c r="F31" s="231"/>
      <c r="G31" s="231"/>
      <c r="H31" s="231" t="s">
        <v>239</v>
      </c>
      <c r="I31" s="260">
        <v>5.1234203999999997</v>
      </c>
      <c r="J31" s="260">
        <v>0</v>
      </c>
      <c r="K31" s="231">
        <v>1.8115744</v>
      </c>
      <c r="L31" s="231">
        <v>0.10140971</v>
      </c>
      <c r="M31" s="231" t="s">
        <v>240</v>
      </c>
      <c r="N31" s="231">
        <v>0</v>
      </c>
      <c r="O31" s="231" t="str">
        <f>IF(ISBLANK('Asset #1'!C44),"",'Asset #1'!C44*IF('Asset #1'!$D$18="kg/unit",1000,1))</f>
        <v/>
      </c>
      <c r="P31" s="239">
        <f>IF(ISBLANK('Asset #1'!D44),0,'Asset #1'!D44)</f>
        <v>0</v>
      </c>
      <c r="Q31" s="40">
        <f>IF(ISBLANK('Asset #1'!H44),0,'Asset #1'!H44)</f>
        <v>0</v>
      </c>
      <c r="R31" s="22" t="str">
        <f>IF(ISBLANK('Asset #1'!I44),"N/A",'Asset #1'!I44)</f>
        <v>N/A</v>
      </c>
      <c r="S31" s="22">
        <f>IF(BI_Tbl_materials[[#This Row],[Asset '#1 - Re/Down out]]="Recycled",1, IF(BI_Tbl_materials[[#This Row],[Asset '#1 - Re/Down out]]="Downcycled", 0.5, 0))</f>
        <v>0</v>
      </c>
      <c r="T31" s="40">
        <f>IFERROR(BI_Tbl_materials[[#This Row],[Biobased - yes = 1, no = 0]]*(1-BI_Tbl_materials[[#This Row],[Asset '#1 - Recycled (%)]])+BI_Tbl_materials[[#This Row],[Asset '#1 - Recycled (%)]],"")</f>
        <v>0</v>
      </c>
      <c r="U3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1" s="43" t="str">
        <f>IF(ISBLANK('Asset #2'!C44),"",'Asset #2'!C44*IF('Asset #2'!$D$18="kg/unit",1000,1))</f>
        <v/>
      </c>
      <c r="X31" s="40">
        <f>IF(ISBLANK('Asset #2'!D44),0,'Asset #2'!D44)</f>
        <v>0</v>
      </c>
      <c r="Y31" s="75">
        <f>IF(ISBLANK('Asset #2'!H44),0,'Asset #2'!H44)</f>
        <v>0</v>
      </c>
      <c r="Z31" s="22" t="str">
        <f>IF(ISBLANK('Asset #2'!I44),"N/A",'Asset #2'!I44)</f>
        <v>N/A</v>
      </c>
      <c r="AA31" s="22">
        <f>IF(BI_Tbl_materials[[#This Row],[Asset '#2 - Re/Down out]]="Recycled",1, IF(BI_Tbl_materials[[#This Row],[Asset '#2 - Re/Down out]]="Downcycled", 0.5, 0))</f>
        <v>0</v>
      </c>
      <c r="AB31" s="76">
        <f>IFERROR(BI_Tbl_materials[[#This Row],[Biobased - yes = 1, no = 0]]*(1-BI_Tbl_materials[[#This Row],[Asset '#2 - Recycled (%)]])+BI_Tbl_materials[[#This Row],[Asset '#2 - Recycled (%)]],"")</f>
        <v>0</v>
      </c>
      <c r="AC3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1" s="43" t="str">
        <f>IF(ISBLANK('Asset #3'!C44),"",'Asset #3'!C44*IF('Asset #3'!$D$18="kg/unit",1000,1))</f>
        <v/>
      </c>
      <c r="AF31" s="75">
        <f>IF(ISBLANK('Asset #3'!D44),0,'Asset #3'!D44)</f>
        <v>0</v>
      </c>
      <c r="AG31" s="75">
        <f>IF(ISBLANK('Asset #3'!H44),0,'Asset #3'!H44)</f>
        <v>0</v>
      </c>
      <c r="AH31" s="22" t="str">
        <f>IF(ISBLANK('Asset #3'!I44),"N/A",'Asset #3'!I44)</f>
        <v>N/A</v>
      </c>
      <c r="AI31" s="22">
        <f>IF(BI_Tbl_materials[[#This Row],[Asset '#3 - Re/Down out]]="Recycled",1, IF(BI_Tbl_materials[[#This Row],[Asset '#3 - Re/Down out]]="Downcycled", 0.5, 0))</f>
        <v>0</v>
      </c>
      <c r="AJ31" s="76">
        <f>IFERROR(BI_Tbl_materials[[#This Row],[Biobased - yes = 1, no = 0]]*(1-BI_Tbl_materials[[#This Row],[Asset '#3 - Recycled (%)]])+BI_Tbl_materials[[#This Row],[Asset '#3 - Recycled (%)]],"")</f>
        <v>0</v>
      </c>
      <c r="AK3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2" spans="1:38" x14ac:dyDescent="0.35">
      <c r="B32" t="s">
        <v>258</v>
      </c>
      <c r="C32" t="s">
        <v>239</v>
      </c>
      <c r="D32" t="s">
        <v>239</v>
      </c>
      <c r="E32" t="s">
        <v>239</v>
      </c>
      <c r="F32" t="s">
        <v>239</v>
      </c>
      <c r="H32" t="s">
        <v>239</v>
      </c>
      <c r="I32" s="261">
        <v>2.4952078000000002</v>
      </c>
      <c r="J32" s="261">
        <v>2.4952078000000002</v>
      </c>
      <c r="K32">
        <v>1.9753595999999998E-2</v>
      </c>
      <c r="L32">
        <v>5.6607693999999997E-3</v>
      </c>
      <c r="M32" t="s">
        <v>240</v>
      </c>
      <c r="N32">
        <v>0</v>
      </c>
      <c r="O32" s="231" t="str">
        <f>IF(ISBLANK('Asset #1'!C45),"",'Asset #1'!C45*IF('Asset #1'!$D$18="kg/unit",1000,1))</f>
        <v/>
      </c>
      <c r="P32" s="239">
        <f>IF(ISBLANK('Asset #1'!D45),0,'Asset #1'!D45)</f>
        <v>0</v>
      </c>
      <c r="Q32" s="40">
        <f>IF(ISBLANK('Asset #1'!H45),0,'Asset #1'!H45)</f>
        <v>0</v>
      </c>
      <c r="R32" s="22" t="str">
        <f>IF(ISBLANK('Asset #1'!I45),"N/A",'Asset #1'!I45)</f>
        <v>N/A</v>
      </c>
      <c r="S32" s="22">
        <f>IF(BI_Tbl_materials[[#This Row],[Asset '#1 - Re/Down out]]="Recycled",1, IF(BI_Tbl_materials[[#This Row],[Asset '#1 - Re/Down out]]="Downcycled", 0.5, 0))</f>
        <v>0</v>
      </c>
      <c r="T32" s="40">
        <f>IFERROR(BI_Tbl_materials[[#This Row],[Biobased - yes = 1, no = 0]]*(1-BI_Tbl_materials[[#This Row],[Asset '#1 - Recycled (%)]])+BI_Tbl_materials[[#This Row],[Asset '#1 - Recycled (%)]],"")</f>
        <v>0</v>
      </c>
      <c r="U3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2" s="43" t="str">
        <f>IF(ISBLANK('Asset #2'!C45),"",'Asset #2'!C45*IF('Asset #2'!$D$18="kg/unit",1000,1))</f>
        <v/>
      </c>
      <c r="X32" s="40">
        <f>IF(ISBLANK('Asset #2'!D45),0,'Asset #2'!D45)</f>
        <v>0</v>
      </c>
      <c r="Y32" s="75">
        <f>IF(ISBLANK('Asset #2'!H45),0,'Asset #2'!H45)</f>
        <v>0</v>
      </c>
      <c r="Z32" s="22" t="str">
        <f>IF(ISBLANK('Asset #2'!I45),"N/A",'Asset #2'!I45)</f>
        <v>N/A</v>
      </c>
      <c r="AA32" s="22">
        <f>IF(BI_Tbl_materials[[#This Row],[Asset '#2 - Re/Down out]]="Recycled",1, IF(BI_Tbl_materials[[#This Row],[Asset '#2 - Re/Down out]]="Downcycled", 0.5, 0))</f>
        <v>0</v>
      </c>
      <c r="AB32" s="76">
        <f>IFERROR(BI_Tbl_materials[[#This Row],[Biobased - yes = 1, no = 0]]*(1-BI_Tbl_materials[[#This Row],[Asset '#2 - Recycled (%)]])+BI_Tbl_materials[[#This Row],[Asset '#2 - Recycled (%)]],"")</f>
        <v>0</v>
      </c>
      <c r="AC3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2" s="43" t="str">
        <f>IF(ISBLANK('Asset #3'!C45),"",'Asset #3'!C45*IF('Asset #3'!$D$18="kg/unit",1000,1))</f>
        <v/>
      </c>
      <c r="AF32" s="75">
        <f>IF(ISBLANK('Asset #3'!D45),0,'Asset #3'!D45)</f>
        <v>0</v>
      </c>
      <c r="AG32" s="75">
        <f>IF(ISBLANK('Asset #3'!H45),0,'Asset #3'!H45)</f>
        <v>0</v>
      </c>
      <c r="AH32" s="22" t="str">
        <f>IF(ISBLANK('Asset #3'!I45),"N/A",'Asset #3'!I45)</f>
        <v>N/A</v>
      </c>
      <c r="AI32" s="22">
        <f>IF(BI_Tbl_materials[[#This Row],[Asset '#3 - Re/Down out]]="Recycled",1, IF(BI_Tbl_materials[[#This Row],[Asset '#3 - Re/Down out]]="Downcycled", 0.5, 0))</f>
        <v>0</v>
      </c>
      <c r="AJ32" s="76">
        <f>IFERROR(BI_Tbl_materials[[#This Row],[Biobased - yes = 1, no = 0]]*(1-BI_Tbl_materials[[#This Row],[Asset '#3 - Recycled (%)]])+BI_Tbl_materials[[#This Row],[Asset '#3 - Recycled (%)]],"")</f>
        <v>0</v>
      </c>
      <c r="AK3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3" spans="2:38" x14ac:dyDescent="0.35">
      <c r="B33" t="s">
        <v>259</v>
      </c>
      <c r="C33" t="s">
        <v>239</v>
      </c>
      <c r="D33" t="s">
        <v>239</v>
      </c>
      <c r="E33" t="s">
        <v>239</v>
      </c>
      <c r="F33" t="s">
        <v>239</v>
      </c>
      <c r="G33" t="s">
        <v>239</v>
      </c>
      <c r="H33" t="s">
        <v>239</v>
      </c>
      <c r="I33" s="261">
        <v>3.9179477</v>
      </c>
      <c r="J33" s="261">
        <v>3.9179477</v>
      </c>
      <c r="K33">
        <v>1.0907638</v>
      </c>
      <c r="L33">
        <v>9.0407775999999995E-2</v>
      </c>
      <c r="M33" t="s">
        <v>240</v>
      </c>
      <c r="N33">
        <v>0</v>
      </c>
      <c r="O33" s="231" t="str">
        <f>IF(ISBLANK('Asset #1'!C46),"",'Asset #1'!C46*IF('Asset #1'!$D$18="kg/unit",1000,1))</f>
        <v/>
      </c>
      <c r="P33" s="239">
        <f>IF(ISBLANK('Asset #1'!D46),0,'Asset #1'!D46)</f>
        <v>0</v>
      </c>
      <c r="Q33" s="40">
        <f>IF(ISBLANK('Asset #1'!H46),0,'Asset #1'!H46)</f>
        <v>0</v>
      </c>
      <c r="R33" s="22" t="str">
        <f>IF(ISBLANK('Asset #1'!I46),"N/A",'Asset #1'!I46)</f>
        <v>N/A</v>
      </c>
      <c r="S33" s="22">
        <f>IF(BI_Tbl_materials[[#This Row],[Asset '#1 - Re/Down out]]="Recycled",1, IF(BI_Tbl_materials[[#This Row],[Asset '#1 - Re/Down out]]="Downcycled", 0.5, 0))</f>
        <v>0</v>
      </c>
      <c r="T33" s="40">
        <f>IFERROR(BI_Tbl_materials[[#This Row],[Biobased - yes = 1, no = 0]]*(1-BI_Tbl_materials[[#This Row],[Asset '#1 - Recycled (%)]])+BI_Tbl_materials[[#This Row],[Asset '#1 - Recycled (%)]],"")</f>
        <v>0</v>
      </c>
      <c r="U3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3" s="43" t="str">
        <f>IF(ISBLANK('Asset #2'!C46),"",'Asset #2'!C46*IF('Asset #2'!$D$18="kg/unit",1000,1))</f>
        <v/>
      </c>
      <c r="X33" s="40">
        <f>IF(ISBLANK('Asset #2'!D46),0,'Asset #2'!D46)</f>
        <v>0</v>
      </c>
      <c r="Y33" s="75">
        <f>IF(ISBLANK('Asset #2'!H46),0,'Asset #2'!H46)</f>
        <v>0</v>
      </c>
      <c r="Z33" s="22" t="str">
        <f>IF(ISBLANK('Asset #2'!I46),"N/A",'Asset #2'!I46)</f>
        <v>N/A</v>
      </c>
      <c r="AA33" s="22">
        <f>IF(BI_Tbl_materials[[#This Row],[Asset '#2 - Re/Down out]]="Recycled",1, IF(BI_Tbl_materials[[#This Row],[Asset '#2 - Re/Down out]]="Downcycled", 0.5, 0))</f>
        <v>0</v>
      </c>
      <c r="AB33" s="76">
        <f>IFERROR(BI_Tbl_materials[[#This Row],[Biobased - yes = 1, no = 0]]*(1-BI_Tbl_materials[[#This Row],[Asset '#2 - Recycled (%)]])+BI_Tbl_materials[[#This Row],[Asset '#2 - Recycled (%)]],"")</f>
        <v>0</v>
      </c>
      <c r="AC3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3" s="43" t="str">
        <f>IF(ISBLANK('Asset #3'!C46),"",'Asset #3'!C46*IF('Asset #3'!$D$18="kg/unit",1000,1))</f>
        <v/>
      </c>
      <c r="AF33" s="75">
        <f>IF(ISBLANK('Asset #3'!D46),0,'Asset #3'!D46)</f>
        <v>0</v>
      </c>
      <c r="AG33" s="75">
        <f>IF(ISBLANK('Asset #3'!H46),0,'Asset #3'!H46)</f>
        <v>0</v>
      </c>
      <c r="AH33" s="22" t="str">
        <f>IF(ISBLANK('Asset #3'!I46),"N/A",'Asset #3'!I46)</f>
        <v>N/A</v>
      </c>
      <c r="AI33" s="22">
        <f>IF(BI_Tbl_materials[[#This Row],[Asset '#3 - Re/Down out]]="Recycled",1, IF(BI_Tbl_materials[[#This Row],[Asset '#3 - Re/Down out]]="Downcycled", 0.5, 0))</f>
        <v>0</v>
      </c>
      <c r="AJ33" s="76">
        <f>IFERROR(BI_Tbl_materials[[#This Row],[Biobased - yes = 1, no = 0]]*(1-BI_Tbl_materials[[#This Row],[Asset '#3 - Recycled (%)]])+BI_Tbl_materials[[#This Row],[Asset '#3 - Recycled (%)]],"")</f>
        <v>0</v>
      </c>
      <c r="AK3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4" spans="2:38" x14ac:dyDescent="0.35">
      <c r="B34" s="231" t="s">
        <v>260</v>
      </c>
      <c r="C34" s="231" t="s">
        <v>239</v>
      </c>
      <c r="D34" s="231" t="s">
        <v>239</v>
      </c>
      <c r="E34" s="231" t="s">
        <v>239</v>
      </c>
      <c r="F34" s="231" t="s">
        <v>239</v>
      </c>
      <c r="G34" s="231" t="s">
        <v>239</v>
      </c>
      <c r="H34" s="231" t="s">
        <v>239</v>
      </c>
      <c r="I34" s="260">
        <v>5.5150188</v>
      </c>
      <c r="J34" s="260">
        <v>5.5150188</v>
      </c>
      <c r="K34" s="231">
        <v>1.4516376</v>
      </c>
      <c r="L34" s="231">
        <v>0.10808159000000001</v>
      </c>
      <c r="M34" s="231" t="s">
        <v>240</v>
      </c>
      <c r="N34" s="231">
        <v>0</v>
      </c>
      <c r="O34" s="231" t="str">
        <f>IF(ISBLANK('Asset #1'!C47),"",'Asset #1'!C47*IF('Asset #1'!$D$18="kg/unit",1000,1))</f>
        <v/>
      </c>
      <c r="P34" s="239">
        <f>IF(ISBLANK('Asset #1'!D47),0,'Asset #1'!D47)</f>
        <v>0</v>
      </c>
      <c r="Q34" s="40">
        <f>IF(ISBLANK('Asset #1'!H47),0,'Asset #1'!H47)</f>
        <v>0</v>
      </c>
      <c r="R34" s="22" t="str">
        <f>IF(ISBLANK('Asset #1'!I47),"N/A",'Asset #1'!I47)</f>
        <v>N/A</v>
      </c>
      <c r="S34" s="22">
        <f>IF(BI_Tbl_materials[[#This Row],[Asset '#1 - Re/Down out]]="Recycled",1, IF(BI_Tbl_materials[[#This Row],[Asset '#1 - Re/Down out]]="Downcycled", 0.5, 0))</f>
        <v>0</v>
      </c>
      <c r="T34" s="40">
        <f>IFERROR(BI_Tbl_materials[[#This Row],[Biobased - yes = 1, no = 0]]*(1-BI_Tbl_materials[[#This Row],[Asset '#1 - Recycled (%)]])+BI_Tbl_materials[[#This Row],[Asset '#1 - Recycled (%)]],"")</f>
        <v>0</v>
      </c>
      <c r="U3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4" s="43" t="str">
        <f>IF(ISBLANK('Asset #2'!C47),"",'Asset #2'!C47*IF('Asset #2'!$D$18="kg/unit",1000,1))</f>
        <v/>
      </c>
      <c r="X34" s="40">
        <f>IF(ISBLANK('Asset #2'!D47),0,'Asset #2'!D47)</f>
        <v>0</v>
      </c>
      <c r="Y34" s="75">
        <f>IF(ISBLANK('Asset #2'!H47),0,'Asset #2'!H47)</f>
        <v>0</v>
      </c>
      <c r="Z34" s="22" t="str">
        <f>IF(ISBLANK('Asset #2'!I47),"N/A",'Asset #2'!I47)</f>
        <v>N/A</v>
      </c>
      <c r="AA34" s="22">
        <f>IF(BI_Tbl_materials[[#This Row],[Asset '#2 - Re/Down out]]="Recycled",1, IF(BI_Tbl_materials[[#This Row],[Asset '#2 - Re/Down out]]="Downcycled", 0.5, 0))</f>
        <v>0</v>
      </c>
      <c r="AB34" s="76">
        <f>IFERROR(BI_Tbl_materials[[#This Row],[Biobased - yes = 1, no = 0]]*(1-BI_Tbl_materials[[#This Row],[Asset '#2 - Recycled (%)]])+BI_Tbl_materials[[#This Row],[Asset '#2 - Recycled (%)]],"")</f>
        <v>0</v>
      </c>
      <c r="AC3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4" s="43" t="str">
        <f>IF(ISBLANK('Asset #3'!C47),"",'Asset #3'!C47*IF('Asset #3'!$D$18="kg/unit",1000,1))</f>
        <v/>
      </c>
      <c r="AF34" s="75">
        <f>IF(ISBLANK('Asset #3'!D47),0,'Asset #3'!D47)</f>
        <v>0</v>
      </c>
      <c r="AG34" s="75">
        <f>IF(ISBLANK('Asset #3'!H47),0,'Asset #3'!H47)</f>
        <v>0</v>
      </c>
      <c r="AH34" s="22" t="str">
        <f>IF(ISBLANK('Asset #3'!I47),"N/A",'Asset #3'!I47)</f>
        <v>N/A</v>
      </c>
      <c r="AI34" s="22">
        <f>IF(BI_Tbl_materials[[#This Row],[Asset '#3 - Re/Down out]]="Recycled",1, IF(BI_Tbl_materials[[#This Row],[Asset '#3 - Re/Down out]]="Downcycled", 0.5, 0))</f>
        <v>0</v>
      </c>
      <c r="AJ34" s="76">
        <f>IFERROR(BI_Tbl_materials[[#This Row],[Biobased - yes = 1, no = 0]]*(1-BI_Tbl_materials[[#This Row],[Asset '#3 - Recycled (%)]])+BI_Tbl_materials[[#This Row],[Asset '#3 - Recycled (%)]],"")</f>
        <v>0</v>
      </c>
      <c r="AK3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5" spans="2:38" x14ac:dyDescent="0.35">
      <c r="B35" s="231" t="s">
        <v>261</v>
      </c>
      <c r="C35" s="231"/>
      <c r="D35" s="231" t="s">
        <v>239</v>
      </c>
      <c r="E35" s="231" t="s">
        <v>239</v>
      </c>
      <c r="F35" s="231" t="s">
        <v>239</v>
      </c>
      <c r="G35" s="231" t="s">
        <v>239</v>
      </c>
      <c r="H35" s="231" t="s">
        <v>239</v>
      </c>
      <c r="I35" s="260">
        <v>47778.455000000002</v>
      </c>
      <c r="J35" s="260">
        <v>953.35176999999999</v>
      </c>
      <c r="K35" s="231">
        <v>1.5327402E-2</v>
      </c>
      <c r="L35" s="231">
        <v>1.5163668999999999E-2</v>
      </c>
      <c r="M35" s="231" t="s">
        <v>240</v>
      </c>
      <c r="N35" s="231">
        <v>0</v>
      </c>
      <c r="O35" s="231" t="str">
        <f>IF(ISBLANK('Asset #1'!C48),"",'Asset #1'!C48*IF('Asset #1'!$D$18="kg/unit",1000,1))</f>
        <v/>
      </c>
      <c r="P35" s="239">
        <f>IF(ISBLANK('Asset #1'!D48),0,'Asset #1'!D48)</f>
        <v>0</v>
      </c>
      <c r="Q35" s="40">
        <f>IF(ISBLANK('Asset #1'!H48),0,'Asset #1'!H48)</f>
        <v>0</v>
      </c>
      <c r="R35" s="22" t="str">
        <f>IF(ISBLANK('Asset #1'!I48),"N/A",'Asset #1'!I48)</f>
        <v>N/A</v>
      </c>
      <c r="S35" s="22">
        <f>IF(BI_Tbl_materials[[#This Row],[Asset '#1 - Re/Down out]]="Recycled",1, IF(BI_Tbl_materials[[#This Row],[Asset '#1 - Re/Down out]]="Downcycled", 0.5, 0))</f>
        <v>0</v>
      </c>
      <c r="T35" s="40">
        <f>IFERROR(BI_Tbl_materials[[#This Row],[Biobased - yes = 1, no = 0]]*(1-BI_Tbl_materials[[#This Row],[Asset '#1 - Recycled (%)]])+BI_Tbl_materials[[#This Row],[Asset '#1 - Recycled (%)]],"")</f>
        <v>0</v>
      </c>
      <c r="U3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5" s="43" t="str">
        <f>IF(ISBLANK('Asset #2'!C48),"",'Asset #2'!C48*IF('Asset #2'!$D$18="kg/unit",1000,1))</f>
        <v/>
      </c>
      <c r="X35" s="40">
        <f>IF(ISBLANK('Asset #2'!D48),0,'Asset #2'!D48)</f>
        <v>0</v>
      </c>
      <c r="Y35" s="75">
        <f>IF(ISBLANK('Asset #2'!H48),0,'Asset #2'!H48)</f>
        <v>0</v>
      </c>
      <c r="Z35" s="22" t="str">
        <f>IF(ISBLANK('Asset #2'!I48),"N/A",'Asset #2'!I48)</f>
        <v>N/A</v>
      </c>
      <c r="AA35" s="22">
        <f>IF(BI_Tbl_materials[[#This Row],[Asset '#2 - Re/Down out]]="Recycled",1, IF(BI_Tbl_materials[[#This Row],[Asset '#2 - Re/Down out]]="Downcycled", 0.5, 0))</f>
        <v>0</v>
      </c>
      <c r="AB35" s="76">
        <f>IFERROR(BI_Tbl_materials[[#This Row],[Biobased - yes = 1, no = 0]]*(1-BI_Tbl_materials[[#This Row],[Asset '#2 - Recycled (%)]])+BI_Tbl_materials[[#This Row],[Asset '#2 - Recycled (%)]],"")</f>
        <v>0</v>
      </c>
      <c r="AC3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5" s="43" t="str">
        <f>IF(ISBLANK('Asset #3'!C48),"",'Asset #3'!C48*IF('Asset #3'!$D$18="kg/unit",1000,1))</f>
        <v/>
      </c>
      <c r="AF35" s="75">
        <f>IF(ISBLANK('Asset #3'!D48),0,'Asset #3'!D48)</f>
        <v>0</v>
      </c>
      <c r="AG35" s="75">
        <f>IF(ISBLANK('Asset #3'!H48),0,'Asset #3'!H48)</f>
        <v>0</v>
      </c>
      <c r="AH35" s="22" t="str">
        <f>IF(ISBLANK('Asset #3'!I48),"N/A",'Asset #3'!I48)</f>
        <v>N/A</v>
      </c>
      <c r="AI35" s="22">
        <f>IF(BI_Tbl_materials[[#This Row],[Asset '#3 - Re/Down out]]="Recycled",1, IF(BI_Tbl_materials[[#This Row],[Asset '#3 - Re/Down out]]="Downcycled", 0.5, 0))</f>
        <v>0</v>
      </c>
      <c r="AJ35" s="76">
        <f>IFERROR(BI_Tbl_materials[[#This Row],[Biobased - yes = 1, no = 0]]*(1-BI_Tbl_materials[[#This Row],[Asset '#3 - Recycled (%)]])+BI_Tbl_materials[[#This Row],[Asset '#3 - Recycled (%)]],"")</f>
        <v>0</v>
      </c>
      <c r="AK3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6" spans="2:38" x14ac:dyDescent="0.35">
      <c r="B36" s="231" t="s">
        <v>262</v>
      </c>
      <c r="C36" s="231"/>
      <c r="D36" s="231"/>
      <c r="E36" s="231"/>
      <c r="F36" s="231" t="s">
        <v>239</v>
      </c>
      <c r="G36" s="231"/>
      <c r="H36" s="231" t="s">
        <v>239</v>
      </c>
      <c r="I36" s="260">
        <v>1.8444874999999999E-2</v>
      </c>
      <c r="J36" s="260">
        <v>2.7999999999999998E-4</v>
      </c>
      <c r="K36" s="231">
        <v>1.9753595999999998E-2</v>
      </c>
      <c r="L36" s="231">
        <v>5.6607693999999997E-3</v>
      </c>
      <c r="M36" s="231" t="s">
        <v>240</v>
      </c>
      <c r="N36" s="231">
        <v>0</v>
      </c>
      <c r="O36" s="231" t="str">
        <f>IF(ISBLANK('Asset #1'!C49),"",'Asset #1'!C49*IF('Asset #1'!$D$18="kg/unit",1000,1))</f>
        <v/>
      </c>
      <c r="P36" s="239">
        <f>IF(ISBLANK('Asset #1'!D49),0,'Asset #1'!D49)</f>
        <v>0</v>
      </c>
      <c r="Q36" s="40">
        <f>IF(ISBLANK('Asset #1'!H49),0,'Asset #1'!H49)</f>
        <v>0</v>
      </c>
      <c r="R36" s="22" t="str">
        <f>IF(ISBLANK('Asset #1'!I49),"N/A",'Asset #1'!I49)</f>
        <v>N/A</v>
      </c>
      <c r="S36" s="22">
        <f>IF(BI_Tbl_materials[[#This Row],[Asset '#1 - Re/Down out]]="Recycled",1, IF(BI_Tbl_materials[[#This Row],[Asset '#1 - Re/Down out]]="Downcycled", 0.5, 0))</f>
        <v>0</v>
      </c>
      <c r="T36" s="40">
        <f>IFERROR(BI_Tbl_materials[[#This Row],[Biobased - yes = 1, no = 0]]*(1-BI_Tbl_materials[[#This Row],[Asset '#1 - Recycled (%)]])+BI_Tbl_materials[[#This Row],[Asset '#1 - Recycled (%)]],"")</f>
        <v>0</v>
      </c>
      <c r="U3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6" s="43" t="str">
        <f>IF(ISBLANK('Asset #2'!C49),"",'Asset #2'!C49*IF('Asset #2'!$D$18="kg/unit",1000,1))</f>
        <v/>
      </c>
      <c r="X36" s="40">
        <f>IF(ISBLANK('Asset #2'!D49),0,'Asset #2'!D49)</f>
        <v>0</v>
      </c>
      <c r="Y36" s="75">
        <f>IF(ISBLANK('Asset #2'!H49),0,'Asset #2'!H49)</f>
        <v>0</v>
      </c>
      <c r="Z36" s="22" t="str">
        <f>IF(ISBLANK('Asset #2'!I49),"N/A",'Asset #2'!I49)</f>
        <v>N/A</v>
      </c>
      <c r="AA36" s="22">
        <f>IF(BI_Tbl_materials[[#This Row],[Asset '#2 - Re/Down out]]="Recycled",1, IF(BI_Tbl_materials[[#This Row],[Asset '#2 - Re/Down out]]="Downcycled", 0.5, 0))</f>
        <v>0</v>
      </c>
      <c r="AB36" s="76">
        <f>IFERROR(BI_Tbl_materials[[#This Row],[Biobased - yes = 1, no = 0]]*(1-BI_Tbl_materials[[#This Row],[Asset '#2 - Recycled (%)]])+BI_Tbl_materials[[#This Row],[Asset '#2 - Recycled (%)]],"")</f>
        <v>0</v>
      </c>
      <c r="AC3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6" s="43" t="str">
        <f>IF(ISBLANK('Asset #3'!C49),"",'Asset #3'!C49*IF('Asset #3'!$D$18="kg/unit",1000,1))</f>
        <v/>
      </c>
      <c r="AF36" s="75">
        <f>IF(ISBLANK('Asset #3'!D49),0,'Asset #3'!D49)</f>
        <v>0</v>
      </c>
      <c r="AG36" s="75">
        <f>IF(ISBLANK('Asset #3'!H49),0,'Asset #3'!H49)</f>
        <v>0</v>
      </c>
      <c r="AH36" s="22" t="str">
        <f>IF(ISBLANK('Asset #3'!I49),"N/A",'Asset #3'!I49)</f>
        <v>N/A</v>
      </c>
      <c r="AI36" s="22">
        <f>IF(BI_Tbl_materials[[#This Row],[Asset '#3 - Re/Down out]]="Recycled",1, IF(BI_Tbl_materials[[#This Row],[Asset '#3 - Re/Down out]]="Downcycled", 0.5, 0))</f>
        <v>0</v>
      </c>
      <c r="AJ36" s="76">
        <f>IFERROR(BI_Tbl_materials[[#This Row],[Biobased - yes = 1, no = 0]]*(1-BI_Tbl_materials[[#This Row],[Asset '#3 - Recycled (%)]])+BI_Tbl_materials[[#This Row],[Asset '#3 - Recycled (%)]],"")</f>
        <v>0</v>
      </c>
      <c r="AK3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7" spans="2:38" x14ac:dyDescent="0.35">
      <c r="B37" s="231" t="s">
        <v>263</v>
      </c>
      <c r="C37" s="231" t="s">
        <v>239</v>
      </c>
      <c r="D37" s="231" t="s">
        <v>239</v>
      </c>
      <c r="E37" s="231" t="s">
        <v>239</v>
      </c>
      <c r="F37" s="231" t="s">
        <v>239</v>
      </c>
      <c r="G37" s="231" t="s">
        <v>239</v>
      </c>
      <c r="H37" s="231" t="s">
        <v>239</v>
      </c>
      <c r="I37" s="260">
        <v>2.8302510000000001</v>
      </c>
      <c r="J37" s="260">
        <v>0.75444893999999996</v>
      </c>
      <c r="K37" s="231">
        <v>1.2885023</v>
      </c>
      <c r="L37" s="231">
        <v>0.12755082000000001</v>
      </c>
      <c r="M37" s="231" t="s">
        <v>240</v>
      </c>
      <c r="N37" s="231">
        <v>0</v>
      </c>
      <c r="O37" s="231" t="str">
        <f>IF(ISBLANK('Asset #1'!C50),"",'Asset #1'!C50*IF('Asset #1'!$D$18="kg/unit",1000,1))</f>
        <v/>
      </c>
      <c r="P37" s="239">
        <f>IF(ISBLANK('Asset #1'!D50),0,'Asset #1'!D50)</f>
        <v>0</v>
      </c>
      <c r="Q37" s="40">
        <f>IF(ISBLANK('Asset #1'!H50),0,'Asset #1'!H50)</f>
        <v>0</v>
      </c>
      <c r="R37" s="22" t="str">
        <f>IF(ISBLANK('Asset #1'!I50),"N/A",'Asset #1'!I50)</f>
        <v>N/A</v>
      </c>
      <c r="S37" s="22">
        <f>IF(BI_Tbl_materials[[#This Row],[Asset '#1 - Re/Down out]]="Recycled",1, IF(BI_Tbl_materials[[#This Row],[Asset '#1 - Re/Down out]]="Downcycled", 0.5, 0))</f>
        <v>0</v>
      </c>
      <c r="T37" s="40">
        <f>IFERROR(BI_Tbl_materials[[#This Row],[Biobased - yes = 1, no = 0]]*(1-BI_Tbl_materials[[#This Row],[Asset '#1 - Recycled (%)]])+BI_Tbl_materials[[#This Row],[Asset '#1 - Recycled (%)]],"")</f>
        <v>0</v>
      </c>
      <c r="U3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7" s="43" t="str">
        <f>IF(ISBLANK('Asset #2'!C50),"",'Asset #2'!C50*IF('Asset #2'!$D$18="kg/unit",1000,1))</f>
        <v/>
      </c>
      <c r="X37" s="40">
        <f>IF(ISBLANK('Asset #2'!D50),0,'Asset #2'!D50)</f>
        <v>0</v>
      </c>
      <c r="Y37" s="75">
        <f>IF(ISBLANK('Asset #2'!H50),0,'Asset #2'!H50)</f>
        <v>0</v>
      </c>
      <c r="Z37" s="22" t="str">
        <f>IF(ISBLANK('Asset #2'!I50),"N/A",'Asset #2'!I50)</f>
        <v>N/A</v>
      </c>
      <c r="AA37" s="22">
        <f>IF(BI_Tbl_materials[[#This Row],[Asset '#2 - Re/Down out]]="Recycled",1, IF(BI_Tbl_materials[[#This Row],[Asset '#2 - Re/Down out]]="Downcycled", 0.5, 0))</f>
        <v>0</v>
      </c>
      <c r="AB37" s="76">
        <f>IFERROR(BI_Tbl_materials[[#This Row],[Biobased - yes = 1, no = 0]]*(1-BI_Tbl_materials[[#This Row],[Asset '#2 - Recycled (%)]])+BI_Tbl_materials[[#This Row],[Asset '#2 - Recycled (%)]],"")</f>
        <v>0</v>
      </c>
      <c r="AC3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7" s="43" t="str">
        <f>IF(ISBLANK('Asset #3'!C50),"",'Asset #3'!C50*IF('Asset #3'!$D$18="kg/unit",1000,1))</f>
        <v/>
      </c>
      <c r="AF37" s="75">
        <f>IF(ISBLANK('Asset #3'!D50),0,'Asset #3'!D50)</f>
        <v>0</v>
      </c>
      <c r="AG37" s="75">
        <f>IF(ISBLANK('Asset #3'!H50),0,'Asset #3'!H50)</f>
        <v>0</v>
      </c>
      <c r="AH37" s="22" t="str">
        <f>IF(ISBLANK('Asset #3'!I50),"N/A",'Asset #3'!I50)</f>
        <v>N/A</v>
      </c>
      <c r="AI37" s="22">
        <f>IF(BI_Tbl_materials[[#This Row],[Asset '#3 - Re/Down out]]="Recycled",1, IF(BI_Tbl_materials[[#This Row],[Asset '#3 - Re/Down out]]="Downcycled", 0.5, 0))</f>
        <v>0</v>
      </c>
      <c r="AJ37" s="76">
        <f>IFERROR(BI_Tbl_materials[[#This Row],[Biobased - yes = 1, no = 0]]*(1-BI_Tbl_materials[[#This Row],[Asset '#3 - Recycled (%)]])+BI_Tbl_materials[[#This Row],[Asset '#3 - Recycled (%)]],"")</f>
        <v>0</v>
      </c>
      <c r="AK3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8" spans="2:38" x14ac:dyDescent="0.35">
      <c r="B38" s="231" t="s">
        <v>264</v>
      </c>
      <c r="C38" s="231" t="s">
        <v>239</v>
      </c>
      <c r="D38" s="231"/>
      <c r="E38" s="231" t="s">
        <v>239</v>
      </c>
      <c r="F38" s="231"/>
      <c r="G38" s="231"/>
      <c r="H38" s="231" t="s">
        <v>239</v>
      </c>
      <c r="I38" s="260">
        <v>4.1605230999999998</v>
      </c>
      <c r="J38" s="260">
        <v>4.1605230999999998</v>
      </c>
      <c r="K38" s="231">
        <v>1.9792983</v>
      </c>
      <c r="L38" s="231">
        <v>6.0825145000000004E-3</v>
      </c>
      <c r="M38" s="231" t="s">
        <v>240</v>
      </c>
      <c r="N38" s="231">
        <v>0</v>
      </c>
      <c r="O38" s="231" t="str">
        <f>IF(ISBLANK('Asset #1'!C51),"",'Asset #1'!C51*IF('Asset #1'!$D$18="kg/unit",1000,1))</f>
        <v/>
      </c>
      <c r="P38" s="239">
        <f>IF(ISBLANK('Asset #1'!D51),0,'Asset #1'!D51)</f>
        <v>0</v>
      </c>
      <c r="Q38" s="40">
        <f>IF(ISBLANK('Asset #1'!H51),0,'Asset #1'!H51)</f>
        <v>0</v>
      </c>
      <c r="R38" s="22" t="str">
        <f>IF(ISBLANK('Asset #1'!I51),"N/A",'Asset #1'!I51)</f>
        <v>N/A</v>
      </c>
      <c r="S38" s="22">
        <f>IF(BI_Tbl_materials[[#This Row],[Asset '#1 - Re/Down out]]="Recycled",1, IF(BI_Tbl_materials[[#This Row],[Asset '#1 - Re/Down out]]="Downcycled", 0.5, 0))</f>
        <v>0</v>
      </c>
      <c r="T38" s="40">
        <f>IFERROR(BI_Tbl_materials[[#This Row],[Biobased - yes = 1, no = 0]]*(1-BI_Tbl_materials[[#This Row],[Asset '#1 - Recycled (%)]])+BI_Tbl_materials[[#This Row],[Asset '#1 - Recycled (%)]],"")</f>
        <v>0</v>
      </c>
      <c r="U3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3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38" s="43" t="str">
        <f>IF(ISBLANK('Asset #2'!C51),"",'Asset #2'!C51*IF('Asset #2'!$D$18="kg/unit",1000,1))</f>
        <v/>
      </c>
      <c r="X38" s="40">
        <f>IF(ISBLANK('Asset #2'!D51),0,'Asset #2'!D51)</f>
        <v>0</v>
      </c>
      <c r="Y38" s="75">
        <f>IF(ISBLANK('Asset #2'!H51),0,'Asset #2'!H51)</f>
        <v>0</v>
      </c>
      <c r="Z38" s="22" t="str">
        <f>IF(ISBLANK('Asset #2'!I51),"N/A",'Asset #2'!I51)</f>
        <v>N/A</v>
      </c>
      <c r="AA38" s="22">
        <f>IF(BI_Tbl_materials[[#This Row],[Asset '#2 - Re/Down out]]="Recycled",1, IF(BI_Tbl_materials[[#This Row],[Asset '#2 - Re/Down out]]="Downcycled", 0.5, 0))</f>
        <v>0</v>
      </c>
      <c r="AB38" s="76">
        <f>IFERROR(BI_Tbl_materials[[#This Row],[Biobased - yes = 1, no = 0]]*(1-BI_Tbl_materials[[#This Row],[Asset '#2 - Recycled (%)]])+BI_Tbl_materials[[#This Row],[Asset '#2 - Recycled (%)]],"")</f>
        <v>0</v>
      </c>
      <c r="AC3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3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38" s="43" t="str">
        <f>IF(ISBLANK('Asset #3'!C51),"",'Asset #3'!C51*IF('Asset #3'!$D$18="kg/unit",1000,1))</f>
        <v/>
      </c>
      <c r="AF38" s="75">
        <f>IF(ISBLANK('Asset #3'!D51),0,'Asset #3'!D51)</f>
        <v>0</v>
      </c>
      <c r="AG38" s="75">
        <f>IF(ISBLANK('Asset #3'!H51),0,'Asset #3'!H51)</f>
        <v>0</v>
      </c>
      <c r="AH38" s="22" t="str">
        <f>IF(ISBLANK('Asset #3'!I51),"N/A",'Asset #3'!I51)</f>
        <v>N/A</v>
      </c>
      <c r="AI38" s="22">
        <f>IF(BI_Tbl_materials[[#This Row],[Asset '#3 - Re/Down out]]="Recycled",1, IF(BI_Tbl_materials[[#This Row],[Asset '#3 - Re/Down out]]="Downcycled", 0.5, 0))</f>
        <v>0</v>
      </c>
      <c r="AJ38" s="76">
        <f>IFERROR(BI_Tbl_materials[[#This Row],[Biobased - yes = 1, no = 0]]*(1-BI_Tbl_materials[[#This Row],[Asset '#3 - Recycled (%)]])+BI_Tbl_materials[[#This Row],[Asset '#3 - Recycled (%)]],"")</f>
        <v>0</v>
      </c>
      <c r="AK3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3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39" spans="2:38" x14ac:dyDescent="0.35">
      <c r="B39" s="231" t="s">
        <v>548</v>
      </c>
      <c r="C39" s="235"/>
      <c r="D39" s="231" t="s">
        <v>239</v>
      </c>
      <c r="E39" s="235"/>
      <c r="F39" s="235"/>
      <c r="G39" s="235"/>
      <c r="H39" s="231" t="s">
        <v>239</v>
      </c>
      <c r="I39" s="260"/>
      <c r="J39" s="260"/>
      <c r="K39" s="231" t="s">
        <v>272</v>
      </c>
      <c r="L39" s="231" t="s">
        <v>272</v>
      </c>
      <c r="M39" s="235"/>
      <c r="N39" s="231">
        <v>0</v>
      </c>
      <c r="O39" s="231">
        <f>IF(ISBLANK('Asset #1'!C52),"",'Asset #1'!C52*IF('Asset #1'!$D$18="kg/unit",1000,1))</f>
        <v>0</v>
      </c>
      <c r="P39" s="239">
        <f>IF(ISBLANK('Asset #1'!D52),0,'Asset #1'!D52)</f>
        <v>0</v>
      </c>
      <c r="Q39" s="40">
        <f>IF(ISBLANK('Asset #1'!H52),0,'Asset #1'!H52)</f>
        <v>0</v>
      </c>
      <c r="R39" s="22" t="str">
        <f>IF(ISBLANK('Asset #1'!I52),"N/A",'Asset #1'!I52)</f>
        <v>N/A</v>
      </c>
      <c r="S39" s="22">
        <f>IF(BI_Tbl_materials[[#This Row],[Asset '#1 - Re/Down out]]="Recycled",1, IF(BI_Tbl_materials[[#This Row],[Asset '#1 - Re/Down out]]="Downcycled", 0.5, 0))</f>
        <v>0</v>
      </c>
      <c r="T39" s="40">
        <f>IFERROR(BI_Tbl_materials[[#This Row],[Biobased - yes = 1, no = 0]]*(1-BI_Tbl_materials[[#This Row],[Asset '#1 - Recycled (%)]])+BI_Tbl_materials[[#This Row],[Asset '#1 - Recycled (%)]],"")</f>
        <v>0</v>
      </c>
      <c r="U39" s="41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>0</v>
      </c>
      <c r="V39" s="41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>0</v>
      </c>
      <c r="W39" s="43">
        <f>IF(ISBLANK('Asset #2'!C52),"",'Asset #2'!C52*IF('Asset #2'!$D$18="kg/unit",1000,1))</f>
        <v>0</v>
      </c>
      <c r="X39" s="40">
        <f>IF(ISBLANK('Asset #2'!D52),0,'Asset #2'!D52)</f>
        <v>0</v>
      </c>
      <c r="Y39" s="75">
        <f>IF(ISBLANK('Asset #2'!H52),0,'Asset #2'!H52)</f>
        <v>0</v>
      </c>
      <c r="Z39" s="22" t="str">
        <f>IF(ISBLANK('Asset #2'!I52),"N/A",'Asset #2'!I52)</f>
        <v>N/A</v>
      </c>
      <c r="AA39" s="22">
        <f>IF(BI_Tbl_materials[[#This Row],[Asset '#2 - Re/Down out]]="Recycled",1, IF(BI_Tbl_materials[[#This Row],[Asset '#2 - Re/Down out]]="Downcycled", 0.5, 0))</f>
        <v>0</v>
      </c>
      <c r="AB39" s="76">
        <f>IFERROR(BI_Tbl_materials[[#This Row],[Biobased - yes = 1, no = 0]]*(1-BI_Tbl_materials[[#This Row],[Asset '#2 - Recycled (%)]])+BI_Tbl_materials[[#This Row],[Asset '#2 - Recycled (%)]],"")</f>
        <v>0</v>
      </c>
      <c r="AC39" s="41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>0</v>
      </c>
      <c r="AD39" s="41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>0</v>
      </c>
      <c r="AE39" s="43">
        <f>IF(ISBLANK('Asset #3'!C52),"",'Asset #3'!C52*IF('Asset #3'!$D$18="kg/unit",1000,1))</f>
        <v>0</v>
      </c>
      <c r="AF39" s="75">
        <f>IF(ISBLANK('Asset #3'!D52),0,'Asset #3'!D52)</f>
        <v>0</v>
      </c>
      <c r="AG39" s="75">
        <f>IF(ISBLANK('Asset #3'!H52),0,'Asset #3'!H52)</f>
        <v>0</v>
      </c>
      <c r="AH39" s="22" t="str">
        <f>IF(ISBLANK('Asset #3'!I52),"N/A",'Asset #3'!I52)</f>
        <v>N/A</v>
      </c>
      <c r="AI39" s="22">
        <f>IF(BI_Tbl_materials[[#This Row],[Asset '#3 - Re/Down out]]="Recycled",1, IF(BI_Tbl_materials[[#This Row],[Asset '#3 - Re/Down out]]="Downcycled", 0.5, 0))</f>
        <v>0</v>
      </c>
      <c r="AJ39" s="76">
        <f>IFERROR(BI_Tbl_materials[[#This Row],[Biobased - yes = 1, no = 0]]*(1-BI_Tbl_materials[[#This Row],[Asset '#3 - Recycled (%)]])+BI_Tbl_materials[[#This Row],[Asset '#3 - Recycled (%)]],"")</f>
        <v>0</v>
      </c>
      <c r="AK39" s="41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>0</v>
      </c>
      <c r="AL39" s="41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>0</v>
      </c>
    </row>
    <row r="40" spans="2:38" x14ac:dyDescent="0.35">
      <c r="B40" s="231" t="s">
        <v>265</v>
      </c>
      <c r="C40" s="231" t="s">
        <v>239</v>
      </c>
      <c r="D40" s="231" t="s">
        <v>239</v>
      </c>
      <c r="E40" s="231" t="s">
        <v>239</v>
      </c>
      <c r="F40" s="231" t="s">
        <v>239</v>
      </c>
      <c r="G40" s="231"/>
      <c r="H40" s="231" t="s">
        <v>239</v>
      </c>
      <c r="I40" s="260">
        <v>2.4871112000000002</v>
      </c>
      <c r="J40" s="260">
        <v>0.62279068000000004</v>
      </c>
      <c r="K40" s="231">
        <v>1.1591216E-2</v>
      </c>
      <c r="L40" s="231">
        <v>6.0825145000000004E-3</v>
      </c>
      <c r="M40" s="231" t="s">
        <v>240</v>
      </c>
      <c r="N40" s="231">
        <v>0</v>
      </c>
      <c r="O40" s="231" t="str">
        <f>IF(ISBLANK('Asset #1'!C53),"",'Asset #1'!C53*IF('Asset #1'!$D$18="kg/unit",1000,1))</f>
        <v/>
      </c>
      <c r="P40" s="239">
        <f>IF(ISBLANK('Asset #1'!D53),0,'Asset #1'!D53)</f>
        <v>0</v>
      </c>
      <c r="Q40" s="40">
        <f>IF(ISBLANK('Asset #1'!H53),0,'Asset #1'!H53)</f>
        <v>0</v>
      </c>
      <c r="R40" s="22" t="str">
        <f>IF(ISBLANK('Asset #1'!I53),"N/A",'Asset #1'!I53)</f>
        <v>N/A</v>
      </c>
      <c r="S40" s="22">
        <f>IF(BI_Tbl_materials[[#This Row],[Asset '#1 - Re/Down out]]="Recycled",1, IF(BI_Tbl_materials[[#This Row],[Asset '#1 - Re/Down out]]="Downcycled", 0.5, 0))</f>
        <v>0</v>
      </c>
      <c r="T40" s="40">
        <f>IFERROR(BI_Tbl_materials[[#This Row],[Biobased - yes = 1, no = 0]]*(1-BI_Tbl_materials[[#This Row],[Asset '#1 - Recycled (%)]])+BI_Tbl_materials[[#This Row],[Asset '#1 - Recycled (%)]],"")</f>
        <v>0</v>
      </c>
      <c r="U4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0" s="43" t="str">
        <f>IF(ISBLANK('Asset #2'!C53),"",'Asset #2'!C53*IF('Asset #2'!$D$18="kg/unit",1000,1))</f>
        <v/>
      </c>
      <c r="X40" s="40">
        <f>IF(ISBLANK('Asset #2'!D53),0,'Asset #2'!D53)</f>
        <v>0</v>
      </c>
      <c r="Y40" s="75">
        <f>IF(ISBLANK('Asset #2'!H53),0,'Asset #2'!H53)</f>
        <v>0</v>
      </c>
      <c r="Z40" s="22" t="str">
        <f>IF(ISBLANK('Asset #2'!I53),"N/A",'Asset #2'!I53)</f>
        <v>N/A</v>
      </c>
      <c r="AA40" s="22">
        <f>IF(BI_Tbl_materials[[#This Row],[Asset '#2 - Re/Down out]]="Recycled",1, IF(BI_Tbl_materials[[#This Row],[Asset '#2 - Re/Down out]]="Downcycled", 0.5, 0))</f>
        <v>0</v>
      </c>
      <c r="AB40" s="76">
        <f>IFERROR(BI_Tbl_materials[[#This Row],[Biobased - yes = 1, no = 0]]*(1-BI_Tbl_materials[[#This Row],[Asset '#2 - Recycled (%)]])+BI_Tbl_materials[[#This Row],[Asset '#2 - Recycled (%)]],"")</f>
        <v>0</v>
      </c>
      <c r="AC4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0" s="43" t="str">
        <f>IF(ISBLANK('Asset #3'!C53),"",'Asset #3'!C53*IF('Asset #3'!$D$18="kg/unit",1000,1))</f>
        <v/>
      </c>
      <c r="AF40" s="75">
        <f>IF(ISBLANK('Asset #3'!D53),0,'Asset #3'!D53)</f>
        <v>0</v>
      </c>
      <c r="AG40" s="75">
        <f>IF(ISBLANK('Asset #3'!H53),0,'Asset #3'!H53)</f>
        <v>0</v>
      </c>
      <c r="AH40" s="22" t="str">
        <f>IF(ISBLANK('Asset #3'!I53),"N/A",'Asset #3'!I53)</f>
        <v>N/A</v>
      </c>
      <c r="AI40" s="22">
        <f>IF(BI_Tbl_materials[[#This Row],[Asset '#3 - Re/Down out]]="Recycled",1, IF(BI_Tbl_materials[[#This Row],[Asset '#3 - Re/Down out]]="Downcycled", 0.5, 0))</f>
        <v>0</v>
      </c>
      <c r="AJ40" s="76">
        <f>IFERROR(BI_Tbl_materials[[#This Row],[Biobased - yes = 1, no = 0]]*(1-BI_Tbl_materials[[#This Row],[Asset '#3 - Recycled (%)]])+BI_Tbl_materials[[#This Row],[Asset '#3 - Recycled (%)]],"")</f>
        <v>0</v>
      </c>
      <c r="AK4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1" spans="2:38" x14ac:dyDescent="0.35">
      <c r="B41" t="s">
        <v>266</v>
      </c>
      <c r="C41" t="s">
        <v>239</v>
      </c>
      <c r="D41" t="s">
        <v>239</v>
      </c>
      <c r="E41" t="s">
        <v>239</v>
      </c>
      <c r="G41" t="s">
        <v>239</v>
      </c>
      <c r="H41" t="s">
        <v>239</v>
      </c>
      <c r="I41" s="261">
        <v>2.9661268999999999</v>
      </c>
      <c r="J41" s="261">
        <v>0.75444893999999996</v>
      </c>
      <c r="K41">
        <v>1.2885023</v>
      </c>
      <c r="L41">
        <v>0.12755082000000001</v>
      </c>
      <c r="M41" t="s">
        <v>240</v>
      </c>
      <c r="N41">
        <v>0</v>
      </c>
      <c r="O41" s="231" t="str">
        <f>IF(ISBLANK('Asset #1'!C54),"",'Asset #1'!C54*IF('Asset #1'!$D$18="kg/unit",1000,1))</f>
        <v/>
      </c>
      <c r="P41" s="239">
        <f>IF(ISBLANK('Asset #1'!D54),0,'Asset #1'!D54)</f>
        <v>0</v>
      </c>
      <c r="Q41" s="40">
        <f>IF(ISBLANK('Asset #1'!H54),0,'Asset #1'!H54)</f>
        <v>0</v>
      </c>
      <c r="R41" s="22" t="str">
        <f>IF(ISBLANK('Asset #1'!I54),"N/A",'Asset #1'!I54)</f>
        <v>N/A</v>
      </c>
      <c r="S41" s="22">
        <f>IF(BI_Tbl_materials[[#This Row],[Asset '#1 - Re/Down out]]="Recycled",1, IF(BI_Tbl_materials[[#This Row],[Asset '#1 - Re/Down out]]="Downcycled", 0.5, 0))</f>
        <v>0</v>
      </c>
      <c r="T41" s="40">
        <f>IFERROR(BI_Tbl_materials[[#This Row],[Biobased - yes = 1, no = 0]]*(1-BI_Tbl_materials[[#This Row],[Asset '#1 - Recycled (%)]])+BI_Tbl_materials[[#This Row],[Asset '#1 - Recycled (%)]],"")</f>
        <v>0</v>
      </c>
      <c r="U4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1" s="43" t="str">
        <f>IF(ISBLANK('Asset #2'!C54),"",'Asset #2'!C54*IF('Asset #2'!$D$18="kg/unit",1000,1))</f>
        <v/>
      </c>
      <c r="X41" s="40">
        <f>IF(ISBLANK('Asset #2'!D54),0,'Asset #2'!D54)</f>
        <v>0</v>
      </c>
      <c r="Y41" s="75">
        <f>IF(ISBLANK('Asset #2'!H54),0,'Asset #2'!H54)</f>
        <v>0</v>
      </c>
      <c r="Z41" s="22" t="str">
        <f>IF(ISBLANK('Asset #2'!I54),"N/A",'Asset #2'!I54)</f>
        <v>N/A</v>
      </c>
      <c r="AA41" s="22">
        <f>IF(BI_Tbl_materials[[#This Row],[Asset '#2 - Re/Down out]]="Recycled",1, IF(BI_Tbl_materials[[#This Row],[Asset '#2 - Re/Down out]]="Downcycled", 0.5, 0))</f>
        <v>0</v>
      </c>
      <c r="AB41" s="76">
        <f>IFERROR(BI_Tbl_materials[[#This Row],[Biobased - yes = 1, no = 0]]*(1-BI_Tbl_materials[[#This Row],[Asset '#2 - Recycled (%)]])+BI_Tbl_materials[[#This Row],[Asset '#2 - Recycled (%)]],"")</f>
        <v>0</v>
      </c>
      <c r="AC4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1" s="43" t="str">
        <f>IF(ISBLANK('Asset #3'!C54),"",'Asset #3'!C54*IF('Asset #3'!$D$18="kg/unit",1000,1))</f>
        <v/>
      </c>
      <c r="AF41" s="75">
        <f>IF(ISBLANK('Asset #3'!D54),0,'Asset #3'!D54)</f>
        <v>0</v>
      </c>
      <c r="AG41" s="75">
        <f>IF(ISBLANK('Asset #3'!H54),0,'Asset #3'!H54)</f>
        <v>0</v>
      </c>
      <c r="AH41" s="22" t="str">
        <f>IF(ISBLANK('Asset #3'!I54),"N/A",'Asset #3'!I54)</f>
        <v>N/A</v>
      </c>
      <c r="AI41" s="22">
        <f>IF(BI_Tbl_materials[[#This Row],[Asset '#3 - Re/Down out]]="Recycled",1, IF(BI_Tbl_materials[[#This Row],[Asset '#3 - Re/Down out]]="Downcycled", 0.5, 0))</f>
        <v>0</v>
      </c>
      <c r="AJ41" s="76">
        <f>IFERROR(BI_Tbl_materials[[#This Row],[Biobased - yes = 1, no = 0]]*(1-BI_Tbl_materials[[#This Row],[Asset '#3 - Recycled (%)]])+BI_Tbl_materials[[#This Row],[Asset '#3 - Recycled (%)]],"")</f>
        <v>0</v>
      </c>
      <c r="AK4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2" spans="2:38" x14ac:dyDescent="0.35">
      <c r="B42" s="231" t="s">
        <v>267</v>
      </c>
      <c r="C42" s="231" t="s">
        <v>239</v>
      </c>
      <c r="D42" s="231" t="s">
        <v>239</v>
      </c>
      <c r="E42" s="231" t="s">
        <v>239</v>
      </c>
      <c r="F42" s="231" t="s">
        <v>239</v>
      </c>
      <c r="G42" s="231" t="s">
        <v>239</v>
      </c>
      <c r="H42" s="231" t="s">
        <v>239</v>
      </c>
      <c r="I42" s="260">
        <v>1.5311075999999999</v>
      </c>
      <c r="J42" s="260">
        <v>1.0717753000000001</v>
      </c>
      <c r="K42" s="231">
        <v>1.5327402E-2</v>
      </c>
      <c r="L42" s="231">
        <v>1.5163668999999999E-2</v>
      </c>
      <c r="M42" s="231" t="s">
        <v>240</v>
      </c>
      <c r="N42" s="231">
        <v>0</v>
      </c>
      <c r="O42" s="231" t="str">
        <f>IF(ISBLANK('Asset #1'!C55),"",'Asset #1'!C55*IF('Asset #1'!$D$18="kg/unit",1000,1))</f>
        <v/>
      </c>
      <c r="P42" s="239">
        <f>IF(ISBLANK('Asset #1'!D55),0,'Asset #1'!D55)</f>
        <v>0</v>
      </c>
      <c r="Q42" s="40">
        <f>IF(ISBLANK('Asset #1'!H55),0,'Asset #1'!H55)</f>
        <v>0</v>
      </c>
      <c r="R42" s="22" t="str">
        <f>IF(ISBLANK('Asset #1'!I55),"N/A",'Asset #1'!I55)</f>
        <v>N/A</v>
      </c>
      <c r="S42" s="22">
        <f>IF(BI_Tbl_materials[[#This Row],[Asset '#1 - Re/Down out]]="Recycled",1, IF(BI_Tbl_materials[[#This Row],[Asset '#1 - Re/Down out]]="Downcycled", 0.5, 0))</f>
        <v>0</v>
      </c>
      <c r="T42" s="40">
        <f>IFERROR(BI_Tbl_materials[[#This Row],[Biobased - yes = 1, no = 0]]*(1-BI_Tbl_materials[[#This Row],[Asset '#1 - Recycled (%)]])+BI_Tbl_materials[[#This Row],[Asset '#1 - Recycled (%)]],"")</f>
        <v>0</v>
      </c>
      <c r="U4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2" s="43" t="str">
        <f>IF(ISBLANK('Asset #2'!C55),"",'Asset #2'!C55*IF('Asset #2'!$D$18="kg/unit",1000,1))</f>
        <v/>
      </c>
      <c r="X42" s="40">
        <f>IF(ISBLANK('Asset #2'!D55),0,'Asset #2'!D55)</f>
        <v>0</v>
      </c>
      <c r="Y42" s="75">
        <f>IF(ISBLANK('Asset #2'!H55),0,'Asset #2'!H55)</f>
        <v>0</v>
      </c>
      <c r="Z42" s="22" t="str">
        <f>IF(ISBLANK('Asset #2'!I55),"N/A",'Asset #2'!I55)</f>
        <v>N/A</v>
      </c>
      <c r="AA42" s="22">
        <f>IF(BI_Tbl_materials[[#This Row],[Asset '#2 - Re/Down out]]="Recycled",1, IF(BI_Tbl_materials[[#This Row],[Asset '#2 - Re/Down out]]="Downcycled", 0.5, 0))</f>
        <v>0</v>
      </c>
      <c r="AB42" s="76">
        <f>IFERROR(BI_Tbl_materials[[#This Row],[Biobased - yes = 1, no = 0]]*(1-BI_Tbl_materials[[#This Row],[Asset '#2 - Recycled (%)]])+BI_Tbl_materials[[#This Row],[Asset '#2 - Recycled (%)]],"")</f>
        <v>0</v>
      </c>
      <c r="AC4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2" s="43" t="str">
        <f>IF(ISBLANK('Asset #3'!C55),"",'Asset #3'!C55*IF('Asset #3'!$D$18="kg/unit",1000,1))</f>
        <v/>
      </c>
      <c r="AF42" s="75">
        <f>IF(ISBLANK('Asset #3'!D55),0,'Asset #3'!D55)</f>
        <v>0</v>
      </c>
      <c r="AG42" s="75">
        <f>IF(ISBLANK('Asset #3'!H55),0,'Asset #3'!H55)</f>
        <v>0</v>
      </c>
      <c r="AH42" s="22" t="str">
        <f>IF(ISBLANK('Asset #3'!I55),"N/A",'Asset #3'!I55)</f>
        <v>N/A</v>
      </c>
      <c r="AI42" s="22">
        <f>IF(BI_Tbl_materials[[#This Row],[Asset '#3 - Re/Down out]]="Recycled",1, IF(BI_Tbl_materials[[#This Row],[Asset '#3 - Re/Down out]]="Downcycled", 0.5, 0))</f>
        <v>0</v>
      </c>
      <c r="AJ42" s="76">
        <f>IFERROR(BI_Tbl_materials[[#This Row],[Biobased - yes = 1, no = 0]]*(1-BI_Tbl_materials[[#This Row],[Asset '#3 - Recycled (%)]])+BI_Tbl_materials[[#This Row],[Asset '#3 - Recycled (%)]],"")</f>
        <v>0</v>
      </c>
      <c r="AK4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3" spans="2:38" x14ac:dyDescent="0.35">
      <c r="B43" s="231" t="s">
        <v>268</v>
      </c>
      <c r="C43" s="231" t="s">
        <v>239</v>
      </c>
      <c r="D43" s="231" t="s">
        <v>239</v>
      </c>
      <c r="E43" s="231" t="s">
        <v>239</v>
      </c>
      <c r="F43" s="231"/>
      <c r="G43" s="231"/>
      <c r="H43" s="231" t="s">
        <v>239</v>
      </c>
      <c r="I43" s="260">
        <v>2.7534326999999998</v>
      </c>
      <c r="J43" s="260">
        <v>2.7534326999999998</v>
      </c>
      <c r="K43" s="231">
        <v>1.5545335</v>
      </c>
      <c r="L43" s="231">
        <v>0.12755082000000001</v>
      </c>
      <c r="M43" s="231" t="s">
        <v>240</v>
      </c>
      <c r="N43" s="231">
        <v>0</v>
      </c>
      <c r="O43" s="231" t="str">
        <f>IF(ISBLANK('Asset #1'!C56),"",'Asset #1'!C56*IF('Asset #1'!$D$18="kg/unit",1000,1))</f>
        <v/>
      </c>
      <c r="P43" s="239">
        <f>IF(ISBLANK('Asset #1'!D56),0,'Asset #1'!D56)</f>
        <v>0</v>
      </c>
      <c r="Q43" s="40">
        <f>IF(ISBLANK('Asset #1'!H56),0,'Asset #1'!H56)</f>
        <v>0</v>
      </c>
      <c r="R43" s="22" t="str">
        <f>IF(ISBLANK('Asset #1'!I56),"N/A",'Asset #1'!I56)</f>
        <v>N/A</v>
      </c>
      <c r="S43" s="22">
        <f>IF(BI_Tbl_materials[[#This Row],[Asset '#1 - Re/Down out]]="Recycled",1, IF(BI_Tbl_materials[[#This Row],[Asset '#1 - Re/Down out]]="Downcycled", 0.5, 0))</f>
        <v>0</v>
      </c>
      <c r="T43" s="40">
        <f>IFERROR(BI_Tbl_materials[[#This Row],[Biobased - yes = 1, no = 0]]*(1-BI_Tbl_materials[[#This Row],[Asset '#1 - Recycled (%)]])+BI_Tbl_materials[[#This Row],[Asset '#1 - Recycled (%)]],"")</f>
        <v>0</v>
      </c>
      <c r="U4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3" s="43" t="str">
        <f>IF(ISBLANK('Asset #2'!C56),"",'Asset #2'!C56*IF('Asset #2'!$D$18="kg/unit",1000,1))</f>
        <v/>
      </c>
      <c r="X43" s="40">
        <f>IF(ISBLANK('Asset #2'!D56),0,'Asset #2'!D56)</f>
        <v>0</v>
      </c>
      <c r="Y43" s="75">
        <f>IF(ISBLANK('Asset #2'!H56),0,'Asset #2'!H56)</f>
        <v>0</v>
      </c>
      <c r="Z43" s="22" t="str">
        <f>IF(ISBLANK('Asset #2'!I56),"N/A",'Asset #2'!I56)</f>
        <v>N/A</v>
      </c>
      <c r="AA43" s="22">
        <f>IF(BI_Tbl_materials[[#This Row],[Asset '#2 - Re/Down out]]="Recycled",1, IF(BI_Tbl_materials[[#This Row],[Asset '#2 - Re/Down out]]="Downcycled", 0.5, 0))</f>
        <v>0</v>
      </c>
      <c r="AB43" s="76">
        <f>IFERROR(BI_Tbl_materials[[#This Row],[Biobased - yes = 1, no = 0]]*(1-BI_Tbl_materials[[#This Row],[Asset '#2 - Recycled (%)]])+BI_Tbl_materials[[#This Row],[Asset '#2 - Recycled (%)]],"")</f>
        <v>0</v>
      </c>
      <c r="AC4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3" s="43" t="str">
        <f>IF(ISBLANK('Asset #3'!C56),"",'Asset #3'!C56*IF('Asset #3'!$D$18="kg/unit",1000,1))</f>
        <v/>
      </c>
      <c r="AF43" s="75">
        <f>IF(ISBLANK('Asset #3'!D56),0,'Asset #3'!D56)</f>
        <v>0</v>
      </c>
      <c r="AG43" s="75">
        <f>IF(ISBLANK('Asset #3'!H56),0,'Asset #3'!H56)</f>
        <v>0</v>
      </c>
      <c r="AH43" s="22" t="str">
        <f>IF(ISBLANK('Asset #3'!I56),"N/A",'Asset #3'!I56)</f>
        <v>N/A</v>
      </c>
      <c r="AI43" s="22">
        <f>IF(BI_Tbl_materials[[#This Row],[Asset '#3 - Re/Down out]]="Recycled",1, IF(BI_Tbl_materials[[#This Row],[Asset '#3 - Re/Down out]]="Downcycled", 0.5, 0))</f>
        <v>0</v>
      </c>
      <c r="AJ43" s="76">
        <f>IFERROR(BI_Tbl_materials[[#This Row],[Biobased - yes = 1, no = 0]]*(1-BI_Tbl_materials[[#This Row],[Asset '#3 - Recycled (%)]])+BI_Tbl_materials[[#This Row],[Asset '#3 - Recycled (%)]],"")</f>
        <v>0</v>
      </c>
      <c r="AK4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4" spans="2:38" x14ac:dyDescent="0.35">
      <c r="B44" t="s">
        <v>269</v>
      </c>
      <c r="C44" t="s">
        <v>239</v>
      </c>
      <c r="D44" t="s">
        <v>239</v>
      </c>
      <c r="E44" t="s">
        <v>239</v>
      </c>
      <c r="G44" t="s">
        <v>239</v>
      </c>
      <c r="H44" t="s">
        <v>239</v>
      </c>
      <c r="I44" s="261">
        <v>2.8981889000000001</v>
      </c>
      <c r="J44" s="261">
        <v>0.75444893999999996</v>
      </c>
      <c r="K44">
        <v>1.2885023</v>
      </c>
      <c r="L44">
        <v>0.12755082000000001</v>
      </c>
      <c r="M44" t="s">
        <v>240</v>
      </c>
      <c r="N44">
        <v>0</v>
      </c>
      <c r="O44" s="231" t="str">
        <f>IF(ISBLANK('Asset #1'!C57),"",'Asset #1'!C57*IF('Asset #1'!$D$18="kg/unit",1000,1))</f>
        <v/>
      </c>
      <c r="P44" s="239">
        <f>IF(ISBLANK('Asset #1'!D57),0,'Asset #1'!D57)</f>
        <v>0</v>
      </c>
      <c r="Q44" s="40">
        <f>IF(ISBLANK('Asset #1'!H57),0,'Asset #1'!H57)</f>
        <v>0</v>
      </c>
      <c r="R44" s="22" t="str">
        <f>IF(ISBLANK('Asset #1'!I57),"N/A",'Asset #1'!I57)</f>
        <v>N/A</v>
      </c>
      <c r="S44" s="22">
        <f>IF(BI_Tbl_materials[[#This Row],[Asset '#1 - Re/Down out]]="Recycled",1, IF(BI_Tbl_materials[[#This Row],[Asset '#1 - Re/Down out]]="Downcycled", 0.5, 0))</f>
        <v>0</v>
      </c>
      <c r="T44" s="40">
        <f>IFERROR(BI_Tbl_materials[[#This Row],[Biobased - yes = 1, no = 0]]*(1-BI_Tbl_materials[[#This Row],[Asset '#1 - Recycled (%)]])+BI_Tbl_materials[[#This Row],[Asset '#1 - Recycled (%)]],"")</f>
        <v>0</v>
      </c>
      <c r="U4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4" s="43" t="str">
        <f>IF(ISBLANK('Asset #2'!C57),"",'Asset #2'!C57*IF('Asset #2'!$D$18="kg/unit",1000,1))</f>
        <v/>
      </c>
      <c r="X44" s="40">
        <f>IF(ISBLANK('Asset #2'!D57),0,'Asset #2'!D57)</f>
        <v>0</v>
      </c>
      <c r="Y44" s="75">
        <f>IF(ISBLANK('Asset #2'!H57),0,'Asset #2'!H57)</f>
        <v>0</v>
      </c>
      <c r="Z44" s="22" t="str">
        <f>IF(ISBLANK('Asset #2'!I57),"N/A",'Asset #2'!I57)</f>
        <v>N/A</v>
      </c>
      <c r="AA44" s="22">
        <f>IF(BI_Tbl_materials[[#This Row],[Asset '#2 - Re/Down out]]="Recycled",1, IF(BI_Tbl_materials[[#This Row],[Asset '#2 - Re/Down out]]="Downcycled", 0.5, 0))</f>
        <v>0</v>
      </c>
      <c r="AB44" s="76">
        <f>IFERROR(BI_Tbl_materials[[#This Row],[Biobased - yes = 1, no = 0]]*(1-BI_Tbl_materials[[#This Row],[Asset '#2 - Recycled (%)]])+BI_Tbl_materials[[#This Row],[Asset '#2 - Recycled (%)]],"")</f>
        <v>0</v>
      </c>
      <c r="AC4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4" s="43" t="str">
        <f>IF(ISBLANK('Asset #3'!C57),"",'Asset #3'!C57*IF('Asset #3'!$D$18="kg/unit",1000,1))</f>
        <v/>
      </c>
      <c r="AF44" s="75">
        <f>IF(ISBLANK('Asset #3'!D57),0,'Asset #3'!D57)</f>
        <v>0</v>
      </c>
      <c r="AG44" s="75">
        <f>IF(ISBLANK('Asset #3'!H57),0,'Asset #3'!H57)</f>
        <v>0</v>
      </c>
      <c r="AH44" s="22" t="str">
        <f>IF(ISBLANK('Asset #3'!I57),"N/A",'Asset #3'!I57)</f>
        <v>N/A</v>
      </c>
      <c r="AI44" s="22">
        <f>IF(BI_Tbl_materials[[#This Row],[Asset '#3 - Re/Down out]]="Recycled",1, IF(BI_Tbl_materials[[#This Row],[Asset '#3 - Re/Down out]]="Downcycled", 0.5, 0))</f>
        <v>0</v>
      </c>
      <c r="AJ44" s="76">
        <f>IFERROR(BI_Tbl_materials[[#This Row],[Biobased - yes = 1, no = 0]]*(1-BI_Tbl_materials[[#This Row],[Asset '#3 - Recycled (%)]])+BI_Tbl_materials[[#This Row],[Asset '#3 - Recycled (%)]],"")</f>
        <v>0</v>
      </c>
      <c r="AK4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5" spans="2:38" x14ac:dyDescent="0.35">
      <c r="B45" s="231" t="s">
        <v>270</v>
      </c>
      <c r="C45" s="231" t="s">
        <v>239</v>
      </c>
      <c r="D45" s="231" t="s">
        <v>239</v>
      </c>
      <c r="E45" s="231" t="s">
        <v>239</v>
      </c>
      <c r="F45" s="231" t="s">
        <v>239</v>
      </c>
      <c r="G45" s="231" t="s">
        <v>239</v>
      </c>
      <c r="H45" s="231" t="s">
        <v>239</v>
      </c>
      <c r="I45" s="260">
        <v>16.44933</v>
      </c>
      <c r="J45" s="260">
        <v>11.514531</v>
      </c>
      <c r="K45" s="231">
        <v>1.5327402E-2</v>
      </c>
      <c r="L45" s="231">
        <v>1.5163668999999999E-2</v>
      </c>
      <c r="M45" s="231" t="s">
        <v>240</v>
      </c>
      <c r="N45" s="231">
        <v>0</v>
      </c>
      <c r="O45" s="231" t="str">
        <f>IF(ISBLANK('Asset #1'!C58),"",'Asset #1'!C58*IF('Asset #1'!$D$18="kg/unit",1000,1))</f>
        <v/>
      </c>
      <c r="P45" s="239">
        <f>IF(ISBLANK('Asset #1'!D58),0,'Asset #1'!D58)</f>
        <v>0</v>
      </c>
      <c r="Q45" s="40">
        <f>IF(ISBLANK('Asset #1'!H58),0,'Asset #1'!H58)</f>
        <v>0</v>
      </c>
      <c r="R45" s="22" t="str">
        <f>IF(ISBLANK('Asset #1'!I58),"N/A",'Asset #1'!I58)</f>
        <v>N/A</v>
      </c>
      <c r="S45" s="22">
        <f>IF(BI_Tbl_materials[[#This Row],[Asset '#1 - Re/Down out]]="Recycled",1, IF(BI_Tbl_materials[[#This Row],[Asset '#1 - Re/Down out]]="Downcycled", 0.5, 0))</f>
        <v>0</v>
      </c>
      <c r="T45" s="40">
        <f>IFERROR(BI_Tbl_materials[[#This Row],[Biobased - yes = 1, no = 0]]*(1-BI_Tbl_materials[[#This Row],[Asset '#1 - Recycled (%)]])+BI_Tbl_materials[[#This Row],[Asset '#1 - Recycled (%)]],"")</f>
        <v>0</v>
      </c>
      <c r="U4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5" s="43" t="str">
        <f>IF(ISBLANK('Asset #2'!C58),"",'Asset #2'!C58*IF('Asset #2'!$D$18="kg/unit",1000,1))</f>
        <v/>
      </c>
      <c r="X45" s="40">
        <f>IF(ISBLANK('Asset #2'!D58),0,'Asset #2'!D58)</f>
        <v>0</v>
      </c>
      <c r="Y45" s="75">
        <f>IF(ISBLANK('Asset #2'!H58),0,'Asset #2'!H58)</f>
        <v>0</v>
      </c>
      <c r="Z45" s="22" t="str">
        <f>IF(ISBLANK('Asset #2'!I58),"N/A",'Asset #2'!I58)</f>
        <v>N/A</v>
      </c>
      <c r="AA45" s="22">
        <f>IF(BI_Tbl_materials[[#This Row],[Asset '#2 - Re/Down out]]="Recycled",1, IF(BI_Tbl_materials[[#This Row],[Asset '#2 - Re/Down out]]="Downcycled", 0.5, 0))</f>
        <v>0</v>
      </c>
      <c r="AB45" s="76">
        <f>IFERROR(BI_Tbl_materials[[#This Row],[Biobased - yes = 1, no = 0]]*(1-BI_Tbl_materials[[#This Row],[Asset '#2 - Recycled (%)]])+BI_Tbl_materials[[#This Row],[Asset '#2 - Recycled (%)]],"")</f>
        <v>0</v>
      </c>
      <c r="AC4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5" s="43" t="str">
        <f>IF(ISBLANK('Asset #3'!C58),"",'Asset #3'!C58*IF('Asset #3'!$D$18="kg/unit",1000,1))</f>
        <v/>
      </c>
      <c r="AF45" s="75">
        <f>IF(ISBLANK('Asset #3'!D58),0,'Asset #3'!D58)</f>
        <v>0</v>
      </c>
      <c r="AG45" s="75">
        <f>IF(ISBLANK('Asset #3'!H58),0,'Asset #3'!H58)</f>
        <v>0</v>
      </c>
      <c r="AH45" s="22" t="str">
        <f>IF(ISBLANK('Asset #3'!I58),"N/A",'Asset #3'!I58)</f>
        <v>N/A</v>
      </c>
      <c r="AI45" s="22">
        <f>IF(BI_Tbl_materials[[#This Row],[Asset '#3 - Re/Down out]]="Recycled",1, IF(BI_Tbl_materials[[#This Row],[Asset '#3 - Re/Down out]]="Downcycled", 0.5, 0))</f>
        <v>0</v>
      </c>
      <c r="AJ45" s="76">
        <f>IFERROR(BI_Tbl_materials[[#This Row],[Biobased - yes = 1, no = 0]]*(1-BI_Tbl_materials[[#This Row],[Asset '#3 - Recycled (%)]])+BI_Tbl_materials[[#This Row],[Asset '#3 - Recycled (%)]],"")</f>
        <v>0</v>
      </c>
      <c r="AK4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6" spans="2:38" x14ac:dyDescent="0.35">
      <c r="B46" t="s">
        <v>550</v>
      </c>
      <c r="C46" t="s">
        <v>239</v>
      </c>
      <c r="H46" t="s">
        <v>239</v>
      </c>
      <c r="I46" s="261">
        <v>8.2522435999999999</v>
      </c>
      <c r="J46" s="261">
        <v>0.74660976000000001</v>
      </c>
      <c r="K46">
        <v>0.88685349999999996</v>
      </c>
      <c r="L46">
        <v>0.10140971</v>
      </c>
      <c r="M46" t="s">
        <v>240</v>
      </c>
      <c r="N46">
        <v>0</v>
      </c>
      <c r="O46" s="231" t="str">
        <f>IF(ISBLANK('Asset #1'!C59),"",'Asset #1'!C59*IF('Asset #1'!$D$18="kg/unit",1000,1))</f>
        <v/>
      </c>
      <c r="P46" s="239">
        <f>IF(ISBLANK('Asset #1'!D59),0,'Asset #1'!D59)</f>
        <v>0</v>
      </c>
      <c r="Q46" s="40">
        <f>IF(ISBLANK('Asset #1'!H59),0,'Asset #1'!H59)</f>
        <v>0</v>
      </c>
      <c r="R46" s="22" t="str">
        <f>IF(ISBLANK('Asset #1'!I59),"N/A",'Asset #1'!I59)</f>
        <v>N/A</v>
      </c>
      <c r="S46" s="22">
        <f>IF(BI_Tbl_materials[[#This Row],[Asset '#1 - Re/Down out]]="Recycled",1, IF(BI_Tbl_materials[[#This Row],[Asset '#1 - Re/Down out]]="Downcycled", 0.5, 0))</f>
        <v>0</v>
      </c>
      <c r="T46" s="40">
        <f>IFERROR(BI_Tbl_materials[[#This Row],[Biobased - yes = 1, no = 0]]*(1-BI_Tbl_materials[[#This Row],[Asset '#1 - Recycled (%)]])+BI_Tbl_materials[[#This Row],[Asset '#1 - Recycled (%)]],"")</f>
        <v>0</v>
      </c>
      <c r="U4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6" s="43" t="str">
        <f>IF(ISBLANK('Asset #2'!C59),"",'Asset #2'!C59*IF('Asset #2'!$D$18="kg/unit",1000,1))</f>
        <v/>
      </c>
      <c r="X46" s="40">
        <f>IF(ISBLANK('Asset #2'!D59),0,'Asset #2'!D59)</f>
        <v>0</v>
      </c>
      <c r="Y46" s="75">
        <f>IF(ISBLANK('Asset #2'!H59),0,'Asset #2'!H59)</f>
        <v>0</v>
      </c>
      <c r="Z46" s="22" t="str">
        <f>IF(ISBLANK('Asset #2'!I59),"N/A",'Asset #2'!I59)</f>
        <v>N/A</v>
      </c>
      <c r="AA46" s="22">
        <f>IF(BI_Tbl_materials[[#This Row],[Asset '#2 - Re/Down out]]="Recycled",1, IF(BI_Tbl_materials[[#This Row],[Asset '#2 - Re/Down out]]="Downcycled", 0.5, 0))</f>
        <v>0</v>
      </c>
      <c r="AB46" s="76">
        <f>IFERROR(BI_Tbl_materials[[#This Row],[Biobased - yes = 1, no = 0]]*(1-BI_Tbl_materials[[#This Row],[Asset '#2 - Recycled (%)]])+BI_Tbl_materials[[#This Row],[Asset '#2 - Recycled (%)]],"")</f>
        <v>0</v>
      </c>
      <c r="AC4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6" s="43" t="str">
        <f>IF(ISBLANK('Asset #3'!C59),"",'Asset #3'!C59*IF('Asset #3'!$D$18="kg/unit",1000,1))</f>
        <v/>
      </c>
      <c r="AF46" s="75">
        <f>IF(ISBLANK('Asset #3'!D59),0,'Asset #3'!D59)</f>
        <v>0</v>
      </c>
      <c r="AG46" s="75">
        <f>IF(ISBLANK('Asset #3'!H59),0,'Asset #3'!H59)</f>
        <v>0</v>
      </c>
      <c r="AH46" s="22" t="str">
        <f>IF(ISBLANK('Asset #3'!I59),"N/A",'Asset #3'!I59)</f>
        <v>N/A</v>
      </c>
      <c r="AI46" s="22">
        <f>IF(BI_Tbl_materials[[#This Row],[Asset '#3 - Re/Down out]]="Recycled",1, IF(BI_Tbl_materials[[#This Row],[Asset '#3 - Re/Down out]]="Downcycled", 0.5, 0))</f>
        <v>0</v>
      </c>
      <c r="AJ46" s="76">
        <f>IFERROR(BI_Tbl_materials[[#This Row],[Biobased - yes = 1, no = 0]]*(1-BI_Tbl_materials[[#This Row],[Asset '#3 - Recycled (%)]])+BI_Tbl_materials[[#This Row],[Asset '#3 - Recycled (%)]],"")</f>
        <v>0</v>
      </c>
      <c r="AK4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7" spans="2:38" x14ac:dyDescent="0.35">
      <c r="B47" s="231" t="s">
        <v>543</v>
      </c>
      <c r="C47" s="231"/>
      <c r="D47" s="231" t="s">
        <v>239</v>
      </c>
      <c r="E47" s="231" t="s">
        <v>239</v>
      </c>
      <c r="F47" s="231"/>
      <c r="G47" s="231"/>
      <c r="H47" s="231" t="s">
        <v>239</v>
      </c>
      <c r="I47" s="260">
        <v>2.4673028000000001</v>
      </c>
      <c r="J47" s="260">
        <v>2.4673028000000001</v>
      </c>
      <c r="K47" s="231">
        <v>-1.3949628999999999</v>
      </c>
      <c r="L47" s="231" t="s">
        <v>272</v>
      </c>
      <c r="M47" s="231" t="s">
        <v>240</v>
      </c>
      <c r="N47" s="231">
        <v>1</v>
      </c>
      <c r="O47" s="231" t="str">
        <f>IF(ISBLANK('Asset #1'!C60),"",'Asset #1'!C60*IF('Asset #1'!$D$18="kg/unit",1000,1))</f>
        <v/>
      </c>
      <c r="P47" s="239">
        <f>IF(ISBLANK('Asset #1'!D60),0,'Asset #1'!D60)</f>
        <v>0</v>
      </c>
      <c r="Q47" s="40">
        <f>IF(ISBLANK('Asset #1'!H60),0,'Asset #1'!H60)</f>
        <v>0</v>
      </c>
      <c r="R47" s="22" t="str">
        <f>IF(ISBLANK('Asset #1'!I60),"N/A",'Asset #1'!I60)</f>
        <v>N/A</v>
      </c>
      <c r="S47" s="22">
        <f>IF(BI_Tbl_materials[[#This Row],[Asset '#1 - Re/Down out]]="Recycled",1, IF(BI_Tbl_materials[[#This Row],[Asset '#1 - Re/Down out]]="Downcycled", 0.5, 0))</f>
        <v>0</v>
      </c>
      <c r="T47" s="40">
        <f>IFERROR(BI_Tbl_materials[[#This Row],[Biobased - yes = 1, no = 0]]*(1-BI_Tbl_materials[[#This Row],[Asset '#1 - Recycled (%)]])+BI_Tbl_materials[[#This Row],[Asset '#1 - Recycled (%)]],"")</f>
        <v>1</v>
      </c>
      <c r="U4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7" s="43" t="str">
        <f>IF(ISBLANK('Asset #2'!C60),"",'Asset #2'!C60*IF('Asset #2'!$D$18="kg/unit",1000,1))</f>
        <v/>
      </c>
      <c r="X47" s="40">
        <f>IF(ISBLANK('Asset #2'!D60),0,'Asset #2'!D60)</f>
        <v>0</v>
      </c>
      <c r="Y47" s="75">
        <f>IF(ISBLANK('Asset #2'!H60),0,'Asset #2'!H60)</f>
        <v>0</v>
      </c>
      <c r="Z47" s="22" t="str">
        <f>IF(ISBLANK('Asset #2'!I60),"N/A",'Asset #2'!I60)</f>
        <v>N/A</v>
      </c>
      <c r="AA47" s="22">
        <f>IF(BI_Tbl_materials[[#This Row],[Asset '#2 - Re/Down out]]="Recycled",1, IF(BI_Tbl_materials[[#This Row],[Asset '#2 - Re/Down out]]="Downcycled", 0.5, 0))</f>
        <v>0</v>
      </c>
      <c r="AB47" s="76">
        <f>IFERROR(BI_Tbl_materials[[#This Row],[Biobased - yes = 1, no = 0]]*(1-BI_Tbl_materials[[#This Row],[Asset '#2 - Recycled (%)]])+BI_Tbl_materials[[#This Row],[Asset '#2 - Recycled (%)]],"")</f>
        <v>1</v>
      </c>
      <c r="AC4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7" s="43" t="str">
        <f>IF(ISBLANK('Asset #3'!C60),"",'Asset #3'!C60*IF('Asset #3'!$D$18="kg/unit",1000,1))</f>
        <v/>
      </c>
      <c r="AF47" s="75">
        <f>IF(ISBLANK('Asset #3'!D60),0,'Asset #3'!D60)</f>
        <v>0</v>
      </c>
      <c r="AG47" s="75">
        <f>IF(ISBLANK('Asset #3'!H60),0,'Asset #3'!H60)</f>
        <v>0</v>
      </c>
      <c r="AH47" s="22" t="str">
        <f>IF(ISBLANK('Asset #3'!I60),"N/A",'Asset #3'!I60)</f>
        <v>N/A</v>
      </c>
      <c r="AI47" s="22">
        <f>IF(BI_Tbl_materials[[#This Row],[Asset '#3 - Re/Down out]]="Recycled",1, IF(BI_Tbl_materials[[#This Row],[Asset '#3 - Re/Down out]]="Downcycled", 0.5, 0))</f>
        <v>0</v>
      </c>
      <c r="AJ47" s="76">
        <f>IFERROR(BI_Tbl_materials[[#This Row],[Biobased - yes = 1, no = 0]]*(1-BI_Tbl_materials[[#This Row],[Asset '#3 - Recycled (%)]])+BI_Tbl_materials[[#This Row],[Asset '#3 - Recycled (%)]],"")</f>
        <v>1</v>
      </c>
      <c r="AK4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8" spans="2:38" x14ac:dyDescent="0.35">
      <c r="B48" s="231" t="s">
        <v>271</v>
      </c>
      <c r="C48" s="231" t="s">
        <v>239</v>
      </c>
      <c r="D48" s="231" t="s">
        <v>239</v>
      </c>
      <c r="E48" s="231" t="s">
        <v>239</v>
      </c>
      <c r="F48" s="231"/>
      <c r="G48" s="231" t="s">
        <v>239</v>
      </c>
      <c r="H48" s="231" t="s">
        <v>239</v>
      </c>
      <c r="I48" s="260">
        <v>1.5729598</v>
      </c>
      <c r="J48" s="260">
        <v>1.5729598</v>
      </c>
      <c r="K48" s="231">
        <v>1.4290639000000001</v>
      </c>
      <c r="L48" s="231" t="s">
        <v>272</v>
      </c>
      <c r="M48" s="231" t="s">
        <v>240</v>
      </c>
      <c r="N48" s="231">
        <v>0</v>
      </c>
      <c r="O48" s="231" t="str">
        <f>IF(ISBLANK('Asset #1'!C61),"",'Asset #1'!C61*IF('Asset #1'!$D$18="kg/unit",1000,1))</f>
        <v/>
      </c>
      <c r="P48" s="239">
        <f>IF(ISBLANK('Asset #1'!D61),0,'Asset #1'!D61)</f>
        <v>0</v>
      </c>
      <c r="Q48" s="40">
        <f>IF(ISBLANK('Asset #1'!H61),0,'Asset #1'!H61)</f>
        <v>0</v>
      </c>
      <c r="R48" s="22" t="str">
        <f>IF(ISBLANK('Asset #1'!I61),"N/A",'Asset #1'!I61)</f>
        <v>N/A</v>
      </c>
      <c r="S48" s="22">
        <f>IF(BI_Tbl_materials[[#This Row],[Asset '#1 - Re/Down out]]="Recycled",1, IF(BI_Tbl_materials[[#This Row],[Asset '#1 - Re/Down out]]="Downcycled", 0.5, 0))</f>
        <v>0</v>
      </c>
      <c r="T48" s="40">
        <f>IFERROR(BI_Tbl_materials[[#This Row],[Biobased - yes = 1, no = 0]]*(1-BI_Tbl_materials[[#This Row],[Asset '#1 - Recycled (%)]])+BI_Tbl_materials[[#This Row],[Asset '#1 - Recycled (%)]],"")</f>
        <v>0</v>
      </c>
      <c r="U4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8" s="43" t="str">
        <f>IF(ISBLANK('Asset #2'!C61),"",'Asset #2'!C61*IF('Asset #2'!$D$18="kg/unit",1000,1))</f>
        <v/>
      </c>
      <c r="X48" s="40">
        <f>IF(ISBLANK('Asset #2'!D61),0,'Asset #2'!D61)</f>
        <v>0</v>
      </c>
      <c r="Y48" s="75">
        <f>IF(ISBLANK('Asset #2'!H61),0,'Asset #2'!H61)</f>
        <v>0</v>
      </c>
      <c r="Z48" s="22" t="str">
        <f>IF(ISBLANK('Asset #2'!I61),"N/A",'Asset #2'!I61)</f>
        <v>N/A</v>
      </c>
      <c r="AA48" s="22">
        <f>IF(BI_Tbl_materials[[#This Row],[Asset '#2 - Re/Down out]]="Recycled",1, IF(BI_Tbl_materials[[#This Row],[Asset '#2 - Re/Down out]]="Downcycled", 0.5, 0))</f>
        <v>0</v>
      </c>
      <c r="AB48" s="76">
        <f>IFERROR(BI_Tbl_materials[[#This Row],[Biobased - yes = 1, no = 0]]*(1-BI_Tbl_materials[[#This Row],[Asset '#2 - Recycled (%)]])+BI_Tbl_materials[[#This Row],[Asset '#2 - Recycled (%)]],"")</f>
        <v>0</v>
      </c>
      <c r="AC4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8" s="43" t="str">
        <f>IF(ISBLANK('Asset #3'!C61),"",'Asset #3'!C61*IF('Asset #3'!$D$18="kg/unit",1000,1))</f>
        <v/>
      </c>
      <c r="AF48" s="75">
        <f>IF(ISBLANK('Asset #3'!D61),0,'Asset #3'!D61)</f>
        <v>0</v>
      </c>
      <c r="AG48" s="75">
        <f>IF(ISBLANK('Asset #3'!H61),0,'Asset #3'!H61)</f>
        <v>0</v>
      </c>
      <c r="AH48" s="22" t="str">
        <f>IF(ISBLANK('Asset #3'!I61),"N/A",'Asset #3'!I61)</f>
        <v>N/A</v>
      </c>
      <c r="AI48" s="22">
        <f>IF(BI_Tbl_materials[[#This Row],[Asset '#3 - Re/Down out]]="Recycled",1, IF(BI_Tbl_materials[[#This Row],[Asset '#3 - Re/Down out]]="Downcycled", 0.5, 0))</f>
        <v>0</v>
      </c>
      <c r="AJ48" s="76">
        <f>IFERROR(BI_Tbl_materials[[#This Row],[Biobased - yes = 1, no = 0]]*(1-BI_Tbl_materials[[#This Row],[Asset '#3 - Recycled (%)]])+BI_Tbl_materials[[#This Row],[Asset '#3 - Recycled (%)]],"")</f>
        <v>0</v>
      </c>
      <c r="AK4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49" spans="2:38" x14ac:dyDescent="0.35">
      <c r="B49" s="231" t="s">
        <v>544</v>
      </c>
      <c r="C49" s="231"/>
      <c r="D49" s="231" t="s">
        <v>239</v>
      </c>
      <c r="E49" s="231" t="s">
        <v>239</v>
      </c>
      <c r="F49" s="231"/>
      <c r="G49" s="231"/>
      <c r="H49" s="231" t="s">
        <v>239</v>
      </c>
      <c r="I49" s="260">
        <v>1.6581368000000001</v>
      </c>
      <c r="J49" s="260">
        <v>0.54718515999999995</v>
      </c>
      <c r="K49" s="231">
        <v>1.4290639000000001</v>
      </c>
      <c r="L49" s="231" t="s">
        <v>272</v>
      </c>
      <c r="M49" s="231" t="s">
        <v>240</v>
      </c>
      <c r="N49" s="231">
        <v>0</v>
      </c>
      <c r="O49" s="231" t="str">
        <f>IF(ISBLANK('Asset #1'!C62),"",'Asset #1'!C62*IF('Asset #1'!$D$18="kg/unit",1000,1))</f>
        <v/>
      </c>
      <c r="P49" s="239">
        <f>IF(ISBLANK('Asset #1'!D62),0,'Asset #1'!D62)</f>
        <v>0</v>
      </c>
      <c r="Q49" s="40">
        <f>IF(ISBLANK('Asset #1'!H62),0,'Asset #1'!H62)</f>
        <v>0</v>
      </c>
      <c r="R49" s="22" t="str">
        <f>IF(ISBLANK('Asset #1'!I62),"N/A",'Asset #1'!I62)</f>
        <v>N/A</v>
      </c>
      <c r="S49" s="22">
        <f>IF(BI_Tbl_materials[[#This Row],[Asset '#1 - Re/Down out]]="Recycled",1, IF(BI_Tbl_materials[[#This Row],[Asset '#1 - Re/Down out]]="Downcycled", 0.5, 0))</f>
        <v>0</v>
      </c>
      <c r="T49" s="40">
        <f>IFERROR(BI_Tbl_materials[[#This Row],[Biobased - yes = 1, no = 0]]*(1-BI_Tbl_materials[[#This Row],[Asset '#1 - Recycled (%)]])+BI_Tbl_materials[[#This Row],[Asset '#1 - Recycled (%)]],"")</f>
        <v>0</v>
      </c>
      <c r="U4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4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49" s="43" t="str">
        <f>IF(ISBLANK('Asset #2'!C62),"",'Asset #2'!C62*IF('Asset #2'!$D$18="kg/unit",1000,1))</f>
        <v/>
      </c>
      <c r="X49" s="40">
        <f>IF(ISBLANK('Asset #2'!D62),0,'Asset #2'!D62)</f>
        <v>0</v>
      </c>
      <c r="Y49" s="75">
        <f>IF(ISBLANK('Asset #2'!H62),0,'Asset #2'!H62)</f>
        <v>0</v>
      </c>
      <c r="Z49" s="22" t="str">
        <f>IF(ISBLANK('Asset #2'!I62),"N/A",'Asset #2'!I62)</f>
        <v>N/A</v>
      </c>
      <c r="AA49" s="22">
        <f>IF(BI_Tbl_materials[[#This Row],[Asset '#2 - Re/Down out]]="Recycled",1, IF(BI_Tbl_materials[[#This Row],[Asset '#2 - Re/Down out]]="Downcycled", 0.5, 0))</f>
        <v>0</v>
      </c>
      <c r="AB49" s="76">
        <f>IFERROR(BI_Tbl_materials[[#This Row],[Biobased - yes = 1, no = 0]]*(1-BI_Tbl_materials[[#This Row],[Asset '#2 - Recycled (%)]])+BI_Tbl_materials[[#This Row],[Asset '#2 - Recycled (%)]],"")</f>
        <v>0</v>
      </c>
      <c r="AC4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4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49" s="43" t="str">
        <f>IF(ISBLANK('Asset #3'!C62),"",'Asset #3'!C62*IF('Asset #3'!$D$18="kg/unit",1000,1))</f>
        <v/>
      </c>
      <c r="AF49" s="75">
        <f>IF(ISBLANK('Asset #3'!D62),0,'Asset #3'!D62)</f>
        <v>0</v>
      </c>
      <c r="AG49" s="75">
        <f>IF(ISBLANK('Asset #3'!H62),0,'Asset #3'!H62)</f>
        <v>0</v>
      </c>
      <c r="AH49" s="22" t="str">
        <f>IF(ISBLANK('Asset #3'!I62),"N/A",'Asset #3'!I62)</f>
        <v>N/A</v>
      </c>
      <c r="AI49" s="22">
        <f>IF(BI_Tbl_materials[[#This Row],[Asset '#3 - Re/Down out]]="Recycled",1, IF(BI_Tbl_materials[[#This Row],[Asset '#3 - Re/Down out]]="Downcycled", 0.5, 0))</f>
        <v>0</v>
      </c>
      <c r="AJ49" s="76">
        <f>IFERROR(BI_Tbl_materials[[#This Row],[Biobased - yes = 1, no = 0]]*(1-BI_Tbl_materials[[#This Row],[Asset '#3 - Recycled (%)]])+BI_Tbl_materials[[#This Row],[Asset '#3 - Recycled (%)]],"")</f>
        <v>0</v>
      </c>
      <c r="AK4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4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0" spans="2:38" x14ac:dyDescent="0.35">
      <c r="B50" t="s">
        <v>273</v>
      </c>
      <c r="D50" t="s">
        <v>239</v>
      </c>
      <c r="H50" t="s">
        <v>239</v>
      </c>
      <c r="I50" s="261">
        <v>9.3065370999999999</v>
      </c>
      <c r="J50" s="261">
        <v>0.74660976000000001</v>
      </c>
      <c r="K50">
        <v>0.88685349999999996</v>
      </c>
      <c r="L50">
        <v>0.10140971</v>
      </c>
      <c r="M50" t="s">
        <v>240</v>
      </c>
      <c r="N50">
        <v>0</v>
      </c>
      <c r="O50" s="231" t="str">
        <f>IF(ISBLANK('Asset #1'!C63),"",'Asset #1'!C63*IF('Asset #1'!$D$18="kg/unit",1000,1))</f>
        <v/>
      </c>
      <c r="P50" s="239">
        <f>IF(ISBLANK('Asset #1'!D63),0,'Asset #1'!D63)</f>
        <v>0</v>
      </c>
      <c r="Q50" s="40">
        <f>IF(ISBLANK('Asset #1'!H63),0,'Asset #1'!H63)</f>
        <v>0</v>
      </c>
      <c r="R50" s="22" t="str">
        <f>IF(ISBLANK('Asset #1'!I63),"N/A",'Asset #1'!I63)</f>
        <v>N/A</v>
      </c>
      <c r="S50" s="22">
        <f>IF(BI_Tbl_materials[[#This Row],[Asset '#1 - Re/Down out]]="Recycled",1, IF(BI_Tbl_materials[[#This Row],[Asset '#1 - Re/Down out]]="Downcycled", 0.5, 0))</f>
        <v>0</v>
      </c>
      <c r="T50" s="40">
        <f>IFERROR(BI_Tbl_materials[[#This Row],[Biobased - yes = 1, no = 0]]*(1-BI_Tbl_materials[[#This Row],[Asset '#1 - Recycled (%)]])+BI_Tbl_materials[[#This Row],[Asset '#1 - Recycled (%)]],"")</f>
        <v>0</v>
      </c>
      <c r="U5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0" s="43" t="str">
        <f>IF(ISBLANK('Asset #2'!C63),"",'Asset #2'!C63*IF('Asset #2'!$D$18="kg/unit",1000,1))</f>
        <v/>
      </c>
      <c r="X50" s="40">
        <f>IF(ISBLANK('Asset #2'!D63),0,'Asset #2'!D63)</f>
        <v>0</v>
      </c>
      <c r="Y50" s="75">
        <f>IF(ISBLANK('Asset #2'!H63),0,'Asset #2'!H63)</f>
        <v>0</v>
      </c>
      <c r="Z50" s="22" t="str">
        <f>IF(ISBLANK('Asset #2'!I63),"N/A",'Asset #2'!I63)</f>
        <v>N/A</v>
      </c>
      <c r="AA50" s="22">
        <f>IF(BI_Tbl_materials[[#This Row],[Asset '#2 - Re/Down out]]="Recycled",1, IF(BI_Tbl_materials[[#This Row],[Asset '#2 - Re/Down out]]="Downcycled", 0.5, 0))</f>
        <v>0</v>
      </c>
      <c r="AB50" s="76">
        <f>IFERROR(BI_Tbl_materials[[#This Row],[Biobased - yes = 1, no = 0]]*(1-BI_Tbl_materials[[#This Row],[Asset '#2 - Recycled (%)]])+BI_Tbl_materials[[#This Row],[Asset '#2 - Recycled (%)]],"")</f>
        <v>0</v>
      </c>
      <c r="AC5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0" s="43" t="str">
        <f>IF(ISBLANK('Asset #3'!C63),"",'Asset #3'!C63*IF('Asset #3'!$D$18="kg/unit",1000,1))</f>
        <v/>
      </c>
      <c r="AF50" s="75">
        <f>IF(ISBLANK('Asset #3'!D63),0,'Asset #3'!D63)</f>
        <v>0</v>
      </c>
      <c r="AG50" s="75">
        <f>IF(ISBLANK('Asset #3'!H63),0,'Asset #3'!H63)</f>
        <v>0</v>
      </c>
      <c r="AH50" s="22" t="str">
        <f>IF(ISBLANK('Asset #3'!I63),"N/A",'Asset #3'!I63)</f>
        <v>N/A</v>
      </c>
      <c r="AI50" s="22">
        <f>IF(BI_Tbl_materials[[#This Row],[Asset '#3 - Re/Down out]]="Recycled",1, IF(BI_Tbl_materials[[#This Row],[Asset '#3 - Re/Down out]]="Downcycled", 0.5, 0))</f>
        <v>0</v>
      </c>
      <c r="AJ50" s="76">
        <f>IFERROR(BI_Tbl_materials[[#This Row],[Biobased - yes = 1, no = 0]]*(1-BI_Tbl_materials[[#This Row],[Asset '#3 - Recycled (%)]])+BI_Tbl_materials[[#This Row],[Asset '#3 - Recycled (%)]],"")</f>
        <v>0</v>
      </c>
      <c r="AK5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1" spans="2:38" x14ac:dyDescent="0.35">
      <c r="B51" s="231" t="s">
        <v>274</v>
      </c>
      <c r="C51" s="231"/>
      <c r="D51" s="231" t="s">
        <v>239</v>
      </c>
      <c r="E51" s="231"/>
      <c r="F51" s="231"/>
      <c r="G51" s="231"/>
      <c r="H51" s="231" t="s">
        <v>239</v>
      </c>
      <c r="I51" s="260">
        <v>8.2522435999999999</v>
      </c>
      <c r="J51" s="260">
        <v>0.74660976000000001</v>
      </c>
      <c r="K51" s="231">
        <v>0.88685349999999996</v>
      </c>
      <c r="L51" s="231">
        <v>0.10140971</v>
      </c>
      <c r="M51" s="231" t="s">
        <v>240</v>
      </c>
      <c r="N51" s="231">
        <v>0</v>
      </c>
      <c r="O51" s="231" t="str">
        <f>IF(ISBLANK('Asset #1'!C64),"",'Asset #1'!C64*IF('Asset #1'!$D$18="kg/unit",1000,1))</f>
        <v/>
      </c>
      <c r="P51" s="239">
        <f>IF(ISBLANK('Asset #1'!D64),0,'Asset #1'!D64)</f>
        <v>0</v>
      </c>
      <c r="Q51" s="40">
        <f>IF(ISBLANK('Asset #1'!H64),0,'Asset #1'!H64)</f>
        <v>0</v>
      </c>
      <c r="R51" s="22" t="str">
        <f>IF(ISBLANK('Asset #1'!I64),"N/A",'Asset #1'!I64)</f>
        <v>N/A</v>
      </c>
      <c r="S51" s="22">
        <f>IF(BI_Tbl_materials[[#This Row],[Asset '#1 - Re/Down out]]="Recycled",1, IF(BI_Tbl_materials[[#This Row],[Asset '#1 - Re/Down out]]="Downcycled", 0.5, 0))</f>
        <v>0</v>
      </c>
      <c r="T51" s="40">
        <f>IFERROR(BI_Tbl_materials[[#This Row],[Biobased - yes = 1, no = 0]]*(1-BI_Tbl_materials[[#This Row],[Asset '#1 - Recycled (%)]])+BI_Tbl_materials[[#This Row],[Asset '#1 - Recycled (%)]],"")</f>
        <v>0</v>
      </c>
      <c r="U5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1" s="43" t="str">
        <f>IF(ISBLANK('Asset #2'!C64),"",'Asset #2'!C64*IF('Asset #2'!$D$18="kg/unit",1000,1))</f>
        <v/>
      </c>
      <c r="X51" s="40">
        <f>IF(ISBLANK('Asset #2'!D64),0,'Asset #2'!D64)</f>
        <v>0</v>
      </c>
      <c r="Y51" s="75">
        <f>IF(ISBLANK('Asset #2'!H64),0,'Asset #2'!H64)</f>
        <v>0</v>
      </c>
      <c r="Z51" s="22" t="str">
        <f>IF(ISBLANK('Asset #2'!I64),"N/A",'Asset #2'!I64)</f>
        <v>N/A</v>
      </c>
      <c r="AA51" s="22">
        <f>IF(BI_Tbl_materials[[#This Row],[Asset '#2 - Re/Down out]]="Recycled",1, IF(BI_Tbl_materials[[#This Row],[Asset '#2 - Re/Down out]]="Downcycled", 0.5, 0))</f>
        <v>0</v>
      </c>
      <c r="AB51" s="76">
        <f>IFERROR(BI_Tbl_materials[[#This Row],[Biobased - yes = 1, no = 0]]*(1-BI_Tbl_materials[[#This Row],[Asset '#2 - Recycled (%)]])+BI_Tbl_materials[[#This Row],[Asset '#2 - Recycled (%)]],"")</f>
        <v>0</v>
      </c>
      <c r="AC5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1" s="43" t="str">
        <f>IF(ISBLANK('Asset #3'!C64),"",'Asset #3'!C64*IF('Asset #3'!$D$18="kg/unit",1000,1))</f>
        <v/>
      </c>
      <c r="AF51" s="75">
        <f>IF(ISBLANK('Asset #3'!D64),0,'Asset #3'!D64)</f>
        <v>0</v>
      </c>
      <c r="AG51" s="75">
        <f>IF(ISBLANK('Asset #3'!H64),0,'Asset #3'!H64)</f>
        <v>0</v>
      </c>
      <c r="AH51" s="22" t="str">
        <f>IF(ISBLANK('Asset #3'!I64),"N/A",'Asset #3'!I64)</f>
        <v>N/A</v>
      </c>
      <c r="AI51" s="22">
        <f>IF(BI_Tbl_materials[[#This Row],[Asset '#3 - Re/Down out]]="Recycled",1, IF(BI_Tbl_materials[[#This Row],[Asset '#3 - Re/Down out]]="Downcycled", 0.5, 0))</f>
        <v>0</v>
      </c>
      <c r="AJ51" s="76">
        <f>IFERROR(BI_Tbl_materials[[#This Row],[Biobased - yes = 1, no = 0]]*(1-BI_Tbl_materials[[#This Row],[Asset '#3 - Recycled (%)]])+BI_Tbl_materials[[#This Row],[Asset '#3 - Recycled (%)]],"")</f>
        <v>0</v>
      </c>
      <c r="AK5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2" spans="2:38" x14ac:dyDescent="0.35">
      <c r="B52" s="231" t="s">
        <v>275</v>
      </c>
      <c r="C52" s="231"/>
      <c r="D52" s="231" t="s">
        <v>239</v>
      </c>
      <c r="E52" s="231" t="s">
        <v>239</v>
      </c>
      <c r="F52" s="231" t="s">
        <v>239</v>
      </c>
      <c r="G52" s="231"/>
      <c r="H52" s="231" t="s">
        <v>239</v>
      </c>
      <c r="I52" s="260">
        <v>4.5059614000000003</v>
      </c>
      <c r="J52" s="260">
        <v>4.5059614000000003</v>
      </c>
      <c r="K52" s="231">
        <v>1.9792983</v>
      </c>
      <c r="L52" s="231">
        <v>6.0825145000000004E-3</v>
      </c>
      <c r="M52" s="231" t="s">
        <v>240</v>
      </c>
      <c r="N52" s="231">
        <v>0</v>
      </c>
      <c r="O52" s="231" t="str">
        <f>IF(ISBLANK('Asset #1'!C65),"",'Asset #1'!C65*IF('Asset #1'!$D$18="kg/unit",1000,1))</f>
        <v/>
      </c>
      <c r="P52" s="239">
        <f>IF(ISBLANK('Asset #1'!D65),0,'Asset #1'!D65)</f>
        <v>0</v>
      </c>
      <c r="Q52" s="40">
        <f>IF(ISBLANK('Asset #1'!H65),0,'Asset #1'!H65)</f>
        <v>0</v>
      </c>
      <c r="R52" s="22" t="str">
        <f>IF(ISBLANK('Asset #1'!I65),"N/A",'Asset #1'!I65)</f>
        <v>N/A</v>
      </c>
      <c r="S52" s="22">
        <f>IF(BI_Tbl_materials[[#This Row],[Asset '#1 - Re/Down out]]="Recycled",1, IF(BI_Tbl_materials[[#This Row],[Asset '#1 - Re/Down out]]="Downcycled", 0.5, 0))</f>
        <v>0</v>
      </c>
      <c r="T52" s="40">
        <f>IFERROR(BI_Tbl_materials[[#This Row],[Biobased - yes = 1, no = 0]]*(1-BI_Tbl_materials[[#This Row],[Asset '#1 - Recycled (%)]])+BI_Tbl_materials[[#This Row],[Asset '#1 - Recycled (%)]],"")</f>
        <v>0</v>
      </c>
      <c r="U5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2" s="43" t="str">
        <f>IF(ISBLANK('Asset #2'!C65),"",'Asset #2'!C65*IF('Asset #2'!$D$18="kg/unit",1000,1))</f>
        <v/>
      </c>
      <c r="X52" s="40">
        <f>IF(ISBLANK('Asset #2'!D65),0,'Asset #2'!D65)</f>
        <v>0</v>
      </c>
      <c r="Y52" s="75">
        <f>IF(ISBLANK('Asset #2'!H65),0,'Asset #2'!H65)</f>
        <v>0</v>
      </c>
      <c r="Z52" s="22" t="str">
        <f>IF(ISBLANK('Asset #2'!I65),"N/A",'Asset #2'!I65)</f>
        <v>N/A</v>
      </c>
      <c r="AA52" s="22">
        <f>IF(BI_Tbl_materials[[#This Row],[Asset '#2 - Re/Down out]]="Recycled",1, IF(BI_Tbl_materials[[#This Row],[Asset '#2 - Re/Down out]]="Downcycled", 0.5, 0))</f>
        <v>0</v>
      </c>
      <c r="AB52" s="76">
        <f>IFERROR(BI_Tbl_materials[[#This Row],[Biobased - yes = 1, no = 0]]*(1-BI_Tbl_materials[[#This Row],[Asset '#2 - Recycled (%)]])+BI_Tbl_materials[[#This Row],[Asset '#2 - Recycled (%)]],"")</f>
        <v>0</v>
      </c>
      <c r="AC5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2" s="43" t="str">
        <f>IF(ISBLANK('Asset #3'!C65),"",'Asset #3'!C65*IF('Asset #3'!$D$18="kg/unit",1000,1))</f>
        <v/>
      </c>
      <c r="AF52" s="75">
        <f>IF(ISBLANK('Asset #3'!D65),0,'Asset #3'!D65)</f>
        <v>0</v>
      </c>
      <c r="AG52" s="75">
        <f>IF(ISBLANK('Asset #3'!H65),0,'Asset #3'!H65)</f>
        <v>0</v>
      </c>
      <c r="AH52" s="22" t="str">
        <f>IF(ISBLANK('Asset #3'!I65),"N/A",'Asset #3'!I65)</f>
        <v>N/A</v>
      </c>
      <c r="AI52" s="22">
        <f>IF(BI_Tbl_materials[[#This Row],[Asset '#3 - Re/Down out]]="Recycled",1, IF(BI_Tbl_materials[[#This Row],[Asset '#3 - Re/Down out]]="Downcycled", 0.5, 0))</f>
        <v>0</v>
      </c>
      <c r="AJ52" s="76">
        <f>IFERROR(BI_Tbl_materials[[#This Row],[Biobased - yes = 1, no = 0]]*(1-BI_Tbl_materials[[#This Row],[Asset '#3 - Recycled (%)]])+BI_Tbl_materials[[#This Row],[Asset '#3 - Recycled (%)]],"")</f>
        <v>0</v>
      </c>
      <c r="AK5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3" spans="2:38" x14ac:dyDescent="0.35">
      <c r="B53" s="231" t="s">
        <v>276</v>
      </c>
      <c r="C53" s="231" t="s">
        <v>239</v>
      </c>
      <c r="D53" s="231"/>
      <c r="E53" s="231" t="s">
        <v>239</v>
      </c>
      <c r="F53" s="231"/>
      <c r="G53" s="231"/>
      <c r="H53" s="231" t="s">
        <v>239</v>
      </c>
      <c r="I53" s="260">
        <v>0.54534053000000005</v>
      </c>
      <c r="J53" s="260">
        <v>0.54534053000000005</v>
      </c>
      <c r="K53" s="231">
        <v>-0.61697773</v>
      </c>
      <c r="L53" s="231">
        <v>1.4813299</v>
      </c>
      <c r="M53" s="231" t="s">
        <v>240</v>
      </c>
      <c r="N53" s="231">
        <v>1</v>
      </c>
      <c r="O53" s="231" t="str">
        <f>IF(ISBLANK('Asset #1'!C66),"",'Asset #1'!C66*IF('Asset #1'!$D$18="kg/unit",1000,1))</f>
        <v/>
      </c>
      <c r="P53" s="239">
        <f>IF(ISBLANK('Asset #1'!D66),0,'Asset #1'!D66)</f>
        <v>0</v>
      </c>
      <c r="Q53" s="40">
        <f>IF(ISBLANK('Asset #1'!H66),0,'Asset #1'!H66)</f>
        <v>0</v>
      </c>
      <c r="R53" s="22" t="str">
        <f>IF(ISBLANK('Asset #1'!I66),"N/A",'Asset #1'!I66)</f>
        <v>N/A</v>
      </c>
      <c r="S53" s="22">
        <f>IF(BI_Tbl_materials[[#This Row],[Asset '#1 - Re/Down out]]="Recycled",1, IF(BI_Tbl_materials[[#This Row],[Asset '#1 - Re/Down out]]="Downcycled", 0.5, 0))</f>
        <v>0</v>
      </c>
      <c r="T53" s="40">
        <f>IFERROR(BI_Tbl_materials[[#This Row],[Biobased - yes = 1, no = 0]]*(1-BI_Tbl_materials[[#This Row],[Asset '#1 - Recycled (%)]])+BI_Tbl_materials[[#This Row],[Asset '#1 - Recycled (%)]],"")</f>
        <v>1</v>
      </c>
      <c r="U5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3" s="43" t="str">
        <f>IF(ISBLANK('Asset #2'!C66),"",'Asset #2'!C66*IF('Asset #2'!$D$18="kg/unit",1000,1))</f>
        <v/>
      </c>
      <c r="X53" s="40">
        <f>IF(ISBLANK('Asset #2'!D66),0,'Asset #2'!D66)</f>
        <v>0</v>
      </c>
      <c r="Y53" s="75">
        <f>IF(ISBLANK('Asset #2'!H66),0,'Asset #2'!H66)</f>
        <v>0</v>
      </c>
      <c r="Z53" s="22" t="str">
        <f>IF(ISBLANK('Asset #2'!I66),"N/A",'Asset #2'!I66)</f>
        <v>N/A</v>
      </c>
      <c r="AA53" s="22">
        <f>IF(BI_Tbl_materials[[#This Row],[Asset '#2 - Re/Down out]]="Recycled",1, IF(BI_Tbl_materials[[#This Row],[Asset '#2 - Re/Down out]]="Downcycled", 0.5, 0))</f>
        <v>0</v>
      </c>
      <c r="AB53" s="76">
        <f>IFERROR(BI_Tbl_materials[[#This Row],[Biobased - yes = 1, no = 0]]*(1-BI_Tbl_materials[[#This Row],[Asset '#2 - Recycled (%)]])+BI_Tbl_materials[[#This Row],[Asset '#2 - Recycled (%)]],"")</f>
        <v>1</v>
      </c>
      <c r="AC5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3" s="43" t="str">
        <f>IF(ISBLANK('Asset #3'!C66),"",'Asset #3'!C66*IF('Asset #3'!$D$18="kg/unit",1000,1))</f>
        <v/>
      </c>
      <c r="AF53" s="75">
        <f>IF(ISBLANK('Asset #3'!D66),0,'Asset #3'!D66)</f>
        <v>0</v>
      </c>
      <c r="AG53" s="75">
        <f>IF(ISBLANK('Asset #3'!H66),0,'Asset #3'!H66)</f>
        <v>0</v>
      </c>
      <c r="AH53" s="22" t="str">
        <f>IF(ISBLANK('Asset #3'!I66),"N/A",'Asset #3'!I66)</f>
        <v>N/A</v>
      </c>
      <c r="AI53" s="22">
        <f>IF(BI_Tbl_materials[[#This Row],[Asset '#3 - Re/Down out]]="Recycled",1, IF(BI_Tbl_materials[[#This Row],[Asset '#3 - Re/Down out]]="Downcycled", 0.5, 0))</f>
        <v>0</v>
      </c>
      <c r="AJ53" s="76">
        <f>IFERROR(BI_Tbl_materials[[#This Row],[Biobased - yes = 1, no = 0]]*(1-BI_Tbl_materials[[#This Row],[Asset '#3 - Recycled (%)]])+BI_Tbl_materials[[#This Row],[Asset '#3 - Recycled (%)]],"")</f>
        <v>1</v>
      </c>
      <c r="AK5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4" spans="2:38" x14ac:dyDescent="0.35">
      <c r="B54" s="231" t="s">
        <v>277</v>
      </c>
      <c r="C54" s="231" t="s">
        <v>239</v>
      </c>
      <c r="D54" s="231" t="s">
        <v>239</v>
      </c>
      <c r="E54" s="231" t="s">
        <v>239</v>
      </c>
      <c r="F54" s="231" t="s">
        <v>239</v>
      </c>
      <c r="G54" s="231" t="s">
        <v>239</v>
      </c>
      <c r="H54" s="231" t="s">
        <v>239</v>
      </c>
      <c r="I54" s="260">
        <v>6</v>
      </c>
      <c r="J54" s="260">
        <v>6</v>
      </c>
      <c r="K54" s="231">
        <v>1.1286594999999999</v>
      </c>
      <c r="L54" s="231">
        <v>9.0407775999999995E-2</v>
      </c>
      <c r="M54" s="231" t="s">
        <v>240</v>
      </c>
      <c r="N54" s="231">
        <v>0</v>
      </c>
      <c r="O54" s="231" t="str">
        <f>IF(ISBLANK('Asset #1'!C67),"",'Asset #1'!C67*IF('Asset #1'!$D$18="kg/unit",1000,1))</f>
        <v/>
      </c>
      <c r="P54" s="239">
        <f>IF(ISBLANK('Asset #1'!D67),0,'Asset #1'!D67)</f>
        <v>0</v>
      </c>
      <c r="Q54" s="40">
        <f>IF(ISBLANK('Asset #1'!H67),0,'Asset #1'!H67)</f>
        <v>0</v>
      </c>
      <c r="R54" s="22" t="str">
        <f>IF(ISBLANK('Asset #1'!I67),"N/A",'Asset #1'!I67)</f>
        <v>N/A</v>
      </c>
      <c r="S54" s="22">
        <f>IF(BI_Tbl_materials[[#This Row],[Asset '#1 - Re/Down out]]="Recycled",1, IF(BI_Tbl_materials[[#This Row],[Asset '#1 - Re/Down out]]="Downcycled", 0.5, 0))</f>
        <v>0</v>
      </c>
      <c r="T54" s="40">
        <f>IFERROR(BI_Tbl_materials[[#This Row],[Biobased - yes = 1, no = 0]]*(1-BI_Tbl_materials[[#This Row],[Asset '#1 - Recycled (%)]])+BI_Tbl_materials[[#This Row],[Asset '#1 - Recycled (%)]],"")</f>
        <v>0</v>
      </c>
      <c r="U5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4" s="43" t="str">
        <f>IF(ISBLANK('Asset #2'!C67),"",'Asset #2'!C67*IF('Asset #2'!$D$18="kg/unit",1000,1))</f>
        <v/>
      </c>
      <c r="X54" s="40">
        <f>IF(ISBLANK('Asset #2'!D67),0,'Asset #2'!D67)</f>
        <v>0</v>
      </c>
      <c r="Y54" s="75">
        <f>IF(ISBLANK('Asset #2'!H67),0,'Asset #2'!H67)</f>
        <v>0</v>
      </c>
      <c r="Z54" s="22" t="str">
        <f>IF(ISBLANK('Asset #2'!I67),"N/A",'Asset #2'!I67)</f>
        <v>N/A</v>
      </c>
      <c r="AA54" s="22">
        <f>IF(BI_Tbl_materials[[#This Row],[Asset '#2 - Re/Down out]]="Recycled",1, IF(BI_Tbl_materials[[#This Row],[Asset '#2 - Re/Down out]]="Downcycled", 0.5, 0))</f>
        <v>0</v>
      </c>
      <c r="AB54" s="76">
        <f>IFERROR(BI_Tbl_materials[[#This Row],[Biobased - yes = 1, no = 0]]*(1-BI_Tbl_materials[[#This Row],[Asset '#2 - Recycled (%)]])+BI_Tbl_materials[[#This Row],[Asset '#2 - Recycled (%)]],"")</f>
        <v>0</v>
      </c>
      <c r="AC5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4" s="43" t="str">
        <f>IF(ISBLANK('Asset #3'!C67),"",'Asset #3'!C67*IF('Asset #3'!$D$18="kg/unit",1000,1))</f>
        <v/>
      </c>
      <c r="AF54" s="75">
        <f>IF(ISBLANK('Asset #3'!D67),0,'Asset #3'!D67)</f>
        <v>0</v>
      </c>
      <c r="AG54" s="75">
        <f>IF(ISBLANK('Asset #3'!H67),0,'Asset #3'!H67)</f>
        <v>0</v>
      </c>
      <c r="AH54" s="22" t="str">
        <f>IF(ISBLANK('Asset #3'!I67),"N/A",'Asset #3'!I67)</f>
        <v>N/A</v>
      </c>
      <c r="AI54" s="22">
        <f>IF(BI_Tbl_materials[[#This Row],[Asset '#3 - Re/Down out]]="Recycled",1, IF(BI_Tbl_materials[[#This Row],[Asset '#3 - Re/Down out]]="Downcycled", 0.5, 0))</f>
        <v>0</v>
      </c>
      <c r="AJ54" s="76">
        <f>IFERROR(BI_Tbl_materials[[#This Row],[Biobased - yes = 1, no = 0]]*(1-BI_Tbl_materials[[#This Row],[Asset '#3 - Recycled (%)]])+BI_Tbl_materials[[#This Row],[Asset '#3 - Recycled (%)]],"")</f>
        <v>0</v>
      </c>
      <c r="AK5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5" spans="2:38" x14ac:dyDescent="0.35">
      <c r="B55" s="231" t="s">
        <v>278</v>
      </c>
      <c r="C55" s="231"/>
      <c r="D55" s="231" t="s">
        <v>239</v>
      </c>
      <c r="E55" s="231" t="s">
        <v>239</v>
      </c>
      <c r="F55" s="231"/>
      <c r="G55" s="231"/>
      <c r="H55" s="231" t="s">
        <v>239</v>
      </c>
      <c r="I55" s="260">
        <v>5.0282432000000004</v>
      </c>
      <c r="J55" s="260">
        <v>0.73006040000000005</v>
      </c>
      <c r="K55" s="231">
        <v>0.88685349999999996</v>
      </c>
      <c r="L55" s="231">
        <v>0.10140971</v>
      </c>
      <c r="M55" s="231" t="s">
        <v>240</v>
      </c>
      <c r="N55" s="231">
        <v>0</v>
      </c>
      <c r="O55" s="231" t="str">
        <f>IF(ISBLANK('Asset #1'!C68),"",'Asset #1'!C68*IF('Asset #1'!$D$18="kg/unit",1000,1))</f>
        <v/>
      </c>
      <c r="P55" s="239">
        <f>IF(ISBLANK('Asset #1'!D68),0,'Asset #1'!D68)</f>
        <v>0</v>
      </c>
      <c r="Q55" s="40">
        <f>IF(ISBLANK('Asset #1'!H68),0,'Asset #1'!H68)</f>
        <v>0</v>
      </c>
      <c r="R55" s="22" t="str">
        <f>IF(ISBLANK('Asset #1'!I68),"N/A",'Asset #1'!I68)</f>
        <v>N/A</v>
      </c>
      <c r="S55" s="22">
        <f>IF(BI_Tbl_materials[[#This Row],[Asset '#1 - Re/Down out]]="Recycled",1, IF(BI_Tbl_materials[[#This Row],[Asset '#1 - Re/Down out]]="Downcycled", 0.5, 0))</f>
        <v>0</v>
      </c>
      <c r="T55" s="40">
        <f>IFERROR(BI_Tbl_materials[[#This Row],[Biobased - yes = 1, no = 0]]*(1-BI_Tbl_materials[[#This Row],[Asset '#1 - Recycled (%)]])+BI_Tbl_materials[[#This Row],[Asset '#1 - Recycled (%)]],"")</f>
        <v>0</v>
      </c>
      <c r="U5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5" s="43" t="str">
        <f>IF(ISBLANK('Asset #2'!C68),"",'Asset #2'!C68*IF('Asset #2'!$D$18="kg/unit",1000,1))</f>
        <v/>
      </c>
      <c r="X55" s="40">
        <f>IF(ISBLANK('Asset #2'!D68),0,'Asset #2'!D68)</f>
        <v>0</v>
      </c>
      <c r="Y55" s="75">
        <f>IF(ISBLANK('Asset #2'!H68),0,'Asset #2'!H68)</f>
        <v>0</v>
      </c>
      <c r="Z55" s="22" t="str">
        <f>IF(ISBLANK('Asset #2'!I68),"N/A",'Asset #2'!I68)</f>
        <v>N/A</v>
      </c>
      <c r="AA55" s="22">
        <f>IF(BI_Tbl_materials[[#This Row],[Asset '#2 - Re/Down out]]="Recycled",1, IF(BI_Tbl_materials[[#This Row],[Asset '#2 - Re/Down out]]="Downcycled", 0.5, 0))</f>
        <v>0</v>
      </c>
      <c r="AB55" s="76">
        <f>IFERROR(BI_Tbl_materials[[#This Row],[Biobased - yes = 1, no = 0]]*(1-BI_Tbl_materials[[#This Row],[Asset '#2 - Recycled (%)]])+BI_Tbl_materials[[#This Row],[Asset '#2 - Recycled (%)]],"")</f>
        <v>0</v>
      </c>
      <c r="AC5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5" s="43" t="str">
        <f>IF(ISBLANK('Asset #3'!C68),"",'Asset #3'!C68*IF('Asset #3'!$D$18="kg/unit",1000,1))</f>
        <v/>
      </c>
      <c r="AF55" s="75">
        <f>IF(ISBLANK('Asset #3'!D68),0,'Asset #3'!D68)</f>
        <v>0</v>
      </c>
      <c r="AG55" s="75">
        <f>IF(ISBLANK('Asset #3'!H68),0,'Asset #3'!H68)</f>
        <v>0</v>
      </c>
      <c r="AH55" s="22" t="str">
        <f>IF(ISBLANK('Asset #3'!I68),"N/A",'Asset #3'!I68)</f>
        <v>N/A</v>
      </c>
      <c r="AI55" s="22">
        <f>IF(BI_Tbl_materials[[#This Row],[Asset '#3 - Re/Down out]]="Recycled",1, IF(BI_Tbl_materials[[#This Row],[Asset '#3 - Re/Down out]]="Downcycled", 0.5, 0))</f>
        <v>0</v>
      </c>
      <c r="AJ55" s="76">
        <f>IFERROR(BI_Tbl_materials[[#This Row],[Biobased - yes = 1, no = 0]]*(1-BI_Tbl_materials[[#This Row],[Asset '#3 - Recycled (%)]])+BI_Tbl_materials[[#This Row],[Asset '#3 - Recycled (%)]],"")</f>
        <v>0</v>
      </c>
      <c r="AK5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6" spans="2:38" x14ac:dyDescent="0.35">
      <c r="B56" t="s">
        <v>279</v>
      </c>
      <c r="D56" t="s">
        <v>239</v>
      </c>
      <c r="E56" t="s">
        <v>239</v>
      </c>
      <c r="F56" t="s">
        <v>239</v>
      </c>
      <c r="G56" t="s">
        <v>239</v>
      </c>
      <c r="H56" t="s">
        <v>239</v>
      </c>
      <c r="I56" s="261">
        <v>4.7749397</v>
      </c>
      <c r="J56" s="261">
        <v>4.7749397</v>
      </c>
      <c r="K56">
        <v>0.88685349999999996</v>
      </c>
      <c r="L56">
        <v>0.10140971</v>
      </c>
      <c r="M56" t="s">
        <v>240</v>
      </c>
      <c r="N56">
        <v>0</v>
      </c>
      <c r="O56" s="231" t="str">
        <f>IF(ISBLANK('Asset #1'!C69),"",'Asset #1'!C69*IF('Asset #1'!$D$18="kg/unit",1000,1))</f>
        <v/>
      </c>
      <c r="P56" s="239">
        <f>IF(ISBLANK('Asset #1'!D69),0,'Asset #1'!D69)</f>
        <v>0</v>
      </c>
      <c r="Q56" s="40">
        <f>IF(ISBLANK('Asset #1'!H69),0,'Asset #1'!H69)</f>
        <v>0</v>
      </c>
      <c r="R56" s="22" t="str">
        <f>IF(ISBLANK('Asset #1'!I69),"N/A",'Asset #1'!I69)</f>
        <v>N/A</v>
      </c>
      <c r="S56" s="22">
        <f>IF(BI_Tbl_materials[[#This Row],[Asset '#1 - Re/Down out]]="Recycled",1, IF(BI_Tbl_materials[[#This Row],[Asset '#1 - Re/Down out]]="Downcycled", 0.5, 0))</f>
        <v>0</v>
      </c>
      <c r="T56" s="40">
        <f>IFERROR(BI_Tbl_materials[[#This Row],[Biobased - yes = 1, no = 0]]*(1-BI_Tbl_materials[[#This Row],[Asset '#1 - Recycled (%)]])+BI_Tbl_materials[[#This Row],[Asset '#1 - Recycled (%)]],"")</f>
        <v>0</v>
      </c>
      <c r="U5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6" s="43" t="str">
        <f>IF(ISBLANK('Asset #2'!C69),"",'Asset #2'!C69*IF('Asset #2'!$D$18="kg/unit",1000,1))</f>
        <v/>
      </c>
      <c r="X56" s="40">
        <f>IF(ISBLANK('Asset #2'!D69),0,'Asset #2'!D69)</f>
        <v>0</v>
      </c>
      <c r="Y56" s="75">
        <f>IF(ISBLANK('Asset #2'!H69),0,'Asset #2'!H69)</f>
        <v>0</v>
      </c>
      <c r="Z56" s="22" t="str">
        <f>IF(ISBLANK('Asset #2'!I69),"N/A",'Asset #2'!I69)</f>
        <v>N/A</v>
      </c>
      <c r="AA56" s="22">
        <f>IF(BI_Tbl_materials[[#This Row],[Asset '#2 - Re/Down out]]="Recycled",1, IF(BI_Tbl_materials[[#This Row],[Asset '#2 - Re/Down out]]="Downcycled", 0.5, 0))</f>
        <v>0</v>
      </c>
      <c r="AB56" s="76">
        <f>IFERROR(BI_Tbl_materials[[#This Row],[Biobased - yes = 1, no = 0]]*(1-BI_Tbl_materials[[#This Row],[Asset '#2 - Recycled (%)]])+BI_Tbl_materials[[#This Row],[Asset '#2 - Recycled (%)]],"")</f>
        <v>0</v>
      </c>
      <c r="AC5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6" s="43" t="str">
        <f>IF(ISBLANK('Asset #3'!C69),"",'Asset #3'!C69*IF('Asset #3'!$D$18="kg/unit",1000,1))</f>
        <v/>
      </c>
      <c r="AF56" s="75">
        <f>IF(ISBLANK('Asset #3'!D69),0,'Asset #3'!D69)</f>
        <v>0</v>
      </c>
      <c r="AG56" s="75">
        <f>IF(ISBLANK('Asset #3'!H69),0,'Asset #3'!H69)</f>
        <v>0</v>
      </c>
      <c r="AH56" s="22" t="str">
        <f>IF(ISBLANK('Asset #3'!I69),"N/A",'Asset #3'!I69)</f>
        <v>N/A</v>
      </c>
      <c r="AI56" s="22">
        <f>IF(BI_Tbl_materials[[#This Row],[Asset '#3 - Re/Down out]]="Recycled",1, IF(BI_Tbl_materials[[#This Row],[Asset '#3 - Re/Down out]]="Downcycled", 0.5, 0))</f>
        <v>0</v>
      </c>
      <c r="AJ56" s="76">
        <f>IFERROR(BI_Tbl_materials[[#This Row],[Biobased - yes = 1, no = 0]]*(1-BI_Tbl_materials[[#This Row],[Asset '#3 - Recycled (%)]])+BI_Tbl_materials[[#This Row],[Asset '#3 - Recycled (%)]],"")</f>
        <v>0</v>
      </c>
      <c r="AK5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7" spans="2:38" x14ac:dyDescent="0.35">
      <c r="B57" s="231" t="s">
        <v>281</v>
      </c>
      <c r="C57" s="231" t="s">
        <v>239</v>
      </c>
      <c r="D57" s="231" t="s">
        <v>239</v>
      </c>
      <c r="E57" s="231" t="s">
        <v>239</v>
      </c>
      <c r="F57" s="231"/>
      <c r="G57" s="231" t="s">
        <v>239</v>
      </c>
      <c r="H57" s="231" t="s">
        <v>239</v>
      </c>
      <c r="I57" s="260">
        <v>-0.5</v>
      </c>
      <c r="J57" s="260">
        <v>0.75444893999999996</v>
      </c>
      <c r="K57" s="231">
        <v>1.2885023</v>
      </c>
      <c r="L57" s="231">
        <v>0.12755082000000001</v>
      </c>
      <c r="M57" s="231" t="s">
        <v>240</v>
      </c>
      <c r="N57" s="231">
        <v>1</v>
      </c>
      <c r="O57" s="231" t="str">
        <f>IF(ISBLANK('Asset #1'!C70),"",'Asset #1'!C70*IF('Asset #1'!$D$18="kg/unit",1000,1))</f>
        <v/>
      </c>
      <c r="P57" s="239">
        <f>IF(ISBLANK('Asset #1'!D70),0,'Asset #1'!D70)</f>
        <v>0</v>
      </c>
      <c r="Q57" s="40">
        <f>IF(ISBLANK('Asset #1'!H70),0,'Asset #1'!H70)</f>
        <v>0</v>
      </c>
      <c r="R57" s="22" t="str">
        <f>IF(ISBLANK('Asset #1'!I70),"N/A",'Asset #1'!I70)</f>
        <v>N/A</v>
      </c>
      <c r="S57" s="22">
        <f>IF(BI_Tbl_materials[[#This Row],[Asset '#1 - Re/Down out]]="Recycled",1, IF(BI_Tbl_materials[[#This Row],[Asset '#1 - Re/Down out]]="Downcycled", 0.5, 0))</f>
        <v>0</v>
      </c>
      <c r="T57" s="40">
        <f>IFERROR(BI_Tbl_materials[[#This Row],[Biobased - yes = 1, no = 0]]*(1-BI_Tbl_materials[[#This Row],[Asset '#1 - Recycled (%)]])+BI_Tbl_materials[[#This Row],[Asset '#1 - Recycled (%)]],"")</f>
        <v>1</v>
      </c>
      <c r="U5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7" s="43" t="str">
        <f>IF(ISBLANK('Asset #2'!C70),"",'Asset #2'!C70*IF('Asset #2'!$D$18="kg/unit",1000,1))</f>
        <v/>
      </c>
      <c r="X57" s="40">
        <f>IF(ISBLANK('Asset #2'!D70),0,'Asset #2'!D70)</f>
        <v>0</v>
      </c>
      <c r="Y57" s="75">
        <f>IF(ISBLANK('Asset #2'!H70),0,'Asset #2'!H70)</f>
        <v>0</v>
      </c>
      <c r="Z57" s="22" t="str">
        <f>IF(ISBLANK('Asset #2'!I70),"N/A",'Asset #2'!I70)</f>
        <v>N/A</v>
      </c>
      <c r="AA57" s="22">
        <f>IF(BI_Tbl_materials[[#This Row],[Asset '#2 - Re/Down out]]="Recycled",1, IF(BI_Tbl_materials[[#This Row],[Asset '#2 - Re/Down out]]="Downcycled", 0.5, 0))</f>
        <v>0</v>
      </c>
      <c r="AB57" s="76">
        <f>IFERROR(BI_Tbl_materials[[#This Row],[Biobased - yes = 1, no = 0]]*(1-BI_Tbl_materials[[#This Row],[Asset '#2 - Recycled (%)]])+BI_Tbl_materials[[#This Row],[Asset '#2 - Recycled (%)]],"")</f>
        <v>1</v>
      </c>
      <c r="AC5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7" s="43" t="str">
        <f>IF(ISBLANK('Asset #3'!C70),"",'Asset #3'!C70*IF('Asset #3'!$D$18="kg/unit",1000,1))</f>
        <v/>
      </c>
      <c r="AF57" s="75">
        <f>IF(ISBLANK('Asset #3'!D70),0,'Asset #3'!D70)</f>
        <v>0</v>
      </c>
      <c r="AG57" s="75">
        <f>IF(ISBLANK('Asset #3'!H70),0,'Asset #3'!H70)</f>
        <v>0</v>
      </c>
      <c r="AH57" s="22" t="str">
        <f>IF(ISBLANK('Asset #3'!I70),"N/A",'Asset #3'!I70)</f>
        <v>N/A</v>
      </c>
      <c r="AI57" s="22">
        <f>IF(BI_Tbl_materials[[#This Row],[Asset '#3 - Re/Down out]]="Recycled",1, IF(BI_Tbl_materials[[#This Row],[Asset '#3 - Re/Down out]]="Downcycled", 0.5, 0))</f>
        <v>0</v>
      </c>
      <c r="AJ57" s="76">
        <f>IFERROR(BI_Tbl_materials[[#This Row],[Biobased - yes = 1, no = 0]]*(1-BI_Tbl_materials[[#This Row],[Asset '#3 - Recycled (%)]])+BI_Tbl_materials[[#This Row],[Asset '#3 - Recycled (%)]],"")</f>
        <v>1</v>
      </c>
      <c r="AK5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8" spans="2:38" x14ac:dyDescent="0.35">
      <c r="B58" s="231" t="s">
        <v>280</v>
      </c>
      <c r="C58" s="231" t="s">
        <v>239</v>
      </c>
      <c r="D58" s="231" t="s">
        <v>239</v>
      </c>
      <c r="E58" s="231" t="s">
        <v>239</v>
      </c>
      <c r="F58" s="231"/>
      <c r="G58" s="231" t="s">
        <v>239</v>
      </c>
      <c r="H58" s="231" t="s">
        <v>239</v>
      </c>
      <c r="I58" s="260">
        <v>2.9661268999999999</v>
      </c>
      <c r="J58" s="260">
        <v>0.75444893999999996</v>
      </c>
      <c r="K58" s="231">
        <v>1.2885023</v>
      </c>
      <c r="L58" s="231">
        <v>0.12755082000000001</v>
      </c>
      <c r="M58" s="231" t="s">
        <v>240</v>
      </c>
      <c r="N58" s="231">
        <v>0</v>
      </c>
      <c r="O58" s="231" t="str">
        <f>IF(ISBLANK('Asset #1'!C71),"",'Asset #1'!C71*IF('Asset #1'!$D$18="kg/unit",1000,1))</f>
        <v/>
      </c>
      <c r="P58" s="239">
        <f>IF(ISBLANK('Asset #1'!D71),0,'Asset #1'!D71)</f>
        <v>0</v>
      </c>
      <c r="Q58" s="40">
        <f>IF(ISBLANK('Asset #1'!H71),0,'Asset #1'!H71)</f>
        <v>0</v>
      </c>
      <c r="R58" s="22" t="str">
        <f>IF(ISBLANK('Asset #1'!I71),"N/A",'Asset #1'!I71)</f>
        <v>N/A</v>
      </c>
      <c r="S58" s="22">
        <f>IF(BI_Tbl_materials[[#This Row],[Asset '#1 - Re/Down out]]="Recycled",1, IF(BI_Tbl_materials[[#This Row],[Asset '#1 - Re/Down out]]="Downcycled", 0.5, 0))</f>
        <v>0</v>
      </c>
      <c r="T58" s="40">
        <f>IFERROR(BI_Tbl_materials[[#This Row],[Biobased - yes = 1, no = 0]]*(1-BI_Tbl_materials[[#This Row],[Asset '#1 - Recycled (%)]])+BI_Tbl_materials[[#This Row],[Asset '#1 - Recycled (%)]],"")</f>
        <v>0</v>
      </c>
      <c r="U5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8" s="43" t="str">
        <f>IF(ISBLANK('Asset #2'!C71),"",'Asset #2'!C71*IF('Asset #2'!$D$18="kg/unit",1000,1))</f>
        <v/>
      </c>
      <c r="X58" s="40">
        <f>IF(ISBLANK('Asset #2'!D71),0,'Asset #2'!D71)</f>
        <v>0</v>
      </c>
      <c r="Y58" s="75">
        <f>IF(ISBLANK('Asset #2'!H71),0,'Asset #2'!H71)</f>
        <v>0</v>
      </c>
      <c r="Z58" s="22" t="str">
        <f>IF(ISBLANK('Asset #2'!I71),"N/A",'Asset #2'!I71)</f>
        <v>N/A</v>
      </c>
      <c r="AA58" s="22">
        <f>IF(BI_Tbl_materials[[#This Row],[Asset '#2 - Re/Down out]]="Recycled",1, IF(BI_Tbl_materials[[#This Row],[Asset '#2 - Re/Down out]]="Downcycled", 0.5, 0))</f>
        <v>0</v>
      </c>
      <c r="AB58" s="76">
        <f>IFERROR(BI_Tbl_materials[[#This Row],[Biobased - yes = 1, no = 0]]*(1-BI_Tbl_materials[[#This Row],[Asset '#2 - Recycled (%)]])+BI_Tbl_materials[[#This Row],[Asset '#2 - Recycled (%)]],"")</f>
        <v>0</v>
      </c>
      <c r="AC5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8" s="43" t="str">
        <f>IF(ISBLANK('Asset #3'!C71),"",'Asset #3'!C71*IF('Asset #3'!$D$18="kg/unit",1000,1))</f>
        <v/>
      </c>
      <c r="AF58" s="75">
        <f>IF(ISBLANK('Asset #3'!D71),0,'Asset #3'!D71)</f>
        <v>0</v>
      </c>
      <c r="AG58" s="75">
        <f>IF(ISBLANK('Asset #3'!H71),0,'Asset #3'!H71)</f>
        <v>0</v>
      </c>
      <c r="AH58" s="22" t="str">
        <f>IF(ISBLANK('Asset #3'!I71),"N/A",'Asset #3'!I71)</f>
        <v>N/A</v>
      </c>
      <c r="AI58" s="22">
        <f>IF(BI_Tbl_materials[[#This Row],[Asset '#3 - Re/Down out]]="Recycled",1, IF(BI_Tbl_materials[[#This Row],[Asset '#3 - Re/Down out]]="Downcycled", 0.5, 0))</f>
        <v>0</v>
      </c>
      <c r="AJ58" s="76">
        <f>IFERROR(BI_Tbl_materials[[#This Row],[Biobased - yes = 1, no = 0]]*(1-BI_Tbl_materials[[#This Row],[Asset '#3 - Recycled (%)]])+BI_Tbl_materials[[#This Row],[Asset '#3 - Recycled (%)]],"")</f>
        <v>0</v>
      </c>
      <c r="AK5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59" spans="2:38" x14ac:dyDescent="0.35">
      <c r="B59" s="231" t="s">
        <v>282</v>
      </c>
      <c r="C59" s="231" t="s">
        <v>239</v>
      </c>
      <c r="D59" s="231" t="s">
        <v>239</v>
      </c>
      <c r="E59" s="231" t="s">
        <v>239</v>
      </c>
      <c r="F59" s="231"/>
      <c r="G59" s="231" t="s">
        <v>239</v>
      </c>
      <c r="H59" s="231" t="s">
        <v>239</v>
      </c>
      <c r="I59" s="260">
        <v>3.7521741999999998</v>
      </c>
      <c r="J59" s="260">
        <v>1.4470441999999999</v>
      </c>
      <c r="K59" s="231">
        <v>1.1286594999999999</v>
      </c>
      <c r="L59" s="231">
        <v>9.0407775999999995E-2</v>
      </c>
      <c r="M59" s="231" t="s">
        <v>240</v>
      </c>
      <c r="N59" s="231">
        <v>0</v>
      </c>
      <c r="O59" s="231" t="str">
        <f>IF(ISBLANK('Asset #1'!C72),"",'Asset #1'!C72*IF('Asset #1'!$D$18="kg/unit",1000,1))</f>
        <v/>
      </c>
      <c r="P59" s="239">
        <f>IF(ISBLANK('Asset #1'!D72),0,'Asset #1'!D72)</f>
        <v>0</v>
      </c>
      <c r="Q59" s="40">
        <f>IF(ISBLANK('Asset #1'!H72),0,'Asset #1'!H72)</f>
        <v>0</v>
      </c>
      <c r="R59" s="22" t="str">
        <f>IF(ISBLANK('Asset #1'!I72),"N/A",'Asset #1'!I72)</f>
        <v>N/A</v>
      </c>
      <c r="S59" s="22">
        <f>IF(BI_Tbl_materials[[#This Row],[Asset '#1 - Re/Down out]]="Recycled",1, IF(BI_Tbl_materials[[#This Row],[Asset '#1 - Re/Down out]]="Downcycled", 0.5, 0))</f>
        <v>0</v>
      </c>
      <c r="T59" s="40">
        <f>IFERROR(BI_Tbl_materials[[#This Row],[Biobased - yes = 1, no = 0]]*(1-BI_Tbl_materials[[#This Row],[Asset '#1 - Recycled (%)]])+BI_Tbl_materials[[#This Row],[Asset '#1 - Recycled (%)]],"")</f>
        <v>0</v>
      </c>
      <c r="U5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5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59" s="43" t="str">
        <f>IF(ISBLANK('Asset #2'!C72),"",'Asset #2'!C72*IF('Asset #2'!$D$18="kg/unit",1000,1))</f>
        <v/>
      </c>
      <c r="X59" s="40">
        <f>IF(ISBLANK('Asset #2'!D72),0,'Asset #2'!D72)</f>
        <v>0</v>
      </c>
      <c r="Y59" s="75">
        <f>IF(ISBLANK('Asset #2'!H72),0,'Asset #2'!H72)</f>
        <v>0</v>
      </c>
      <c r="Z59" s="22" t="str">
        <f>IF(ISBLANK('Asset #2'!I72),"N/A",'Asset #2'!I72)</f>
        <v>N/A</v>
      </c>
      <c r="AA59" s="22">
        <f>IF(BI_Tbl_materials[[#This Row],[Asset '#2 - Re/Down out]]="Recycled",1, IF(BI_Tbl_materials[[#This Row],[Asset '#2 - Re/Down out]]="Downcycled", 0.5, 0))</f>
        <v>0</v>
      </c>
      <c r="AB59" s="76">
        <f>IFERROR(BI_Tbl_materials[[#This Row],[Biobased - yes = 1, no = 0]]*(1-BI_Tbl_materials[[#This Row],[Asset '#2 - Recycled (%)]])+BI_Tbl_materials[[#This Row],[Asset '#2 - Recycled (%)]],"")</f>
        <v>0</v>
      </c>
      <c r="AC5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5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59" s="43" t="str">
        <f>IF(ISBLANK('Asset #3'!C72),"",'Asset #3'!C72*IF('Asset #3'!$D$18="kg/unit",1000,1))</f>
        <v/>
      </c>
      <c r="AF59" s="75">
        <f>IF(ISBLANK('Asset #3'!D72),0,'Asset #3'!D72)</f>
        <v>0</v>
      </c>
      <c r="AG59" s="75">
        <f>IF(ISBLANK('Asset #3'!H72),0,'Asset #3'!H72)</f>
        <v>0</v>
      </c>
      <c r="AH59" s="22" t="str">
        <f>IF(ISBLANK('Asset #3'!I72),"N/A",'Asset #3'!I72)</f>
        <v>N/A</v>
      </c>
      <c r="AI59" s="22">
        <f>IF(BI_Tbl_materials[[#This Row],[Asset '#3 - Re/Down out]]="Recycled",1, IF(BI_Tbl_materials[[#This Row],[Asset '#3 - Re/Down out]]="Downcycled", 0.5, 0))</f>
        <v>0</v>
      </c>
      <c r="AJ59" s="76">
        <f>IFERROR(BI_Tbl_materials[[#This Row],[Biobased - yes = 1, no = 0]]*(1-BI_Tbl_materials[[#This Row],[Asset '#3 - Recycled (%)]])+BI_Tbl_materials[[#This Row],[Asset '#3 - Recycled (%)]],"")</f>
        <v>0</v>
      </c>
      <c r="AK5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5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0" spans="2:38" x14ac:dyDescent="0.35">
      <c r="B60" s="231" t="s">
        <v>283</v>
      </c>
      <c r="C60" s="231" t="s">
        <v>239</v>
      </c>
      <c r="D60" s="231"/>
      <c r="E60" s="231"/>
      <c r="F60" s="231"/>
      <c r="G60" s="231" t="s">
        <v>239</v>
      </c>
      <c r="H60" s="231" t="s">
        <v>239</v>
      </c>
      <c r="I60" s="260">
        <v>6.9418274999999996</v>
      </c>
      <c r="J60" s="260">
        <v>6.9418274999999996</v>
      </c>
      <c r="K60" s="231">
        <v>1.9792983</v>
      </c>
      <c r="L60" s="231">
        <v>0.10140971</v>
      </c>
      <c r="M60" s="231" t="s">
        <v>240</v>
      </c>
      <c r="N60" s="231">
        <v>0</v>
      </c>
      <c r="O60" s="231" t="str">
        <f>IF(ISBLANK('Asset #1'!C73),"",'Asset #1'!C73*IF('Asset #1'!$D$18="kg/unit",1000,1))</f>
        <v/>
      </c>
      <c r="P60" s="239">
        <f>IF(ISBLANK('Asset #1'!D73),0,'Asset #1'!D73)</f>
        <v>0</v>
      </c>
      <c r="Q60" s="40">
        <f>IF(ISBLANK('Asset #1'!H73),0,'Asset #1'!H73)</f>
        <v>0</v>
      </c>
      <c r="R60" s="22" t="str">
        <f>IF(ISBLANK('Asset #1'!I73),"N/A",'Asset #1'!I73)</f>
        <v>N/A</v>
      </c>
      <c r="S60" s="22">
        <f>IF(BI_Tbl_materials[[#This Row],[Asset '#1 - Re/Down out]]="Recycled",1, IF(BI_Tbl_materials[[#This Row],[Asset '#1 - Re/Down out]]="Downcycled", 0.5, 0))</f>
        <v>0</v>
      </c>
      <c r="T60" s="40">
        <f>IFERROR(BI_Tbl_materials[[#This Row],[Biobased - yes = 1, no = 0]]*(1-BI_Tbl_materials[[#This Row],[Asset '#1 - Recycled (%)]])+BI_Tbl_materials[[#This Row],[Asset '#1 - Recycled (%)]],"")</f>
        <v>0</v>
      </c>
      <c r="U6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0" s="43" t="str">
        <f>IF(ISBLANK('Asset #2'!C73),"",'Asset #2'!C73*IF('Asset #2'!$D$18="kg/unit",1000,1))</f>
        <v/>
      </c>
      <c r="X60" s="40">
        <f>IF(ISBLANK('Asset #2'!D73),0,'Asset #2'!D73)</f>
        <v>0</v>
      </c>
      <c r="Y60" s="75">
        <f>IF(ISBLANK('Asset #2'!H73),0,'Asset #2'!H73)</f>
        <v>0</v>
      </c>
      <c r="Z60" s="22" t="str">
        <f>IF(ISBLANK('Asset #2'!I73),"N/A",'Asset #2'!I73)</f>
        <v>N/A</v>
      </c>
      <c r="AA60" s="22">
        <f>IF(BI_Tbl_materials[[#This Row],[Asset '#2 - Re/Down out]]="Recycled",1, IF(BI_Tbl_materials[[#This Row],[Asset '#2 - Re/Down out]]="Downcycled", 0.5, 0))</f>
        <v>0</v>
      </c>
      <c r="AB60" s="76">
        <f>IFERROR(BI_Tbl_materials[[#This Row],[Biobased - yes = 1, no = 0]]*(1-BI_Tbl_materials[[#This Row],[Asset '#2 - Recycled (%)]])+BI_Tbl_materials[[#This Row],[Asset '#2 - Recycled (%)]],"")</f>
        <v>0</v>
      </c>
      <c r="AC6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0" s="43" t="str">
        <f>IF(ISBLANK('Asset #3'!C73),"",'Asset #3'!C73*IF('Asset #3'!$D$18="kg/unit",1000,1))</f>
        <v/>
      </c>
      <c r="AF60" s="75">
        <f>IF(ISBLANK('Asset #3'!D73),0,'Asset #3'!D73)</f>
        <v>0</v>
      </c>
      <c r="AG60" s="75">
        <f>IF(ISBLANK('Asset #3'!H73),0,'Asset #3'!H73)</f>
        <v>0</v>
      </c>
      <c r="AH60" s="22" t="str">
        <f>IF(ISBLANK('Asset #3'!I73),"N/A",'Asset #3'!I73)</f>
        <v>N/A</v>
      </c>
      <c r="AI60" s="22">
        <f>IF(BI_Tbl_materials[[#This Row],[Asset '#3 - Re/Down out]]="Recycled",1, IF(BI_Tbl_materials[[#This Row],[Asset '#3 - Re/Down out]]="Downcycled", 0.5, 0))</f>
        <v>0</v>
      </c>
      <c r="AJ60" s="76">
        <f>IFERROR(BI_Tbl_materials[[#This Row],[Biobased - yes = 1, no = 0]]*(1-BI_Tbl_materials[[#This Row],[Asset '#3 - Recycled (%)]])+BI_Tbl_materials[[#This Row],[Asset '#3 - Recycled (%)]],"")</f>
        <v>0</v>
      </c>
      <c r="AK6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1" spans="2:38" x14ac:dyDescent="0.35">
      <c r="B61" t="s">
        <v>284</v>
      </c>
      <c r="F61" t="s">
        <v>239</v>
      </c>
      <c r="H61" t="s">
        <v>239</v>
      </c>
      <c r="I61" s="261">
        <v>1.7441905</v>
      </c>
      <c r="J61" s="261">
        <v>1.7441905</v>
      </c>
      <c r="K61">
        <v>1.9753595999999998E-2</v>
      </c>
      <c r="L61">
        <v>5.6607693999999997E-3</v>
      </c>
      <c r="M61" t="s">
        <v>240</v>
      </c>
      <c r="N61">
        <v>0</v>
      </c>
      <c r="O61" s="231" t="str">
        <f>IF(ISBLANK('Asset #1'!C74),"",'Asset #1'!C74*IF('Asset #1'!$D$18="kg/unit",1000,1))</f>
        <v/>
      </c>
      <c r="P61" s="239">
        <f>IF(ISBLANK('Asset #1'!D74),0,'Asset #1'!D74)</f>
        <v>0</v>
      </c>
      <c r="Q61" s="40">
        <f>IF(ISBLANK('Asset #1'!H74),0,'Asset #1'!H74)</f>
        <v>0</v>
      </c>
      <c r="R61" s="22" t="str">
        <f>IF(ISBLANK('Asset #1'!I74),"N/A",'Asset #1'!I74)</f>
        <v>N/A</v>
      </c>
      <c r="S61" s="22">
        <f>IF(BI_Tbl_materials[[#This Row],[Asset '#1 - Re/Down out]]="Recycled",1, IF(BI_Tbl_materials[[#This Row],[Asset '#1 - Re/Down out]]="Downcycled", 0.5, 0))</f>
        <v>0</v>
      </c>
      <c r="T61" s="40">
        <f>IFERROR(BI_Tbl_materials[[#This Row],[Biobased - yes = 1, no = 0]]*(1-BI_Tbl_materials[[#This Row],[Asset '#1 - Recycled (%)]])+BI_Tbl_materials[[#This Row],[Asset '#1 - Recycled (%)]],"")</f>
        <v>0</v>
      </c>
      <c r="U6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1" s="43" t="str">
        <f>IF(ISBLANK('Asset #2'!C74),"",'Asset #2'!C74*IF('Asset #2'!$D$18="kg/unit",1000,1))</f>
        <v/>
      </c>
      <c r="X61" s="40">
        <f>IF(ISBLANK('Asset #2'!D74),0,'Asset #2'!D74)</f>
        <v>0</v>
      </c>
      <c r="Y61" s="75">
        <f>IF(ISBLANK('Asset #2'!H74),0,'Asset #2'!H74)</f>
        <v>0</v>
      </c>
      <c r="Z61" s="22" t="str">
        <f>IF(ISBLANK('Asset #2'!I74),"N/A",'Asset #2'!I74)</f>
        <v>N/A</v>
      </c>
      <c r="AA61" s="22">
        <f>IF(BI_Tbl_materials[[#This Row],[Asset '#2 - Re/Down out]]="Recycled",1, IF(BI_Tbl_materials[[#This Row],[Asset '#2 - Re/Down out]]="Downcycled", 0.5, 0))</f>
        <v>0</v>
      </c>
      <c r="AB61" s="76">
        <f>IFERROR(BI_Tbl_materials[[#This Row],[Biobased - yes = 1, no = 0]]*(1-BI_Tbl_materials[[#This Row],[Asset '#2 - Recycled (%)]])+BI_Tbl_materials[[#This Row],[Asset '#2 - Recycled (%)]],"")</f>
        <v>0</v>
      </c>
      <c r="AC6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1" s="43" t="str">
        <f>IF(ISBLANK('Asset #3'!C74),"",'Asset #3'!C74*IF('Asset #3'!$D$18="kg/unit",1000,1))</f>
        <v/>
      </c>
      <c r="AF61" s="75">
        <f>IF(ISBLANK('Asset #3'!D74),0,'Asset #3'!D74)</f>
        <v>0</v>
      </c>
      <c r="AG61" s="75">
        <f>IF(ISBLANK('Asset #3'!H74),0,'Asset #3'!H74)</f>
        <v>0</v>
      </c>
      <c r="AH61" s="22" t="str">
        <f>IF(ISBLANK('Asset #3'!I74),"N/A",'Asset #3'!I74)</f>
        <v>N/A</v>
      </c>
      <c r="AI61" s="22">
        <f>IF(BI_Tbl_materials[[#This Row],[Asset '#3 - Re/Down out]]="Recycled",1, IF(BI_Tbl_materials[[#This Row],[Asset '#3 - Re/Down out]]="Downcycled", 0.5, 0))</f>
        <v>0</v>
      </c>
      <c r="AJ61" s="76">
        <f>IFERROR(BI_Tbl_materials[[#This Row],[Biobased - yes = 1, no = 0]]*(1-BI_Tbl_materials[[#This Row],[Asset '#3 - Recycled (%)]])+BI_Tbl_materials[[#This Row],[Asset '#3 - Recycled (%)]],"")</f>
        <v>0</v>
      </c>
      <c r="AK6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2" spans="2:38" x14ac:dyDescent="0.35">
      <c r="B62" t="s">
        <v>285</v>
      </c>
      <c r="C62" t="s">
        <v>239</v>
      </c>
      <c r="H62" t="s">
        <v>239</v>
      </c>
      <c r="I62" s="261">
        <v>6.2038976000000003</v>
      </c>
      <c r="J62" s="261">
        <v>1.4470441999999999</v>
      </c>
      <c r="K62">
        <v>1.1286594999999999</v>
      </c>
      <c r="L62">
        <v>9.0407775999999995E-2</v>
      </c>
      <c r="M62" t="s">
        <v>240</v>
      </c>
      <c r="N62">
        <v>0</v>
      </c>
      <c r="O62" s="231" t="str">
        <f>IF(ISBLANK('Asset #1'!C75),"",'Asset #1'!C75*IF('Asset #1'!$D$18="kg/unit",1000,1))</f>
        <v/>
      </c>
      <c r="P62" s="239">
        <f>IF(ISBLANK('Asset #1'!D75),0,'Asset #1'!D75)</f>
        <v>0</v>
      </c>
      <c r="Q62" s="40">
        <f>IF(ISBLANK('Asset #1'!H75),0,'Asset #1'!H75)</f>
        <v>0</v>
      </c>
      <c r="R62" s="22" t="str">
        <f>IF(ISBLANK('Asset #1'!I75),"N/A",'Asset #1'!I75)</f>
        <v>N/A</v>
      </c>
      <c r="S62" s="22">
        <f>IF(BI_Tbl_materials[[#This Row],[Asset '#1 - Re/Down out]]="Recycled",1, IF(BI_Tbl_materials[[#This Row],[Asset '#1 - Re/Down out]]="Downcycled", 0.5, 0))</f>
        <v>0</v>
      </c>
      <c r="T62" s="40">
        <f>IFERROR(BI_Tbl_materials[[#This Row],[Biobased - yes = 1, no = 0]]*(1-BI_Tbl_materials[[#This Row],[Asset '#1 - Recycled (%)]])+BI_Tbl_materials[[#This Row],[Asset '#1 - Recycled (%)]],"")</f>
        <v>0</v>
      </c>
      <c r="U6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2" s="43" t="str">
        <f>IF(ISBLANK('Asset #2'!C75),"",'Asset #2'!C75*IF('Asset #2'!$D$18="kg/unit",1000,1))</f>
        <v/>
      </c>
      <c r="X62" s="40">
        <f>IF(ISBLANK('Asset #2'!D75),0,'Asset #2'!D75)</f>
        <v>0</v>
      </c>
      <c r="Y62" s="75">
        <f>IF(ISBLANK('Asset #2'!H75),0,'Asset #2'!H75)</f>
        <v>0</v>
      </c>
      <c r="Z62" s="22" t="str">
        <f>IF(ISBLANK('Asset #2'!I75),"N/A",'Asset #2'!I75)</f>
        <v>N/A</v>
      </c>
      <c r="AA62" s="22">
        <f>IF(BI_Tbl_materials[[#This Row],[Asset '#2 - Re/Down out]]="Recycled",1, IF(BI_Tbl_materials[[#This Row],[Asset '#2 - Re/Down out]]="Downcycled", 0.5, 0))</f>
        <v>0</v>
      </c>
      <c r="AB62" s="76">
        <f>IFERROR(BI_Tbl_materials[[#This Row],[Biobased - yes = 1, no = 0]]*(1-BI_Tbl_materials[[#This Row],[Asset '#2 - Recycled (%)]])+BI_Tbl_materials[[#This Row],[Asset '#2 - Recycled (%)]],"")</f>
        <v>0</v>
      </c>
      <c r="AC6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2" s="43" t="str">
        <f>IF(ISBLANK('Asset #3'!C75),"",'Asset #3'!C75*IF('Asset #3'!$D$18="kg/unit",1000,1))</f>
        <v/>
      </c>
      <c r="AF62" s="75">
        <f>IF(ISBLANK('Asset #3'!D75),0,'Asset #3'!D75)</f>
        <v>0</v>
      </c>
      <c r="AG62" s="75">
        <f>IF(ISBLANK('Asset #3'!H75),0,'Asset #3'!H75)</f>
        <v>0</v>
      </c>
      <c r="AH62" s="22" t="str">
        <f>IF(ISBLANK('Asset #3'!I75),"N/A",'Asset #3'!I75)</f>
        <v>N/A</v>
      </c>
      <c r="AI62" s="22">
        <f>IF(BI_Tbl_materials[[#This Row],[Asset '#3 - Re/Down out]]="Recycled",1, IF(BI_Tbl_materials[[#This Row],[Asset '#3 - Re/Down out]]="Downcycled", 0.5, 0))</f>
        <v>0</v>
      </c>
      <c r="AJ62" s="76">
        <f>IFERROR(BI_Tbl_materials[[#This Row],[Biobased - yes = 1, no = 0]]*(1-BI_Tbl_materials[[#This Row],[Asset '#3 - Recycled (%)]])+BI_Tbl_materials[[#This Row],[Asset '#3 - Recycled (%)]],"")</f>
        <v>0</v>
      </c>
      <c r="AK6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3" spans="2:38" x14ac:dyDescent="0.35">
      <c r="B63" t="s">
        <v>286</v>
      </c>
      <c r="D63" t="s">
        <v>239</v>
      </c>
      <c r="E63" t="s">
        <v>239</v>
      </c>
      <c r="F63" t="s">
        <v>239</v>
      </c>
      <c r="H63" t="s">
        <v>239</v>
      </c>
      <c r="I63" s="261">
        <v>3.7510857</v>
      </c>
      <c r="J63" s="261">
        <v>0.71917266999999996</v>
      </c>
      <c r="K63">
        <v>1.5838379</v>
      </c>
      <c r="L63">
        <v>0.10140971</v>
      </c>
      <c r="M63" t="s">
        <v>240</v>
      </c>
      <c r="N63">
        <v>0</v>
      </c>
      <c r="O63" s="231" t="str">
        <f>IF(ISBLANK('Asset #1'!C76),"",'Asset #1'!C76*IF('Asset #1'!$D$18="kg/unit",1000,1))</f>
        <v/>
      </c>
      <c r="P63" s="239">
        <f>IF(ISBLANK('Asset #1'!D76),0,'Asset #1'!D76)</f>
        <v>0</v>
      </c>
      <c r="Q63" s="40">
        <f>IF(ISBLANK('Asset #1'!H76),0,'Asset #1'!H76)</f>
        <v>0</v>
      </c>
      <c r="R63" s="22" t="str">
        <f>IF(ISBLANK('Asset #1'!I76),"N/A",'Asset #1'!I76)</f>
        <v>N/A</v>
      </c>
      <c r="S63" s="22">
        <f>IF(BI_Tbl_materials[[#This Row],[Asset '#1 - Re/Down out]]="Recycled",1, IF(BI_Tbl_materials[[#This Row],[Asset '#1 - Re/Down out]]="Downcycled", 0.5, 0))</f>
        <v>0</v>
      </c>
      <c r="T63" s="40">
        <f>IFERROR(BI_Tbl_materials[[#This Row],[Biobased - yes = 1, no = 0]]*(1-BI_Tbl_materials[[#This Row],[Asset '#1 - Recycled (%)]])+BI_Tbl_materials[[#This Row],[Asset '#1 - Recycled (%)]],"")</f>
        <v>0</v>
      </c>
      <c r="U6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3" s="43" t="str">
        <f>IF(ISBLANK('Asset #2'!C76),"",'Asset #2'!C76*IF('Asset #2'!$D$18="kg/unit",1000,1))</f>
        <v/>
      </c>
      <c r="X63" s="40">
        <f>IF(ISBLANK('Asset #2'!D76),0,'Asset #2'!D76)</f>
        <v>0</v>
      </c>
      <c r="Y63" s="75">
        <f>IF(ISBLANK('Asset #2'!H76),0,'Asset #2'!H76)</f>
        <v>0</v>
      </c>
      <c r="Z63" s="22" t="str">
        <f>IF(ISBLANK('Asset #2'!I76),"N/A",'Asset #2'!I76)</f>
        <v>N/A</v>
      </c>
      <c r="AA63" s="22">
        <f>IF(BI_Tbl_materials[[#This Row],[Asset '#2 - Re/Down out]]="Recycled",1, IF(BI_Tbl_materials[[#This Row],[Asset '#2 - Re/Down out]]="Downcycled", 0.5, 0))</f>
        <v>0</v>
      </c>
      <c r="AB63" s="76">
        <f>IFERROR(BI_Tbl_materials[[#This Row],[Biobased - yes = 1, no = 0]]*(1-BI_Tbl_materials[[#This Row],[Asset '#2 - Recycled (%)]])+BI_Tbl_materials[[#This Row],[Asset '#2 - Recycled (%)]],"")</f>
        <v>0</v>
      </c>
      <c r="AC6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3" s="43" t="str">
        <f>IF(ISBLANK('Asset #3'!C76),"",'Asset #3'!C76*IF('Asset #3'!$D$18="kg/unit",1000,1))</f>
        <v/>
      </c>
      <c r="AF63" s="75">
        <f>IF(ISBLANK('Asset #3'!D76),0,'Asset #3'!D76)</f>
        <v>0</v>
      </c>
      <c r="AG63" s="75">
        <f>IF(ISBLANK('Asset #3'!H76),0,'Asset #3'!H76)</f>
        <v>0</v>
      </c>
      <c r="AH63" s="22" t="str">
        <f>IF(ISBLANK('Asset #3'!I76),"N/A",'Asset #3'!I76)</f>
        <v>N/A</v>
      </c>
      <c r="AI63" s="22">
        <f>IF(BI_Tbl_materials[[#This Row],[Asset '#3 - Re/Down out]]="Recycled",1, IF(BI_Tbl_materials[[#This Row],[Asset '#3 - Re/Down out]]="Downcycled", 0.5, 0))</f>
        <v>0</v>
      </c>
      <c r="AJ63" s="76">
        <f>IFERROR(BI_Tbl_materials[[#This Row],[Biobased - yes = 1, no = 0]]*(1-BI_Tbl_materials[[#This Row],[Asset '#3 - Recycled (%)]])+BI_Tbl_materials[[#This Row],[Asset '#3 - Recycled (%)]],"")</f>
        <v>0</v>
      </c>
      <c r="AK6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4" spans="2:38" x14ac:dyDescent="0.35">
      <c r="B64" s="231" t="s">
        <v>287</v>
      </c>
      <c r="C64" s="231"/>
      <c r="D64" s="231" t="s">
        <v>239</v>
      </c>
      <c r="E64" s="231" t="s">
        <v>239</v>
      </c>
      <c r="F64" s="231"/>
      <c r="G64" s="231"/>
      <c r="H64" s="231" t="s">
        <v>239</v>
      </c>
      <c r="I64" s="260">
        <v>1.2451622</v>
      </c>
      <c r="J64" s="260">
        <v>0</v>
      </c>
      <c r="K64" s="231">
        <v>1.9753595999999998E-2</v>
      </c>
      <c r="L64" s="231">
        <v>5.6607693999999997E-3</v>
      </c>
      <c r="M64" s="231" t="s">
        <v>240</v>
      </c>
      <c r="N64" s="231">
        <v>0</v>
      </c>
      <c r="O64" s="231" t="str">
        <f>IF(ISBLANK('Asset #1'!C77),"",'Asset #1'!C77*IF('Asset #1'!$D$18="kg/unit",1000,1))</f>
        <v/>
      </c>
      <c r="P64" s="239">
        <f>IF(ISBLANK('Asset #1'!D77),0,'Asset #1'!D77)</f>
        <v>0</v>
      </c>
      <c r="Q64" s="40">
        <f>IF(ISBLANK('Asset #1'!H77),0,'Asset #1'!H77)</f>
        <v>0</v>
      </c>
      <c r="R64" s="22" t="str">
        <f>IF(ISBLANK('Asset #1'!I77),"N/A",'Asset #1'!I77)</f>
        <v>N/A</v>
      </c>
      <c r="S64" s="22">
        <f>IF(BI_Tbl_materials[[#This Row],[Asset '#1 - Re/Down out]]="Recycled",1, IF(BI_Tbl_materials[[#This Row],[Asset '#1 - Re/Down out]]="Downcycled", 0.5, 0))</f>
        <v>0</v>
      </c>
      <c r="T64" s="40">
        <f>IFERROR(BI_Tbl_materials[[#This Row],[Biobased - yes = 1, no = 0]]*(1-BI_Tbl_materials[[#This Row],[Asset '#1 - Recycled (%)]])+BI_Tbl_materials[[#This Row],[Asset '#1 - Recycled (%)]],"")</f>
        <v>0</v>
      </c>
      <c r="U6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4" s="43" t="str">
        <f>IF(ISBLANK('Asset #2'!C77),"",'Asset #2'!C77*IF('Asset #2'!$D$18="kg/unit",1000,1))</f>
        <v/>
      </c>
      <c r="X64" s="40">
        <f>IF(ISBLANK('Asset #2'!D77),0,'Asset #2'!D77)</f>
        <v>0</v>
      </c>
      <c r="Y64" s="75">
        <f>IF(ISBLANK('Asset #2'!H77),0,'Asset #2'!H77)</f>
        <v>0</v>
      </c>
      <c r="Z64" s="22" t="str">
        <f>IF(ISBLANK('Asset #2'!I77),"N/A",'Asset #2'!I77)</f>
        <v>N/A</v>
      </c>
      <c r="AA64" s="22">
        <f>IF(BI_Tbl_materials[[#This Row],[Asset '#2 - Re/Down out]]="Recycled",1, IF(BI_Tbl_materials[[#This Row],[Asset '#2 - Re/Down out]]="Downcycled", 0.5, 0))</f>
        <v>0</v>
      </c>
      <c r="AB64" s="76">
        <f>IFERROR(BI_Tbl_materials[[#This Row],[Biobased - yes = 1, no = 0]]*(1-BI_Tbl_materials[[#This Row],[Asset '#2 - Recycled (%)]])+BI_Tbl_materials[[#This Row],[Asset '#2 - Recycled (%)]],"")</f>
        <v>0</v>
      </c>
      <c r="AC6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4" s="43" t="str">
        <f>IF(ISBLANK('Asset #3'!C77),"",'Asset #3'!C77*IF('Asset #3'!$D$18="kg/unit",1000,1))</f>
        <v/>
      </c>
      <c r="AF64" s="75">
        <f>IF(ISBLANK('Asset #3'!D77),0,'Asset #3'!D77)</f>
        <v>0</v>
      </c>
      <c r="AG64" s="75">
        <f>IF(ISBLANK('Asset #3'!H77),0,'Asset #3'!H77)</f>
        <v>0</v>
      </c>
      <c r="AH64" s="22" t="str">
        <f>IF(ISBLANK('Asset #3'!I77),"N/A",'Asset #3'!I77)</f>
        <v>N/A</v>
      </c>
      <c r="AI64" s="22">
        <f>IF(BI_Tbl_materials[[#This Row],[Asset '#3 - Re/Down out]]="Recycled",1, IF(BI_Tbl_materials[[#This Row],[Asset '#3 - Re/Down out]]="Downcycled", 0.5, 0))</f>
        <v>0</v>
      </c>
      <c r="AJ64" s="76">
        <f>IFERROR(BI_Tbl_materials[[#This Row],[Biobased - yes = 1, no = 0]]*(1-BI_Tbl_materials[[#This Row],[Asset '#3 - Recycled (%)]])+BI_Tbl_materials[[#This Row],[Asset '#3 - Recycled (%)]],"")</f>
        <v>0</v>
      </c>
      <c r="AK6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5" spans="1:38" x14ac:dyDescent="0.35">
      <c r="B65" s="231" t="s">
        <v>288</v>
      </c>
      <c r="C65" s="231" t="s">
        <v>239</v>
      </c>
      <c r="D65" s="231" t="s">
        <v>239</v>
      </c>
      <c r="E65" s="231"/>
      <c r="F65" s="231" t="s">
        <v>239</v>
      </c>
      <c r="G65" s="231"/>
      <c r="H65" s="231" t="s">
        <v>239</v>
      </c>
      <c r="I65" s="260">
        <v>3.0490921000000002</v>
      </c>
      <c r="J65" s="260">
        <v>0.73354448000000005</v>
      </c>
      <c r="K65" s="231">
        <v>1.1918888999999999</v>
      </c>
      <c r="L65" s="231">
        <v>0.10735126</v>
      </c>
      <c r="M65" s="231" t="s">
        <v>240</v>
      </c>
      <c r="N65" s="231">
        <v>0</v>
      </c>
      <c r="O65" s="231" t="str">
        <f>IF(ISBLANK('Asset #1'!C78),"",'Asset #1'!C78*IF('Asset #1'!$D$18="kg/unit",1000,1))</f>
        <v/>
      </c>
      <c r="P65" s="239">
        <f>IF(ISBLANK('Asset #1'!D78),0,'Asset #1'!D78)</f>
        <v>0</v>
      </c>
      <c r="Q65" s="40">
        <f>IF(ISBLANK('Asset #1'!H78),0,'Asset #1'!H78)</f>
        <v>0</v>
      </c>
      <c r="R65" s="22" t="str">
        <f>IF(ISBLANK('Asset #1'!I78),"N/A",'Asset #1'!I78)</f>
        <v>N/A</v>
      </c>
      <c r="S65" s="22">
        <f>IF(BI_Tbl_materials[[#This Row],[Asset '#1 - Re/Down out]]="Recycled",1, IF(BI_Tbl_materials[[#This Row],[Asset '#1 - Re/Down out]]="Downcycled", 0.5, 0))</f>
        <v>0</v>
      </c>
      <c r="T65" s="40">
        <f>IFERROR(BI_Tbl_materials[[#This Row],[Biobased - yes = 1, no = 0]]*(1-BI_Tbl_materials[[#This Row],[Asset '#1 - Recycled (%)]])+BI_Tbl_materials[[#This Row],[Asset '#1 - Recycled (%)]],"")</f>
        <v>0</v>
      </c>
      <c r="U6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5" s="43" t="str">
        <f>IF(ISBLANK('Asset #2'!C78),"",'Asset #2'!C78*IF('Asset #2'!$D$18="kg/unit",1000,1))</f>
        <v/>
      </c>
      <c r="X65" s="40">
        <f>IF(ISBLANK('Asset #2'!D78),0,'Asset #2'!D78)</f>
        <v>0</v>
      </c>
      <c r="Y65" s="75">
        <f>IF(ISBLANK('Asset #2'!H78),0,'Asset #2'!H78)</f>
        <v>0</v>
      </c>
      <c r="Z65" s="22" t="str">
        <f>IF(ISBLANK('Asset #2'!I78),"N/A",'Asset #2'!I78)</f>
        <v>N/A</v>
      </c>
      <c r="AA65" s="22">
        <f>IF(BI_Tbl_materials[[#This Row],[Asset '#2 - Re/Down out]]="Recycled",1, IF(BI_Tbl_materials[[#This Row],[Asset '#2 - Re/Down out]]="Downcycled", 0.5, 0))</f>
        <v>0</v>
      </c>
      <c r="AB65" s="76">
        <f>IFERROR(BI_Tbl_materials[[#This Row],[Biobased - yes = 1, no = 0]]*(1-BI_Tbl_materials[[#This Row],[Asset '#2 - Recycled (%)]])+BI_Tbl_materials[[#This Row],[Asset '#2 - Recycled (%)]],"")</f>
        <v>0</v>
      </c>
      <c r="AC6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5" s="43" t="str">
        <f>IF(ISBLANK('Asset #3'!C78),"",'Asset #3'!C78*IF('Asset #3'!$D$18="kg/unit",1000,1))</f>
        <v/>
      </c>
      <c r="AF65" s="75">
        <f>IF(ISBLANK('Asset #3'!D78),0,'Asset #3'!D78)</f>
        <v>0</v>
      </c>
      <c r="AG65" s="75">
        <f>IF(ISBLANK('Asset #3'!H78),0,'Asset #3'!H78)</f>
        <v>0</v>
      </c>
      <c r="AH65" s="22" t="str">
        <f>IF(ISBLANK('Asset #3'!I78),"N/A",'Asset #3'!I78)</f>
        <v>N/A</v>
      </c>
      <c r="AI65" s="22">
        <f>IF(BI_Tbl_materials[[#This Row],[Asset '#3 - Re/Down out]]="Recycled",1, IF(BI_Tbl_materials[[#This Row],[Asset '#3 - Re/Down out]]="Downcycled", 0.5, 0))</f>
        <v>0</v>
      </c>
      <c r="AJ65" s="76">
        <f>IFERROR(BI_Tbl_materials[[#This Row],[Biobased - yes = 1, no = 0]]*(1-BI_Tbl_materials[[#This Row],[Asset '#3 - Recycled (%)]])+BI_Tbl_materials[[#This Row],[Asset '#3 - Recycled (%)]],"")</f>
        <v>0</v>
      </c>
      <c r="AK6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6" spans="1:38" x14ac:dyDescent="0.35">
      <c r="B66" s="231" t="s">
        <v>289</v>
      </c>
      <c r="C66" s="231" t="s">
        <v>239</v>
      </c>
      <c r="D66" s="231"/>
      <c r="E66" s="231"/>
      <c r="F66" s="231"/>
      <c r="G66" s="231"/>
      <c r="H66" s="231" t="s">
        <v>239</v>
      </c>
      <c r="I66" s="260">
        <v>2.8591316</v>
      </c>
      <c r="J66" s="260">
        <v>0.71917266999999996</v>
      </c>
      <c r="K66" s="231">
        <v>1.1918888999999999</v>
      </c>
      <c r="L66" s="231">
        <v>0.10735126</v>
      </c>
      <c r="M66" s="231" t="s">
        <v>240</v>
      </c>
      <c r="N66" s="231">
        <v>0</v>
      </c>
      <c r="O66" s="231" t="str">
        <f>IF(ISBLANK('Asset #1'!C79),"",'Asset #1'!C79*IF('Asset #1'!$D$18="kg/unit",1000,1))</f>
        <v/>
      </c>
      <c r="P66" s="239">
        <f>IF(ISBLANK('Asset #1'!D79),0,'Asset #1'!D79)</f>
        <v>0</v>
      </c>
      <c r="Q66" s="40">
        <f>IF(ISBLANK('Asset #1'!H79),0,'Asset #1'!H79)</f>
        <v>0</v>
      </c>
      <c r="R66" s="22" t="str">
        <f>IF(ISBLANK('Asset #1'!I79),"N/A",'Asset #1'!I79)</f>
        <v>N/A</v>
      </c>
      <c r="S66" s="22">
        <f>IF(BI_Tbl_materials[[#This Row],[Asset '#1 - Re/Down out]]="Recycled",1, IF(BI_Tbl_materials[[#This Row],[Asset '#1 - Re/Down out]]="Downcycled", 0.5, 0))</f>
        <v>0</v>
      </c>
      <c r="T66" s="40">
        <f>IFERROR(BI_Tbl_materials[[#This Row],[Biobased - yes = 1, no = 0]]*(1-BI_Tbl_materials[[#This Row],[Asset '#1 - Recycled (%)]])+BI_Tbl_materials[[#This Row],[Asset '#1 - Recycled (%)]],"")</f>
        <v>0</v>
      </c>
      <c r="U6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6" s="43" t="str">
        <f>IF(ISBLANK('Asset #2'!C79),"",'Asset #2'!C79*IF('Asset #2'!$D$18="kg/unit",1000,1))</f>
        <v/>
      </c>
      <c r="X66" s="40">
        <f>IF(ISBLANK('Asset #2'!D79),0,'Asset #2'!D79)</f>
        <v>0</v>
      </c>
      <c r="Y66" s="75">
        <f>IF(ISBLANK('Asset #2'!H79),0,'Asset #2'!H79)</f>
        <v>0</v>
      </c>
      <c r="Z66" s="22" t="str">
        <f>IF(ISBLANK('Asset #2'!I79),"N/A",'Asset #2'!I79)</f>
        <v>N/A</v>
      </c>
      <c r="AA66" s="22">
        <f>IF(BI_Tbl_materials[[#This Row],[Asset '#2 - Re/Down out]]="Recycled",1, IF(BI_Tbl_materials[[#This Row],[Asset '#2 - Re/Down out]]="Downcycled", 0.5, 0))</f>
        <v>0</v>
      </c>
      <c r="AB66" s="76">
        <f>IFERROR(BI_Tbl_materials[[#This Row],[Biobased - yes = 1, no = 0]]*(1-BI_Tbl_materials[[#This Row],[Asset '#2 - Recycled (%)]])+BI_Tbl_materials[[#This Row],[Asset '#2 - Recycled (%)]],"")</f>
        <v>0</v>
      </c>
      <c r="AC6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6" s="43" t="str">
        <f>IF(ISBLANK('Asset #3'!C79),"",'Asset #3'!C79*IF('Asset #3'!$D$18="kg/unit",1000,1))</f>
        <v/>
      </c>
      <c r="AF66" s="75">
        <f>IF(ISBLANK('Asset #3'!D79),0,'Asset #3'!D79)</f>
        <v>0</v>
      </c>
      <c r="AG66" s="75">
        <f>IF(ISBLANK('Asset #3'!H79),0,'Asset #3'!H79)</f>
        <v>0</v>
      </c>
      <c r="AH66" s="22" t="str">
        <f>IF(ISBLANK('Asset #3'!I79),"N/A",'Asset #3'!I79)</f>
        <v>N/A</v>
      </c>
      <c r="AI66" s="22">
        <f>IF(BI_Tbl_materials[[#This Row],[Asset '#3 - Re/Down out]]="Recycled",1, IF(BI_Tbl_materials[[#This Row],[Asset '#3 - Re/Down out]]="Downcycled", 0.5, 0))</f>
        <v>0</v>
      </c>
      <c r="AJ66" s="76">
        <f>IFERROR(BI_Tbl_materials[[#This Row],[Biobased - yes = 1, no = 0]]*(1-BI_Tbl_materials[[#This Row],[Asset '#3 - Recycled (%)]])+BI_Tbl_materials[[#This Row],[Asset '#3 - Recycled (%)]],"")</f>
        <v>0</v>
      </c>
      <c r="AK6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7" spans="1:38" x14ac:dyDescent="0.35">
      <c r="B67" s="231" t="s">
        <v>290</v>
      </c>
      <c r="C67" s="231"/>
      <c r="D67" s="231"/>
      <c r="E67" s="231" t="s">
        <v>239</v>
      </c>
      <c r="F67" s="231"/>
      <c r="G67" s="231"/>
      <c r="H67" s="231" t="s">
        <v>239</v>
      </c>
      <c r="I67" s="260">
        <v>1.0234405</v>
      </c>
      <c r="J67" s="260">
        <v>1.0234405</v>
      </c>
      <c r="K67" s="231">
        <v>-0.61697773</v>
      </c>
      <c r="L67" s="231">
        <v>1.4813299</v>
      </c>
      <c r="M67" s="231" t="s">
        <v>240</v>
      </c>
      <c r="N67" s="231">
        <v>1</v>
      </c>
      <c r="O67" s="231" t="str">
        <f>IF(ISBLANK('Asset #1'!C80),"",'Asset #1'!C80*IF('Asset #1'!$D$18="kg/unit",1000,1))</f>
        <v/>
      </c>
      <c r="P67" s="239">
        <f>IF(ISBLANK('Asset #1'!D80),0,'Asset #1'!D80)</f>
        <v>0</v>
      </c>
      <c r="Q67" s="40">
        <f>IF(ISBLANK('Asset #1'!H80),0,'Asset #1'!H80)</f>
        <v>0</v>
      </c>
      <c r="R67" s="22" t="str">
        <f>IF(ISBLANK('Asset #1'!I80),"N/A",'Asset #1'!I80)</f>
        <v>N/A</v>
      </c>
      <c r="S67" s="22">
        <f>IF(BI_Tbl_materials[[#This Row],[Asset '#1 - Re/Down out]]="Recycled",1, IF(BI_Tbl_materials[[#This Row],[Asset '#1 - Re/Down out]]="Downcycled", 0.5, 0))</f>
        <v>0</v>
      </c>
      <c r="T67" s="40">
        <f>IFERROR(BI_Tbl_materials[[#This Row],[Biobased - yes = 1, no = 0]]*(1-BI_Tbl_materials[[#This Row],[Asset '#1 - Recycled (%)]])+BI_Tbl_materials[[#This Row],[Asset '#1 - Recycled (%)]],"")</f>
        <v>1</v>
      </c>
      <c r="U6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7" s="43" t="str">
        <f>IF(ISBLANK('Asset #2'!C80),"",'Asset #2'!C80*IF('Asset #2'!$D$18="kg/unit",1000,1))</f>
        <v/>
      </c>
      <c r="X67" s="40">
        <f>IF(ISBLANK('Asset #2'!D80),0,'Asset #2'!D80)</f>
        <v>0</v>
      </c>
      <c r="Y67" s="75">
        <f>IF(ISBLANK('Asset #2'!H80),0,'Asset #2'!H80)</f>
        <v>0</v>
      </c>
      <c r="Z67" s="22" t="str">
        <f>IF(ISBLANK('Asset #2'!I80),"N/A",'Asset #2'!I80)</f>
        <v>N/A</v>
      </c>
      <c r="AA67" s="22">
        <f>IF(BI_Tbl_materials[[#This Row],[Asset '#2 - Re/Down out]]="Recycled",1, IF(BI_Tbl_materials[[#This Row],[Asset '#2 - Re/Down out]]="Downcycled", 0.5, 0))</f>
        <v>0</v>
      </c>
      <c r="AB67" s="76">
        <f>IFERROR(BI_Tbl_materials[[#This Row],[Biobased - yes = 1, no = 0]]*(1-BI_Tbl_materials[[#This Row],[Asset '#2 - Recycled (%)]])+BI_Tbl_materials[[#This Row],[Asset '#2 - Recycled (%)]],"")</f>
        <v>1</v>
      </c>
      <c r="AC6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7" s="43" t="str">
        <f>IF(ISBLANK('Asset #3'!C80),"",'Asset #3'!C80*IF('Asset #3'!$D$18="kg/unit",1000,1))</f>
        <v/>
      </c>
      <c r="AF67" s="75">
        <f>IF(ISBLANK('Asset #3'!D80),0,'Asset #3'!D80)</f>
        <v>0</v>
      </c>
      <c r="AG67" s="75">
        <f>IF(ISBLANK('Asset #3'!H80),0,'Asset #3'!H80)</f>
        <v>0</v>
      </c>
      <c r="AH67" s="22" t="str">
        <f>IF(ISBLANK('Asset #3'!I80),"N/A",'Asset #3'!I80)</f>
        <v>N/A</v>
      </c>
      <c r="AI67" s="22">
        <f>IF(BI_Tbl_materials[[#This Row],[Asset '#3 - Re/Down out]]="Recycled",1, IF(BI_Tbl_materials[[#This Row],[Asset '#3 - Re/Down out]]="Downcycled", 0.5, 0))</f>
        <v>0</v>
      </c>
      <c r="AJ67" s="76">
        <f>IFERROR(BI_Tbl_materials[[#This Row],[Biobased - yes = 1, no = 0]]*(1-BI_Tbl_materials[[#This Row],[Asset '#3 - Recycled (%)]])+BI_Tbl_materials[[#This Row],[Asset '#3 - Recycled (%)]],"")</f>
        <v>1</v>
      </c>
      <c r="AK6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8" spans="1:38" x14ac:dyDescent="0.35">
      <c r="B68" s="231" t="s">
        <v>291</v>
      </c>
      <c r="C68" s="231" t="s">
        <v>239</v>
      </c>
      <c r="D68" s="231" t="s">
        <v>239</v>
      </c>
      <c r="E68" s="231" t="s">
        <v>239</v>
      </c>
      <c r="F68" s="231" t="s">
        <v>239</v>
      </c>
      <c r="G68" s="231" t="s">
        <v>239</v>
      </c>
      <c r="H68" s="231" t="s">
        <v>239</v>
      </c>
      <c r="I68" s="260">
        <v>2.0946899000000001</v>
      </c>
      <c r="J68" s="260">
        <v>0.71917266999999996</v>
      </c>
      <c r="K68" s="231">
        <v>1.2409935999999999</v>
      </c>
      <c r="L68" s="231">
        <v>7.3719951000000006E-2</v>
      </c>
      <c r="M68" s="231" t="s">
        <v>240</v>
      </c>
      <c r="N68" s="231">
        <v>0</v>
      </c>
      <c r="O68" s="231" t="str">
        <f>IF(ISBLANK('Asset #1'!C81),"",'Asset #1'!C81*IF('Asset #1'!$D$18="kg/unit",1000,1))</f>
        <v/>
      </c>
      <c r="P68" s="239">
        <f>IF(ISBLANK('Asset #1'!D81),0,'Asset #1'!D81)</f>
        <v>0</v>
      </c>
      <c r="Q68" s="40">
        <f>IF(ISBLANK('Asset #1'!H81),0,'Asset #1'!H81)</f>
        <v>0</v>
      </c>
      <c r="R68" s="22" t="str">
        <f>IF(ISBLANK('Asset #1'!I81),"N/A",'Asset #1'!I81)</f>
        <v>N/A</v>
      </c>
      <c r="S68" s="22">
        <f>IF(BI_Tbl_materials[[#This Row],[Asset '#1 - Re/Down out]]="Recycled",1, IF(BI_Tbl_materials[[#This Row],[Asset '#1 - Re/Down out]]="Downcycled", 0.5, 0))</f>
        <v>0</v>
      </c>
      <c r="T68" s="40">
        <f>IFERROR(BI_Tbl_materials[[#This Row],[Biobased - yes = 1, no = 0]]*(1-BI_Tbl_materials[[#This Row],[Asset '#1 - Recycled (%)]])+BI_Tbl_materials[[#This Row],[Asset '#1 - Recycled (%)]],"")</f>
        <v>0</v>
      </c>
      <c r="U6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8" s="43" t="str">
        <f>IF(ISBLANK('Asset #2'!C81),"",'Asset #2'!C81*IF('Asset #2'!$D$18="kg/unit",1000,1))</f>
        <v/>
      </c>
      <c r="X68" s="40">
        <f>IF(ISBLANK('Asset #2'!D81),0,'Asset #2'!D81)</f>
        <v>0</v>
      </c>
      <c r="Y68" s="75">
        <f>IF(ISBLANK('Asset #2'!H81),0,'Asset #2'!H81)</f>
        <v>0</v>
      </c>
      <c r="Z68" s="22" t="str">
        <f>IF(ISBLANK('Asset #2'!I81),"N/A",'Asset #2'!I81)</f>
        <v>N/A</v>
      </c>
      <c r="AA68" s="22">
        <f>IF(BI_Tbl_materials[[#This Row],[Asset '#2 - Re/Down out]]="Recycled",1, IF(BI_Tbl_materials[[#This Row],[Asset '#2 - Re/Down out]]="Downcycled", 0.5, 0))</f>
        <v>0</v>
      </c>
      <c r="AB68" s="76">
        <f>IFERROR(BI_Tbl_materials[[#This Row],[Biobased - yes = 1, no = 0]]*(1-BI_Tbl_materials[[#This Row],[Asset '#2 - Recycled (%)]])+BI_Tbl_materials[[#This Row],[Asset '#2 - Recycled (%)]],"")</f>
        <v>0</v>
      </c>
      <c r="AC6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8" s="43" t="str">
        <f>IF(ISBLANK('Asset #3'!C81),"",'Asset #3'!C81*IF('Asset #3'!$D$18="kg/unit",1000,1))</f>
        <v/>
      </c>
      <c r="AF68" s="75">
        <f>IF(ISBLANK('Asset #3'!D81),0,'Asset #3'!D81)</f>
        <v>0</v>
      </c>
      <c r="AG68" s="75">
        <f>IF(ISBLANK('Asset #3'!H81),0,'Asset #3'!H81)</f>
        <v>0</v>
      </c>
      <c r="AH68" s="22" t="str">
        <f>IF(ISBLANK('Asset #3'!I81),"N/A",'Asset #3'!I81)</f>
        <v>N/A</v>
      </c>
      <c r="AI68" s="22">
        <f>IF(BI_Tbl_materials[[#This Row],[Asset '#3 - Re/Down out]]="Recycled",1, IF(BI_Tbl_materials[[#This Row],[Asset '#3 - Re/Down out]]="Downcycled", 0.5, 0))</f>
        <v>0</v>
      </c>
      <c r="AJ68" s="76">
        <f>IFERROR(BI_Tbl_materials[[#This Row],[Biobased - yes = 1, no = 0]]*(1-BI_Tbl_materials[[#This Row],[Asset '#3 - Recycled (%)]])+BI_Tbl_materials[[#This Row],[Asset '#3 - Recycled (%)]],"")</f>
        <v>0</v>
      </c>
      <c r="AK6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69" spans="1:38" x14ac:dyDescent="0.35">
      <c r="B69" t="s">
        <v>552</v>
      </c>
      <c r="C69" s="231" t="s">
        <v>239</v>
      </c>
      <c r="D69" s="231" t="s">
        <v>239</v>
      </c>
      <c r="E69" s="231" t="s">
        <v>239</v>
      </c>
      <c r="F69" s="231" t="s">
        <v>239</v>
      </c>
      <c r="G69" s="231" t="s">
        <v>239</v>
      </c>
      <c r="H69" s="231" t="s">
        <v>239</v>
      </c>
      <c r="I69" s="62">
        <v>0.5</v>
      </c>
      <c r="J69" s="62">
        <v>0.71917266999999996</v>
      </c>
      <c r="K69" s="231" t="s">
        <v>272</v>
      </c>
      <c r="L69" s="231" t="s">
        <v>272</v>
      </c>
      <c r="M69" s="22"/>
      <c r="N69" s="22">
        <v>1</v>
      </c>
      <c r="O69" s="231" t="str">
        <f>IF(ISBLANK('Asset #1'!C82),"",'Asset #1'!C82*IF('Asset #1'!$D$18="kg/unit",1000,1))</f>
        <v/>
      </c>
      <c r="P69" s="239">
        <f>IF(ISBLANK('Asset #1'!D82),0,'Asset #1'!D82)</f>
        <v>0</v>
      </c>
      <c r="Q69" s="40">
        <f>IF(ISBLANK('Asset #1'!H82),0,'Asset #1'!H82)</f>
        <v>0</v>
      </c>
      <c r="R69" s="22" t="str">
        <f>IF(ISBLANK('Asset #1'!I82),"N/A",'Asset #1'!I82)</f>
        <v>N/A</v>
      </c>
      <c r="S69" s="22">
        <f>IF(BI_Tbl_materials[[#This Row],[Asset '#1 - Re/Down out]]="Recycled",1, IF(BI_Tbl_materials[[#This Row],[Asset '#1 - Re/Down out]]="Downcycled", 0.5, 0))</f>
        <v>0</v>
      </c>
      <c r="T69" s="40">
        <f>IFERROR(BI_Tbl_materials[[#This Row],[Biobased - yes = 1, no = 0]]*(1-BI_Tbl_materials[[#This Row],[Asset '#1 - Recycled (%)]])+BI_Tbl_materials[[#This Row],[Asset '#1 - Recycled (%)]],"")</f>
        <v>1</v>
      </c>
      <c r="U6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6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69" s="43" t="str">
        <f>IF(ISBLANK('Asset #2'!C82),"",'Asset #2'!C82*IF('Asset #2'!$D$18="kg/unit",1000,1))</f>
        <v/>
      </c>
      <c r="X69" s="40">
        <f>IF(ISBLANK('Asset #2'!D82),0,'Asset #2'!D82)</f>
        <v>0</v>
      </c>
      <c r="Y69" s="75">
        <f>IF(ISBLANK('Asset #2'!H82),0,'Asset #2'!H82)</f>
        <v>0</v>
      </c>
      <c r="Z69" s="22" t="str">
        <f>IF(ISBLANK('Asset #2'!I82),"N/A",'Asset #2'!I82)</f>
        <v>N/A</v>
      </c>
      <c r="AA69" s="22">
        <f>IF(BI_Tbl_materials[[#This Row],[Asset '#2 - Re/Down out]]="Recycled",1, IF(BI_Tbl_materials[[#This Row],[Asset '#2 - Re/Down out]]="Downcycled", 0.5, 0))</f>
        <v>0</v>
      </c>
      <c r="AB69" s="76">
        <f>IFERROR(BI_Tbl_materials[[#This Row],[Biobased - yes = 1, no = 0]]*(1-BI_Tbl_materials[[#This Row],[Asset '#2 - Recycled (%)]])+BI_Tbl_materials[[#This Row],[Asset '#2 - Recycled (%)]],"")</f>
        <v>1</v>
      </c>
      <c r="AC6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6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69" s="43" t="str">
        <f>IF(ISBLANK('Asset #3'!C82),"",'Asset #3'!C82*IF('Asset #3'!$D$18="kg/unit",1000,1))</f>
        <v/>
      </c>
      <c r="AF69" s="75">
        <f>IF(ISBLANK('Asset #3'!D82),0,'Asset #3'!D82)</f>
        <v>0</v>
      </c>
      <c r="AG69" s="75">
        <f>IF(ISBLANK('Asset #3'!H82),0,'Asset #3'!H82)</f>
        <v>0</v>
      </c>
      <c r="AH69" s="22" t="str">
        <f>IF(ISBLANK('Asset #3'!I82),"N/A",'Asset #3'!I82)</f>
        <v>N/A</v>
      </c>
      <c r="AI69" s="22">
        <f>IF(BI_Tbl_materials[[#This Row],[Asset '#3 - Re/Down out]]="Recycled",1, IF(BI_Tbl_materials[[#This Row],[Asset '#3 - Re/Down out]]="Downcycled", 0.5, 0))</f>
        <v>0</v>
      </c>
      <c r="AJ69" s="76">
        <f>IFERROR(BI_Tbl_materials[[#This Row],[Biobased - yes = 1, no = 0]]*(1-BI_Tbl_materials[[#This Row],[Asset '#3 - Recycled (%)]])+BI_Tbl_materials[[#This Row],[Asset '#3 - Recycled (%)]],"")</f>
        <v>1</v>
      </c>
      <c r="AK6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6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0" spans="1:38" x14ac:dyDescent="0.35">
      <c r="B70" s="231" t="s">
        <v>292</v>
      </c>
      <c r="C70" s="231" t="s">
        <v>239</v>
      </c>
      <c r="D70" s="231" t="s">
        <v>239</v>
      </c>
      <c r="E70" s="231" t="s">
        <v>239</v>
      </c>
      <c r="F70" s="231" t="s">
        <v>239</v>
      </c>
      <c r="G70" s="231"/>
      <c r="H70" s="231" t="s">
        <v>239</v>
      </c>
      <c r="I70" s="260">
        <v>3.1679984999999999</v>
      </c>
      <c r="J70" s="260">
        <v>0.69086455000000002</v>
      </c>
      <c r="K70" s="231">
        <v>2.0469957000000001</v>
      </c>
      <c r="L70" s="231">
        <v>0.10808159000000001</v>
      </c>
      <c r="M70" s="231" t="s">
        <v>240</v>
      </c>
      <c r="N70" s="231">
        <v>0</v>
      </c>
      <c r="O70" s="231" t="str">
        <f>IF(ISBLANK('Asset #1'!C83),"",'Asset #1'!C83*IF('Asset #1'!$D$18="kg/unit",1000,1))</f>
        <v/>
      </c>
      <c r="P70" s="239">
        <f>IF(ISBLANK('Asset #1'!D83),0,'Asset #1'!D83)</f>
        <v>0</v>
      </c>
      <c r="Q70" s="40">
        <f>IF(ISBLANK('Asset #1'!H83),0,'Asset #1'!H83)</f>
        <v>0</v>
      </c>
      <c r="R70" s="22" t="str">
        <f>IF(ISBLANK('Asset #1'!I83),"N/A",'Asset #1'!I83)</f>
        <v>N/A</v>
      </c>
      <c r="S70" s="22">
        <f>IF(BI_Tbl_materials[[#This Row],[Asset '#1 - Re/Down out]]="Recycled",1, IF(BI_Tbl_materials[[#This Row],[Asset '#1 - Re/Down out]]="Downcycled", 0.5, 0))</f>
        <v>0</v>
      </c>
      <c r="T70" s="40">
        <f>IFERROR(BI_Tbl_materials[[#This Row],[Biobased - yes = 1, no = 0]]*(1-BI_Tbl_materials[[#This Row],[Asset '#1 - Recycled (%)]])+BI_Tbl_materials[[#This Row],[Asset '#1 - Recycled (%)]],"")</f>
        <v>0</v>
      </c>
      <c r="U7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0" s="43" t="str">
        <f>IF(ISBLANK('Asset #2'!C83),"",'Asset #2'!C83*IF('Asset #2'!$D$18="kg/unit",1000,1))</f>
        <v/>
      </c>
      <c r="X70" s="40">
        <f>IF(ISBLANK('Asset #2'!D83),0,'Asset #2'!D83)</f>
        <v>0</v>
      </c>
      <c r="Y70" s="75">
        <f>IF(ISBLANK('Asset #2'!H83),0,'Asset #2'!H83)</f>
        <v>0</v>
      </c>
      <c r="Z70" s="22" t="str">
        <f>IF(ISBLANK('Asset #2'!I83),"N/A",'Asset #2'!I83)</f>
        <v>N/A</v>
      </c>
      <c r="AA70" s="22">
        <f>IF(BI_Tbl_materials[[#This Row],[Asset '#2 - Re/Down out]]="Recycled",1, IF(BI_Tbl_materials[[#This Row],[Asset '#2 - Re/Down out]]="Downcycled", 0.5, 0))</f>
        <v>0</v>
      </c>
      <c r="AB70" s="76">
        <f>IFERROR(BI_Tbl_materials[[#This Row],[Biobased - yes = 1, no = 0]]*(1-BI_Tbl_materials[[#This Row],[Asset '#2 - Recycled (%)]])+BI_Tbl_materials[[#This Row],[Asset '#2 - Recycled (%)]],"")</f>
        <v>0</v>
      </c>
      <c r="AC7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0" s="43" t="str">
        <f>IF(ISBLANK('Asset #3'!C83),"",'Asset #3'!C83*IF('Asset #3'!$D$18="kg/unit",1000,1))</f>
        <v/>
      </c>
      <c r="AF70" s="75">
        <f>IF(ISBLANK('Asset #3'!D83),0,'Asset #3'!D83)</f>
        <v>0</v>
      </c>
      <c r="AG70" s="75">
        <f>IF(ISBLANK('Asset #3'!H83),0,'Asset #3'!H83)</f>
        <v>0</v>
      </c>
      <c r="AH70" s="22" t="str">
        <f>IF(ISBLANK('Asset #3'!I83),"N/A",'Asset #3'!I83)</f>
        <v>N/A</v>
      </c>
      <c r="AI70" s="22">
        <f>IF(BI_Tbl_materials[[#This Row],[Asset '#3 - Re/Down out]]="Recycled",1, IF(BI_Tbl_materials[[#This Row],[Asset '#3 - Re/Down out]]="Downcycled", 0.5, 0))</f>
        <v>0</v>
      </c>
      <c r="AJ70" s="76">
        <f>IFERROR(BI_Tbl_materials[[#This Row],[Biobased - yes = 1, no = 0]]*(1-BI_Tbl_materials[[#This Row],[Asset '#3 - Recycled (%)]])+BI_Tbl_materials[[#This Row],[Asset '#3 - Recycled (%)]],"")</f>
        <v>0</v>
      </c>
      <c r="AK7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1" spans="1:38" x14ac:dyDescent="0.35">
      <c r="B71" s="231" t="s">
        <v>293</v>
      </c>
      <c r="C71" s="231"/>
      <c r="D71" s="231"/>
      <c r="E71" s="231"/>
      <c r="F71" s="231" t="s">
        <v>239</v>
      </c>
      <c r="G71" s="231"/>
      <c r="H71" s="231" t="s">
        <v>239</v>
      </c>
      <c r="I71" s="260">
        <v>1.3047761E-2</v>
      </c>
      <c r="J71" s="260">
        <v>2.7999999999999998E-4</v>
      </c>
      <c r="K71" s="231">
        <v>1.9753595999999998E-2</v>
      </c>
      <c r="L71" s="231">
        <v>5.6607693999999997E-3</v>
      </c>
      <c r="M71" s="231" t="s">
        <v>240</v>
      </c>
      <c r="N71" s="231">
        <v>0</v>
      </c>
      <c r="O71" s="231" t="str">
        <f>IF(ISBLANK('Asset #1'!C84),"",'Asset #1'!C84*IF('Asset #1'!$D$18="kg/unit",1000,1))</f>
        <v/>
      </c>
      <c r="P71" s="239">
        <f>IF(ISBLANK('Asset #1'!D84),0,'Asset #1'!D84)</f>
        <v>0</v>
      </c>
      <c r="Q71" s="40">
        <f>IF(ISBLANK('Asset #1'!H84),0,'Asset #1'!H84)</f>
        <v>0</v>
      </c>
      <c r="R71" s="22" t="str">
        <f>IF(ISBLANK('Asset #1'!I84),"N/A",'Asset #1'!I84)</f>
        <v>N/A</v>
      </c>
      <c r="S71" s="22">
        <f>IF(BI_Tbl_materials[[#This Row],[Asset '#1 - Re/Down out]]="Recycled",1, IF(BI_Tbl_materials[[#This Row],[Asset '#1 - Re/Down out]]="Downcycled", 0.5, 0))</f>
        <v>0</v>
      </c>
      <c r="T71" s="40">
        <f>IFERROR(BI_Tbl_materials[[#This Row],[Biobased - yes = 1, no = 0]]*(1-BI_Tbl_materials[[#This Row],[Asset '#1 - Recycled (%)]])+BI_Tbl_materials[[#This Row],[Asset '#1 - Recycled (%)]],"")</f>
        <v>0</v>
      </c>
      <c r="U7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1" s="43" t="str">
        <f>IF(ISBLANK('Asset #2'!C84),"",'Asset #2'!C84*IF('Asset #2'!$D$18="kg/unit",1000,1))</f>
        <v/>
      </c>
      <c r="X71" s="40">
        <f>IF(ISBLANK('Asset #2'!D84),0,'Asset #2'!D84)</f>
        <v>0</v>
      </c>
      <c r="Y71" s="75">
        <f>IF(ISBLANK('Asset #2'!H84),0,'Asset #2'!H84)</f>
        <v>0</v>
      </c>
      <c r="Z71" s="22" t="str">
        <f>IF(ISBLANK('Asset #2'!I84),"N/A",'Asset #2'!I84)</f>
        <v>N/A</v>
      </c>
      <c r="AA71" s="22">
        <f>IF(BI_Tbl_materials[[#This Row],[Asset '#2 - Re/Down out]]="Recycled",1, IF(BI_Tbl_materials[[#This Row],[Asset '#2 - Re/Down out]]="Downcycled", 0.5, 0))</f>
        <v>0</v>
      </c>
      <c r="AB71" s="76">
        <f>IFERROR(BI_Tbl_materials[[#This Row],[Biobased - yes = 1, no = 0]]*(1-BI_Tbl_materials[[#This Row],[Asset '#2 - Recycled (%)]])+BI_Tbl_materials[[#This Row],[Asset '#2 - Recycled (%)]],"")</f>
        <v>0</v>
      </c>
      <c r="AC7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1" s="43" t="str">
        <f>IF(ISBLANK('Asset #3'!C84),"",'Asset #3'!C84*IF('Asset #3'!$D$18="kg/unit",1000,1))</f>
        <v/>
      </c>
      <c r="AF71" s="75">
        <f>IF(ISBLANK('Asset #3'!D84),0,'Asset #3'!D84)</f>
        <v>0</v>
      </c>
      <c r="AG71" s="75">
        <f>IF(ISBLANK('Asset #3'!H84),0,'Asset #3'!H84)</f>
        <v>0</v>
      </c>
      <c r="AH71" s="22" t="str">
        <f>IF(ISBLANK('Asset #3'!I84),"N/A",'Asset #3'!I84)</f>
        <v>N/A</v>
      </c>
      <c r="AI71" s="22">
        <f>IF(BI_Tbl_materials[[#This Row],[Asset '#3 - Re/Down out]]="Recycled",1, IF(BI_Tbl_materials[[#This Row],[Asset '#3 - Re/Down out]]="Downcycled", 0.5, 0))</f>
        <v>0</v>
      </c>
      <c r="AJ71" s="76">
        <f>IFERROR(BI_Tbl_materials[[#This Row],[Biobased - yes = 1, no = 0]]*(1-BI_Tbl_materials[[#This Row],[Asset '#3 - Recycled (%)]])+BI_Tbl_materials[[#This Row],[Asset '#3 - Recycled (%)]],"")</f>
        <v>0</v>
      </c>
      <c r="AK7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2" spans="1:38" x14ac:dyDescent="0.35">
      <c r="B72" t="s">
        <v>534</v>
      </c>
      <c r="C72" s="231"/>
      <c r="D72" s="231" t="s">
        <v>239</v>
      </c>
      <c r="E72" s="231"/>
      <c r="F72" s="231"/>
      <c r="G72" s="231"/>
      <c r="H72" s="231" t="s">
        <v>239</v>
      </c>
      <c r="I72" s="261">
        <v>2.9969939999999999</v>
      </c>
      <c r="J72" s="261">
        <v>2.9969939999999999</v>
      </c>
      <c r="K72" s="231" t="s">
        <v>272</v>
      </c>
      <c r="L72" s="231" t="s">
        <v>272</v>
      </c>
      <c r="N72" s="231">
        <v>0</v>
      </c>
      <c r="O72" s="231" t="str">
        <f>IF(ISBLANK('Asset #1'!C85),"",'Asset #1'!C85*IF('Asset #1'!$D$18="kg/unit",1000,1))</f>
        <v/>
      </c>
      <c r="P72" s="239">
        <f>IF(ISBLANK('Asset #1'!D85),0,'Asset #1'!D85)</f>
        <v>0</v>
      </c>
      <c r="Q72" s="40">
        <f>IF(ISBLANK('Asset #1'!H85),0,'Asset #1'!H85)</f>
        <v>0</v>
      </c>
      <c r="R72" s="22" t="str">
        <f>IF(ISBLANK('Asset #1'!I85),"N/A",'Asset #1'!I85)</f>
        <v>N/A</v>
      </c>
      <c r="S72" s="22">
        <f>IF(BI_Tbl_materials[[#This Row],[Asset '#1 - Re/Down out]]="Recycled",1, IF(BI_Tbl_materials[[#This Row],[Asset '#1 - Re/Down out]]="Downcycled", 0.5, 0))</f>
        <v>0</v>
      </c>
      <c r="T72" s="40">
        <f>IFERROR(BI_Tbl_materials[[#This Row],[Biobased - yes = 1, no = 0]]*(1-BI_Tbl_materials[[#This Row],[Asset '#1 - Recycled (%)]])+BI_Tbl_materials[[#This Row],[Asset '#1 - Recycled (%)]],"")</f>
        <v>0</v>
      </c>
      <c r="U7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2" s="43" t="str">
        <f>IF(ISBLANK('Asset #2'!C85),"",'Asset #2'!C85*IF('Asset #2'!$D$18="kg/unit",1000,1))</f>
        <v/>
      </c>
      <c r="X72" s="40">
        <f>IF(ISBLANK('Asset #2'!D85),0,'Asset #2'!D85)</f>
        <v>0</v>
      </c>
      <c r="Y72" s="75">
        <f>IF(ISBLANK('Asset #2'!H85),0,'Asset #2'!H85)</f>
        <v>0</v>
      </c>
      <c r="Z72" s="22" t="str">
        <f>IF(ISBLANK('Asset #2'!I85),"N/A",'Asset #2'!I85)</f>
        <v>N/A</v>
      </c>
      <c r="AA72" s="22">
        <f>IF(BI_Tbl_materials[[#This Row],[Asset '#2 - Re/Down out]]="Recycled",1, IF(BI_Tbl_materials[[#This Row],[Asset '#2 - Re/Down out]]="Downcycled", 0.5, 0))</f>
        <v>0</v>
      </c>
      <c r="AB72" s="76">
        <f>IFERROR(BI_Tbl_materials[[#This Row],[Biobased - yes = 1, no = 0]]*(1-BI_Tbl_materials[[#This Row],[Asset '#2 - Recycled (%)]])+BI_Tbl_materials[[#This Row],[Asset '#2 - Recycled (%)]],"")</f>
        <v>0</v>
      </c>
      <c r="AC7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2" s="43" t="str">
        <f>IF(ISBLANK('Asset #3'!C85),"",'Asset #3'!C85*IF('Asset #3'!$D$18="kg/unit",1000,1))</f>
        <v/>
      </c>
      <c r="AF72" s="75">
        <f>IF(ISBLANK('Asset #3'!D85),0,'Asset #3'!D85)</f>
        <v>0</v>
      </c>
      <c r="AG72" s="75">
        <f>IF(ISBLANK('Asset #3'!H85),0,'Asset #3'!H85)</f>
        <v>0</v>
      </c>
      <c r="AH72" s="22" t="str">
        <f>IF(ISBLANK('Asset #3'!I85),"N/A",'Asset #3'!I85)</f>
        <v>N/A</v>
      </c>
      <c r="AI72" s="22">
        <f>IF(BI_Tbl_materials[[#This Row],[Asset '#3 - Re/Down out]]="Recycled",1, IF(BI_Tbl_materials[[#This Row],[Asset '#3 - Re/Down out]]="Downcycled", 0.5, 0))</f>
        <v>0</v>
      </c>
      <c r="AJ72" s="76">
        <f>IFERROR(BI_Tbl_materials[[#This Row],[Biobased - yes = 1, no = 0]]*(1-BI_Tbl_materials[[#This Row],[Asset '#3 - Recycled (%)]])+BI_Tbl_materials[[#This Row],[Asset '#3 - Recycled (%)]],"")</f>
        <v>0</v>
      </c>
      <c r="AK7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3" spans="1:38" x14ac:dyDescent="0.35">
      <c r="B73" s="231" t="s">
        <v>294</v>
      </c>
      <c r="C73" s="231"/>
      <c r="D73" s="231" t="s">
        <v>239</v>
      </c>
      <c r="E73" s="231" t="s">
        <v>239</v>
      </c>
      <c r="F73" s="231" t="s">
        <v>239</v>
      </c>
      <c r="G73" s="231"/>
      <c r="H73" s="231" t="s">
        <v>239</v>
      </c>
      <c r="I73" s="260">
        <v>437.64879999999999</v>
      </c>
      <c r="J73" s="260">
        <v>12.020751000000001</v>
      </c>
      <c r="K73" s="231">
        <v>1.5327402E-2</v>
      </c>
      <c r="L73" s="231">
        <v>1.5163668999999999E-2</v>
      </c>
      <c r="M73" s="231" t="s">
        <v>240</v>
      </c>
      <c r="N73" s="231">
        <v>0</v>
      </c>
      <c r="O73" s="231" t="str">
        <f>IF(ISBLANK('Asset #1'!C86),"",'Asset #1'!C86*IF('Asset #1'!$D$18="kg/unit",1000,1))</f>
        <v/>
      </c>
      <c r="P73" s="239">
        <f>IF(ISBLANK('Asset #1'!D86),0,'Asset #1'!D86)</f>
        <v>0</v>
      </c>
      <c r="Q73" s="40">
        <f>IF(ISBLANK('Asset #1'!H86),0,'Asset #1'!H86)</f>
        <v>0</v>
      </c>
      <c r="R73" s="22" t="str">
        <f>IF(ISBLANK('Asset #1'!I86),"N/A",'Asset #1'!I86)</f>
        <v>N/A</v>
      </c>
      <c r="S73" s="22">
        <f>IF(BI_Tbl_materials[[#This Row],[Asset '#1 - Re/Down out]]="Recycled",1, IF(BI_Tbl_materials[[#This Row],[Asset '#1 - Re/Down out]]="Downcycled", 0.5, 0))</f>
        <v>0</v>
      </c>
      <c r="T73" s="40">
        <f>IFERROR(BI_Tbl_materials[[#This Row],[Biobased - yes = 1, no = 0]]*(1-BI_Tbl_materials[[#This Row],[Asset '#1 - Recycled (%)]])+BI_Tbl_materials[[#This Row],[Asset '#1 - Recycled (%)]],"")</f>
        <v>0</v>
      </c>
      <c r="U7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3" s="43" t="str">
        <f>IF(ISBLANK('Asset #2'!C86),"",'Asset #2'!C86*IF('Asset #2'!$D$18="kg/unit",1000,1))</f>
        <v/>
      </c>
      <c r="X73" s="40">
        <f>IF(ISBLANK('Asset #2'!D86),0,'Asset #2'!D86)</f>
        <v>0</v>
      </c>
      <c r="Y73" s="75">
        <f>IF(ISBLANK('Asset #2'!H86),0,'Asset #2'!H86)</f>
        <v>0</v>
      </c>
      <c r="Z73" s="22" t="str">
        <f>IF(ISBLANK('Asset #2'!I86),"N/A",'Asset #2'!I86)</f>
        <v>N/A</v>
      </c>
      <c r="AA73" s="22">
        <f>IF(BI_Tbl_materials[[#This Row],[Asset '#2 - Re/Down out]]="Recycled",1, IF(BI_Tbl_materials[[#This Row],[Asset '#2 - Re/Down out]]="Downcycled", 0.5, 0))</f>
        <v>0</v>
      </c>
      <c r="AB73" s="76">
        <f>IFERROR(BI_Tbl_materials[[#This Row],[Biobased - yes = 1, no = 0]]*(1-BI_Tbl_materials[[#This Row],[Asset '#2 - Recycled (%)]])+BI_Tbl_materials[[#This Row],[Asset '#2 - Recycled (%)]],"")</f>
        <v>0</v>
      </c>
      <c r="AC7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3" s="43" t="str">
        <f>IF(ISBLANK('Asset #3'!C86),"",'Asset #3'!C86*IF('Asset #3'!$D$18="kg/unit",1000,1))</f>
        <v/>
      </c>
      <c r="AF73" s="75">
        <f>IF(ISBLANK('Asset #3'!D86),0,'Asset #3'!D86)</f>
        <v>0</v>
      </c>
      <c r="AG73" s="75">
        <f>IF(ISBLANK('Asset #3'!H86),0,'Asset #3'!H86)</f>
        <v>0</v>
      </c>
      <c r="AH73" s="22" t="str">
        <f>IF(ISBLANK('Asset #3'!I86),"N/A",'Asset #3'!I86)</f>
        <v>N/A</v>
      </c>
      <c r="AI73" s="22">
        <f>IF(BI_Tbl_materials[[#This Row],[Asset '#3 - Re/Down out]]="Recycled",1, IF(BI_Tbl_materials[[#This Row],[Asset '#3 - Re/Down out]]="Downcycled", 0.5, 0))</f>
        <v>0</v>
      </c>
      <c r="AJ73" s="76">
        <f>IFERROR(BI_Tbl_materials[[#This Row],[Biobased - yes = 1, no = 0]]*(1-BI_Tbl_materials[[#This Row],[Asset '#3 - Recycled (%)]])+BI_Tbl_materials[[#This Row],[Asset '#3 - Recycled (%)]],"")</f>
        <v>0</v>
      </c>
      <c r="AK7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4" spans="1:38" x14ac:dyDescent="0.35">
      <c r="B74" s="231" t="s">
        <v>295</v>
      </c>
      <c r="C74" s="231" t="s">
        <v>239</v>
      </c>
      <c r="D74" s="231" t="s">
        <v>239</v>
      </c>
      <c r="E74" s="231" t="s">
        <v>239</v>
      </c>
      <c r="F74" s="231" t="s">
        <v>239</v>
      </c>
      <c r="G74" s="231" t="s">
        <v>239</v>
      </c>
      <c r="H74" s="231" t="s">
        <v>239</v>
      </c>
      <c r="I74" s="260">
        <v>2.2682609</v>
      </c>
      <c r="J74" s="260">
        <v>0.53883561000000002</v>
      </c>
      <c r="K74" s="231">
        <v>1.1591216E-2</v>
      </c>
      <c r="L74" s="231">
        <v>6.0825145000000004E-3</v>
      </c>
      <c r="M74" s="231" t="s">
        <v>240</v>
      </c>
      <c r="N74" s="231">
        <v>0</v>
      </c>
      <c r="O74" s="231" t="str">
        <f>IF(ISBLANK('Asset #1'!C87),"",'Asset #1'!C87*IF('Asset #1'!$D$18="kg/unit",1000,1))</f>
        <v/>
      </c>
      <c r="P74" s="239">
        <f>IF(ISBLANK('Asset #1'!D87),0,'Asset #1'!D87)</f>
        <v>0</v>
      </c>
      <c r="Q74" s="40">
        <f>IF(ISBLANK('Asset #1'!H87),0,'Asset #1'!H87)</f>
        <v>0</v>
      </c>
      <c r="R74" s="22" t="str">
        <f>IF(ISBLANK('Asset #1'!I87),"N/A",'Asset #1'!I87)</f>
        <v>N/A</v>
      </c>
      <c r="S74" s="22">
        <f>IF(BI_Tbl_materials[[#This Row],[Asset '#1 - Re/Down out]]="Recycled",1, IF(BI_Tbl_materials[[#This Row],[Asset '#1 - Re/Down out]]="Downcycled", 0.5, 0))</f>
        <v>0</v>
      </c>
      <c r="T74" s="40">
        <f>IFERROR(BI_Tbl_materials[[#This Row],[Biobased - yes = 1, no = 0]]*(1-BI_Tbl_materials[[#This Row],[Asset '#1 - Recycled (%)]])+BI_Tbl_materials[[#This Row],[Asset '#1 - Recycled (%)]],"")</f>
        <v>0</v>
      </c>
      <c r="U7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4" s="43" t="str">
        <f>IF(ISBLANK('Asset #2'!C87),"",'Asset #2'!C87*IF('Asset #2'!$D$18="kg/unit",1000,1))</f>
        <v/>
      </c>
      <c r="X74" s="40">
        <f>IF(ISBLANK('Asset #2'!D87),0,'Asset #2'!D87)</f>
        <v>0</v>
      </c>
      <c r="Y74" s="75">
        <f>IF(ISBLANK('Asset #2'!H87),0,'Asset #2'!H87)</f>
        <v>0</v>
      </c>
      <c r="Z74" s="22" t="str">
        <f>IF(ISBLANK('Asset #2'!I87),"N/A",'Asset #2'!I87)</f>
        <v>N/A</v>
      </c>
      <c r="AA74" s="22">
        <f>IF(BI_Tbl_materials[[#This Row],[Asset '#2 - Re/Down out]]="Recycled",1, IF(BI_Tbl_materials[[#This Row],[Asset '#2 - Re/Down out]]="Downcycled", 0.5, 0))</f>
        <v>0</v>
      </c>
      <c r="AB74" s="76">
        <f>IFERROR(BI_Tbl_materials[[#This Row],[Biobased - yes = 1, no = 0]]*(1-BI_Tbl_materials[[#This Row],[Asset '#2 - Recycled (%)]])+BI_Tbl_materials[[#This Row],[Asset '#2 - Recycled (%)]],"")</f>
        <v>0</v>
      </c>
      <c r="AC7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4" s="43" t="str">
        <f>IF(ISBLANK('Asset #3'!C87),"",'Asset #3'!C87*IF('Asset #3'!$D$18="kg/unit",1000,1))</f>
        <v/>
      </c>
      <c r="AF74" s="75">
        <f>IF(ISBLANK('Asset #3'!D87),0,'Asset #3'!D87)</f>
        <v>0</v>
      </c>
      <c r="AG74" s="75">
        <f>IF(ISBLANK('Asset #3'!H87),0,'Asset #3'!H87)</f>
        <v>0</v>
      </c>
      <c r="AH74" s="22" t="str">
        <f>IF(ISBLANK('Asset #3'!I87),"N/A",'Asset #3'!I87)</f>
        <v>N/A</v>
      </c>
      <c r="AI74" s="22">
        <f>IF(BI_Tbl_materials[[#This Row],[Asset '#3 - Re/Down out]]="Recycled",1, IF(BI_Tbl_materials[[#This Row],[Asset '#3 - Re/Down out]]="Downcycled", 0.5, 0))</f>
        <v>0</v>
      </c>
      <c r="AJ74" s="76">
        <f>IFERROR(BI_Tbl_materials[[#This Row],[Biobased - yes = 1, no = 0]]*(1-BI_Tbl_materials[[#This Row],[Asset '#3 - Recycled (%)]])+BI_Tbl_materials[[#This Row],[Asset '#3 - Recycled (%)]],"")</f>
        <v>0</v>
      </c>
      <c r="AK7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5" spans="1:38" x14ac:dyDescent="0.35">
      <c r="B75" s="231" t="s">
        <v>296</v>
      </c>
      <c r="C75" s="231" t="s">
        <v>239</v>
      </c>
      <c r="D75" s="231" t="s">
        <v>239</v>
      </c>
      <c r="E75" s="231" t="s">
        <v>239</v>
      </c>
      <c r="F75" s="231" t="s">
        <v>239</v>
      </c>
      <c r="G75" s="231" t="s">
        <v>239</v>
      </c>
      <c r="H75" s="231" t="s">
        <v>239</v>
      </c>
      <c r="I75" s="260">
        <v>1.8642722</v>
      </c>
      <c r="J75" s="260">
        <v>0.53883561000000002</v>
      </c>
      <c r="K75" s="231">
        <v>1.1591216E-2</v>
      </c>
      <c r="L75" s="231">
        <v>6.0825145000000004E-3</v>
      </c>
      <c r="M75" s="231" t="s">
        <v>240</v>
      </c>
      <c r="N75" s="231">
        <v>0</v>
      </c>
      <c r="O75" s="231" t="str">
        <f>IF(ISBLANK('Asset #1'!C88),"",'Asset #1'!C88*IF('Asset #1'!$D$18="kg/unit",1000,1))</f>
        <v/>
      </c>
      <c r="P75" s="239">
        <f>IF(ISBLANK('Asset #1'!D88),0,'Asset #1'!D88)</f>
        <v>0</v>
      </c>
      <c r="Q75" s="40">
        <f>IF(ISBLANK('Asset #1'!H88),0,'Asset #1'!H88)</f>
        <v>0</v>
      </c>
      <c r="R75" s="22" t="str">
        <f>IF(ISBLANK('Asset #1'!I88),"N/A",'Asset #1'!I88)</f>
        <v>N/A</v>
      </c>
      <c r="S75" s="22">
        <f>IF(BI_Tbl_materials[[#This Row],[Asset '#1 - Re/Down out]]="Recycled",1, IF(BI_Tbl_materials[[#This Row],[Asset '#1 - Re/Down out]]="Downcycled", 0.5, 0))</f>
        <v>0</v>
      </c>
      <c r="T75" s="40">
        <f>IFERROR(BI_Tbl_materials[[#This Row],[Biobased - yes = 1, no = 0]]*(1-BI_Tbl_materials[[#This Row],[Asset '#1 - Recycled (%)]])+BI_Tbl_materials[[#This Row],[Asset '#1 - Recycled (%)]],"")</f>
        <v>0</v>
      </c>
      <c r="U7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5" s="43" t="str">
        <f>IF(ISBLANK('Asset #2'!C88),"",'Asset #2'!C88*IF('Asset #2'!$D$18="kg/unit",1000,1))</f>
        <v/>
      </c>
      <c r="X75" s="40">
        <f>IF(ISBLANK('Asset #2'!D88),0,'Asset #2'!D88)</f>
        <v>0</v>
      </c>
      <c r="Y75" s="75">
        <f>IF(ISBLANK('Asset #2'!H88),0,'Asset #2'!H88)</f>
        <v>0</v>
      </c>
      <c r="Z75" s="22" t="str">
        <f>IF(ISBLANK('Asset #2'!I88),"N/A",'Asset #2'!I88)</f>
        <v>N/A</v>
      </c>
      <c r="AA75" s="22">
        <f>IF(BI_Tbl_materials[[#This Row],[Asset '#2 - Re/Down out]]="Recycled",1, IF(BI_Tbl_materials[[#This Row],[Asset '#2 - Re/Down out]]="Downcycled", 0.5, 0))</f>
        <v>0</v>
      </c>
      <c r="AB75" s="76">
        <f>IFERROR(BI_Tbl_materials[[#This Row],[Biobased - yes = 1, no = 0]]*(1-BI_Tbl_materials[[#This Row],[Asset '#2 - Recycled (%)]])+BI_Tbl_materials[[#This Row],[Asset '#2 - Recycled (%)]],"")</f>
        <v>0</v>
      </c>
      <c r="AC7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5" s="43" t="str">
        <f>IF(ISBLANK('Asset #3'!C88),"",'Asset #3'!C88*IF('Asset #3'!$D$18="kg/unit",1000,1))</f>
        <v/>
      </c>
      <c r="AF75" s="75">
        <f>IF(ISBLANK('Asset #3'!D88),0,'Asset #3'!D88)</f>
        <v>0</v>
      </c>
      <c r="AG75" s="75">
        <f>IF(ISBLANK('Asset #3'!H88),0,'Asset #3'!H88)</f>
        <v>0</v>
      </c>
      <c r="AH75" s="22" t="str">
        <f>IF(ISBLANK('Asset #3'!I88),"N/A",'Asset #3'!I88)</f>
        <v>N/A</v>
      </c>
      <c r="AI75" s="22">
        <f>IF(BI_Tbl_materials[[#This Row],[Asset '#3 - Re/Down out]]="Recycled",1, IF(BI_Tbl_materials[[#This Row],[Asset '#3 - Re/Down out]]="Downcycled", 0.5, 0))</f>
        <v>0</v>
      </c>
      <c r="AJ75" s="76">
        <f>IFERROR(BI_Tbl_materials[[#This Row],[Biobased - yes = 1, no = 0]]*(1-BI_Tbl_materials[[#This Row],[Asset '#3 - Recycled (%)]])+BI_Tbl_materials[[#This Row],[Asset '#3 - Recycled (%)]],"")</f>
        <v>0</v>
      </c>
      <c r="AK7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6" spans="1:38" x14ac:dyDescent="0.35">
      <c r="B76" s="231" t="s">
        <v>297</v>
      </c>
      <c r="C76" s="231"/>
      <c r="D76" s="231" t="s">
        <v>239</v>
      </c>
      <c r="E76" s="231" t="s">
        <v>239</v>
      </c>
      <c r="F76" s="231"/>
      <c r="G76" s="231"/>
      <c r="H76" s="231" t="s">
        <v>239</v>
      </c>
      <c r="I76" s="260">
        <v>2.2682609</v>
      </c>
      <c r="J76" s="260">
        <v>0.53883561000000002</v>
      </c>
      <c r="K76" s="231">
        <v>1.1591216E-2</v>
      </c>
      <c r="L76" s="231">
        <v>6.0825145000000004E-3</v>
      </c>
      <c r="M76" s="231" t="s">
        <v>240</v>
      </c>
      <c r="N76" s="231">
        <v>0</v>
      </c>
      <c r="O76" s="231" t="str">
        <f>IF(ISBLANK('Asset #1'!C89),"",'Asset #1'!C89*IF('Asset #1'!$D$18="kg/unit",1000,1))</f>
        <v/>
      </c>
      <c r="P76" s="239">
        <f>IF(ISBLANK('Asset #1'!D89),0,'Asset #1'!D89)</f>
        <v>0</v>
      </c>
      <c r="Q76" s="40">
        <f>IF(ISBLANK('Asset #1'!H89),0,'Asset #1'!H89)</f>
        <v>0</v>
      </c>
      <c r="R76" s="22" t="str">
        <f>IF(ISBLANK('Asset #1'!I89),"N/A",'Asset #1'!I89)</f>
        <v>N/A</v>
      </c>
      <c r="S76" s="22">
        <f>IF(BI_Tbl_materials[[#This Row],[Asset '#1 - Re/Down out]]="Recycled",1, IF(BI_Tbl_materials[[#This Row],[Asset '#1 - Re/Down out]]="Downcycled", 0.5, 0))</f>
        <v>0</v>
      </c>
      <c r="T76" s="40">
        <f>IFERROR(BI_Tbl_materials[[#This Row],[Biobased - yes = 1, no = 0]]*(1-BI_Tbl_materials[[#This Row],[Asset '#1 - Recycled (%)]])+BI_Tbl_materials[[#This Row],[Asset '#1 - Recycled (%)]],"")</f>
        <v>0</v>
      </c>
      <c r="U7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6" s="43" t="str">
        <f>IF(ISBLANK('Asset #2'!C89),"",'Asset #2'!C89*IF('Asset #2'!$D$18="kg/unit",1000,1))</f>
        <v/>
      </c>
      <c r="X76" s="40">
        <f>IF(ISBLANK('Asset #2'!D89),0,'Asset #2'!D89)</f>
        <v>0</v>
      </c>
      <c r="Y76" s="75">
        <f>IF(ISBLANK('Asset #2'!H89),0,'Asset #2'!H89)</f>
        <v>0</v>
      </c>
      <c r="Z76" s="22" t="str">
        <f>IF(ISBLANK('Asset #2'!I89),"N/A",'Asset #2'!I89)</f>
        <v>N/A</v>
      </c>
      <c r="AA76" s="22">
        <f>IF(BI_Tbl_materials[[#This Row],[Asset '#2 - Re/Down out]]="Recycled",1, IF(BI_Tbl_materials[[#This Row],[Asset '#2 - Re/Down out]]="Downcycled", 0.5, 0))</f>
        <v>0</v>
      </c>
      <c r="AB76" s="76">
        <f>IFERROR(BI_Tbl_materials[[#This Row],[Biobased - yes = 1, no = 0]]*(1-BI_Tbl_materials[[#This Row],[Asset '#2 - Recycled (%)]])+BI_Tbl_materials[[#This Row],[Asset '#2 - Recycled (%)]],"")</f>
        <v>0</v>
      </c>
      <c r="AC7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6" s="43" t="str">
        <f>IF(ISBLANK('Asset #3'!C89),"",'Asset #3'!C89*IF('Asset #3'!$D$18="kg/unit",1000,1))</f>
        <v/>
      </c>
      <c r="AF76" s="75">
        <f>IF(ISBLANK('Asset #3'!D89),0,'Asset #3'!D89)</f>
        <v>0</v>
      </c>
      <c r="AG76" s="75">
        <f>IF(ISBLANK('Asset #3'!H89),0,'Asset #3'!H89)</f>
        <v>0</v>
      </c>
      <c r="AH76" s="22" t="str">
        <f>IF(ISBLANK('Asset #3'!I89),"N/A",'Asset #3'!I89)</f>
        <v>N/A</v>
      </c>
      <c r="AI76" s="22">
        <f>IF(BI_Tbl_materials[[#This Row],[Asset '#3 - Re/Down out]]="Recycled",1, IF(BI_Tbl_materials[[#This Row],[Asset '#3 - Re/Down out]]="Downcycled", 0.5, 0))</f>
        <v>0</v>
      </c>
      <c r="AJ76" s="76">
        <f>IFERROR(BI_Tbl_materials[[#This Row],[Biobased - yes = 1, no = 0]]*(1-BI_Tbl_materials[[#This Row],[Asset '#3 - Recycled (%)]])+BI_Tbl_materials[[#This Row],[Asset '#3 - Recycled (%)]],"")</f>
        <v>0</v>
      </c>
      <c r="AK7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7" spans="1:38" x14ac:dyDescent="0.35">
      <c r="A77" s="186"/>
      <c r="B77" s="231" t="s">
        <v>546</v>
      </c>
      <c r="C77" s="231" t="s">
        <v>239</v>
      </c>
      <c r="D77" s="231" t="s">
        <v>239</v>
      </c>
      <c r="E77" s="231" t="s">
        <v>239</v>
      </c>
      <c r="F77" s="231" t="s">
        <v>239</v>
      </c>
      <c r="G77" s="231" t="s">
        <v>239</v>
      </c>
      <c r="H77" s="231" t="s">
        <v>239</v>
      </c>
      <c r="I77" s="260">
        <v>0.88</v>
      </c>
      <c r="J77" s="260">
        <v>0.88</v>
      </c>
      <c r="K77" s="231" t="s">
        <v>272</v>
      </c>
      <c r="L77" s="231" t="s">
        <v>272</v>
      </c>
      <c r="M77" s="235"/>
      <c r="N77" s="231">
        <v>0</v>
      </c>
      <c r="O77" s="231" t="str">
        <f>IF(ISBLANK('Asset #1'!C90),"",'Asset #1'!C90*IF('Asset #1'!$D$18="kg/unit",1000,1))</f>
        <v/>
      </c>
      <c r="P77" s="239">
        <f>IF(ISBLANK('Asset #1'!D90),0,'Asset #1'!D90)</f>
        <v>0</v>
      </c>
      <c r="Q77" s="40">
        <f>IF(ISBLANK('Asset #1'!H90),0,'Asset #1'!H90)</f>
        <v>0</v>
      </c>
      <c r="R77" s="22" t="str">
        <f>IF(ISBLANK('Asset #1'!I90),"N/A",'Asset #1'!I90)</f>
        <v>N/A</v>
      </c>
      <c r="S77" s="22">
        <f>IF(BI_Tbl_materials[[#This Row],[Asset '#1 - Re/Down out]]="Recycled",1, IF(BI_Tbl_materials[[#This Row],[Asset '#1 - Re/Down out]]="Downcycled", 0.5, 0))</f>
        <v>0</v>
      </c>
      <c r="T77" s="40">
        <f>IFERROR(BI_Tbl_materials[[#This Row],[Biobased - yes = 1, no = 0]]*(1-BI_Tbl_materials[[#This Row],[Asset '#1 - Recycled (%)]])+BI_Tbl_materials[[#This Row],[Asset '#1 - Recycled (%)]],"")</f>
        <v>0</v>
      </c>
      <c r="U7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7" s="43" t="str">
        <f>IF(ISBLANK('Asset #2'!C90),"",'Asset #2'!C90*IF('Asset #2'!$D$18="kg/unit",1000,1))</f>
        <v/>
      </c>
      <c r="X77" s="40">
        <f>IF(ISBLANK('Asset #2'!D90),0,'Asset #2'!D90)</f>
        <v>0</v>
      </c>
      <c r="Y77" s="75">
        <f>IF(ISBLANK('Asset #2'!H90),0,'Asset #2'!H90)</f>
        <v>0</v>
      </c>
      <c r="Z77" s="22" t="str">
        <f>IF(ISBLANK('Asset #2'!I90),"N/A",'Asset #2'!I90)</f>
        <v>N/A</v>
      </c>
      <c r="AA77" s="22">
        <f>IF(BI_Tbl_materials[[#This Row],[Asset '#2 - Re/Down out]]="Recycled",1, IF(BI_Tbl_materials[[#This Row],[Asset '#2 - Re/Down out]]="Downcycled", 0.5, 0))</f>
        <v>0</v>
      </c>
      <c r="AB77" s="76">
        <f>IFERROR(BI_Tbl_materials[[#This Row],[Biobased - yes = 1, no = 0]]*(1-BI_Tbl_materials[[#This Row],[Asset '#2 - Recycled (%)]])+BI_Tbl_materials[[#This Row],[Asset '#2 - Recycled (%)]],"")</f>
        <v>0</v>
      </c>
      <c r="AC7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7" s="43" t="str">
        <f>IF(ISBLANK('Asset #3'!C90),"",'Asset #3'!C90*IF('Asset #3'!$D$18="kg/unit",1000,1))</f>
        <v/>
      </c>
      <c r="AF77" s="75">
        <f>IF(ISBLANK('Asset #3'!D90),0,'Asset #3'!D90)</f>
        <v>0</v>
      </c>
      <c r="AG77" s="75">
        <f>IF(ISBLANK('Asset #3'!H90),0,'Asset #3'!H90)</f>
        <v>0</v>
      </c>
      <c r="AH77" s="22" t="str">
        <f>IF(ISBLANK('Asset #3'!I90),"N/A",'Asset #3'!I90)</f>
        <v>N/A</v>
      </c>
      <c r="AI77" s="22">
        <f>IF(BI_Tbl_materials[[#This Row],[Asset '#3 - Re/Down out]]="Recycled",1, IF(BI_Tbl_materials[[#This Row],[Asset '#3 - Re/Down out]]="Downcycled", 0.5, 0))</f>
        <v>0</v>
      </c>
      <c r="AJ77" s="76">
        <f>IFERROR(BI_Tbl_materials[[#This Row],[Biobased - yes = 1, no = 0]]*(1-BI_Tbl_materials[[#This Row],[Asset '#3 - Recycled (%)]])+BI_Tbl_materials[[#This Row],[Asset '#3 - Recycled (%)]],"")</f>
        <v>0</v>
      </c>
      <c r="AK7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8" spans="1:38" x14ac:dyDescent="0.35">
      <c r="A78" s="186"/>
      <c r="B78" s="231" t="s">
        <v>547</v>
      </c>
      <c r="C78" s="231" t="s">
        <v>239</v>
      </c>
      <c r="D78" s="231" t="s">
        <v>239</v>
      </c>
      <c r="E78" s="231" t="s">
        <v>239</v>
      </c>
      <c r="F78" s="231" t="s">
        <v>239</v>
      </c>
      <c r="G78" s="231" t="s">
        <v>239</v>
      </c>
      <c r="H78" s="231" t="s">
        <v>239</v>
      </c>
      <c r="I78" s="260">
        <v>1.31</v>
      </c>
      <c r="J78" s="260">
        <v>1.31</v>
      </c>
      <c r="K78" s="231" t="s">
        <v>272</v>
      </c>
      <c r="L78" s="231" t="s">
        <v>272</v>
      </c>
      <c r="M78" s="235"/>
      <c r="N78" s="231">
        <v>0</v>
      </c>
      <c r="O78" s="231" t="str">
        <f>IF(ISBLANK('Asset #1'!C91),"",'Asset #1'!C91*IF('Asset #1'!$D$18="kg/unit",1000,1))</f>
        <v/>
      </c>
      <c r="P78" s="239">
        <f>IF(ISBLANK('Asset #1'!D91),0,'Asset #1'!D91)</f>
        <v>0</v>
      </c>
      <c r="Q78" s="40">
        <f>IF(ISBLANK('Asset #1'!H91),0,'Asset #1'!H91)</f>
        <v>0</v>
      </c>
      <c r="R78" s="22" t="str">
        <f>IF(ISBLANK('Asset #1'!I91),"N/A",'Asset #1'!I91)</f>
        <v>N/A</v>
      </c>
      <c r="S78" s="22">
        <f>IF(BI_Tbl_materials[[#This Row],[Asset '#1 - Re/Down out]]="Recycled",1, IF(BI_Tbl_materials[[#This Row],[Asset '#1 - Re/Down out]]="Downcycled", 0.5, 0))</f>
        <v>0</v>
      </c>
      <c r="T78" s="40">
        <f>IFERROR(BI_Tbl_materials[[#This Row],[Biobased - yes = 1, no = 0]]*(1-BI_Tbl_materials[[#This Row],[Asset '#1 - Recycled (%)]])+BI_Tbl_materials[[#This Row],[Asset '#1 - Recycled (%)]],"")</f>
        <v>0</v>
      </c>
      <c r="U7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8" s="43" t="str">
        <f>IF(ISBLANK('Asset #2'!C91),"",'Asset #2'!C91*IF('Asset #2'!$D$18="kg/unit",1000,1))</f>
        <v/>
      </c>
      <c r="X78" s="40">
        <f>IF(ISBLANK('Asset #2'!D91),0,'Asset #2'!D91)</f>
        <v>0</v>
      </c>
      <c r="Y78" s="75">
        <f>IF(ISBLANK('Asset #2'!H91),0,'Asset #2'!H91)</f>
        <v>0</v>
      </c>
      <c r="Z78" s="22" t="str">
        <f>IF(ISBLANK('Asset #2'!I91),"N/A",'Asset #2'!I91)</f>
        <v>N/A</v>
      </c>
      <c r="AA78" s="22">
        <f>IF(BI_Tbl_materials[[#This Row],[Asset '#2 - Re/Down out]]="Recycled",1, IF(BI_Tbl_materials[[#This Row],[Asset '#2 - Re/Down out]]="Downcycled", 0.5, 0))</f>
        <v>0</v>
      </c>
      <c r="AB78" s="76">
        <f>IFERROR(BI_Tbl_materials[[#This Row],[Biobased - yes = 1, no = 0]]*(1-BI_Tbl_materials[[#This Row],[Asset '#2 - Recycled (%)]])+BI_Tbl_materials[[#This Row],[Asset '#2 - Recycled (%)]],"")</f>
        <v>0</v>
      </c>
      <c r="AC7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8" s="43" t="str">
        <f>IF(ISBLANK('Asset #3'!C91),"",'Asset #3'!C91*IF('Asset #3'!$D$18="kg/unit",1000,1))</f>
        <v/>
      </c>
      <c r="AF78" s="75">
        <f>IF(ISBLANK('Asset #3'!D91),0,'Asset #3'!D91)</f>
        <v>0</v>
      </c>
      <c r="AG78" s="75">
        <f>IF(ISBLANK('Asset #3'!H91),0,'Asset #3'!H91)</f>
        <v>0</v>
      </c>
      <c r="AH78" s="22" t="str">
        <f>IF(ISBLANK('Asset #3'!I91),"N/A",'Asset #3'!I91)</f>
        <v>N/A</v>
      </c>
      <c r="AI78" s="22">
        <f>IF(BI_Tbl_materials[[#This Row],[Asset '#3 - Re/Down out]]="Recycled",1, IF(BI_Tbl_materials[[#This Row],[Asset '#3 - Re/Down out]]="Downcycled", 0.5, 0))</f>
        <v>0</v>
      </c>
      <c r="AJ78" s="76">
        <f>IFERROR(BI_Tbl_materials[[#This Row],[Biobased - yes = 1, no = 0]]*(1-BI_Tbl_materials[[#This Row],[Asset '#3 - Recycled (%)]])+BI_Tbl_materials[[#This Row],[Asset '#3 - Recycled (%)]],"")</f>
        <v>0</v>
      </c>
      <c r="AK7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79" spans="1:38" x14ac:dyDescent="0.35">
      <c r="B79" s="231" t="s">
        <v>298</v>
      </c>
      <c r="C79" s="231"/>
      <c r="D79" s="231" t="s">
        <v>239</v>
      </c>
      <c r="E79" s="231" t="s">
        <v>239</v>
      </c>
      <c r="F79" s="231" t="s">
        <v>239</v>
      </c>
      <c r="G79" s="231" t="s">
        <v>239</v>
      </c>
      <c r="H79" s="231" t="s">
        <v>239</v>
      </c>
      <c r="I79" s="260">
        <v>5.8827733000000002</v>
      </c>
      <c r="J79" s="260">
        <v>4.9533655000000003</v>
      </c>
      <c r="K79" s="231">
        <v>1.1591216E-2</v>
      </c>
      <c r="L79" s="231">
        <v>6.0825145000000004E-3</v>
      </c>
      <c r="M79" s="231" t="s">
        <v>240</v>
      </c>
      <c r="N79" s="231">
        <v>0</v>
      </c>
      <c r="O79" s="231" t="str">
        <f>IF(ISBLANK('Asset #1'!C92),"",'Asset #1'!C92*IF('Asset #1'!$D$18="kg/unit",1000,1))</f>
        <v/>
      </c>
      <c r="P79" s="239">
        <f>IF(ISBLANK('Asset #1'!D92),0,'Asset #1'!D92)</f>
        <v>0</v>
      </c>
      <c r="Q79" s="40">
        <f>IF(ISBLANK('Asset #1'!H92),0,'Asset #1'!H92)</f>
        <v>0</v>
      </c>
      <c r="R79" s="22" t="str">
        <f>IF(ISBLANK('Asset #1'!I92),"N/A",'Asset #1'!I92)</f>
        <v>N/A</v>
      </c>
      <c r="S79" s="22">
        <f>IF(BI_Tbl_materials[[#This Row],[Asset '#1 - Re/Down out]]="Recycled",1, IF(BI_Tbl_materials[[#This Row],[Asset '#1 - Re/Down out]]="Downcycled", 0.5, 0))</f>
        <v>0</v>
      </c>
      <c r="T79" s="40">
        <f>IFERROR(BI_Tbl_materials[[#This Row],[Biobased - yes = 1, no = 0]]*(1-BI_Tbl_materials[[#This Row],[Asset '#1 - Recycled (%)]])+BI_Tbl_materials[[#This Row],[Asset '#1 - Recycled (%)]],"")</f>
        <v>0</v>
      </c>
      <c r="U7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7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79" s="43" t="str">
        <f>IF(ISBLANK('Asset #2'!C92),"",'Asset #2'!C92*IF('Asset #2'!$D$18="kg/unit",1000,1))</f>
        <v/>
      </c>
      <c r="X79" s="40">
        <f>IF(ISBLANK('Asset #2'!D92),0,'Asset #2'!D92)</f>
        <v>0</v>
      </c>
      <c r="Y79" s="75">
        <f>IF(ISBLANK('Asset #2'!H92),0,'Asset #2'!H92)</f>
        <v>0</v>
      </c>
      <c r="Z79" s="22" t="str">
        <f>IF(ISBLANK('Asset #2'!I92),"N/A",'Asset #2'!I92)</f>
        <v>N/A</v>
      </c>
      <c r="AA79" s="22">
        <f>IF(BI_Tbl_materials[[#This Row],[Asset '#2 - Re/Down out]]="Recycled",1, IF(BI_Tbl_materials[[#This Row],[Asset '#2 - Re/Down out]]="Downcycled", 0.5, 0))</f>
        <v>0</v>
      </c>
      <c r="AB79" s="76">
        <f>IFERROR(BI_Tbl_materials[[#This Row],[Biobased - yes = 1, no = 0]]*(1-BI_Tbl_materials[[#This Row],[Asset '#2 - Recycled (%)]])+BI_Tbl_materials[[#This Row],[Asset '#2 - Recycled (%)]],"")</f>
        <v>0</v>
      </c>
      <c r="AC7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7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79" s="43" t="str">
        <f>IF(ISBLANK('Asset #3'!C92),"",'Asset #3'!C92*IF('Asset #3'!$D$18="kg/unit",1000,1))</f>
        <v/>
      </c>
      <c r="AF79" s="75">
        <f>IF(ISBLANK('Asset #3'!D92),0,'Asset #3'!D92)</f>
        <v>0</v>
      </c>
      <c r="AG79" s="75">
        <f>IF(ISBLANK('Asset #3'!H92),0,'Asset #3'!H92)</f>
        <v>0</v>
      </c>
      <c r="AH79" s="22" t="str">
        <f>IF(ISBLANK('Asset #3'!I92),"N/A",'Asset #3'!I92)</f>
        <v>N/A</v>
      </c>
      <c r="AI79" s="22">
        <f>IF(BI_Tbl_materials[[#This Row],[Asset '#3 - Re/Down out]]="Recycled",1, IF(BI_Tbl_materials[[#This Row],[Asset '#3 - Re/Down out]]="Downcycled", 0.5, 0))</f>
        <v>0</v>
      </c>
      <c r="AJ79" s="76">
        <f>IFERROR(BI_Tbl_materials[[#This Row],[Biobased - yes = 1, no = 0]]*(1-BI_Tbl_materials[[#This Row],[Asset '#3 - Recycled (%)]])+BI_Tbl_materials[[#This Row],[Asset '#3 - Recycled (%)]],"")</f>
        <v>0</v>
      </c>
      <c r="AK7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7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0" spans="1:38" x14ac:dyDescent="0.35">
      <c r="B80" s="231" t="s">
        <v>299</v>
      </c>
      <c r="C80" s="231"/>
      <c r="D80" s="231" t="s">
        <v>239</v>
      </c>
      <c r="E80" s="231" t="s">
        <v>239</v>
      </c>
      <c r="F80" s="231" t="s">
        <v>239</v>
      </c>
      <c r="G80" s="231"/>
      <c r="H80" s="231" t="s">
        <v>239</v>
      </c>
      <c r="I80" s="260">
        <v>2.5031677999999999</v>
      </c>
      <c r="J80" s="260">
        <v>1.4302467000000001</v>
      </c>
      <c r="K80" s="231">
        <v>1.1591216E-2</v>
      </c>
      <c r="L80" s="231">
        <v>6.0825145000000004E-3</v>
      </c>
      <c r="M80" s="231" t="s">
        <v>240</v>
      </c>
      <c r="N80" s="231">
        <v>0</v>
      </c>
      <c r="O80" s="231" t="str">
        <f>IF(ISBLANK('Asset #1'!C93),"",'Asset #1'!C93*IF('Asset #1'!$D$18="kg/unit",1000,1))</f>
        <v/>
      </c>
      <c r="P80" s="239">
        <f>IF(ISBLANK('Asset #1'!D93),0,'Asset #1'!D93)</f>
        <v>0</v>
      </c>
      <c r="Q80" s="40">
        <f>IF(ISBLANK('Asset #1'!H93),0,'Asset #1'!H93)</f>
        <v>0</v>
      </c>
      <c r="R80" s="22" t="str">
        <f>IF(ISBLANK('Asset #1'!I93),"N/A",'Asset #1'!I93)</f>
        <v>N/A</v>
      </c>
      <c r="S80" s="22">
        <f>IF(BI_Tbl_materials[[#This Row],[Asset '#1 - Re/Down out]]="Recycled",1, IF(BI_Tbl_materials[[#This Row],[Asset '#1 - Re/Down out]]="Downcycled", 0.5, 0))</f>
        <v>0</v>
      </c>
      <c r="T80" s="40">
        <f>IFERROR(BI_Tbl_materials[[#This Row],[Biobased - yes = 1, no = 0]]*(1-BI_Tbl_materials[[#This Row],[Asset '#1 - Recycled (%)]])+BI_Tbl_materials[[#This Row],[Asset '#1 - Recycled (%)]],"")</f>
        <v>0</v>
      </c>
      <c r="U8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0" s="43" t="str">
        <f>IF(ISBLANK('Asset #2'!C93),"",'Asset #2'!C93*IF('Asset #2'!$D$18="kg/unit",1000,1))</f>
        <v/>
      </c>
      <c r="X80" s="40">
        <f>IF(ISBLANK('Asset #2'!D93),0,'Asset #2'!D93)</f>
        <v>0</v>
      </c>
      <c r="Y80" s="75">
        <f>IF(ISBLANK('Asset #2'!H93),0,'Asset #2'!H93)</f>
        <v>0</v>
      </c>
      <c r="Z80" s="22" t="str">
        <f>IF(ISBLANK('Asset #2'!I93),"N/A",'Asset #2'!I93)</f>
        <v>N/A</v>
      </c>
      <c r="AA80" s="22">
        <f>IF(BI_Tbl_materials[[#This Row],[Asset '#2 - Re/Down out]]="Recycled",1, IF(BI_Tbl_materials[[#This Row],[Asset '#2 - Re/Down out]]="Downcycled", 0.5, 0))</f>
        <v>0</v>
      </c>
      <c r="AB80" s="76">
        <f>IFERROR(BI_Tbl_materials[[#This Row],[Biobased - yes = 1, no = 0]]*(1-BI_Tbl_materials[[#This Row],[Asset '#2 - Recycled (%)]])+BI_Tbl_materials[[#This Row],[Asset '#2 - Recycled (%)]],"")</f>
        <v>0</v>
      </c>
      <c r="AC8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0" s="43" t="str">
        <f>IF(ISBLANK('Asset #3'!C93),"",'Asset #3'!C93*IF('Asset #3'!$D$18="kg/unit",1000,1))</f>
        <v/>
      </c>
      <c r="AF80" s="75">
        <f>IF(ISBLANK('Asset #3'!D93),0,'Asset #3'!D93)</f>
        <v>0</v>
      </c>
      <c r="AG80" s="75">
        <f>IF(ISBLANK('Asset #3'!H93),0,'Asset #3'!H93)</f>
        <v>0</v>
      </c>
      <c r="AH80" s="22" t="str">
        <f>IF(ISBLANK('Asset #3'!I93),"N/A",'Asset #3'!I93)</f>
        <v>N/A</v>
      </c>
      <c r="AI80" s="22">
        <f>IF(BI_Tbl_materials[[#This Row],[Asset '#3 - Re/Down out]]="Recycled",1, IF(BI_Tbl_materials[[#This Row],[Asset '#3 - Re/Down out]]="Downcycled", 0.5, 0))</f>
        <v>0</v>
      </c>
      <c r="AJ80" s="76">
        <f>IFERROR(BI_Tbl_materials[[#This Row],[Biobased - yes = 1, no = 0]]*(1-BI_Tbl_materials[[#This Row],[Asset '#3 - Recycled (%)]])+BI_Tbl_materials[[#This Row],[Asset '#3 - Recycled (%)]],"")</f>
        <v>0</v>
      </c>
      <c r="AK8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1" spans="2:38" x14ac:dyDescent="0.35">
      <c r="B81" s="231" t="s">
        <v>300</v>
      </c>
      <c r="C81" s="231" t="s">
        <v>239</v>
      </c>
      <c r="D81" s="231" t="s">
        <v>239</v>
      </c>
      <c r="E81" s="231" t="s">
        <v>239</v>
      </c>
      <c r="F81" s="231" t="s">
        <v>239</v>
      </c>
      <c r="G81" s="231" t="s">
        <v>239</v>
      </c>
      <c r="H81" s="231" t="s">
        <v>239</v>
      </c>
      <c r="I81" s="260">
        <v>171.18478999999999</v>
      </c>
      <c r="J81" s="260">
        <v>119.82935000000001</v>
      </c>
      <c r="K81" s="231">
        <v>1.5327402E-2</v>
      </c>
      <c r="L81" s="231">
        <v>1.5163668999999999E-2</v>
      </c>
      <c r="M81" s="231" t="s">
        <v>240</v>
      </c>
      <c r="N81" s="231">
        <v>0</v>
      </c>
      <c r="O81" s="231" t="str">
        <f>IF(ISBLANK('Asset #1'!C94),"",'Asset #1'!C94*IF('Asset #1'!$D$18="kg/unit",1000,1))</f>
        <v/>
      </c>
      <c r="P81" s="239">
        <f>IF(ISBLANK('Asset #1'!D94),0,'Asset #1'!D94)</f>
        <v>0</v>
      </c>
      <c r="Q81" s="40">
        <f>IF(ISBLANK('Asset #1'!H94),0,'Asset #1'!H94)</f>
        <v>0</v>
      </c>
      <c r="R81" s="22" t="str">
        <f>IF(ISBLANK('Asset #1'!I94),"N/A",'Asset #1'!I94)</f>
        <v>N/A</v>
      </c>
      <c r="S81" s="22">
        <f>IF(BI_Tbl_materials[[#This Row],[Asset '#1 - Re/Down out]]="Recycled",1, IF(BI_Tbl_materials[[#This Row],[Asset '#1 - Re/Down out]]="Downcycled", 0.5, 0))</f>
        <v>0</v>
      </c>
      <c r="T81" s="40">
        <f>IFERROR(BI_Tbl_materials[[#This Row],[Biobased - yes = 1, no = 0]]*(1-BI_Tbl_materials[[#This Row],[Asset '#1 - Recycled (%)]])+BI_Tbl_materials[[#This Row],[Asset '#1 - Recycled (%)]],"")</f>
        <v>0</v>
      </c>
      <c r="U8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1" s="43" t="str">
        <f>IF(ISBLANK('Asset #2'!C94),"",'Asset #2'!C94*IF('Asset #2'!$D$18="kg/unit",1000,1))</f>
        <v/>
      </c>
      <c r="X81" s="40">
        <f>IF(ISBLANK('Asset #2'!D94),0,'Asset #2'!D94)</f>
        <v>0</v>
      </c>
      <c r="Y81" s="75">
        <f>IF(ISBLANK('Asset #2'!H94),0,'Asset #2'!H94)</f>
        <v>0</v>
      </c>
      <c r="Z81" s="22" t="str">
        <f>IF(ISBLANK('Asset #2'!I94),"N/A",'Asset #2'!I94)</f>
        <v>N/A</v>
      </c>
      <c r="AA81" s="22">
        <f>IF(BI_Tbl_materials[[#This Row],[Asset '#2 - Re/Down out]]="Recycled",1, IF(BI_Tbl_materials[[#This Row],[Asset '#2 - Re/Down out]]="Downcycled", 0.5, 0))</f>
        <v>0</v>
      </c>
      <c r="AB81" s="76">
        <f>IFERROR(BI_Tbl_materials[[#This Row],[Biobased - yes = 1, no = 0]]*(1-BI_Tbl_materials[[#This Row],[Asset '#2 - Recycled (%)]])+BI_Tbl_materials[[#This Row],[Asset '#2 - Recycled (%)]],"")</f>
        <v>0</v>
      </c>
      <c r="AC8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1" s="43" t="str">
        <f>IF(ISBLANK('Asset #3'!C94),"",'Asset #3'!C94*IF('Asset #3'!$D$18="kg/unit",1000,1))</f>
        <v/>
      </c>
      <c r="AF81" s="75">
        <f>IF(ISBLANK('Asset #3'!D94),0,'Asset #3'!D94)</f>
        <v>0</v>
      </c>
      <c r="AG81" s="75">
        <f>IF(ISBLANK('Asset #3'!H94),0,'Asset #3'!H94)</f>
        <v>0</v>
      </c>
      <c r="AH81" s="22" t="str">
        <f>IF(ISBLANK('Asset #3'!I94),"N/A",'Asset #3'!I94)</f>
        <v>N/A</v>
      </c>
      <c r="AI81" s="22">
        <f>IF(BI_Tbl_materials[[#This Row],[Asset '#3 - Re/Down out]]="Recycled",1, IF(BI_Tbl_materials[[#This Row],[Asset '#3 - Re/Down out]]="Downcycled", 0.5, 0))</f>
        <v>0</v>
      </c>
      <c r="AJ81" s="76">
        <f>IFERROR(BI_Tbl_materials[[#This Row],[Biobased - yes = 1, no = 0]]*(1-BI_Tbl_materials[[#This Row],[Asset '#3 - Recycled (%)]])+BI_Tbl_materials[[#This Row],[Asset '#3 - Recycled (%)]],"")</f>
        <v>0</v>
      </c>
      <c r="AK8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2" spans="2:38" x14ac:dyDescent="0.35">
      <c r="B82" s="231" t="s">
        <v>301</v>
      </c>
      <c r="C82" s="231" t="s">
        <v>239</v>
      </c>
      <c r="D82" s="231" t="s">
        <v>239</v>
      </c>
      <c r="E82" s="231" t="s">
        <v>239</v>
      </c>
      <c r="F82" s="231"/>
      <c r="G82" s="231" t="s">
        <v>239</v>
      </c>
      <c r="H82" s="231" t="s">
        <v>239</v>
      </c>
      <c r="I82" s="260">
        <v>10.094931000000001</v>
      </c>
      <c r="J82" s="260">
        <v>7.066452</v>
      </c>
      <c r="K82" s="231">
        <v>1.1658880999999999E-2</v>
      </c>
      <c r="L82" s="231">
        <v>1.0659037E-2</v>
      </c>
      <c r="M82" s="231" t="s">
        <v>240</v>
      </c>
      <c r="N82" s="231">
        <v>0</v>
      </c>
      <c r="O82" s="231" t="str">
        <f>IF(ISBLANK('Asset #1'!C95),"",'Asset #1'!C95*IF('Asset #1'!$D$18="kg/unit",1000,1))</f>
        <v/>
      </c>
      <c r="P82" s="239">
        <f>IF(ISBLANK('Asset #1'!D95),0,'Asset #1'!D95)</f>
        <v>0</v>
      </c>
      <c r="Q82" s="40">
        <f>IF(ISBLANK('Asset #1'!H95),0,'Asset #1'!H95)</f>
        <v>0</v>
      </c>
      <c r="R82" s="22" t="str">
        <f>IF(ISBLANK('Asset #1'!I95),"N/A",'Asset #1'!I95)</f>
        <v>N/A</v>
      </c>
      <c r="S82" s="22">
        <f>IF(BI_Tbl_materials[[#This Row],[Asset '#1 - Re/Down out]]="Recycled",1, IF(BI_Tbl_materials[[#This Row],[Asset '#1 - Re/Down out]]="Downcycled", 0.5, 0))</f>
        <v>0</v>
      </c>
      <c r="T82" s="40">
        <f>IFERROR(BI_Tbl_materials[[#This Row],[Biobased - yes = 1, no = 0]]*(1-BI_Tbl_materials[[#This Row],[Asset '#1 - Recycled (%)]])+BI_Tbl_materials[[#This Row],[Asset '#1 - Recycled (%)]],"")</f>
        <v>0</v>
      </c>
      <c r="U8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2" s="43" t="str">
        <f>IF(ISBLANK('Asset #2'!C95),"",'Asset #2'!C95*IF('Asset #2'!$D$18="kg/unit",1000,1))</f>
        <v/>
      </c>
      <c r="X82" s="40">
        <f>IF(ISBLANK('Asset #2'!D95),0,'Asset #2'!D95)</f>
        <v>0</v>
      </c>
      <c r="Y82" s="75">
        <f>IF(ISBLANK('Asset #2'!H95),0,'Asset #2'!H95)</f>
        <v>0</v>
      </c>
      <c r="Z82" s="22" t="str">
        <f>IF(ISBLANK('Asset #2'!I95),"N/A",'Asset #2'!I95)</f>
        <v>N/A</v>
      </c>
      <c r="AA82" s="22">
        <f>IF(BI_Tbl_materials[[#This Row],[Asset '#2 - Re/Down out]]="Recycled",1, IF(BI_Tbl_materials[[#This Row],[Asset '#2 - Re/Down out]]="Downcycled", 0.5, 0))</f>
        <v>0</v>
      </c>
      <c r="AB82" s="76">
        <f>IFERROR(BI_Tbl_materials[[#This Row],[Biobased - yes = 1, no = 0]]*(1-BI_Tbl_materials[[#This Row],[Asset '#2 - Recycled (%)]])+BI_Tbl_materials[[#This Row],[Asset '#2 - Recycled (%)]],"")</f>
        <v>0</v>
      </c>
      <c r="AC8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2" s="43" t="str">
        <f>IF(ISBLANK('Asset #3'!C95),"",'Asset #3'!C95*IF('Asset #3'!$D$18="kg/unit",1000,1))</f>
        <v/>
      </c>
      <c r="AF82" s="75">
        <f>IF(ISBLANK('Asset #3'!D95),0,'Asset #3'!D95)</f>
        <v>0</v>
      </c>
      <c r="AG82" s="75">
        <f>IF(ISBLANK('Asset #3'!H95),0,'Asset #3'!H95)</f>
        <v>0</v>
      </c>
      <c r="AH82" s="22" t="str">
        <f>IF(ISBLANK('Asset #3'!I95),"N/A",'Asset #3'!I95)</f>
        <v>N/A</v>
      </c>
      <c r="AI82" s="22">
        <f>IF(BI_Tbl_materials[[#This Row],[Asset '#3 - Re/Down out]]="Recycled",1, IF(BI_Tbl_materials[[#This Row],[Asset '#3 - Re/Down out]]="Downcycled", 0.5, 0))</f>
        <v>0</v>
      </c>
      <c r="AJ82" s="76">
        <f>IFERROR(BI_Tbl_materials[[#This Row],[Biobased - yes = 1, no = 0]]*(1-BI_Tbl_materials[[#This Row],[Asset '#3 - Recycled (%)]])+BI_Tbl_materials[[#This Row],[Asset '#3 - Recycled (%)]],"")</f>
        <v>0</v>
      </c>
      <c r="AK8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3" spans="2:38" x14ac:dyDescent="0.35">
      <c r="B83" s="231" t="s">
        <v>302</v>
      </c>
      <c r="C83" s="231" t="s">
        <v>239</v>
      </c>
      <c r="D83" s="231" t="s">
        <v>239</v>
      </c>
      <c r="E83" s="231" t="s">
        <v>239</v>
      </c>
      <c r="F83" s="231" t="s">
        <v>239</v>
      </c>
      <c r="G83" s="231" t="s">
        <v>239</v>
      </c>
      <c r="H83" s="231" t="s">
        <v>239</v>
      </c>
      <c r="I83" s="260">
        <v>22.080966</v>
      </c>
      <c r="J83" s="260">
        <v>15.456676</v>
      </c>
      <c r="K83" s="231">
        <v>1.5327402E-2</v>
      </c>
      <c r="L83" s="231">
        <v>1.5163668999999999E-2</v>
      </c>
      <c r="M83" s="231" t="s">
        <v>240</v>
      </c>
      <c r="N83" s="231">
        <v>0</v>
      </c>
      <c r="O83" s="231" t="str">
        <f>IF(ISBLANK('Asset #1'!C96),"",'Asset #1'!C96*IF('Asset #1'!$D$18="kg/unit",1000,1))</f>
        <v/>
      </c>
      <c r="P83" s="239">
        <f>IF(ISBLANK('Asset #1'!D96),0,'Asset #1'!D96)</f>
        <v>0</v>
      </c>
      <c r="Q83" s="40">
        <f>IF(ISBLANK('Asset #1'!H96),0,'Asset #1'!H96)</f>
        <v>0</v>
      </c>
      <c r="R83" s="22" t="str">
        <f>IF(ISBLANK('Asset #1'!I96),"N/A",'Asset #1'!I96)</f>
        <v>N/A</v>
      </c>
      <c r="S83" s="22">
        <f>IF(BI_Tbl_materials[[#This Row],[Asset '#1 - Re/Down out]]="Recycled",1, IF(BI_Tbl_materials[[#This Row],[Asset '#1 - Re/Down out]]="Downcycled", 0.5, 0))</f>
        <v>0</v>
      </c>
      <c r="T83" s="40">
        <f>IFERROR(BI_Tbl_materials[[#This Row],[Biobased - yes = 1, no = 0]]*(1-BI_Tbl_materials[[#This Row],[Asset '#1 - Recycled (%)]])+BI_Tbl_materials[[#This Row],[Asset '#1 - Recycled (%)]],"")</f>
        <v>0</v>
      </c>
      <c r="U8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3" s="43" t="str">
        <f>IF(ISBLANK('Asset #2'!C96),"",'Asset #2'!C96*IF('Asset #2'!$D$18="kg/unit",1000,1))</f>
        <v/>
      </c>
      <c r="X83" s="40">
        <f>IF(ISBLANK('Asset #2'!D96),0,'Asset #2'!D96)</f>
        <v>0</v>
      </c>
      <c r="Y83" s="75">
        <f>IF(ISBLANK('Asset #2'!H96),0,'Asset #2'!H96)</f>
        <v>0</v>
      </c>
      <c r="Z83" s="22" t="str">
        <f>IF(ISBLANK('Asset #2'!I96),"N/A",'Asset #2'!I96)</f>
        <v>N/A</v>
      </c>
      <c r="AA83" s="22">
        <f>IF(BI_Tbl_materials[[#This Row],[Asset '#2 - Re/Down out]]="Recycled",1, IF(BI_Tbl_materials[[#This Row],[Asset '#2 - Re/Down out]]="Downcycled", 0.5, 0))</f>
        <v>0</v>
      </c>
      <c r="AB83" s="76">
        <f>IFERROR(BI_Tbl_materials[[#This Row],[Biobased - yes = 1, no = 0]]*(1-BI_Tbl_materials[[#This Row],[Asset '#2 - Recycled (%)]])+BI_Tbl_materials[[#This Row],[Asset '#2 - Recycled (%)]],"")</f>
        <v>0</v>
      </c>
      <c r="AC8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3" s="43" t="str">
        <f>IF(ISBLANK('Asset #3'!C96),"",'Asset #3'!C96*IF('Asset #3'!$D$18="kg/unit",1000,1))</f>
        <v/>
      </c>
      <c r="AF83" s="75">
        <f>IF(ISBLANK('Asset #3'!D96),0,'Asset #3'!D96)</f>
        <v>0</v>
      </c>
      <c r="AG83" s="75">
        <f>IF(ISBLANK('Asset #3'!H96),0,'Asset #3'!H96)</f>
        <v>0</v>
      </c>
      <c r="AH83" s="22" t="str">
        <f>IF(ISBLANK('Asset #3'!I96),"N/A",'Asset #3'!I96)</f>
        <v>N/A</v>
      </c>
      <c r="AI83" s="22">
        <f>IF(BI_Tbl_materials[[#This Row],[Asset '#3 - Re/Down out]]="Recycled",1, IF(BI_Tbl_materials[[#This Row],[Asset '#3 - Re/Down out]]="Downcycled", 0.5, 0))</f>
        <v>0</v>
      </c>
      <c r="AJ83" s="76">
        <f>IFERROR(BI_Tbl_materials[[#This Row],[Biobased - yes = 1, no = 0]]*(1-BI_Tbl_materials[[#This Row],[Asset '#3 - Recycled (%)]])+BI_Tbl_materials[[#This Row],[Asset '#3 - Recycled (%)]],"")</f>
        <v>0</v>
      </c>
      <c r="AK8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4" spans="2:38" x14ac:dyDescent="0.35">
      <c r="B84" s="231" t="s">
        <v>303</v>
      </c>
      <c r="C84" s="231"/>
      <c r="D84" s="231"/>
      <c r="E84" s="231"/>
      <c r="F84" s="231" t="s">
        <v>239</v>
      </c>
      <c r="G84" s="231"/>
      <c r="H84" s="231" t="s">
        <v>239</v>
      </c>
      <c r="I84" s="260">
        <v>3.0031802000000002E-4</v>
      </c>
      <c r="J84" s="260">
        <v>3.0031802000000002E-4</v>
      </c>
      <c r="K84" s="231">
        <v>0</v>
      </c>
      <c r="L84" s="231">
        <v>5.6607693999999997E-3</v>
      </c>
      <c r="M84" s="231" t="s">
        <v>240</v>
      </c>
      <c r="N84" s="231">
        <v>0</v>
      </c>
      <c r="O84" s="231" t="str">
        <f>IF(ISBLANK('Asset #1'!C97),"",'Asset #1'!C97*IF('Asset #1'!$D$18="kg/unit",1000,1))</f>
        <v/>
      </c>
      <c r="P84" s="239">
        <f>IF(ISBLANK('Asset #1'!D97),0,'Asset #1'!D97)</f>
        <v>0</v>
      </c>
      <c r="Q84" s="40">
        <f>IF(ISBLANK('Asset #1'!H97),0,'Asset #1'!H97)</f>
        <v>0</v>
      </c>
      <c r="R84" s="22" t="str">
        <f>IF(ISBLANK('Asset #1'!I97),"N/A",'Asset #1'!I97)</f>
        <v>N/A</v>
      </c>
      <c r="S84" s="22">
        <f>IF(BI_Tbl_materials[[#This Row],[Asset '#1 - Re/Down out]]="Recycled",1, IF(BI_Tbl_materials[[#This Row],[Asset '#1 - Re/Down out]]="Downcycled", 0.5, 0))</f>
        <v>0</v>
      </c>
      <c r="T84" s="40">
        <f>IFERROR(BI_Tbl_materials[[#This Row],[Biobased - yes = 1, no = 0]]*(1-BI_Tbl_materials[[#This Row],[Asset '#1 - Recycled (%)]])+BI_Tbl_materials[[#This Row],[Asset '#1 - Recycled (%)]],"")</f>
        <v>0</v>
      </c>
      <c r="U8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4" s="43" t="str">
        <f>IF(ISBLANK('Asset #2'!C97),"",'Asset #2'!C97*IF('Asset #2'!$D$18="kg/unit",1000,1))</f>
        <v/>
      </c>
      <c r="X84" s="40">
        <f>IF(ISBLANK('Asset #2'!D97),0,'Asset #2'!D97)</f>
        <v>0</v>
      </c>
      <c r="Y84" s="75">
        <f>IF(ISBLANK('Asset #2'!H97),0,'Asset #2'!H97)</f>
        <v>0</v>
      </c>
      <c r="Z84" s="22" t="str">
        <f>IF(ISBLANK('Asset #2'!I97),"N/A",'Asset #2'!I97)</f>
        <v>N/A</v>
      </c>
      <c r="AA84" s="22">
        <f>IF(BI_Tbl_materials[[#This Row],[Asset '#2 - Re/Down out]]="Recycled",1, IF(BI_Tbl_materials[[#This Row],[Asset '#2 - Re/Down out]]="Downcycled", 0.5, 0))</f>
        <v>0</v>
      </c>
      <c r="AB84" s="76">
        <f>IFERROR(BI_Tbl_materials[[#This Row],[Biobased - yes = 1, no = 0]]*(1-BI_Tbl_materials[[#This Row],[Asset '#2 - Recycled (%)]])+BI_Tbl_materials[[#This Row],[Asset '#2 - Recycled (%)]],"")</f>
        <v>0</v>
      </c>
      <c r="AC8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4" s="43" t="str">
        <f>IF(ISBLANK('Asset #3'!C97),"",'Asset #3'!C97*IF('Asset #3'!$D$18="kg/unit",1000,1))</f>
        <v/>
      </c>
      <c r="AF84" s="75">
        <f>IF(ISBLANK('Asset #3'!D97),0,'Asset #3'!D97)</f>
        <v>0</v>
      </c>
      <c r="AG84" s="75">
        <f>IF(ISBLANK('Asset #3'!H97),0,'Asset #3'!H97)</f>
        <v>0</v>
      </c>
      <c r="AH84" s="22" t="str">
        <f>IF(ISBLANK('Asset #3'!I97),"N/A",'Asset #3'!I97)</f>
        <v>N/A</v>
      </c>
      <c r="AI84" s="22">
        <f>IF(BI_Tbl_materials[[#This Row],[Asset '#3 - Re/Down out]]="Recycled",1, IF(BI_Tbl_materials[[#This Row],[Asset '#3 - Re/Down out]]="Downcycled", 0.5, 0))</f>
        <v>0</v>
      </c>
      <c r="AJ84" s="76">
        <f>IFERROR(BI_Tbl_materials[[#This Row],[Biobased - yes = 1, no = 0]]*(1-BI_Tbl_materials[[#This Row],[Asset '#3 - Recycled (%)]])+BI_Tbl_materials[[#This Row],[Asset '#3 - Recycled (%)]],"")</f>
        <v>0</v>
      </c>
      <c r="AK8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5" spans="2:38" x14ac:dyDescent="0.35">
      <c r="B85" s="231" t="s">
        <v>561</v>
      </c>
      <c r="C85" s="231" t="s">
        <v>239</v>
      </c>
      <c r="D85" s="231"/>
      <c r="E85" s="231" t="s">
        <v>239</v>
      </c>
      <c r="F85" s="231"/>
      <c r="G85" s="231"/>
      <c r="H85" s="231" t="s">
        <v>239</v>
      </c>
      <c r="I85" s="260">
        <v>6.2038976000000003</v>
      </c>
      <c r="J85" s="260">
        <v>6.2038976000000003</v>
      </c>
      <c r="K85" s="231">
        <v>0.84190198999999999</v>
      </c>
      <c r="L85" s="231">
        <v>0.10140971</v>
      </c>
      <c r="M85" s="231" t="s">
        <v>240</v>
      </c>
      <c r="N85" s="231">
        <v>0</v>
      </c>
      <c r="O85" s="231" t="str">
        <f>IF(ISBLANK('Asset #1'!C98),"",'Asset #1'!C98*IF('Asset #1'!$D$18="kg/unit",1000,1))</f>
        <v/>
      </c>
      <c r="P85" s="239">
        <f>IF(ISBLANK('Asset #1'!D98),0,'Asset #1'!D98)</f>
        <v>0</v>
      </c>
      <c r="Q85" s="40">
        <f>IF(ISBLANK('Asset #1'!H98),0,'Asset #1'!H98)</f>
        <v>0</v>
      </c>
      <c r="R85" s="22" t="str">
        <f>IF(ISBLANK('Asset #1'!I98),"N/A",'Asset #1'!I98)</f>
        <v>N/A</v>
      </c>
      <c r="S85" s="22">
        <f>IF(BI_Tbl_materials[[#This Row],[Asset '#1 - Re/Down out]]="Recycled",1, IF(BI_Tbl_materials[[#This Row],[Asset '#1 - Re/Down out]]="Downcycled", 0.5, 0))</f>
        <v>0</v>
      </c>
      <c r="T85" s="40">
        <f>IFERROR(BI_Tbl_materials[[#This Row],[Biobased - yes = 1, no = 0]]*(1-BI_Tbl_materials[[#This Row],[Asset '#1 - Recycled (%)]])+BI_Tbl_materials[[#This Row],[Asset '#1 - Recycled (%)]],"")</f>
        <v>0</v>
      </c>
      <c r="U85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5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5" s="43" t="str">
        <f>IF(ISBLANK('Asset #2'!C98),"",'Asset #2'!C98*IF('Asset #2'!$D$18="kg/unit",1000,1))</f>
        <v/>
      </c>
      <c r="X85" s="40">
        <f>IF(ISBLANK('Asset #2'!D98),0,'Asset #2'!D98)</f>
        <v>0</v>
      </c>
      <c r="Y85" s="75">
        <f>IF(ISBLANK('Asset #2'!H98),0,'Asset #2'!H98)</f>
        <v>0</v>
      </c>
      <c r="Z85" s="22" t="str">
        <f>IF(ISBLANK('Asset #2'!I98),"N/A",'Asset #2'!I98)</f>
        <v>N/A</v>
      </c>
      <c r="AA85" s="22">
        <f>IF(BI_Tbl_materials[[#This Row],[Asset '#2 - Re/Down out]]="Recycled",1, IF(BI_Tbl_materials[[#This Row],[Asset '#2 - Re/Down out]]="Downcycled", 0.5, 0))</f>
        <v>0</v>
      </c>
      <c r="AB85" s="76">
        <f>IFERROR(BI_Tbl_materials[[#This Row],[Biobased - yes = 1, no = 0]]*(1-BI_Tbl_materials[[#This Row],[Asset '#2 - Recycled (%)]])+BI_Tbl_materials[[#This Row],[Asset '#2 - Recycled (%)]],"")</f>
        <v>0</v>
      </c>
      <c r="AC85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5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5" s="43" t="str">
        <f>IF(ISBLANK('Asset #3'!C98),"",'Asset #3'!C98*IF('Asset #3'!$D$18="kg/unit",1000,1))</f>
        <v/>
      </c>
      <c r="AF85" s="75">
        <f>IF(ISBLANK('Asset #3'!D98),0,'Asset #3'!D98)</f>
        <v>0</v>
      </c>
      <c r="AG85" s="75">
        <f>IF(ISBLANK('Asset #3'!H98),0,'Asset #3'!H98)</f>
        <v>0</v>
      </c>
      <c r="AH85" s="22" t="str">
        <f>IF(ISBLANK('Asset #3'!I98),"N/A",'Asset #3'!I98)</f>
        <v>N/A</v>
      </c>
      <c r="AI85" s="22">
        <f>IF(BI_Tbl_materials[[#This Row],[Asset '#3 - Re/Down out]]="Recycled",1, IF(BI_Tbl_materials[[#This Row],[Asset '#3 - Re/Down out]]="Downcycled", 0.5, 0))</f>
        <v>0</v>
      </c>
      <c r="AJ85" s="76">
        <f>IFERROR(BI_Tbl_materials[[#This Row],[Biobased - yes = 1, no = 0]]*(1-BI_Tbl_materials[[#This Row],[Asset '#3 - Recycled (%)]])+BI_Tbl_materials[[#This Row],[Asset '#3 - Recycled (%)]],"")</f>
        <v>0</v>
      </c>
      <c r="AK85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5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6" spans="2:38" x14ac:dyDescent="0.35">
      <c r="B86" s="231" t="s">
        <v>304</v>
      </c>
      <c r="C86" s="231"/>
      <c r="D86" s="231"/>
      <c r="E86" s="231" t="s">
        <v>239</v>
      </c>
      <c r="F86" s="231" t="s">
        <v>239</v>
      </c>
      <c r="G86" s="231"/>
      <c r="H86" s="231" t="s">
        <v>239</v>
      </c>
      <c r="I86" s="260">
        <v>0.15482778</v>
      </c>
      <c r="J86" s="260">
        <v>0.15482778</v>
      </c>
      <c r="K86" s="231">
        <v>-0.56228785000000003</v>
      </c>
      <c r="L86" s="231">
        <v>7.4432239999999997E-2</v>
      </c>
      <c r="M86" s="231" t="s">
        <v>240</v>
      </c>
      <c r="N86" s="231">
        <v>1</v>
      </c>
      <c r="O86" s="231" t="str">
        <f>IF(ISBLANK('Asset #1'!C99),"",'Asset #1'!C99*IF('Asset #1'!$D$18="kg/unit",1000,1))</f>
        <v/>
      </c>
      <c r="P86" s="239">
        <f>IF(ISBLANK('Asset #1'!D99),0,'Asset #1'!D99)</f>
        <v>0</v>
      </c>
      <c r="Q86" s="40">
        <f>IF(ISBLANK('Asset #1'!H99),0,'Asset #1'!H99)</f>
        <v>0</v>
      </c>
      <c r="R86" s="22" t="str">
        <f>IF(ISBLANK('Asset #1'!I99),"N/A",'Asset #1'!I99)</f>
        <v>N/A</v>
      </c>
      <c r="S86" s="22">
        <f>IF(BI_Tbl_materials[[#This Row],[Asset '#1 - Re/Down out]]="Recycled",1, IF(BI_Tbl_materials[[#This Row],[Asset '#1 - Re/Down out]]="Downcycled", 0.5, 0))</f>
        <v>0</v>
      </c>
      <c r="T86" s="40">
        <f>IFERROR(BI_Tbl_materials[[#This Row],[Biobased - yes = 1, no = 0]]*(1-BI_Tbl_materials[[#This Row],[Asset '#1 - Recycled (%)]])+BI_Tbl_materials[[#This Row],[Asset '#1 - Recycled (%)]],"")</f>
        <v>1</v>
      </c>
      <c r="U86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6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6" s="43" t="str">
        <f>IF(ISBLANK('Asset #2'!C99),"",'Asset #2'!C99*IF('Asset #2'!$D$18="kg/unit",1000,1))</f>
        <v/>
      </c>
      <c r="X86" s="40">
        <f>IF(ISBLANK('Asset #2'!D99),0,'Asset #2'!D99)</f>
        <v>0</v>
      </c>
      <c r="Y86" s="75">
        <f>IF(ISBLANK('Asset #2'!H99),0,'Asset #2'!H99)</f>
        <v>0</v>
      </c>
      <c r="Z86" s="22" t="str">
        <f>IF(ISBLANK('Asset #2'!I99),"N/A",'Asset #2'!I99)</f>
        <v>N/A</v>
      </c>
      <c r="AA86" s="22">
        <f>IF(BI_Tbl_materials[[#This Row],[Asset '#2 - Re/Down out]]="Recycled",1, IF(BI_Tbl_materials[[#This Row],[Asset '#2 - Re/Down out]]="Downcycled", 0.5, 0))</f>
        <v>0</v>
      </c>
      <c r="AB86" s="76">
        <f>IFERROR(BI_Tbl_materials[[#This Row],[Biobased - yes = 1, no = 0]]*(1-BI_Tbl_materials[[#This Row],[Asset '#2 - Recycled (%)]])+BI_Tbl_materials[[#This Row],[Asset '#2 - Recycled (%)]],"")</f>
        <v>1</v>
      </c>
      <c r="AC86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6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6" s="43" t="str">
        <f>IF(ISBLANK('Asset #3'!C99),"",'Asset #3'!C99*IF('Asset #3'!$D$18="kg/unit",1000,1))</f>
        <v/>
      </c>
      <c r="AF86" s="75">
        <f>IF(ISBLANK('Asset #3'!D99),0,'Asset #3'!D99)</f>
        <v>0</v>
      </c>
      <c r="AG86" s="75">
        <f>IF(ISBLANK('Asset #3'!H99),0,'Asset #3'!H99)</f>
        <v>0</v>
      </c>
      <c r="AH86" s="22" t="str">
        <f>IF(ISBLANK('Asset #3'!I99),"N/A",'Asset #3'!I99)</f>
        <v>N/A</v>
      </c>
      <c r="AI86" s="22">
        <f>IF(BI_Tbl_materials[[#This Row],[Asset '#3 - Re/Down out]]="Recycled",1, IF(BI_Tbl_materials[[#This Row],[Asset '#3 - Re/Down out]]="Downcycled", 0.5, 0))</f>
        <v>0</v>
      </c>
      <c r="AJ86" s="76">
        <f>IFERROR(BI_Tbl_materials[[#This Row],[Biobased - yes = 1, no = 0]]*(1-BI_Tbl_materials[[#This Row],[Asset '#3 - Recycled (%)]])+BI_Tbl_materials[[#This Row],[Asset '#3 - Recycled (%)]],"")</f>
        <v>1</v>
      </c>
      <c r="AK86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6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7" spans="2:38" x14ac:dyDescent="0.35">
      <c r="B87" t="s">
        <v>305</v>
      </c>
      <c r="E87" t="s">
        <v>239</v>
      </c>
      <c r="F87" t="s">
        <v>239</v>
      </c>
      <c r="H87" t="s">
        <v>239</v>
      </c>
      <c r="I87" s="261">
        <v>0.77417203999999995</v>
      </c>
      <c r="J87" s="261">
        <v>0.77417203999999995</v>
      </c>
      <c r="K87">
        <v>-0.56228785000000003</v>
      </c>
      <c r="L87">
        <v>7.4432239999999997E-2</v>
      </c>
      <c r="M87" t="s">
        <v>240</v>
      </c>
      <c r="N87">
        <v>0.9</v>
      </c>
      <c r="O87" s="231" t="str">
        <f>IF(ISBLANK('Asset #1'!C100),"",'Asset #1'!C100*IF('Asset #1'!$D$18="kg/unit",1000,1))</f>
        <v/>
      </c>
      <c r="P87" s="239">
        <f>IF(ISBLANK('Asset #1'!D100),0,'Asset #1'!D100)</f>
        <v>0</v>
      </c>
      <c r="Q87" s="40">
        <f>IF(ISBLANK('Asset #1'!H100),0,'Asset #1'!H100)</f>
        <v>0</v>
      </c>
      <c r="R87" s="22" t="str">
        <f>IF(ISBLANK('Asset #1'!I100),"N/A",'Asset #1'!I100)</f>
        <v>N/A</v>
      </c>
      <c r="S87" s="22">
        <f>IF(BI_Tbl_materials[[#This Row],[Asset '#1 - Re/Down out]]="Recycled",1, IF(BI_Tbl_materials[[#This Row],[Asset '#1 - Re/Down out]]="Downcycled", 0.5, 0))</f>
        <v>0</v>
      </c>
      <c r="T87" s="40">
        <f>IFERROR(BI_Tbl_materials[[#This Row],[Biobased - yes = 1, no = 0]]*(1-BI_Tbl_materials[[#This Row],[Asset '#1 - Recycled (%)]])+BI_Tbl_materials[[#This Row],[Asset '#1 - Recycled (%)]],"")</f>
        <v>0.9</v>
      </c>
      <c r="U87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7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7" s="43" t="str">
        <f>IF(ISBLANK('Asset #2'!C100),"",'Asset #2'!C100*IF('Asset #2'!$D$18="kg/unit",1000,1))</f>
        <v/>
      </c>
      <c r="X87" s="40">
        <f>IF(ISBLANK('Asset #2'!D100),0,'Asset #2'!D100)</f>
        <v>0</v>
      </c>
      <c r="Y87" s="75">
        <f>IF(ISBLANK('Asset #2'!H100),0,'Asset #2'!H100)</f>
        <v>0</v>
      </c>
      <c r="Z87" s="22" t="str">
        <f>IF(ISBLANK('Asset #2'!I100),"N/A",'Asset #2'!I100)</f>
        <v>N/A</v>
      </c>
      <c r="AA87" s="22">
        <f>IF(BI_Tbl_materials[[#This Row],[Asset '#2 - Re/Down out]]="Recycled",1, IF(BI_Tbl_materials[[#This Row],[Asset '#2 - Re/Down out]]="Downcycled", 0.5, 0))</f>
        <v>0</v>
      </c>
      <c r="AB87" s="76">
        <f>IFERROR(BI_Tbl_materials[[#This Row],[Biobased - yes = 1, no = 0]]*(1-BI_Tbl_materials[[#This Row],[Asset '#2 - Recycled (%)]])+BI_Tbl_materials[[#This Row],[Asset '#2 - Recycled (%)]],"")</f>
        <v>0.9</v>
      </c>
      <c r="AC87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7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7" s="43" t="str">
        <f>IF(ISBLANK('Asset #3'!C100),"",'Asset #3'!C100*IF('Asset #3'!$D$18="kg/unit",1000,1))</f>
        <v/>
      </c>
      <c r="AF87" s="75">
        <f>IF(ISBLANK('Asset #3'!D100),0,'Asset #3'!D100)</f>
        <v>0</v>
      </c>
      <c r="AG87" s="75">
        <f>IF(ISBLANK('Asset #3'!H100),0,'Asset #3'!H100)</f>
        <v>0</v>
      </c>
      <c r="AH87" s="22" t="str">
        <f>IF(ISBLANK('Asset #3'!I100),"N/A",'Asset #3'!I100)</f>
        <v>N/A</v>
      </c>
      <c r="AI87" s="22">
        <f>IF(BI_Tbl_materials[[#This Row],[Asset '#3 - Re/Down out]]="Recycled",1, IF(BI_Tbl_materials[[#This Row],[Asset '#3 - Re/Down out]]="Downcycled", 0.5, 0))</f>
        <v>0</v>
      </c>
      <c r="AJ87" s="76">
        <f>IFERROR(BI_Tbl_materials[[#This Row],[Biobased - yes = 1, no = 0]]*(1-BI_Tbl_materials[[#This Row],[Asset '#3 - Recycled (%)]])+BI_Tbl_materials[[#This Row],[Asset '#3 - Recycled (%)]],"")</f>
        <v>0.9</v>
      </c>
      <c r="AK87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7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8" spans="2:38" x14ac:dyDescent="0.35">
      <c r="B88" t="s">
        <v>551</v>
      </c>
      <c r="C88" s="231" t="s">
        <v>239</v>
      </c>
      <c r="D88" s="231" t="s">
        <v>239</v>
      </c>
      <c r="E88" s="231" t="s">
        <v>239</v>
      </c>
      <c r="F88" s="231" t="s">
        <v>239</v>
      </c>
      <c r="G88" s="231" t="s">
        <v>239</v>
      </c>
      <c r="H88" s="231" t="s">
        <v>239</v>
      </c>
      <c r="I88" s="261">
        <v>1.4790700000000001</v>
      </c>
      <c r="J88" s="261">
        <v>0.69086455000000002</v>
      </c>
      <c r="K88" s="231" t="s">
        <v>272</v>
      </c>
      <c r="L88" s="231" t="s">
        <v>272</v>
      </c>
      <c r="M88" s="22"/>
      <c r="N88" s="22">
        <v>1</v>
      </c>
      <c r="O88" s="231" t="str">
        <f>IF(ISBLANK('Asset #1'!C101),"",'Asset #1'!C101*IF('Asset #1'!$D$18="kg/unit",1000,1))</f>
        <v/>
      </c>
      <c r="P88" s="239">
        <f>IF(ISBLANK('Asset #1'!D101),0,'Asset #1'!D101)</f>
        <v>0</v>
      </c>
      <c r="Q88" s="40">
        <f>IF(ISBLANK('Asset #1'!H101),0,'Asset #1'!H101)</f>
        <v>0</v>
      </c>
      <c r="R88" s="22" t="str">
        <f>IF(ISBLANK('Asset #1'!I101),"N/A",'Asset #1'!I101)</f>
        <v>N/A</v>
      </c>
      <c r="S88" s="22">
        <f>IF(BI_Tbl_materials[[#This Row],[Asset '#1 - Re/Down out]]="Recycled",1, IF(BI_Tbl_materials[[#This Row],[Asset '#1 - Re/Down out]]="Downcycled", 0.5, 0))</f>
        <v>0</v>
      </c>
      <c r="T88" s="40">
        <f>IFERROR(BI_Tbl_materials[[#This Row],[Biobased - yes = 1, no = 0]]*(1-BI_Tbl_materials[[#This Row],[Asset '#1 - Recycled (%)]])+BI_Tbl_materials[[#This Row],[Asset '#1 - Recycled (%)]],"")</f>
        <v>1</v>
      </c>
      <c r="U88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8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8" s="43" t="str">
        <f>IF(ISBLANK('Asset #2'!C101),"",'Asset #2'!C101*IF('Asset #2'!$D$18="kg/unit",1000,1))</f>
        <v/>
      </c>
      <c r="X88" s="40">
        <f>IF(ISBLANK('Asset #2'!D101),0,'Asset #2'!D101)</f>
        <v>0</v>
      </c>
      <c r="Y88" s="75">
        <f>IF(ISBLANK('Asset #2'!H101),0,'Asset #2'!H101)</f>
        <v>0</v>
      </c>
      <c r="Z88" s="22" t="str">
        <f>IF(ISBLANK('Asset #2'!I101),"N/A",'Asset #2'!I101)</f>
        <v>N/A</v>
      </c>
      <c r="AA88" s="22">
        <f>IF(BI_Tbl_materials[[#This Row],[Asset '#2 - Re/Down out]]="Recycled",1, IF(BI_Tbl_materials[[#This Row],[Asset '#2 - Re/Down out]]="Downcycled", 0.5, 0))</f>
        <v>0</v>
      </c>
      <c r="AB88" s="76">
        <f>IFERROR(BI_Tbl_materials[[#This Row],[Biobased - yes = 1, no = 0]]*(1-BI_Tbl_materials[[#This Row],[Asset '#2 - Recycled (%)]])+BI_Tbl_materials[[#This Row],[Asset '#2 - Recycled (%)]],"")</f>
        <v>1</v>
      </c>
      <c r="AC88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8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8" s="43" t="str">
        <f>IF(ISBLANK('Asset #3'!C101),"",'Asset #3'!C101*IF('Asset #3'!$D$18="kg/unit",1000,1))</f>
        <v/>
      </c>
      <c r="AF88" s="75">
        <f>IF(ISBLANK('Asset #3'!D101),0,'Asset #3'!D101)</f>
        <v>0</v>
      </c>
      <c r="AG88" s="75">
        <f>IF(ISBLANK('Asset #3'!H101),0,'Asset #3'!H101)</f>
        <v>0</v>
      </c>
      <c r="AH88" s="22" t="str">
        <f>IF(ISBLANK('Asset #3'!I101),"N/A",'Asset #3'!I101)</f>
        <v>N/A</v>
      </c>
      <c r="AI88" s="22">
        <f>IF(BI_Tbl_materials[[#This Row],[Asset '#3 - Re/Down out]]="Recycled",1, IF(BI_Tbl_materials[[#This Row],[Asset '#3 - Re/Down out]]="Downcycled", 0.5, 0))</f>
        <v>0</v>
      </c>
      <c r="AJ88" s="76">
        <f>IFERROR(BI_Tbl_materials[[#This Row],[Biobased - yes = 1, no = 0]]*(1-BI_Tbl_materials[[#This Row],[Asset '#3 - Recycled (%)]])+BI_Tbl_materials[[#This Row],[Asset '#3 - Recycled (%)]],"")</f>
        <v>1</v>
      </c>
      <c r="AK88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8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89" spans="2:38" x14ac:dyDescent="0.35">
      <c r="B89" s="231" t="s">
        <v>306</v>
      </c>
      <c r="C89" s="231" t="s">
        <v>239</v>
      </c>
      <c r="D89" s="231" t="s">
        <v>239</v>
      </c>
      <c r="E89" s="231" t="s">
        <v>239</v>
      </c>
      <c r="F89" s="231" t="s">
        <v>239</v>
      </c>
      <c r="G89" s="231" t="s">
        <v>239</v>
      </c>
      <c r="H89" s="231" t="s">
        <v>239</v>
      </c>
      <c r="I89" s="260">
        <v>3.37907</v>
      </c>
      <c r="J89" s="260">
        <v>0.69086455000000002</v>
      </c>
      <c r="K89" s="231">
        <v>1.2885023</v>
      </c>
      <c r="L89" s="231">
        <v>0.12755082000000001</v>
      </c>
      <c r="M89" s="231" t="s">
        <v>240</v>
      </c>
      <c r="N89" s="231">
        <v>0</v>
      </c>
      <c r="O89" s="231" t="str">
        <f>IF(ISBLANK('Asset #1'!C102),"",'Asset #1'!C102*IF('Asset #1'!$D$18="kg/unit",1000,1))</f>
        <v/>
      </c>
      <c r="P89" s="239">
        <f>IF(ISBLANK('Asset #1'!D102),0,'Asset #1'!D102)</f>
        <v>0</v>
      </c>
      <c r="Q89" s="40">
        <f>IF(ISBLANK('Asset #1'!H102),0,'Asset #1'!H102)</f>
        <v>0</v>
      </c>
      <c r="R89" s="22" t="str">
        <f>IF(ISBLANK('Asset #1'!I102),"N/A",'Asset #1'!I102)</f>
        <v>N/A</v>
      </c>
      <c r="S89" s="22">
        <f>IF(BI_Tbl_materials[[#This Row],[Asset '#1 - Re/Down out]]="Recycled",1, IF(BI_Tbl_materials[[#This Row],[Asset '#1 - Re/Down out]]="Downcycled", 0.5, 0))</f>
        <v>0</v>
      </c>
      <c r="T89" s="40">
        <f>IFERROR(BI_Tbl_materials[[#This Row],[Biobased - yes = 1, no = 0]]*(1-BI_Tbl_materials[[#This Row],[Asset '#1 - Recycled (%)]])+BI_Tbl_materials[[#This Row],[Asset '#1 - Recycled (%)]],"")</f>
        <v>0</v>
      </c>
      <c r="U89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89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89" s="43" t="str">
        <f>IF(ISBLANK('Asset #2'!C102),"",'Asset #2'!C102*IF('Asset #2'!$D$18="kg/unit",1000,1))</f>
        <v/>
      </c>
      <c r="X89" s="40">
        <f>IF(ISBLANK('Asset #2'!D102),0,'Asset #2'!D102)</f>
        <v>0</v>
      </c>
      <c r="Y89" s="75">
        <f>IF(ISBLANK('Asset #2'!H102),0,'Asset #2'!H102)</f>
        <v>0</v>
      </c>
      <c r="Z89" s="22" t="str">
        <f>IF(ISBLANK('Asset #2'!I102),"N/A",'Asset #2'!I102)</f>
        <v>N/A</v>
      </c>
      <c r="AA89" s="22">
        <f>IF(BI_Tbl_materials[[#This Row],[Asset '#2 - Re/Down out]]="Recycled",1, IF(BI_Tbl_materials[[#This Row],[Asset '#2 - Re/Down out]]="Downcycled", 0.5, 0))</f>
        <v>0</v>
      </c>
      <c r="AB89" s="76">
        <f>IFERROR(BI_Tbl_materials[[#This Row],[Biobased - yes = 1, no = 0]]*(1-BI_Tbl_materials[[#This Row],[Asset '#2 - Recycled (%)]])+BI_Tbl_materials[[#This Row],[Asset '#2 - Recycled (%)]],"")</f>
        <v>0</v>
      </c>
      <c r="AC89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89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89" s="43" t="str">
        <f>IF(ISBLANK('Asset #3'!C102),"",'Asset #3'!C102*IF('Asset #3'!$D$18="kg/unit",1000,1))</f>
        <v/>
      </c>
      <c r="AF89" s="75">
        <f>IF(ISBLANK('Asset #3'!D102),0,'Asset #3'!D102)</f>
        <v>0</v>
      </c>
      <c r="AG89" s="75">
        <f>IF(ISBLANK('Asset #3'!H102),0,'Asset #3'!H102)</f>
        <v>0</v>
      </c>
      <c r="AH89" s="22" t="str">
        <f>IF(ISBLANK('Asset #3'!I102),"N/A",'Asset #3'!I102)</f>
        <v>N/A</v>
      </c>
      <c r="AI89" s="22">
        <f>IF(BI_Tbl_materials[[#This Row],[Asset '#3 - Re/Down out]]="Recycled",1, IF(BI_Tbl_materials[[#This Row],[Asset '#3 - Re/Down out]]="Downcycled", 0.5, 0))</f>
        <v>0</v>
      </c>
      <c r="AJ89" s="76">
        <f>IFERROR(BI_Tbl_materials[[#This Row],[Biobased - yes = 1, no = 0]]*(1-BI_Tbl_materials[[#This Row],[Asset '#3 - Recycled (%)]])+BI_Tbl_materials[[#This Row],[Asset '#3 - Recycled (%)]],"")</f>
        <v>0</v>
      </c>
      <c r="AK89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89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0" spans="2:38" x14ac:dyDescent="0.35">
      <c r="B90" s="231" t="s">
        <v>307</v>
      </c>
      <c r="C90" s="231" t="s">
        <v>239</v>
      </c>
      <c r="D90" s="231"/>
      <c r="E90" s="231" t="s">
        <v>239</v>
      </c>
      <c r="F90" s="231" t="s">
        <v>239</v>
      </c>
      <c r="G90" s="231"/>
      <c r="H90" s="231" t="s">
        <v>239</v>
      </c>
      <c r="I90" s="260">
        <v>3.0901160999999999</v>
      </c>
      <c r="J90" s="260">
        <v>0.69086455000000002</v>
      </c>
      <c r="K90" s="231">
        <v>1.2885023</v>
      </c>
      <c r="L90" s="231">
        <v>0.12755082000000001</v>
      </c>
      <c r="M90" s="231" t="s">
        <v>240</v>
      </c>
      <c r="N90" s="231">
        <v>0</v>
      </c>
      <c r="O90" s="231" t="str">
        <f>IF(ISBLANK('Asset #1'!C103),"",'Asset #1'!C103*IF('Asset #1'!$D$18="kg/unit",1000,1))</f>
        <v/>
      </c>
      <c r="P90" s="239">
        <f>IF(ISBLANK('Asset #1'!D103),0,'Asset #1'!D103)</f>
        <v>0</v>
      </c>
      <c r="Q90" s="40">
        <f>IF(ISBLANK('Asset #1'!H103),0,'Asset #1'!H103)</f>
        <v>0</v>
      </c>
      <c r="R90" s="22" t="str">
        <f>IF(ISBLANK('Asset #1'!I103),"N/A",'Asset #1'!I103)</f>
        <v>N/A</v>
      </c>
      <c r="S90" s="22">
        <f>IF(BI_Tbl_materials[[#This Row],[Asset '#1 - Re/Down out]]="Recycled",1, IF(BI_Tbl_materials[[#This Row],[Asset '#1 - Re/Down out]]="Downcycled", 0.5, 0))</f>
        <v>0</v>
      </c>
      <c r="T90" s="40">
        <f>IFERROR(BI_Tbl_materials[[#This Row],[Biobased - yes = 1, no = 0]]*(1-BI_Tbl_materials[[#This Row],[Asset '#1 - Recycled (%)]])+BI_Tbl_materials[[#This Row],[Asset '#1 - Recycled (%)]],"")</f>
        <v>0</v>
      </c>
      <c r="U90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90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90" s="43" t="str">
        <f>IF(ISBLANK('Asset #2'!C103),"",'Asset #2'!C103*IF('Asset #2'!$D$18="kg/unit",1000,1))</f>
        <v/>
      </c>
      <c r="X90" s="40">
        <f>IF(ISBLANK('Asset #2'!D103),0,'Asset #2'!D103)</f>
        <v>0</v>
      </c>
      <c r="Y90" s="75">
        <f>IF(ISBLANK('Asset #2'!H103),0,'Asset #2'!H103)</f>
        <v>0</v>
      </c>
      <c r="Z90" s="22" t="str">
        <f>IF(ISBLANK('Asset #2'!I103),"N/A",'Asset #2'!I103)</f>
        <v>N/A</v>
      </c>
      <c r="AA90" s="22">
        <f>IF(BI_Tbl_materials[[#This Row],[Asset '#2 - Re/Down out]]="Recycled",1, IF(BI_Tbl_materials[[#This Row],[Asset '#2 - Re/Down out]]="Downcycled", 0.5, 0))</f>
        <v>0</v>
      </c>
      <c r="AB90" s="76">
        <f>IFERROR(BI_Tbl_materials[[#This Row],[Biobased - yes = 1, no = 0]]*(1-BI_Tbl_materials[[#This Row],[Asset '#2 - Recycled (%)]])+BI_Tbl_materials[[#This Row],[Asset '#2 - Recycled (%)]],"")</f>
        <v>0</v>
      </c>
      <c r="AC90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90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90" s="43" t="str">
        <f>IF(ISBLANK('Asset #3'!C103),"",'Asset #3'!C103*IF('Asset #3'!$D$18="kg/unit",1000,1))</f>
        <v/>
      </c>
      <c r="AF90" s="75">
        <f>IF(ISBLANK('Asset #3'!D103),0,'Asset #3'!D103)</f>
        <v>0</v>
      </c>
      <c r="AG90" s="75">
        <f>IF(ISBLANK('Asset #3'!H103),0,'Asset #3'!H103)</f>
        <v>0</v>
      </c>
      <c r="AH90" s="22" t="str">
        <f>IF(ISBLANK('Asset #3'!I103),"N/A",'Asset #3'!I103)</f>
        <v>N/A</v>
      </c>
      <c r="AI90" s="22">
        <f>IF(BI_Tbl_materials[[#This Row],[Asset '#3 - Re/Down out]]="Recycled",1, IF(BI_Tbl_materials[[#This Row],[Asset '#3 - Re/Down out]]="Downcycled", 0.5, 0))</f>
        <v>0</v>
      </c>
      <c r="AJ90" s="76">
        <f>IFERROR(BI_Tbl_materials[[#This Row],[Biobased - yes = 1, no = 0]]*(1-BI_Tbl_materials[[#This Row],[Asset '#3 - Recycled (%)]])+BI_Tbl_materials[[#This Row],[Asset '#3 - Recycled (%)]],"")</f>
        <v>0</v>
      </c>
      <c r="AK90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90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1" spans="2:38" x14ac:dyDescent="0.35">
      <c r="B91" s="231" t="s">
        <v>308</v>
      </c>
      <c r="C91" s="231" t="s">
        <v>239</v>
      </c>
      <c r="D91" s="231" t="s">
        <v>239</v>
      </c>
      <c r="E91" s="231" t="s">
        <v>239</v>
      </c>
      <c r="F91" s="231" t="s">
        <v>239</v>
      </c>
      <c r="G91" s="231"/>
      <c r="H91" s="231" t="s">
        <v>239</v>
      </c>
      <c r="I91" s="260">
        <v>2.9902978</v>
      </c>
      <c r="J91" s="260">
        <v>2.9902978</v>
      </c>
      <c r="K91" s="231">
        <v>1.5327402E-2</v>
      </c>
      <c r="L91" s="231">
        <v>1.5163668999999999E-2</v>
      </c>
      <c r="M91" s="231" t="s">
        <v>240</v>
      </c>
      <c r="N91" s="231">
        <v>0</v>
      </c>
      <c r="O91" s="231" t="str">
        <f>IF(ISBLANK('Asset #1'!C104),"",'Asset #1'!C104*IF('Asset #1'!$D$18="kg/unit",1000,1))</f>
        <v/>
      </c>
      <c r="P91" s="239">
        <f>IF(ISBLANK('Asset #1'!D104),0,'Asset #1'!D104)</f>
        <v>0</v>
      </c>
      <c r="Q91" s="40">
        <f>IF(ISBLANK('Asset #1'!H104),0,'Asset #1'!H104)</f>
        <v>0</v>
      </c>
      <c r="R91" s="22" t="str">
        <f>IF(ISBLANK('Asset #1'!I104),"N/A",'Asset #1'!I104)</f>
        <v>N/A</v>
      </c>
      <c r="S91" s="22">
        <f>IF(BI_Tbl_materials[[#This Row],[Asset '#1 - Re/Down out]]="Recycled",1, IF(BI_Tbl_materials[[#This Row],[Asset '#1 - Re/Down out]]="Downcycled", 0.5, 0))</f>
        <v>0</v>
      </c>
      <c r="T91" s="40">
        <f>IFERROR(BI_Tbl_materials[[#This Row],[Biobased - yes = 1, no = 0]]*(1-BI_Tbl_materials[[#This Row],[Asset '#1 - Recycled (%)]])+BI_Tbl_materials[[#This Row],[Asset '#1 - Recycled (%)]],"")</f>
        <v>0</v>
      </c>
      <c r="U91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91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91" s="43" t="str">
        <f>IF(ISBLANK('Asset #2'!C104),"",'Asset #2'!C104*IF('Asset #2'!$D$18="kg/unit",1000,1))</f>
        <v/>
      </c>
      <c r="X91" s="40">
        <f>IF(ISBLANK('Asset #2'!D104),0,'Asset #2'!D104)</f>
        <v>0</v>
      </c>
      <c r="Y91" s="75">
        <f>IF(ISBLANK('Asset #2'!H104),0,'Asset #2'!H104)</f>
        <v>0</v>
      </c>
      <c r="Z91" s="22" t="str">
        <f>IF(ISBLANK('Asset #2'!I104),"N/A",'Asset #2'!I104)</f>
        <v>N/A</v>
      </c>
      <c r="AA91" s="22">
        <f>IF(BI_Tbl_materials[[#This Row],[Asset '#2 - Re/Down out]]="Recycled",1, IF(BI_Tbl_materials[[#This Row],[Asset '#2 - Re/Down out]]="Downcycled", 0.5, 0))</f>
        <v>0</v>
      </c>
      <c r="AB91" s="76">
        <f>IFERROR(BI_Tbl_materials[[#This Row],[Biobased - yes = 1, no = 0]]*(1-BI_Tbl_materials[[#This Row],[Asset '#2 - Recycled (%)]])+BI_Tbl_materials[[#This Row],[Asset '#2 - Recycled (%)]],"")</f>
        <v>0</v>
      </c>
      <c r="AC91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91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91" s="43" t="str">
        <f>IF(ISBLANK('Asset #3'!C104),"",'Asset #3'!C104*IF('Asset #3'!$D$18="kg/unit",1000,1))</f>
        <v/>
      </c>
      <c r="AF91" s="75">
        <f>IF(ISBLANK('Asset #3'!D104),0,'Asset #3'!D104)</f>
        <v>0</v>
      </c>
      <c r="AG91" s="75">
        <f>IF(ISBLANK('Asset #3'!H104),0,'Asset #3'!H104)</f>
        <v>0</v>
      </c>
      <c r="AH91" s="22" t="str">
        <f>IF(ISBLANK('Asset #3'!I104),"N/A",'Asset #3'!I104)</f>
        <v>N/A</v>
      </c>
      <c r="AI91" s="22">
        <f>IF(BI_Tbl_materials[[#This Row],[Asset '#3 - Re/Down out]]="Recycled",1, IF(BI_Tbl_materials[[#This Row],[Asset '#3 - Re/Down out]]="Downcycled", 0.5, 0))</f>
        <v>0</v>
      </c>
      <c r="AJ91" s="76">
        <f>IFERROR(BI_Tbl_materials[[#This Row],[Biobased - yes = 1, no = 0]]*(1-BI_Tbl_materials[[#This Row],[Asset '#3 - Recycled (%)]])+BI_Tbl_materials[[#This Row],[Asset '#3 - Recycled (%)]],"")</f>
        <v>0</v>
      </c>
      <c r="AK91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91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2" spans="2:38" x14ac:dyDescent="0.35">
      <c r="B92" t="s">
        <v>553</v>
      </c>
      <c r="C92" s="22"/>
      <c r="D92" s="22"/>
      <c r="E92" s="22"/>
      <c r="F92" s="22"/>
      <c r="G92" s="22"/>
      <c r="H92" s="22"/>
      <c r="I92" s="62"/>
      <c r="J92" s="62"/>
      <c r="K92" s="22"/>
      <c r="L92" s="22"/>
      <c r="M92" s="22"/>
      <c r="N92" s="22"/>
      <c r="O92" s="231" t="str">
        <f>IF(ISBLANK('Asset #1'!C105),"",'Asset #1'!C105*IF('Asset #1'!$D$18="kg/unit",1000,1))</f>
        <v/>
      </c>
      <c r="P92" s="239">
        <f>IF(ISBLANK('Asset #1'!D105),0,'Asset #1'!D105)</f>
        <v>0</v>
      </c>
      <c r="Q92" s="40">
        <f>IF(ISBLANK('Asset #1'!H105),0,'Asset #1'!H105)</f>
        <v>0</v>
      </c>
      <c r="R92" s="22" t="str">
        <f>IF(ISBLANK('Asset #1'!I105),"N/A",'Asset #1'!I105)</f>
        <v>N/A</v>
      </c>
      <c r="S92" s="22">
        <f>IF(BI_Tbl_materials[[#This Row],[Asset '#1 - Re/Down out]]="Recycled",1, IF(BI_Tbl_materials[[#This Row],[Asset '#1 - Re/Down out]]="Downcycled", 0.5, 0))</f>
        <v>0</v>
      </c>
      <c r="T92" s="40">
        <f>IFERROR(BI_Tbl_materials[[#This Row],[Biobased - yes = 1, no = 0]]*(1-BI_Tbl_materials[[#This Row],[Asset '#1 - Recycled (%)]])+BI_Tbl_materials[[#This Row],[Asset '#1 - Recycled (%)]],"")</f>
        <v>0</v>
      </c>
      <c r="U92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92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92" s="43" t="str">
        <f>IF(ISBLANK('Asset #2'!C105),"",'Asset #2'!C105*IF('Asset #2'!$D$18="kg/unit",1000,1))</f>
        <v/>
      </c>
      <c r="X92" s="40">
        <f>IF(ISBLANK('Asset #2'!D105),0,'Asset #2'!D105)</f>
        <v>0</v>
      </c>
      <c r="Y92" s="75">
        <f>IF(ISBLANK('Asset #2'!H105),0,'Asset #2'!H105)</f>
        <v>0</v>
      </c>
      <c r="Z92" s="22" t="str">
        <f>IF(ISBLANK('Asset #2'!I105),"N/A",'Asset #2'!I105)</f>
        <v>N/A</v>
      </c>
      <c r="AA92" s="22">
        <f>IF(BI_Tbl_materials[[#This Row],[Asset '#2 - Re/Down out]]="Recycled",1, IF(BI_Tbl_materials[[#This Row],[Asset '#2 - Re/Down out]]="Downcycled", 0.5, 0))</f>
        <v>0</v>
      </c>
      <c r="AB92" s="76">
        <f>IFERROR(BI_Tbl_materials[[#This Row],[Biobased - yes = 1, no = 0]]*(1-BI_Tbl_materials[[#This Row],[Asset '#2 - Recycled (%)]])+BI_Tbl_materials[[#This Row],[Asset '#2 - Recycled (%)]],"")</f>
        <v>0</v>
      </c>
      <c r="AC92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92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92" s="43" t="str">
        <f>IF(ISBLANK('Asset #3'!C105),"",'Asset #3'!C105*IF('Asset #3'!$D$18="kg/unit",1000,1))</f>
        <v/>
      </c>
      <c r="AF92" s="75">
        <f>IF(ISBLANK('Asset #3'!D105),0,'Asset #3'!D105)</f>
        <v>0</v>
      </c>
      <c r="AG92" s="75">
        <f>IF(ISBLANK('Asset #3'!H105),0,'Asset #3'!H105)</f>
        <v>0</v>
      </c>
      <c r="AH92" s="22" t="str">
        <f>IF(ISBLANK('Asset #3'!I105),"N/A",'Asset #3'!I105)</f>
        <v>N/A</v>
      </c>
      <c r="AI92" s="22">
        <f>IF(BI_Tbl_materials[[#This Row],[Asset '#3 - Re/Down out]]="Recycled",1, IF(BI_Tbl_materials[[#This Row],[Asset '#3 - Re/Down out]]="Downcycled", 0.5, 0))</f>
        <v>0</v>
      </c>
      <c r="AJ92" s="76">
        <f>IFERROR(BI_Tbl_materials[[#This Row],[Biobased - yes = 1, no = 0]]*(1-BI_Tbl_materials[[#This Row],[Asset '#3 - Recycled (%)]])+BI_Tbl_materials[[#This Row],[Asset '#3 - Recycled (%)]],"")</f>
        <v>0</v>
      </c>
      <c r="AK92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92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3" spans="2:38" x14ac:dyDescent="0.35">
      <c r="B93" t="s">
        <v>309</v>
      </c>
      <c r="C93" s="22"/>
      <c r="D93" s="22"/>
      <c r="E93" s="22"/>
      <c r="F93" s="22"/>
      <c r="G93" s="22"/>
      <c r="H93" s="22"/>
      <c r="I93" s="62"/>
      <c r="J93" s="62"/>
      <c r="K93" s="22"/>
      <c r="L93" s="22"/>
      <c r="M93" s="22"/>
      <c r="N93" s="22"/>
      <c r="O93" s="231" t="str">
        <f>IF(ISBLANK('Asset #1'!C106),"",'Asset #1'!C106*IF('Asset #1'!$D$18="kg/unit",1000,1))</f>
        <v/>
      </c>
      <c r="P93" s="239">
        <f>IF(ISBLANK('Asset #1'!D106),0,'Asset #1'!D106)</f>
        <v>0</v>
      </c>
      <c r="Q93" s="40">
        <f>IF(ISBLANK('Asset #1'!H106),0,'Asset #1'!H106)</f>
        <v>0</v>
      </c>
      <c r="R93" s="22" t="str">
        <f>IF(ISBLANK('Asset #1'!I106),"N/A",'Asset #1'!I106)</f>
        <v>N/A</v>
      </c>
      <c r="S93" s="22">
        <f>IF(BI_Tbl_materials[[#This Row],[Asset '#1 - Re/Down out]]="Recycled",1, IF(BI_Tbl_materials[[#This Row],[Asset '#1 - Re/Down out]]="Downcycled", 0.5, 0))</f>
        <v>0</v>
      </c>
      <c r="T93" s="40">
        <f>IFERROR(BI_Tbl_materials[[#This Row],[Biobased - yes = 1, no = 0]]*(1-BI_Tbl_materials[[#This Row],[Asset '#1 - Recycled (%)]])+BI_Tbl_materials[[#This Row],[Asset '#1 - Recycled (%)]],"")</f>
        <v>0</v>
      </c>
      <c r="U93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93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93" s="43" t="str">
        <f>IF(ISBLANK('Asset #2'!C106),"",'Asset #2'!C106*IF('Asset #2'!$D$18="kg/unit",1000,1))</f>
        <v/>
      </c>
      <c r="X93" s="40">
        <f>IF(ISBLANK('Asset #2'!D106),0,'Asset #2'!D106)</f>
        <v>0</v>
      </c>
      <c r="Y93" s="75">
        <f>IF(ISBLANK('Asset #2'!H106),0,'Asset #2'!H106)</f>
        <v>0</v>
      </c>
      <c r="Z93" s="22" t="str">
        <f>IF(ISBLANK('Asset #2'!I106),"N/A",'Asset #2'!I106)</f>
        <v>N/A</v>
      </c>
      <c r="AA93" s="22">
        <f>IF(BI_Tbl_materials[[#This Row],[Asset '#2 - Re/Down out]]="Recycled",1, IF(BI_Tbl_materials[[#This Row],[Asset '#2 - Re/Down out]]="Downcycled", 0.5, 0))</f>
        <v>0</v>
      </c>
      <c r="AB93" s="76">
        <f>IFERROR(BI_Tbl_materials[[#This Row],[Biobased - yes = 1, no = 0]]*(1-BI_Tbl_materials[[#This Row],[Asset '#2 - Recycled (%)]])+BI_Tbl_materials[[#This Row],[Asset '#2 - Recycled (%)]],"")</f>
        <v>0</v>
      </c>
      <c r="AC93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93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93" s="43" t="str">
        <f>IF(ISBLANK('Asset #3'!C106),"",'Asset #3'!C106*IF('Asset #3'!$D$18="kg/unit",1000,1))</f>
        <v/>
      </c>
      <c r="AF93" s="75">
        <f>IF(ISBLANK('Asset #3'!D106),0,'Asset #3'!D106)</f>
        <v>0</v>
      </c>
      <c r="AG93" s="75">
        <f>IF(ISBLANK('Asset #3'!H106),0,'Asset #3'!H106)</f>
        <v>0</v>
      </c>
      <c r="AH93" s="22" t="str">
        <f>IF(ISBLANK('Asset #3'!I106),"N/A",'Asset #3'!I106)</f>
        <v>N/A</v>
      </c>
      <c r="AI93" s="22">
        <f>IF(BI_Tbl_materials[[#This Row],[Asset '#3 - Re/Down out]]="Recycled",1, IF(BI_Tbl_materials[[#This Row],[Asset '#3 - Re/Down out]]="Downcycled", 0.5, 0))</f>
        <v>0</v>
      </c>
      <c r="AJ93" s="76">
        <f>IFERROR(BI_Tbl_materials[[#This Row],[Biobased - yes = 1, no = 0]]*(1-BI_Tbl_materials[[#This Row],[Asset '#3 - Recycled (%)]])+BI_Tbl_materials[[#This Row],[Asset '#3 - Recycled (%)]],"")</f>
        <v>0</v>
      </c>
      <c r="AK93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93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4" spans="2:38" x14ac:dyDescent="0.35">
      <c r="B94" s="231" t="s">
        <v>310</v>
      </c>
      <c r="C94" s="22"/>
      <c r="D94" s="22"/>
      <c r="E94" s="22"/>
      <c r="F94" s="22"/>
      <c r="G94" s="22"/>
      <c r="H94" s="22"/>
      <c r="I94" s="62"/>
      <c r="J94" s="62"/>
      <c r="K94" s="22"/>
      <c r="L94" s="22"/>
      <c r="M94" s="22"/>
      <c r="N94" s="22"/>
      <c r="O94" s="231" t="str">
        <f>IF(ISBLANK('Asset #1'!C107),"",'Asset #1'!C107*IF('Asset #1'!$D$18="kg/unit",1000,1))</f>
        <v/>
      </c>
      <c r="P94" s="239">
        <f>IF(ISBLANK('Asset #1'!D107),0,'Asset #1'!D107)</f>
        <v>0</v>
      </c>
      <c r="Q94" s="40">
        <f>IF(ISBLANK('Asset #1'!H107),0,'Asset #1'!H107)</f>
        <v>0</v>
      </c>
      <c r="R94" s="22" t="str">
        <f>IF(ISBLANK('Asset #1'!I107),"N/A",'Asset #1'!I107)</f>
        <v>N/A</v>
      </c>
      <c r="S94" s="22">
        <f>IF(BI_Tbl_materials[[#This Row],[Asset '#1 - Re/Down out]]="Recycled",1, IF(BI_Tbl_materials[[#This Row],[Asset '#1 - Re/Down out]]="Downcycled", 0.5, 0))</f>
        <v>0</v>
      </c>
      <c r="T94" s="40">
        <f>IFERROR(BI_Tbl_materials[[#This Row],[Biobased - yes = 1, no = 0]]*(1-BI_Tbl_materials[[#This Row],[Asset '#1 - Recycled (%)]])+BI_Tbl_materials[[#This Row],[Asset '#1 - Recycled (%)]],"")</f>
        <v>0</v>
      </c>
      <c r="U94" s="41" t="str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/>
      </c>
      <c r="V94" s="41" t="str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/>
      </c>
      <c r="W94" s="43" t="str">
        <f>IF(ISBLANK('Asset #2'!C107),"",'Asset #2'!C107*IF('Asset #2'!$D$18="kg/unit",1000,1))</f>
        <v/>
      </c>
      <c r="X94" s="40">
        <f>IF(ISBLANK('Asset #2'!D107),0,'Asset #2'!D107)</f>
        <v>0</v>
      </c>
      <c r="Y94" s="75">
        <f>IF(ISBLANK('Asset #2'!H107),0,'Asset #2'!H107)</f>
        <v>0</v>
      </c>
      <c r="Z94" s="22" t="str">
        <f>IF(ISBLANK('Asset #2'!I107),"N/A",'Asset #2'!I107)</f>
        <v>N/A</v>
      </c>
      <c r="AA94" s="22">
        <f>IF(BI_Tbl_materials[[#This Row],[Asset '#2 - Re/Down out]]="Recycled",1, IF(BI_Tbl_materials[[#This Row],[Asset '#2 - Re/Down out]]="Downcycled", 0.5, 0))</f>
        <v>0</v>
      </c>
      <c r="AB94" s="76">
        <f>IFERROR(BI_Tbl_materials[[#This Row],[Biobased - yes = 1, no = 0]]*(1-BI_Tbl_materials[[#This Row],[Asset '#2 - Recycled (%)]])+BI_Tbl_materials[[#This Row],[Asset '#2 - Recycled (%)]],"")</f>
        <v>0</v>
      </c>
      <c r="AC94" s="41" t="str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/>
      </c>
      <c r="AD94" s="41" t="str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/>
      </c>
      <c r="AE94" s="43" t="str">
        <f>IF(ISBLANK('Asset #3'!C107),"",'Asset #3'!C107*IF('Asset #3'!$D$18="kg/unit",1000,1))</f>
        <v/>
      </c>
      <c r="AF94" s="75">
        <f>IF(ISBLANK('Asset #3'!D107),0,'Asset #3'!D107)</f>
        <v>0</v>
      </c>
      <c r="AG94" s="75">
        <f>IF(ISBLANK('Asset #3'!H107),0,'Asset #3'!H107)</f>
        <v>0</v>
      </c>
      <c r="AH94" s="22" t="str">
        <f>IF(ISBLANK('Asset #3'!I107),"N/A",'Asset #3'!I107)</f>
        <v>N/A</v>
      </c>
      <c r="AI94" s="22">
        <f>IF(BI_Tbl_materials[[#This Row],[Asset '#3 - Re/Down out]]="Recycled",1, IF(BI_Tbl_materials[[#This Row],[Asset '#3 - Re/Down out]]="Downcycled", 0.5, 0))</f>
        <v>0</v>
      </c>
      <c r="AJ94" s="76">
        <f>IFERROR(BI_Tbl_materials[[#This Row],[Biobased - yes = 1, no = 0]]*(1-BI_Tbl_materials[[#This Row],[Asset '#3 - Recycled (%)]])+BI_Tbl_materials[[#This Row],[Asset '#3 - Recycled (%)]],"")</f>
        <v>0</v>
      </c>
      <c r="AK94" s="41" t="str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/>
      </c>
      <c r="AL94" s="41" t="str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/>
      </c>
    </row>
    <row r="95" spans="2:38" x14ac:dyDescent="0.35">
      <c r="B95" s="231" t="s">
        <v>311</v>
      </c>
      <c r="C95" s="235" t="s">
        <v>239</v>
      </c>
      <c r="D95" s="235" t="s">
        <v>239</v>
      </c>
      <c r="E95" s="235" t="s">
        <v>239</v>
      </c>
      <c r="F95" s="235" t="s">
        <v>239</v>
      </c>
      <c r="G95" s="235" t="s">
        <v>239</v>
      </c>
      <c r="H95" s="235" t="s">
        <v>239</v>
      </c>
      <c r="I95" s="262">
        <v>18.646339999999999</v>
      </c>
      <c r="J95" s="262">
        <v>18.646339999999999</v>
      </c>
      <c r="K95" s="231">
        <v>1.9765001</v>
      </c>
      <c r="L95" s="231">
        <v>7.4432239999999997E-2</v>
      </c>
      <c r="M95" s="25" t="s">
        <v>240</v>
      </c>
      <c r="N95" s="25"/>
      <c r="O95" s="231">
        <f>IF(ISBLANK('Asset #1'!C108),"",'Asset #1'!C108*IF('Asset #1'!$D$18="kg/unit",1000,1))</f>
        <v>0</v>
      </c>
      <c r="P95" s="239">
        <f>IF(ISBLANK('Asset #1'!D108),0,'Asset #1'!D108)</f>
        <v>0</v>
      </c>
      <c r="Q95" s="40">
        <f>IF(ISBLANK('Asset #1'!H108),0,'Asset #1'!H108)</f>
        <v>0</v>
      </c>
      <c r="R95" s="22" t="str">
        <f>IF(ISBLANK('Asset #1'!I108),"N/A",'Asset #1'!I108)</f>
        <v>N/A</v>
      </c>
      <c r="S95" s="22">
        <f>IF(BI_Tbl_materials[[#This Row],[Asset '#1 - Re/Down out]]="Recycled",1, IF(BI_Tbl_materials[[#This Row],[Asset '#1 - Re/Down out]]="Downcycled", 0.5, 0))</f>
        <v>0</v>
      </c>
      <c r="T95" s="40">
        <f>IFERROR(BI_Tbl_materials[[#This Row],[Biobased - yes = 1, no = 0]]*(1-BI_Tbl_materials[[#This Row],[Asset '#1 - Recycled (%)]])+BI_Tbl_materials[[#This Row],[Asset '#1 - Recycled (%)]],"")</f>
        <v>0</v>
      </c>
      <c r="U95" s="41">
        <f>IFERROR( BI_Tbl_materials[[#This Row],[Asset '#1 - Weight (g)]] / 1000 * (BI_Tbl_materials[[#This Row],[Primary production (kg CO2-eq./kg)]] * (1- BI_Tbl_materials[[#This Row],[Asset '#1 - Recycled (%)]]) + BI_Tbl_materials[[#This Row],[Secondary production (kg CO2-eq./kg)]] * BI_Tbl_materials[[#This Row],[Asset '#1 - Recycled (%)]]), "")</f>
        <v>0</v>
      </c>
      <c r="V95" s="41">
        <f>IFERROR(BI_Tbl_materials[[#This Row],[Asset '#1 - Weight (g)]] / 1000 * ((1-BI_Tbl_materials[[#This Row],[Asset '#1 -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'#1 - Recyclable (%)]]-BI_Tbl_materials[[#This Row],[Primary production (kg CO2-eq./kg)]] *0.5* BI_Tbl_materials[[#This Row],[Asset '#1 - Recyclable (%)]]*BI_Tbl_materials[[#This Row],[Asset '#1 - Re (=1), Down (=0,5), N/A (=0)]]), "")</f>
        <v>0</v>
      </c>
      <c r="W95" s="43">
        <f>IF(ISBLANK('Asset #2'!C108),"",'Asset #2'!C108*IF('Asset #2'!$D$18="kg/unit",1000,1))</f>
        <v>0</v>
      </c>
      <c r="X95" s="40">
        <f>IF(ISBLANK('Asset #2'!D108),0,'Asset #2'!D108)</f>
        <v>0</v>
      </c>
      <c r="Y95" s="75">
        <f>IF(ISBLANK('Asset #2'!H108),0,'Asset #2'!H108)</f>
        <v>0</v>
      </c>
      <c r="Z95" s="22" t="str">
        <f>IF(ISBLANK('Asset #2'!I108),"N/A",'Asset #2'!I108)</f>
        <v>N/A</v>
      </c>
      <c r="AA95" s="22">
        <f>IF(BI_Tbl_materials[[#This Row],[Asset '#2 - Re/Down out]]="Recycled",1, IF(BI_Tbl_materials[[#This Row],[Asset '#2 - Re/Down out]]="Downcycled", 0.5, 0))</f>
        <v>0</v>
      </c>
      <c r="AB95" s="76">
        <f>IFERROR(BI_Tbl_materials[[#This Row],[Biobased - yes = 1, no = 0]]*(1-BI_Tbl_materials[[#This Row],[Asset '#2 - Recycled (%)]])+BI_Tbl_materials[[#This Row],[Asset '#2 - Recycled (%)]],"")</f>
        <v>0</v>
      </c>
      <c r="AC95" s="41">
        <f>IFERROR( BI_Tbl_materials[[#This Row],[Asset '#2 - Weight (g)]] / 1000 * (BI_Tbl_materials[[#This Row],[Primary production (kg CO2-eq./kg)]] * (1- BI_Tbl_materials[[#This Row],[Asset '#2 - Recycled (%)]]) + BI_Tbl_materials[[#This Row],[Secondary production (kg CO2-eq./kg)]] * BI_Tbl_materials[[#This Row],[Asset '#2 - Recycled (%)]]), "")</f>
        <v>0</v>
      </c>
      <c r="AD95" s="41">
        <f>IFERROR(BI_Tbl_materials[[#This Row],[Asset '#2 - Weight (g)]] / 1000 * ((1-BI_Tbl_materials[[#This Row],[Asset '#2 -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'#2 - Recyclable (%)]]-BI_Tbl_materials[[#This Row],[Primary production (kg CO2-eq./kg)]] *0.5* BI_Tbl_materials[[#This Row],[Asset '#2 - Recyclable (%)]]*BI_Tbl_materials[[#This Row],[Asset '#2 - Re (=1), Down (=0,5), N/A (=0)]]), "")</f>
        <v>0</v>
      </c>
      <c r="AE95" s="43">
        <f>IF(ISBLANK('Asset #3'!C108),"",'Asset #3'!C108*IF('Asset #3'!$D$18="kg/unit",1000,1))</f>
        <v>0</v>
      </c>
      <c r="AF95" s="75">
        <f>IF(ISBLANK('Asset #3'!D108),0,'Asset #3'!D108)</f>
        <v>0</v>
      </c>
      <c r="AG95" s="75">
        <f>IF(ISBLANK('Asset #3'!H108),0,'Asset #3'!H108)</f>
        <v>0</v>
      </c>
      <c r="AH95" s="22" t="str">
        <f>IF(ISBLANK('Asset #3'!I108),"N/A",'Asset #3'!I108)</f>
        <v>N/A</v>
      </c>
      <c r="AI95" s="22">
        <f>IF(BI_Tbl_materials[[#This Row],[Asset '#3 - Re/Down out]]="Recycled",1, IF(BI_Tbl_materials[[#This Row],[Asset '#3 - Re/Down out]]="Downcycled", 0.5, 0))</f>
        <v>0</v>
      </c>
      <c r="AJ95" s="76">
        <f>IFERROR(BI_Tbl_materials[[#This Row],[Biobased - yes = 1, no = 0]]*(1-BI_Tbl_materials[[#This Row],[Asset '#3 - Recycled (%)]])+BI_Tbl_materials[[#This Row],[Asset '#3 - Recycled (%)]],"")</f>
        <v>0</v>
      </c>
      <c r="AK95" s="41">
        <f>IFERROR( BI_Tbl_materials[[#This Row],[Asset '#3 - Weight (g)]] / 1000 * (BI_Tbl_materials[[#This Row],[Primary production (kg CO2-eq./kg)]] * (1- BI_Tbl_materials[[#This Row],[Asset '#3 - Recycled (%)]]) + BI_Tbl_materials[[#This Row],[Secondary production (kg CO2-eq./kg)]] * BI_Tbl_materials[[#This Row],[Asset '#3 - Recycled (%)]]), "")</f>
        <v>0</v>
      </c>
      <c r="AL95" s="41">
        <f>IFERROR(BI_Tbl_materials[[#This Row],[Asset '#3 - Weight (g)]] / 1000 * ((1-BI_Tbl_materials[[#This Row],[Asset '#3 - Recyclable (%)]]) * IF(BI_Tbl_materials[[#This Row],[EoL keuze CE Delft]]="Incineration", BI_Tbl_materials[[#This Row],[Incineration (kg CO2-eq./kg)]],IF(BI_Tbl_materials[[#This Row],[EoL keuze CE Delft]]="Landfill",BI_Tbl_materials[[#This Row],[Landfilling (kg CO2-eq./kg)]], 0))+BI_Tbl_materials[[#This Row],[Secondary production (kg CO2-eq./kg)]] *0.5* BI_Tbl_materials[[#This Row],[Asset '#3 - Recyclable (%)]]-BI_Tbl_materials[[#This Row],[Primary production (kg CO2-eq./kg)]] *0.5* BI_Tbl_materials[[#This Row],[Asset '#3 - Recyclable (%)]]*BI_Tbl_materials[[#This Row],[Asset '#3 - Re (=1), Down (=0,5), N/A (=0)]]), "")</f>
        <v>0</v>
      </c>
    </row>
    <row r="96" spans="2:38" x14ac:dyDescent="0.35">
      <c r="H96" s="22"/>
      <c r="I96" s="22"/>
      <c r="J96" s="22"/>
      <c r="K96" s="22"/>
    </row>
    <row r="97" spans="1:38" s="171" customFormat="1" ht="20.5" x14ac:dyDescent="0.45">
      <c r="A97" s="169"/>
      <c r="B97" s="170" t="s">
        <v>312</v>
      </c>
      <c r="C97" s="169"/>
      <c r="D97" s="169"/>
      <c r="E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</row>
    <row r="98" spans="1:38" x14ac:dyDescent="0.35">
      <c r="H98" s="22"/>
      <c r="I98" s="22"/>
      <c r="J98" s="22"/>
      <c r="K98" s="22"/>
    </row>
    <row r="99" spans="1:38" x14ac:dyDescent="0.35">
      <c r="B99" s="21" t="s">
        <v>313</v>
      </c>
      <c r="H99" s="22"/>
      <c r="I99" s="22"/>
      <c r="J99" s="22"/>
      <c r="K99" s="22"/>
      <c r="AL99"/>
    </row>
    <row r="100" spans="1:38" x14ac:dyDescent="0.35">
      <c r="B100" s="22"/>
      <c r="C100" s="179" t="s">
        <v>314</v>
      </c>
      <c r="D100" s="179" t="s">
        <v>315</v>
      </c>
      <c r="E100" s="179" t="s">
        <v>316</v>
      </c>
      <c r="F100" s="179" t="s">
        <v>317</v>
      </c>
      <c r="H100" s="22"/>
      <c r="J100" s="22"/>
      <c r="K100" s="22"/>
    </row>
    <row r="101" spans="1:38" x14ac:dyDescent="0.35">
      <c r="B101" s="179" t="s">
        <v>129</v>
      </c>
      <c r="C101" s="1"/>
      <c r="D101" s="109"/>
      <c r="E101" s="109"/>
      <c r="F101" s="109"/>
      <c r="J101" s="22"/>
      <c r="K101" s="22"/>
    </row>
    <row r="102" spans="1:38" x14ac:dyDescent="0.35">
      <c r="B102" s="180" t="s">
        <v>68</v>
      </c>
      <c r="C102" s="67" t="s">
        <v>177</v>
      </c>
      <c r="D102" s="110" t="str">
        <f>IF('Asset #1'!C6 = "", "", 'Asset #1'!C6)</f>
        <v/>
      </c>
      <c r="E102" s="110" t="str">
        <f>IF('Asset #2'!C6 = "", "", 'Asset #2'!C6)</f>
        <v/>
      </c>
      <c r="F102" s="110" t="str">
        <f>IF('Asset #3'!C6 = "", "", 'Asset #3'!C6)</f>
        <v/>
      </c>
      <c r="J102" s="22"/>
      <c r="K102" s="22"/>
    </row>
    <row r="103" spans="1:38" x14ac:dyDescent="0.35">
      <c r="B103" s="180" t="s">
        <v>69</v>
      </c>
      <c r="C103" s="67" t="s">
        <v>177</v>
      </c>
      <c r="D103" s="110" t="str">
        <f>IF('Asset #1'!C7 = "", "", 'Asset #1'!C7)</f>
        <v/>
      </c>
      <c r="E103" s="110" t="str">
        <f>IF('Asset #2'!C7 = "", "", 'Asset #2'!C7)</f>
        <v/>
      </c>
      <c r="F103" s="110" t="str">
        <f>IF('Asset #3'!C7 = "", "", 'Asset #3'!C7)</f>
        <v/>
      </c>
      <c r="J103" s="22"/>
      <c r="K103" s="22"/>
    </row>
    <row r="104" spans="1:38" x14ac:dyDescent="0.35">
      <c r="B104" s="180" t="s">
        <v>63</v>
      </c>
      <c r="C104" s="67" t="s">
        <v>177</v>
      </c>
      <c r="D104" s="110" t="str">
        <f>IF('Asset #1'!C8 = "", "", 'Asset #1'!C8)</f>
        <v/>
      </c>
      <c r="E104" s="110" t="str">
        <f>IF('Asset #2'!C8 = "", "", 'Asset #2'!C8)</f>
        <v/>
      </c>
      <c r="F104" s="110" t="str">
        <f>IF('Asset #3'!C8 = "", "", 'Asset #3'!C8)</f>
        <v/>
      </c>
      <c r="J104" s="22"/>
      <c r="K104" s="22"/>
    </row>
    <row r="105" spans="1:38" x14ac:dyDescent="0.35">
      <c r="B105" s="180" t="s">
        <v>64</v>
      </c>
      <c r="C105" s="67" t="s">
        <v>177</v>
      </c>
      <c r="D105" s="110" t="str">
        <f>IF('Asset #1'!C9 = "", "", 'Asset #1'!C9)</f>
        <v/>
      </c>
      <c r="E105" s="110" t="str">
        <f>IF('Asset #2'!C9 = "", "", 'Asset #2'!C9)</f>
        <v/>
      </c>
      <c r="F105" s="110" t="str">
        <f>IF('Asset #3'!C9 = "", "", 'Asset #3'!C9)</f>
        <v/>
      </c>
      <c r="J105" s="22"/>
      <c r="K105" s="22"/>
    </row>
    <row r="106" spans="1:38" x14ac:dyDescent="0.35">
      <c r="B106" s="180" t="s">
        <v>130</v>
      </c>
      <c r="C106" s="67" t="s">
        <v>177</v>
      </c>
      <c r="D106" s="110" t="str">
        <f>IF('Asset #1'!C10 = "", "", 'Asset #1'!C10)</f>
        <v/>
      </c>
      <c r="E106" s="110" t="str">
        <f>IF('Asset #2'!C10 = "", "", 'Asset #2'!C10)</f>
        <v/>
      </c>
      <c r="F106" s="110" t="str">
        <f>IF('Asset #3'!C10 = "", "", 'Asset #3'!C10)</f>
        <v/>
      </c>
      <c r="H106" s="21"/>
      <c r="J106" s="22"/>
      <c r="K106" s="22"/>
    </row>
    <row r="107" spans="1:38" x14ac:dyDescent="0.35">
      <c r="B107" s="179" t="s">
        <v>131</v>
      </c>
      <c r="C107" s="1"/>
      <c r="D107" s="109"/>
      <c r="E107" s="109"/>
      <c r="F107" s="109"/>
      <c r="H107" s="107"/>
      <c r="J107" s="22"/>
      <c r="K107" s="22"/>
    </row>
    <row r="108" spans="1:38" x14ac:dyDescent="0.35">
      <c r="B108" s="180" t="s">
        <v>66</v>
      </c>
      <c r="C108" s="67" t="s">
        <v>177</v>
      </c>
      <c r="D108" s="110" t="str">
        <f>IF('Asset #1'!C13="", "", 'Asset #1'!C13)</f>
        <v>Electricity cable</v>
      </c>
      <c r="E108" s="110" t="str">
        <f>IF('Asset #2'!C13="", "", 'Asset #2'!C13)</f>
        <v>Electricity cable</v>
      </c>
      <c r="F108" s="110" t="str">
        <f>IF('Asset #3'!C13="", "", 'Asset #3'!C13)</f>
        <v>Electricity cable</v>
      </c>
      <c r="H108" s="107"/>
      <c r="J108" s="22"/>
      <c r="K108" s="22"/>
    </row>
    <row r="109" spans="1:38" x14ac:dyDescent="0.35">
      <c r="B109" s="180" t="s">
        <v>67</v>
      </c>
      <c r="C109" s="67" t="s">
        <v>177</v>
      </c>
      <c r="D109" s="110" t="str">
        <f>IF('Asset #1'!C14="", "", 'Asset #1'!C14)</f>
        <v>other</v>
      </c>
      <c r="E109" s="110" t="str">
        <f>IF('Asset #2'!C14="", "", 'Asset #2'!C14)</f>
        <v>other</v>
      </c>
      <c r="F109" s="110" t="str">
        <f>IF('Asset #3'!C14="", "", 'Asset #3'!C14)</f>
        <v>other</v>
      </c>
      <c r="H109" s="105"/>
      <c r="J109" s="22"/>
      <c r="K109" s="22"/>
    </row>
    <row r="110" spans="1:38" x14ac:dyDescent="0.35">
      <c r="B110" s="180" t="s">
        <v>318</v>
      </c>
      <c r="C110" s="67" t="s">
        <v>177</v>
      </c>
      <c r="D110" s="110" t="str">
        <f>IF('Asset #1'!C15="", "", 'Asset #1'!C15)</f>
        <v>20cm kabelafdekband</v>
      </c>
      <c r="E110" s="110" t="str">
        <f>IF('Asset #2'!C15="", "", 'Asset #2'!C15)</f>
        <v xml:space="preserve">40cm kabelafdekband </v>
      </c>
      <c r="F110" s="110" t="str">
        <f>IF('Asset #3'!C15="", "", 'Asset #3'!C15)</f>
        <v/>
      </c>
      <c r="H110" s="105"/>
      <c r="J110" s="22"/>
      <c r="K110" s="22"/>
    </row>
    <row r="111" spans="1:38" x14ac:dyDescent="0.35">
      <c r="B111" s="180" t="s">
        <v>126</v>
      </c>
      <c r="C111" s="1" t="s">
        <v>319</v>
      </c>
      <c r="D111" s="110" t="str">
        <f>IF('Asset #1'!C16="","",'Asset #1'!C16)</f>
        <v/>
      </c>
      <c r="E111" s="110" t="str">
        <f>IF('Asset #2'!C16="","",'Asset #2'!C16)</f>
        <v/>
      </c>
      <c r="F111" s="110" t="str">
        <f>IF('Asset #3'!C16="","",'Asset #3'!C16)</f>
        <v/>
      </c>
      <c r="H111" s="107"/>
      <c r="J111" s="22"/>
      <c r="K111" s="22"/>
    </row>
    <row r="112" spans="1:38" x14ac:dyDescent="0.35">
      <c r="B112" s="180" t="s">
        <v>133</v>
      </c>
      <c r="C112" s="1" t="s">
        <v>115</v>
      </c>
      <c r="D112" s="110">
        <f>IF('Asset #1'!C17="","",'Asset #1'!C17)</f>
        <v>40</v>
      </c>
      <c r="E112" s="110">
        <f>IF('Asset #2'!C17="","",'Asset #2'!C17)</f>
        <v>40</v>
      </c>
      <c r="F112" s="110" t="str">
        <f>IF('Asset #3'!C17="","",'Asset #3'!C17)</f>
        <v/>
      </c>
      <c r="J112" s="22"/>
      <c r="K112" s="22"/>
    </row>
    <row r="113" spans="2:11" x14ac:dyDescent="0.35">
      <c r="B113" s="180" t="s">
        <v>134</v>
      </c>
      <c r="C113" s="1" t="s">
        <v>320</v>
      </c>
      <c r="D113" s="110" t="str">
        <f>IF('Asset #1'!C18="","",'Asset #1'!C18*IF('Asset #1'!$D$18="kg/unit",1000,1))</f>
        <v/>
      </c>
      <c r="E113" s="110" t="str">
        <f>IF('Asset #2'!C18="","",'Asset #2'!C18*IF('Asset #2'!$D$18="kg/unit",1000,1))</f>
        <v/>
      </c>
      <c r="F113" s="110" t="str">
        <f>IF('Asset #3'!C18="","",'Asset #3'!C18*IF('Asset #3'!$D$18="kg/unit",1000,1))</f>
        <v/>
      </c>
      <c r="H113" s="21"/>
      <c r="J113" s="22"/>
      <c r="K113" s="22"/>
    </row>
    <row r="114" spans="2:11" x14ac:dyDescent="0.35">
      <c r="B114" s="179" t="s">
        <v>135</v>
      </c>
      <c r="C114" s="1"/>
      <c r="D114" s="109"/>
      <c r="E114" s="109"/>
      <c r="F114" s="109"/>
      <c r="H114" s="107"/>
      <c r="J114" s="22"/>
      <c r="K114" s="22"/>
    </row>
    <row r="115" spans="2:11" x14ac:dyDescent="0.35">
      <c r="B115" s="180" t="s">
        <v>136</v>
      </c>
      <c r="C115" s="67" t="s">
        <v>177</v>
      </c>
      <c r="D115" s="110" t="str">
        <f>IF('Asset #1'!C21="","",'Asset #1'!C21)</f>
        <v/>
      </c>
      <c r="E115" s="110" t="str">
        <f>IF('Asset #2'!C21="","",'Asset #2'!C21)</f>
        <v/>
      </c>
      <c r="F115" s="110" t="str">
        <f>IF('Asset #3'!C21="","",'Asset #3'!C21)</f>
        <v/>
      </c>
      <c r="H115" s="107"/>
      <c r="J115" s="22"/>
      <c r="K115" s="22"/>
    </row>
    <row r="116" spans="2:11" x14ac:dyDescent="0.35">
      <c r="B116" s="181" t="s">
        <v>137</v>
      </c>
      <c r="C116" s="67" t="s">
        <v>177</v>
      </c>
      <c r="D116" s="111" t="str">
        <f>IF('Asset #1'!C22="","",'Asset #1'!C22)</f>
        <v/>
      </c>
      <c r="E116" s="110" t="str">
        <f>IF('Asset #2'!C22="","",'Asset #2'!C22)</f>
        <v/>
      </c>
      <c r="F116" s="110" t="str">
        <f>IF('Asset #3'!C22="","",'Asset #3'!C22)</f>
        <v/>
      </c>
      <c r="H116" s="107"/>
      <c r="J116" s="22"/>
      <c r="K116" s="22"/>
    </row>
    <row r="117" spans="2:11" x14ac:dyDescent="0.35">
      <c r="B117" s="179" t="s">
        <v>143</v>
      </c>
      <c r="C117" s="1"/>
      <c r="D117" s="1"/>
      <c r="E117" s="109"/>
      <c r="F117" s="109"/>
      <c r="H117" s="107"/>
      <c r="J117" s="22"/>
      <c r="K117" s="22"/>
    </row>
    <row r="118" spans="2:11" x14ac:dyDescent="0.35">
      <c r="B118" s="180" t="s">
        <v>144</v>
      </c>
      <c r="C118" s="1" t="s">
        <v>321</v>
      </c>
      <c r="D118" s="110" t="str">
        <f>IF('Asset #1'!C112="", "", 'Asset #1'!C112)</f>
        <v/>
      </c>
      <c r="E118" s="110" t="str">
        <f>IF('Asset #2'!C112="", "", 'Asset #2'!C112)</f>
        <v/>
      </c>
      <c r="F118" s="110" t="str">
        <f>IF('Asset #3'!C112="", "", 'Asset #3'!C112)</f>
        <v/>
      </c>
      <c r="H118" s="107"/>
      <c r="J118" s="22"/>
      <c r="K118" s="22"/>
    </row>
    <row r="119" spans="2:11" x14ac:dyDescent="0.35">
      <c r="B119" s="180" t="s">
        <v>145</v>
      </c>
      <c r="C119" s="1" t="s">
        <v>321</v>
      </c>
      <c r="D119" s="110" t="str">
        <f>IF('Asset #1'!C113="", "", 'Asset #1'!C113)</f>
        <v/>
      </c>
      <c r="E119" s="110" t="str">
        <f>IF('Asset #2'!C113="", "", 'Asset #2'!C113)</f>
        <v/>
      </c>
      <c r="F119" s="110" t="str">
        <f>IF('Asset #3'!C113="", "", 'Asset #3'!C113)</f>
        <v/>
      </c>
      <c r="H119" s="107"/>
      <c r="J119" s="22"/>
      <c r="K119" s="22"/>
    </row>
    <row r="120" spans="2:11" x14ac:dyDescent="0.35">
      <c r="B120" s="180" t="s">
        <v>146</v>
      </c>
      <c r="C120" s="1" t="s">
        <v>322</v>
      </c>
      <c r="D120" s="110" t="str">
        <f>IF('Asset #1'!C114="", "", 'Asset #1'!C114)</f>
        <v/>
      </c>
      <c r="E120" s="110" t="str">
        <f>IF('Asset #2'!C114="", "", 'Asset #2'!C114)</f>
        <v/>
      </c>
      <c r="F120" s="110" t="str">
        <f>IF('Asset #3'!C114="", "", 'Asset #3'!C114)</f>
        <v/>
      </c>
      <c r="K120" s="22"/>
    </row>
    <row r="121" spans="2:11" x14ac:dyDescent="0.35">
      <c r="B121" s="180" t="s">
        <v>147</v>
      </c>
      <c r="C121" s="1" t="s">
        <v>322</v>
      </c>
      <c r="D121" s="110" t="str">
        <f>IF('Asset #1'!C115="", "", 'Asset #1'!C115)</f>
        <v/>
      </c>
      <c r="E121" s="110" t="str">
        <f>IF('Asset #2'!C115="", "", 'Asset #2'!C115)</f>
        <v/>
      </c>
      <c r="F121" s="110" t="str">
        <f>IF('Asset #3'!C115="", "", 'Asset #3'!C115)</f>
        <v/>
      </c>
      <c r="K121" s="22"/>
    </row>
    <row r="122" spans="2:11" x14ac:dyDescent="0.35">
      <c r="B122" s="179" t="s">
        <v>148</v>
      </c>
      <c r="C122" s="1"/>
      <c r="D122" s="109"/>
      <c r="E122" s="109"/>
      <c r="F122" s="109"/>
      <c r="K122" s="22"/>
    </row>
    <row r="123" spans="2:11" x14ac:dyDescent="0.35">
      <c r="B123" s="27" t="s">
        <v>149</v>
      </c>
      <c r="C123" s="1" t="s">
        <v>150</v>
      </c>
      <c r="D123" s="110" t="str">
        <f>IF('Asset #1'!C118="", "", 'Asset #1'!C118)</f>
        <v/>
      </c>
      <c r="E123" s="110" t="str">
        <f>IF('Asset #2'!C118="", "", 'Asset #2'!C118)</f>
        <v/>
      </c>
      <c r="F123" s="110" t="str">
        <f>IF('Asset #3'!C118="", "", 'Asset #3'!C118)</f>
        <v/>
      </c>
      <c r="K123" s="22"/>
    </row>
    <row r="124" spans="2:11" x14ac:dyDescent="0.35">
      <c r="B124" s="27" t="s">
        <v>151</v>
      </c>
      <c r="C124" s="1" t="s">
        <v>150</v>
      </c>
      <c r="D124" s="110" t="str">
        <f>IF('Asset #1'!C119="", "", 'Asset #1'!C119)</f>
        <v/>
      </c>
      <c r="E124" s="110" t="str">
        <f>IF('Asset #2'!C119="", "", 'Asset #2'!C119)</f>
        <v/>
      </c>
      <c r="F124" s="110" t="str">
        <f>IF('Asset #3'!C119="", "", 'Asset #3'!C119)</f>
        <v/>
      </c>
      <c r="H124" s="108"/>
      <c r="J124" s="22"/>
      <c r="K124" s="22"/>
    </row>
    <row r="125" spans="2:11" x14ac:dyDescent="0.35">
      <c r="B125" s="27" t="s">
        <v>152</v>
      </c>
      <c r="C125" s="1" t="s">
        <v>150</v>
      </c>
      <c r="D125" s="110" t="str">
        <f>IF('Asset #1'!C120="", "", 'Asset #1'!C120)</f>
        <v/>
      </c>
      <c r="E125" s="110" t="str">
        <f>IF('Asset #2'!C120="", "", 'Asset #2'!C120)</f>
        <v/>
      </c>
      <c r="F125" s="110" t="str">
        <f>IF('Asset #3'!C120="", "", 'Asset #3'!C120)</f>
        <v/>
      </c>
      <c r="H125" s="104"/>
      <c r="J125" s="22"/>
      <c r="K125" s="22"/>
    </row>
    <row r="126" spans="2:11" x14ac:dyDescent="0.35">
      <c r="B126" s="28" t="s">
        <v>153</v>
      </c>
      <c r="C126" s="1" t="s">
        <v>150</v>
      </c>
      <c r="D126" s="110" t="str">
        <f>IF('Asset #1'!C121="", "", 'Asset #1'!C121)</f>
        <v/>
      </c>
      <c r="E126" s="110" t="str">
        <f>IF('Asset #2'!C121="", "", 'Asset #2'!C121)</f>
        <v/>
      </c>
      <c r="F126" s="110" t="str">
        <f>IF('Asset #3'!C121="", "", 'Asset #3'!C121)</f>
        <v/>
      </c>
      <c r="H126" s="105"/>
      <c r="I126" s="106"/>
      <c r="J126" s="22"/>
      <c r="K126" s="22"/>
    </row>
    <row r="127" spans="2:11" x14ac:dyDescent="0.35">
      <c r="B127" s="28" t="s">
        <v>154</v>
      </c>
      <c r="C127" s="1" t="s">
        <v>150</v>
      </c>
      <c r="D127" s="110" t="str">
        <f>IF('Asset #1'!C122="", "", 'Asset #1'!C122)</f>
        <v/>
      </c>
      <c r="E127" s="110" t="str">
        <f>IF('Asset #2'!C122="", "", 'Asset #2'!C122)</f>
        <v/>
      </c>
      <c r="F127" s="110" t="str">
        <f>IF('Asset #3'!C122="", "", 'Asset #3'!C122)</f>
        <v/>
      </c>
      <c r="H127" s="105"/>
      <c r="I127" s="106"/>
      <c r="J127" s="22"/>
      <c r="K127" s="22"/>
    </row>
    <row r="128" spans="2:11" x14ac:dyDescent="0.35">
      <c r="B128" s="28" t="s">
        <v>155</v>
      </c>
      <c r="C128" s="1" t="s">
        <v>150</v>
      </c>
      <c r="D128" s="110" t="str">
        <f>IF('Asset #1'!C123="", "", 'Asset #1'!C123)</f>
        <v/>
      </c>
      <c r="E128" s="110" t="str">
        <f>IF('Asset #2'!C123="", "", 'Asset #2'!C123)</f>
        <v/>
      </c>
      <c r="F128" s="110" t="str">
        <f>IF('Asset #3'!C123="", "", 'Asset #3'!C123)</f>
        <v/>
      </c>
      <c r="H128" s="105"/>
      <c r="I128" s="106"/>
      <c r="J128" s="22"/>
      <c r="K128" s="22"/>
    </row>
    <row r="129" spans="2:17" x14ac:dyDescent="0.35">
      <c r="B129" s="28" t="s">
        <v>156</v>
      </c>
      <c r="C129" s="1" t="s">
        <v>150</v>
      </c>
      <c r="D129" s="110" t="str">
        <f>IF('Asset #1'!C124="", "", 'Asset #1'!C124)</f>
        <v/>
      </c>
      <c r="E129" s="110" t="str">
        <f>IF('Asset #2'!C124="", "", 'Asset #2'!C124)</f>
        <v/>
      </c>
      <c r="F129" s="110" t="str">
        <f>IF('Asset #3'!C124="", "", 'Asset #3'!C124)</f>
        <v/>
      </c>
      <c r="H129" s="105"/>
      <c r="I129" s="106"/>
      <c r="J129" s="22"/>
      <c r="K129" s="22"/>
    </row>
    <row r="130" spans="2:17" x14ac:dyDescent="0.35">
      <c r="B130" s="28" t="s">
        <v>157</v>
      </c>
      <c r="C130" s="1" t="s">
        <v>150</v>
      </c>
      <c r="D130" s="110" t="str">
        <f>IF('Asset #1'!C125="", "", 'Asset #1'!C125)</f>
        <v/>
      </c>
      <c r="E130" s="110" t="str">
        <f>IF('Asset #2'!C125="", "", 'Asset #2'!C125)</f>
        <v/>
      </c>
      <c r="F130" s="110" t="str">
        <f>IF('Asset #3'!C125="", "", 'Asset #3'!C125)</f>
        <v/>
      </c>
      <c r="H130" s="105"/>
      <c r="I130" s="106"/>
      <c r="J130" s="22"/>
      <c r="K130" s="22"/>
    </row>
    <row r="131" spans="2:17" x14ac:dyDescent="0.35">
      <c r="B131" s="179" t="str">
        <f>"Energy loss (" &amp; BI_ref_assetname_other_asset &amp; ")"</f>
        <v>Energy loss (Other asset)</v>
      </c>
      <c r="C131" s="1"/>
      <c r="D131" s="109"/>
      <c r="E131" s="109"/>
      <c r="F131" s="109"/>
    </row>
    <row r="132" spans="2:17" x14ac:dyDescent="0.35">
      <c r="B132" s="182" t="s">
        <v>158</v>
      </c>
      <c r="C132" s="3" t="str">
        <f>"kWh/f.u." &amp; " per year"</f>
        <v>kWh/f.u. per year</v>
      </c>
      <c r="D132" s="110" t="str">
        <f>IF('Asset #1'!C128="", "", 'Asset #1'!C128)</f>
        <v/>
      </c>
      <c r="E132" s="110" t="str">
        <f>IF('Asset #2'!C128="", "", 'Asset #2'!C128)</f>
        <v/>
      </c>
      <c r="F132" s="110" t="str">
        <f>IF('Asset #3'!C128="", "", 'Asset #3'!C128)</f>
        <v/>
      </c>
    </row>
    <row r="133" spans="2:17" x14ac:dyDescent="0.35">
      <c r="B133" s="182" t="s">
        <v>159</v>
      </c>
      <c r="C133" s="5" t="str">
        <f>"Nm3/f.u." &amp; " per year"</f>
        <v>Nm3/f.u. per year</v>
      </c>
      <c r="D133" s="110" t="str">
        <f>IF('Asset #1'!C129="", "", 'Asset #1'!C129)</f>
        <v/>
      </c>
      <c r="E133" s="110" t="str">
        <f>IF('Asset #2'!C129="", "", 'Asset #2'!C129)</f>
        <v/>
      </c>
      <c r="F133" s="110" t="str">
        <f>IF('Asset #3'!C129="", "", 'Asset #3'!C129)</f>
        <v/>
      </c>
    </row>
    <row r="134" spans="2:17" x14ac:dyDescent="0.35">
      <c r="B134" s="183" t="str">
        <f>"Energy loss (" &amp; BI_ref_assetname_gas_tube &amp; ")"</f>
        <v>Energy loss (Pipeline)</v>
      </c>
      <c r="C134" s="1"/>
      <c r="D134" s="109"/>
      <c r="E134" s="109"/>
      <c r="F134" s="109"/>
    </row>
    <row r="135" spans="2:17" x14ac:dyDescent="0.35">
      <c r="B135" s="182" t="s">
        <v>159</v>
      </c>
      <c r="C135" s="5" t="str">
        <f>"Nm3/f.u." &amp; " per year"</f>
        <v>Nm3/f.u. per year</v>
      </c>
      <c r="D135" s="110" t="str">
        <f>IF('Asset #1'!C132 = "", "", 'Asset #1'!C132)</f>
        <v/>
      </c>
      <c r="E135" s="110" t="str">
        <f>IF('Asset #2'!C132 = "", "", 'Asset #2'!C132)</f>
        <v/>
      </c>
      <c r="F135" s="110" t="str">
        <f>IF('Asset #3'!C132 = "", "", 'Asset #3'!C132)</f>
        <v/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2:17" x14ac:dyDescent="0.35">
      <c r="B136" s="183" t="str">
        <f>"Energy loss (" &amp; BI_ref_assetname_transformer &amp; ")"</f>
        <v>Energy loss (Transformer)</v>
      </c>
      <c r="C136" s="1"/>
      <c r="D136" s="109"/>
      <c r="E136" s="109"/>
      <c r="F136" s="109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2:17" x14ac:dyDescent="0.35">
      <c r="B137" s="182" t="s">
        <v>94</v>
      </c>
      <c r="C137" s="1" t="s">
        <v>88</v>
      </c>
      <c r="D137" s="110" t="str">
        <f>IF('Asset #1'!C136 = "", "", 'Asset #1'!C136)</f>
        <v/>
      </c>
      <c r="E137" s="110" t="str">
        <f>IF('Asset #2'!C136 = "", "", 'Asset #2'!C136)</f>
        <v/>
      </c>
      <c r="F137" s="110" t="str">
        <f>IF('Asset #3'!C136 = "", "", 'Asset #3'!C136)</f>
        <v/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2:17" x14ac:dyDescent="0.35">
      <c r="B138" s="182" t="s">
        <v>95</v>
      </c>
      <c r="C138" s="1" t="s">
        <v>88</v>
      </c>
      <c r="D138" s="110" t="str">
        <f>IF('Asset #1'!C137 = "", "", 'Asset #1'!C137)</f>
        <v/>
      </c>
      <c r="E138" s="110" t="str">
        <f>IF('Asset #2'!C137 = "", "", 'Asset #2'!C137)</f>
        <v/>
      </c>
      <c r="F138" s="110" t="str">
        <f>IF('Asset #3'!C137 = "", "", 'Asset #3'!C137)</f>
        <v/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2:17" x14ac:dyDescent="0.35">
      <c r="B139" s="182" t="s">
        <v>97</v>
      </c>
      <c r="C139" s="1"/>
      <c r="D139" s="110" t="str">
        <f>IF('Asset #1'!C138 = "", "", 'Asset #1'!C138)</f>
        <v/>
      </c>
      <c r="E139" s="110" t="str">
        <f>IF('Asset #2'!C138 = "", "", 'Asset #2'!C138)</f>
        <v/>
      </c>
      <c r="F139" s="110" t="str">
        <f>IF('Asset #3'!C138 = "", "", 'Asset #3'!C138)</f>
        <v/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2:17" x14ac:dyDescent="0.35">
      <c r="B140" s="182" t="s">
        <v>110</v>
      </c>
      <c r="C140" s="1" t="s">
        <v>111</v>
      </c>
      <c r="D140" s="110" t="str">
        <f>IF('Asset #1'!C139 = "", "", 'Asset #1'!C139)</f>
        <v/>
      </c>
      <c r="E140" s="110" t="str">
        <f>IF('Asset #2'!C139 = "", "", 'Asset #2'!C139)</f>
        <v/>
      </c>
      <c r="F140" s="110" t="str">
        <f>IF('Asset #3'!C139 = "", "", 'Asset #3'!C139)</f>
        <v/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2:17" x14ac:dyDescent="0.35">
      <c r="B141" s="184" t="s">
        <v>323</v>
      </c>
      <c r="C141" s="3" t="s">
        <v>324</v>
      </c>
      <c r="D141" s="110" t="str">
        <f>IF('Asset #1'!C140 = "", "", 'Asset #1'!C140)</f>
        <v/>
      </c>
      <c r="E141" s="110" t="str">
        <f>IF('Asset #2'!C140 = "", "", 'Asset #2'!C140)</f>
        <v/>
      </c>
      <c r="F141" s="110" t="str">
        <f>IF('Asset #3'!C140 = "", "", 'Asset #3'!C140)</f>
        <v/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2:17" x14ac:dyDescent="0.35">
      <c r="B142" s="182" t="s">
        <v>325</v>
      </c>
      <c r="C142" s="3" t="s">
        <v>324</v>
      </c>
      <c r="D142" s="110" t="str">
        <f>IF('Asset #1'!C141 = "", "", 'Asset #1'!C141)</f>
        <v/>
      </c>
      <c r="E142" s="110" t="str">
        <f>IF('Asset #2'!C141 = "", "", 'Asset #2'!C141)</f>
        <v/>
      </c>
      <c r="F142" s="110" t="str">
        <f>IF('Asset #3'!C141 = "", "", 'Asset #3'!C141)</f>
        <v/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2:17" x14ac:dyDescent="0.35">
      <c r="B143" s="183" t="str">
        <f>"Energy loss (" &amp; BI_ref_assetname_transformer_substation &amp; ")"</f>
        <v>Energy loss (Transformer substation)</v>
      </c>
      <c r="C143" s="1"/>
      <c r="D143" s="109"/>
      <c r="E143" s="109"/>
      <c r="F143" s="109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2:17" x14ac:dyDescent="0.35">
      <c r="B144" s="182" t="s">
        <v>164</v>
      </c>
      <c r="C144" s="67" t="s">
        <v>177</v>
      </c>
      <c r="D144" s="1"/>
      <c r="E144" s="109"/>
      <c r="F144" s="109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2:17" x14ac:dyDescent="0.35">
      <c r="B145" s="183" t="str">
        <f>"Energy loss (" &amp; BI_ref_assetname_electricity_cable &amp; ")"</f>
        <v>Energy loss (Electricity cable)</v>
      </c>
      <c r="C145" s="1"/>
      <c r="D145" s="109"/>
      <c r="E145" s="109"/>
      <c r="F145" s="109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2:17" x14ac:dyDescent="0.35">
      <c r="B146" s="182" t="s">
        <v>94</v>
      </c>
      <c r="C146" s="1" t="s">
        <v>88</v>
      </c>
      <c r="D146" s="110">
        <f>IF('Asset #1'!C148 = "", "", 'Asset #1'!C148)</f>
        <v>0</v>
      </c>
      <c r="E146" s="110">
        <f>IF('Asset #2'!C148 = "", "", 'Asset #2'!C148)</f>
        <v>0</v>
      </c>
      <c r="F146" s="110">
        <f>IF('Asset #3'!C148 = "", "", 'Asset #3'!C148)</f>
        <v>0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2:17" x14ac:dyDescent="0.35">
      <c r="B147" s="182" t="s">
        <v>95</v>
      </c>
      <c r="C147" s="1" t="s">
        <v>96</v>
      </c>
      <c r="D147" s="110"/>
      <c r="E147" s="110"/>
      <c r="F147" s="110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2:17" x14ac:dyDescent="0.35">
      <c r="B148" s="182" t="s">
        <v>97</v>
      </c>
      <c r="C148" s="67" t="s">
        <v>177</v>
      </c>
      <c r="D148" s="110">
        <f>IF('Asset #1'!C150 = "", "", 'Asset #1'!C150)</f>
        <v>1</v>
      </c>
      <c r="E148" s="110">
        <f>IF('Asset #2'!C150 = "", "", 'Asset #2'!C150)</f>
        <v>1</v>
      </c>
      <c r="F148" s="110">
        <f>IF('Asset #3'!C150 = "", "", 'Asset #3'!C150)</f>
        <v>1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2:17" x14ac:dyDescent="0.35">
      <c r="B149" s="182" t="s">
        <v>326</v>
      </c>
      <c r="C149" s="1" t="s">
        <v>92</v>
      </c>
      <c r="D149" s="110">
        <f>IF('Asset #1'!C151 = "", "", 'Asset #1'!C151)</f>
        <v>0</v>
      </c>
      <c r="E149" s="110">
        <f>IF('Asset #2'!C151 = "", "", 'Asset #2'!C151)</f>
        <v>0</v>
      </c>
      <c r="F149" s="110">
        <f>IF('Asset #3'!C151 = "", "", 'Asset #3'!C151)</f>
        <v>0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2:17" x14ac:dyDescent="0.35">
      <c r="B150" s="182" t="s">
        <v>327</v>
      </c>
      <c r="C150" s="1" t="str">
        <f>"Ω/f.u."</f>
        <v>Ω/f.u.</v>
      </c>
      <c r="D150" s="110" t="str">
        <f>IF('Asset #1'!C152 = "", "", 'Asset #1'!C152)</f>
        <v/>
      </c>
      <c r="E150" s="110" t="str">
        <f>IF('Asset #2'!C152 = "", "", 'Asset #2'!C152)</f>
        <v/>
      </c>
      <c r="F150" s="110" t="str">
        <f>IF('Asset #3'!C152 = "", "", 'Asset #3'!C152)</f>
        <v/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2:17" x14ac:dyDescent="0.35">
      <c r="B151" s="180" t="s">
        <v>328</v>
      </c>
      <c r="C151" s="67" t="s">
        <v>177</v>
      </c>
      <c r="D151" s="110" t="str">
        <f>IF('Asset #1'!C153 = "", "", 'Asset #1'!C153)</f>
        <v/>
      </c>
      <c r="E151" s="110" t="str">
        <f>IF('Asset #2'!C153 = "", "", 'Asset #2'!C153)</f>
        <v/>
      </c>
      <c r="F151" s="110" t="str">
        <f>IF('Asset #3'!C153 = "", "", 'Asset #3'!C153)</f>
        <v/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2:17" x14ac:dyDescent="0.35">
      <c r="B152" s="183" t="str">
        <f>"Energy loss (" &amp; BI_ref_assetname_switch_gear &amp; ")"</f>
        <v>Energy loss (Switchgear)</v>
      </c>
      <c r="C152" s="1"/>
      <c r="D152" s="109"/>
      <c r="E152" s="109"/>
      <c r="F152" s="109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2:17" x14ac:dyDescent="0.35">
      <c r="B153" s="182" t="s">
        <v>94</v>
      </c>
      <c r="C153" s="1" t="s">
        <v>88</v>
      </c>
      <c r="D153" s="110" t="str">
        <f>IF('Asset #1'!C157 = "", "", 'Asset #1'!C157)</f>
        <v/>
      </c>
      <c r="E153" s="110" t="str">
        <f>IF('Asset #2'!C157 = "", "", 'Asset #2'!C157)</f>
        <v/>
      </c>
      <c r="F153" s="110" t="str">
        <f>IF('Asset #3'!C157 = "", "", 'Asset #3'!C157)</f>
        <v/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2:17" x14ac:dyDescent="0.35">
      <c r="B154" s="182" t="s">
        <v>95</v>
      </c>
      <c r="C154" s="1" t="s">
        <v>96</v>
      </c>
      <c r="D154" s="110" t="str">
        <f>IF('Asset #1'!C158 = "", "", 'Asset #1'!C158)</f>
        <v/>
      </c>
      <c r="E154" s="110" t="str">
        <f>IF('Asset #2'!C158 = "", "", 'Asset #2'!C158)</f>
        <v/>
      </c>
      <c r="F154" s="110" t="str">
        <f>IF('Asset #3'!C158 = "", "", 'Asset #3'!C158)</f>
        <v/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2:17" x14ac:dyDescent="0.35">
      <c r="B155" s="182" t="s">
        <v>97</v>
      </c>
      <c r="C155" s="67" t="s">
        <v>177</v>
      </c>
      <c r="D155" s="110" t="str">
        <f>IF('Asset #1'!C159 = "", "", 'Asset #1'!C159)</f>
        <v/>
      </c>
      <c r="E155" s="110" t="str">
        <f>IF('Asset #2'!C159 = "", "", 'Asset #2'!C159)</f>
        <v/>
      </c>
      <c r="F155" s="110" t="str">
        <f>IF('Asset #3'!C159 = "", "", 'Asset #3'!C159)</f>
        <v/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2:17" x14ac:dyDescent="0.35">
      <c r="B156" s="182" t="s">
        <v>98</v>
      </c>
      <c r="C156" s="67" t="s">
        <v>177</v>
      </c>
      <c r="D156" s="110" t="str">
        <f>IF('Asset #1'!C160 = "", "", 'Asset #1'!C160)</f>
        <v/>
      </c>
      <c r="E156" s="110" t="str">
        <f>IF('Asset #2'!C160 = "", "", 'Asset #2'!C160)</f>
        <v/>
      </c>
      <c r="F156" s="110" t="str">
        <f>IF('Asset #3'!C160 = "", "", 'Asset #3'!C160)</f>
        <v/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spans="2:17" x14ac:dyDescent="0.35">
      <c r="B157" s="185" t="s">
        <v>329</v>
      </c>
      <c r="C157" s="1" t="s">
        <v>92</v>
      </c>
      <c r="D157" s="110" t="str">
        <f>IF('Asset #1'!C163 = "", "", 'Asset #1'!C163)</f>
        <v/>
      </c>
      <c r="E157" s="110" t="str">
        <f>IF('Asset #2'!C163 = "", "", 'Asset #2'!C163)</f>
        <v/>
      </c>
      <c r="F157" s="110" t="str">
        <f>IF('Asset #3'!C163 = "", "", 'Asset #3'!C163)</f>
        <v/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2:17" x14ac:dyDescent="0.35">
      <c r="B158" s="185" t="s">
        <v>330</v>
      </c>
      <c r="C158" s="1" t="s">
        <v>92</v>
      </c>
      <c r="D158" s="110" t="str">
        <f>IF('Asset #1'!C164 = "", "", 'Asset #1'!C164)</f>
        <v/>
      </c>
      <c r="E158" s="110" t="str">
        <f>IF('Asset #2'!C164 = "", "", 'Asset #2'!C164)</f>
        <v/>
      </c>
      <c r="F158" s="110" t="str">
        <f>IF('Asset #3'!C164 = "", "", 'Asset #3'!C164)</f>
        <v/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2:17" x14ac:dyDescent="0.35">
      <c r="B159" s="185" t="s">
        <v>331</v>
      </c>
      <c r="C159" s="1" t="s">
        <v>92</v>
      </c>
      <c r="D159" s="110" t="str">
        <f>IF('Asset #1'!C165 = "", "", 'Asset #1'!C165)</f>
        <v/>
      </c>
      <c r="E159" s="110" t="str">
        <f>IF('Asset #2'!C165 = "", "", 'Asset #2'!C165)</f>
        <v/>
      </c>
      <c r="F159" s="110" t="str">
        <f>IF('Asset #3'!C165 = "", "", 'Asset #3'!C165)</f>
        <v/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2:17" x14ac:dyDescent="0.35">
      <c r="B160" s="185" t="s">
        <v>332</v>
      </c>
      <c r="C160" s="1" t="s">
        <v>92</v>
      </c>
      <c r="D160" s="110" t="str">
        <f>IF('Asset #1'!C166 = "", "", 'Asset #1'!C166)</f>
        <v/>
      </c>
      <c r="E160" s="110" t="str">
        <f>IF('Asset #2'!C166 = "", "", 'Asset #2'!C166)</f>
        <v/>
      </c>
      <c r="F160" s="110" t="str">
        <f>IF('Asset #3'!C166 = "", "", 'Asset #3'!C166)</f>
        <v/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2:17" x14ac:dyDescent="0.35">
      <c r="B161" s="185" t="s">
        <v>333</v>
      </c>
      <c r="C161" s="1" t="s">
        <v>92</v>
      </c>
      <c r="D161" s="110" t="str">
        <f>IF('Asset #1'!C167 = "", "", 'Asset #1'!C167)</f>
        <v/>
      </c>
      <c r="E161" s="110" t="str">
        <f>IF('Asset #2'!C167 = "", "", 'Asset #2'!C167)</f>
        <v/>
      </c>
      <c r="F161" s="110" t="str">
        <f>IF('Asset #3'!C167 = "", "", 'Asset #3'!C167)</f>
        <v/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2:17" x14ac:dyDescent="0.35">
      <c r="B162" s="185" t="s">
        <v>334</v>
      </c>
      <c r="C162" s="1" t="s">
        <v>92</v>
      </c>
      <c r="D162" s="110" t="str">
        <f>IF('Asset #1'!C168 = "", "", 'Asset #1'!C168)</f>
        <v/>
      </c>
      <c r="E162" s="110" t="str">
        <f>IF('Asset #2'!C168 = "", "", 'Asset #2'!C168)</f>
        <v/>
      </c>
      <c r="F162" s="110" t="str">
        <f>IF('Asset #3'!C168 = "", "", 'Asset #3'!C168)</f>
        <v/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2:17" x14ac:dyDescent="0.35">
      <c r="B163" s="185" t="s">
        <v>335</v>
      </c>
      <c r="C163" s="1" t="str">
        <f t="shared" ref="C163:C168" si="0">"Ω/f.u."</f>
        <v>Ω/f.u.</v>
      </c>
      <c r="D163" s="110" t="str">
        <f>IF('Asset #1'!D163 = "", "", 'Asset #1'!D163)</f>
        <v/>
      </c>
      <c r="E163" s="110" t="str">
        <f>IF('Asset #2'!D163 = "", "", 'Asset #2'!D163)</f>
        <v/>
      </c>
      <c r="F163" s="110" t="str">
        <f>IF('Asset #3'!D163 = "", "", 'Asset #3'!D163)</f>
        <v/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spans="2:17" x14ac:dyDescent="0.35">
      <c r="B164" s="185" t="s">
        <v>336</v>
      </c>
      <c r="C164" s="1" t="str">
        <f t="shared" si="0"/>
        <v>Ω/f.u.</v>
      </c>
      <c r="D164" s="110" t="str">
        <f>IF('Asset #1'!D164 = "", "", 'Asset #1'!D164)</f>
        <v/>
      </c>
      <c r="E164" s="110" t="str">
        <f>IF('Asset #2'!D164 = "", "", 'Asset #2'!D164)</f>
        <v/>
      </c>
      <c r="F164" s="110" t="str">
        <f>IF('Asset #3'!D164 = "", "", 'Asset #3'!D164)</f>
        <v/>
      </c>
      <c r="K164" s="22"/>
    </row>
    <row r="165" spans="2:17" x14ac:dyDescent="0.35">
      <c r="B165" s="185" t="s">
        <v>337</v>
      </c>
      <c r="C165" s="1" t="str">
        <f t="shared" si="0"/>
        <v>Ω/f.u.</v>
      </c>
      <c r="D165" s="110" t="str">
        <f>IF('Asset #1'!D165 = "", "", 'Asset #1'!D165)</f>
        <v/>
      </c>
      <c r="E165" s="110" t="str">
        <f>IF('Asset #2'!D165 = "", "", 'Asset #2'!D165)</f>
        <v/>
      </c>
      <c r="F165" s="110" t="str">
        <f>IF('Asset #3'!D165 = "", "", 'Asset #3'!D165)</f>
        <v/>
      </c>
      <c r="K165" s="22"/>
    </row>
    <row r="166" spans="2:17" x14ac:dyDescent="0.35">
      <c r="B166" s="185" t="s">
        <v>338</v>
      </c>
      <c r="C166" s="1" t="str">
        <f t="shared" si="0"/>
        <v>Ω/f.u.</v>
      </c>
      <c r="D166" s="110" t="str">
        <f>IF('Asset #1'!D166 = "", "", 'Asset #1'!D166)</f>
        <v/>
      </c>
      <c r="E166" s="110" t="str">
        <f>IF('Asset #2'!D166 = "", "", 'Asset #2'!D166)</f>
        <v/>
      </c>
      <c r="F166" s="110" t="str">
        <f>IF('Asset #3'!D166 = "", "", 'Asset #3'!D166)</f>
        <v/>
      </c>
      <c r="K166" s="22"/>
    </row>
    <row r="167" spans="2:17" x14ac:dyDescent="0.35">
      <c r="B167" s="185" t="s">
        <v>339</v>
      </c>
      <c r="C167" s="1" t="str">
        <f t="shared" si="0"/>
        <v>Ω/f.u.</v>
      </c>
      <c r="D167" s="110" t="str">
        <f>IF('Asset #1'!D167 = "", "", 'Asset #1'!D167)</f>
        <v/>
      </c>
      <c r="E167" s="110" t="str">
        <f>IF('Asset #2'!D167 = "", "", 'Asset #2'!D167)</f>
        <v/>
      </c>
      <c r="F167" s="110" t="str">
        <f>IF('Asset #3'!D167 = "", "", 'Asset #3'!D167)</f>
        <v/>
      </c>
      <c r="K167" s="22"/>
    </row>
    <row r="168" spans="2:17" x14ac:dyDescent="0.35">
      <c r="B168" s="185" t="s">
        <v>340</v>
      </c>
      <c r="C168" s="1" t="str">
        <f t="shared" si="0"/>
        <v>Ω/f.u.</v>
      </c>
      <c r="D168" s="112" t="str">
        <f>IF('Asset #1'!D168 = "", "", 'Asset #1'!D168)</f>
        <v/>
      </c>
      <c r="E168" s="110" t="str">
        <f>IF('Asset #2'!D168 = "", "", 'Asset #2'!D168)</f>
        <v/>
      </c>
      <c r="F168" s="110" t="str">
        <f>IF('Asset #3'!D168 = "", "", 'Asset #3'!D168)</f>
        <v/>
      </c>
      <c r="K168" s="22"/>
      <c r="L168" s="22"/>
      <c r="M168" s="22"/>
      <c r="N168" s="22"/>
      <c r="O168" s="22"/>
      <c r="P168" s="22"/>
      <c r="Q168" s="22"/>
    </row>
    <row r="169" spans="2:17" x14ac:dyDescent="0.35">
      <c r="B169" s="179" t="str">
        <f>"Emission of insulating/switch gas (" &amp; BI_ref_assetname_switch_gear &amp; ")"</f>
        <v>Emission of insulating/switch gas (Switchgear)</v>
      </c>
      <c r="C169" s="1"/>
      <c r="D169" s="109"/>
      <c r="E169" s="109"/>
      <c r="F169" s="109"/>
      <c r="K169" s="22"/>
      <c r="L169" s="22"/>
      <c r="M169" s="22"/>
      <c r="N169" s="22"/>
      <c r="O169" s="22"/>
      <c r="P169" s="22"/>
      <c r="Q169" s="22"/>
    </row>
    <row r="170" spans="2:17" x14ac:dyDescent="0.35">
      <c r="B170" s="180" t="s">
        <v>169</v>
      </c>
      <c r="C170" s="1" t="s">
        <v>341</v>
      </c>
      <c r="D170" s="110" t="str">
        <f>IF('Asset #1'!C171="", "", 'Asset #1'!C171)</f>
        <v/>
      </c>
      <c r="E170" s="110" t="str">
        <f>IF('Asset #2'!C171="", "", 'Asset #2'!C171)</f>
        <v/>
      </c>
      <c r="F170" s="110" t="str">
        <f>IF('Asset #3'!C171="", "", 'Asset #3'!C171)</f>
        <v/>
      </c>
      <c r="K170" s="22"/>
      <c r="L170" s="22"/>
      <c r="M170" s="22"/>
      <c r="N170" s="22"/>
      <c r="O170" s="22"/>
      <c r="P170" s="22"/>
      <c r="Q170" s="22"/>
    </row>
    <row r="171" spans="2:17" x14ac:dyDescent="0.35">
      <c r="B171" s="180" t="s">
        <v>171</v>
      </c>
      <c r="C171" s="1" t="s">
        <v>341</v>
      </c>
      <c r="D171" s="110" t="str">
        <f>IF('Asset #1'!C172="", "", 'Asset #1'!C172)</f>
        <v/>
      </c>
      <c r="E171" s="110" t="str">
        <f>IF('Asset #2'!C172="", "", 'Asset #2'!C172)</f>
        <v/>
      </c>
      <c r="F171" s="110" t="str">
        <f>IF('Asset #3'!C172="", "", 'Asset #3'!C172)</f>
        <v/>
      </c>
      <c r="K171" s="22"/>
      <c r="L171" s="22"/>
      <c r="M171" s="22"/>
      <c r="N171" s="22"/>
      <c r="O171" s="22"/>
      <c r="P171" s="22"/>
      <c r="Q171" s="22"/>
    </row>
    <row r="172" spans="2:17" x14ac:dyDescent="0.35">
      <c r="B172" s="180" t="s">
        <v>536</v>
      </c>
      <c r="C172" s="67" t="s">
        <v>177</v>
      </c>
      <c r="D172" s="110" t="str">
        <f>IF('Asset #1'!C173="", "", 'Asset #1'!C173)</f>
        <v/>
      </c>
      <c r="E172" s="110" t="str">
        <f>IF('Asset #2'!C173="", "", 'Asset #2'!C173)</f>
        <v/>
      </c>
      <c r="F172" s="110" t="str">
        <f>IF('Asset #3'!C173="", "", 'Asset #3'!C173)</f>
        <v/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2:17" x14ac:dyDescent="0.35">
      <c r="B173" s="180" t="s">
        <v>537</v>
      </c>
      <c r="C173" s="1" t="s">
        <v>530</v>
      </c>
      <c r="D173" s="110" t="str">
        <f>IF('Asset #1'!C174="", "", 'Asset #1'!C174)</f>
        <v/>
      </c>
      <c r="E173" s="110" t="str">
        <f>IF('Asset #2'!C174="", "", 'Asset #2'!C174)</f>
        <v/>
      </c>
      <c r="F173" s="110" t="str">
        <f>IF('Asset #3'!C174="", "", 'Asset #3'!C174)</f>
        <v/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spans="2:17" x14ac:dyDescent="0.35">
      <c r="B174" s="180" t="s">
        <v>538</v>
      </c>
      <c r="C174" s="1" t="s">
        <v>342</v>
      </c>
      <c r="D174" s="110" t="str">
        <f>IF('Asset #1'!C175="", "", 'Asset #1'!C175)</f>
        <v/>
      </c>
      <c r="E174" s="110" t="str">
        <f>IF('Asset #2'!C175="", "", 'Asset #2'!C175)</f>
        <v/>
      </c>
      <c r="F174" s="110" t="str">
        <f>IF('Asset #3'!C175="", "", 'Asset #3'!C175)</f>
        <v/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spans="2:17" x14ac:dyDescent="0.35">
      <c r="B175" s="180" t="s">
        <v>172</v>
      </c>
      <c r="C175" s="1" t="s">
        <v>343</v>
      </c>
      <c r="D175" s="110" t="str">
        <f>IF('Asset #1'!C176="", "", 'Asset #1'!C176)</f>
        <v/>
      </c>
      <c r="E175" s="110" t="str">
        <f>IF('Asset #2'!C176="", "", 'Asset #2'!C176)</f>
        <v/>
      </c>
      <c r="F175" s="110" t="str">
        <f>IF('Asset #3'!C176="", "", 'Asset #3'!C176)</f>
        <v/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2:17" x14ac:dyDescent="0.35"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spans="1:22" s="171" customFormat="1" ht="20.5" x14ac:dyDescent="0.45">
      <c r="A177" s="169"/>
      <c r="B177" s="170" t="s">
        <v>344</v>
      </c>
      <c r="C177" s="169"/>
      <c r="D177" s="169"/>
      <c r="E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</row>
    <row r="178" spans="1:22" x14ac:dyDescent="0.35"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22" x14ac:dyDescent="0.35">
      <c r="B179" s="21" t="s">
        <v>345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1:22" ht="27" x14ac:dyDescent="0.35">
      <c r="B180" t="s">
        <v>143</v>
      </c>
      <c r="C180" s="23" t="s">
        <v>346</v>
      </c>
      <c r="D180" s="23" t="s">
        <v>347</v>
      </c>
      <c r="E180" s="23" t="s">
        <v>348</v>
      </c>
      <c r="F180" s="23" t="s">
        <v>349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1:22" x14ac:dyDescent="0.35">
      <c r="B181" t="s">
        <v>350</v>
      </c>
      <c r="C181">
        <v>0.69099999999999995</v>
      </c>
      <c r="D181" t="str">
        <f t="shared" ref="D181:F184" si="1">IFERROR($C181 * D118, "")</f>
        <v/>
      </c>
      <c r="E181" t="str">
        <f t="shared" si="1"/>
        <v/>
      </c>
      <c r="F181" t="str">
        <f t="shared" si="1"/>
        <v/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1:22" x14ac:dyDescent="0.35">
      <c r="B182" t="s">
        <v>351</v>
      </c>
      <c r="C182">
        <v>8.0299999999999996E-2</v>
      </c>
      <c r="D182" t="str">
        <f t="shared" si="1"/>
        <v/>
      </c>
      <c r="E182" t="str">
        <f t="shared" si="1"/>
        <v/>
      </c>
      <c r="F182" t="str">
        <f t="shared" si="1"/>
        <v/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1:22" x14ac:dyDescent="0.35">
      <c r="B183" t="s">
        <v>352</v>
      </c>
      <c r="C183">
        <v>4.3049999999999998E-2</v>
      </c>
      <c r="D183" t="str">
        <f t="shared" si="1"/>
        <v/>
      </c>
      <c r="E183" t="str">
        <f t="shared" si="1"/>
        <v/>
      </c>
      <c r="F183" t="str">
        <f t="shared" si="1"/>
        <v/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spans="1:22" x14ac:dyDescent="0.35">
      <c r="B184" t="s">
        <v>353</v>
      </c>
      <c r="C184">
        <v>9.5399999999999999E-2</v>
      </c>
      <c r="D184" t="str">
        <f t="shared" si="1"/>
        <v/>
      </c>
      <c r="E184" t="str">
        <f t="shared" si="1"/>
        <v/>
      </c>
      <c r="F184" t="str">
        <f t="shared" si="1"/>
        <v/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22" x14ac:dyDescent="0.35">
      <c r="B185" s="21" t="s">
        <v>354</v>
      </c>
      <c r="D185" t="str">
        <f>IFERROR(IF( AND(D181="",D182="",D183="",D184=""),"", SUM(D181:D184)),"")</f>
        <v/>
      </c>
      <c r="E185" t="str">
        <f t="shared" ref="E185:F185" si="2">IFERROR(IF( AND(E181="",E182="",E183="",E184=""),"", SUM(E181:E184)),"")</f>
        <v/>
      </c>
      <c r="F185" t="str">
        <f t="shared" si="2"/>
        <v/>
      </c>
      <c r="G185" t="s">
        <v>355</v>
      </c>
      <c r="H185" s="22"/>
      <c r="I185" s="22"/>
      <c r="J185" s="22"/>
      <c r="K185" s="221"/>
      <c r="L185" s="22"/>
      <c r="M185" s="22"/>
      <c r="N185" s="22"/>
      <c r="O185" s="22"/>
      <c r="P185" s="22"/>
      <c r="Q185" s="22"/>
    </row>
    <row r="186" spans="1:22" x14ac:dyDescent="0.35"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22" x14ac:dyDescent="0.35">
      <c r="B187" s="21" t="s">
        <v>356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22" x14ac:dyDescent="0.35">
      <c r="B188" s="23" t="s">
        <v>148</v>
      </c>
      <c r="C188" s="23" t="s">
        <v>357</v>
      </c>
      <c r="D188" s="23" t="s">
        <v>347</v>
      </c>
      <c r="E188" s="23" t="s">
        <v>348</v>
      </c>
      <c r="F188" s="23" t="s">
        <v>349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spans="1:22" x14ac:dyDescent="0.35">
      <c r="B189" s="106" t="s">
        <v>149</v>
      </c>
      <c r="C189" s="191">
        <v>7.0000000000000001E-3</v>
      </c>
      <c r="D189" t="str">
        <f>IFERROR($C189 * D$113/10^6 * D123, "")</f>
        <v/>
      </c>
      <c r="E189" t="str">
        <f t="shared" ref="E189:F189" si="3">IFERROR($C189 * E$113/10^6 * E123, "")</f>
        <v/>
      </c>
      <c r="F189" t="str">
        <f t="shared" si="3"/>
        <v/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22" x14ac:dyDescent="0.35">
      <c r="B190" s="106" t="s">
        <v>151</v>
      </c>
      <c r="C190" s="191">
        <v>2.1999999999999999E-2</v>
      </c>
      <c r="D190" t="str">
        <f t="shared" ref="D190:F190" si="4">IFERROR($C190 * D$113/10^6 * D124, "")</f>
        <v/>
      </c>
      <c r="E190" t="str">
        <f t="shared" si="4"/>
        <v/>
      </c>
      <c r="F190" t="str">
        <f t="shared" si="4"/>
        <v/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22" x14ac:dyDescent="0.35">
      <c r="B191" s="106" t="s">
        <v>152</v>
      </c>
      <c r="C191" s="192">
        <v>2.4E-2</v>
      </c>
      <c r="D191" t="str">
        <f t="shared" ref="D191:F191" si="5">IFERROR($C191 * D$113/10^6 * D125, "")</f>
        <v/>
      </c>
      <c r="E191" t="str">
        <f t="shared" si="5"/>
        <v/>
      </c>
      <c r="F191" t="str">
        <f t="shared" si="5"/>
        <v/>
      </c>
      <c r="G191" s="22"/>
      <c r="H191" s="22"/>
      <c r="I191" s="22"/>
      <c r="J191" s="22"/>
      <c r="K191" s="22"/>
      <c r="L191" s="22"/>
      <c r="M191" s="22"/>
      <c r="N191" s="22"/>
      <c r="T191" s="22"/>
      <c r="U191" s="22"/>
      <c r="V191" s="22"/>
    </row>
    <row r="192" spans="1:22" x14ac:dyDescent="0.35">
      <c r="B192" s="106" t="s">
        <v>153</v>
      </c>
      <c r="C192" s="192">
        <v>8.7999999999999995E-2</v>
      </c>
      <c r="D192" t="str">
        <f t="shared" ref="D192:F192" si="6">IFERROR($C192 * D$113/10^6 * D126, "")</f>
        <v/>
      </c>
      <c r="E192" t="str">
        <f t="shared" si="6"/>
        <v/>
      </c>
      <c r="F192" t="str">
        <f t="shared" si="6"/>
        <v/>
      </c>
      <c r="G192" s="22"/>
      <c r="H192" s="22"/>
      <c r="I192" s="22"/>
      <c r="J192" s="22"/>
      <c r="K192" s="22"/>
      <c r="L192" s="22"/>
      <c r="M192" s="22"/>
      <c r="N192" s="22"/>
      <c r="T192" s="22"/>
      <c r="U192" s="22"/>
      <c r="V192" s="22"/>
    </row>
    <row r="193" spans="2:22" x14ac:dyDescent="0.35">
      <c r="B193" s="106" t="s">
        <v>154</v>
      </c>
      <c r="C193" s="192">
        <v>6.2E-2</v>
      </c>
      <c r="D193" t="str">
        <f t="shared" ref="D193:F193" si="7">IFERROR($C193 * D$113/10^6 * D127, "")</f>
        <v/>
      </c>
      <c r="E193" t="str">
        <f t="shared" si="7"/>
        <v/>
      </c>
      <c r="F193" t="str">
        <f t="shared" si="7"/>
        <v/>
      </c>
      <c r="G193" s="22"/>
      <c r="H193" s="22"/>
      <c r="I193" s="22"/>
      <c r="J193" s="22"/>
      <c r="K193" s="22"/>
      <c r="L193" s="22"/>
      <c r="M193" s="22"/>
      <c r="N193" s="22"/>
      <c r="T193" s="22"/>
      <c r="U193" s="22"/>
      <c r="V193" s="22"/>
    </row>
    <row r="194" spans="2:22" x14ac:dyDescent="0.35">
      <c r="B194" s="106" t="s">
        <v>155</v>
      </c>
      <c r="C194" s="192">
        <v>7.0999999999999994E-2</v>
      </c>
      <c r="D194" t="str">
        <f t="shared" ref="D194:F194" si="8">IFERROR($C194 * D$113/10^6 * D128, "")</f>
        <v/>
      </c>
      <c r="E194" t="str">
        <f t="shared" si="8"/>
        <v/>
      </c>
      <c r="F194" t="str">
        <f t="shared" si="8"/>
        <v/>
      </c>
      <c r="G194" s="22"/>
      <c r="H194" s="22"/>
      <c r="I194" s="22"/>
      <c r="J194" s="22"/>
      <c r="K194" s="22"/>
      <c r="L194" s="22"/>
      <c r="M194" s="22"/>
      <c r="N194" s="22"/>
      <c r="T194" s="22"/>
      <c r="U194" s="22"/>
      <c r="V194" s="22"/>
    </row>
    <row r="195" spans="2:22" x14ac:dyDescent="0.35">
      <c r="B195" s="106" t="s">
        <v>156</v>
      </c>
      <c r="C195" s="192">
        <v>1.2E-2</v>
      </c>
      <c r="D195" t="str">
        <f t="shared" ref="D195:F195" si="9">IFERROR($C195 * D$113/10^6 * D129, "")</f>
        <v/>
      </c>
      <c r="E195" t="str">
        <f t="shared" si="9"/>
        <v/>
      </c>
      <c r="F195" t="str">
        <f t="shared" si="9"/>
        <v/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2:22" x14ac:dyDescent="0.35">
      <c r="B196" s="106" t="s">
        <v>157</v>
      </c>
      <c r="C196" s="192">
        <v>0.55000000000000004</v>
      </c>
      <c r="D196" t="str">
        <f t="shared" ref="D196:F196" si="10">IFERROR($C196 * D$113/10^6 * D130, "")</f>
        <v/>
      </c>
      <c r="E196" t="str">
        <f t="shared" si="10"/>
        <v/>
      </c>
      <c r="F196" t="str">
        <f t="shared" si="10"/>
        <v/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spans="2:22" x14ac:dyDescent="0.35">
      <c r="B197" s="104" t="s">
        <v>354</v>
      </c>
      <c r="C197" s="192"/>
      <c r="D197" t="str">
        <f>IFERROR(IF( AND(D189="",D190="",D191="",D192="",D193="",D194="",D195="",D196=""),"", SUM(D189:D196)),"")</f>
        <v/>
      </c>
      <c r="E197" t="str">
        <f t="shared" ref="E197:F197" si="11">IFERROR(IF( AND(E189="",E190="",E191="",E192="",E193="",E194="",E195="",E196=""),"", SUM(E189:E196)),"")</f>
        <v/>
      </c>
      <c r="F197" t="str">
        <f t="shared" si="11"/>
        <v/>
      </c>
      <c r="G197" t="s">
        <v>355</v>
      </c>
      <c r="H197" s="22"/>
      <c r="I197" s="22"/>
      <c r="J197" s="22"/>
      <c r="K197" s="221"/>
      <c r="L197" s="22"/>
      <c r="M197" s="22"/>
      <c r="N197" s="22"/>
      <c r="O197" s="22"/>
      <c r="P197" s="22"/>
      <c r="Q197" s="22"/>
    </row>
    <row r="199" spans="2:22" x14ac:dyDescent="0.35">
      <c r="B199" s="193" t="s">
        <v>358</v>
      </c>
      <c r="C199" s="106"/>
      <c r="D199" s="22"/>
    </row>
    <row r="200" spans="2:22" x14ac:dyDescent="0.35">
      <c r="B200" s="105"/>
      <c r="C200" s="142" t="s">
        <v>314</v>
      </c>
      <c r="D200" s="198" t="s">
        <v>359</v>
      </c>
    </row>
    <row r="201" spans="2:22" x14ac:dyDescent="0.35">
      <c r="B201" s="196" t="s">
        <v>360</v>
      </c>
      <c r="C201" s="194" t="s">
        <v>361</v>
      </c>
      <c r="D201" s="199">
        <v>0.28299999999999997</v>
      </c>
    </row>
    <row r="202" spans="2:22" x14ac:dyDescent="0.35">
      <c r="B202" s="197" t="s">
        <v>362</v>
      </c>
      <c r="C202" s="195" t="s">
        <v>363</v>
      </c>
      <c r="D202" s="200">
        <v>2.1339999999999999</v>
      </c>
      <c r="L202" s="22"/>
    </row>
    <row r="203" spans="2:22" x14ac:dyDescent="0.35">
      <c r="B203" s="106"/>
      <c r="D203" s="41"/>
      <c r="L203" s="22"/>
    </row>
    <row r="204" spans="2:22" x14ac:dyDescent="0.35">
      <c r="B204" s="21" t="s">
        <v>364</v>
      </c>
      <c r="L204" s="22"/>
    </row>
    <row r="205" spans="2:22" x14ac:dyDescent="0.35">
      <c r="B205" s="106"/>
      <c r="E205" s="139" t="s">
        <v>359</v>
      </c>
      <c r="F205" s="122"/>
      <c r="G205" s="140"/>
      <c r="H205" s="141" t="s">
        <v>365</v>
      </c>
      <c r="I205" s="118"/>
      <c r="J205" s="140"/>
      <c r="L205" s="22"/>
    </row>
    <row r="206" spans="2:22" x14ac:dyDescent="0.35">
      <c r="B206" s="142"/>
      <c r="C206" s="137" t="s">
        <v>314</v>
      </c>
      <c r="D206" s="137" t="s">
        <v>366</v>
      </c>
      <c r="E206" s="136" t="s">
        <v>315</v>
      </c>
      <c r="F206" s="137" t="s">
        <v>316</v>
      </c>
      <c r="G206" s="138" t="s">
        <v>317</v>
      </c>
      <c r="H206" s="136" t="s">
        <v>315</v>
      </c>
      <c r="I206" s="137" t="s">
        <v>316</v>
      </c>
      <c r="J206" s="138" t="s">
        <v>317</v>
      </c>
      <c r="L206" s="22"/>
    </row>
    <row r="207" spans="2:22" x14ac:dyDescent="0.35">
      <c r="B207" s="121" t="str">
        <f>"Energy loss (" &amp; BI_ref_assetname_other_asset &amp; ")"</f>
        <v>Energy loss (Other asset)</v>
      </c>
      <c r="C207" s="118"/>
      <c r="D207" s="122"/>
      <c r="E207" s="143"/>
      <c r="F207" s="122"/>
      <c r="G207" s="123"/>
      <c r="H207" s="143"/>
      <c r="I207" s="122"/>
      <c r="J207" s="123"/>
      <c r="L207" s="22"/>
      <c r="M207" s="22"/>
      <c r="N207" s="22"/>
      <c r="O207" s="22"/>
    </row>
    <row r="208" spans="2:22" x14ac:dyDescent="0.35">
      <c r="B208" s="114" t="s">
        <v>158</v>
      </c>
      <c r="C208" s="1" t="s">
        <v>367</v>
      </c>
      <c r="D208" s="131">
        <f>D201</f>
        <v>0.28299999999999997</v>
      </c>
      <c r="E208" s="144" t="str">
        <f t="shared" ref="E208:G209" si="12">D132</f>
        <v/>
      </c>
      <c r="F208" s="131" t="str">
        <f t="shared" si="12"/>
        <v/>
      </c>
      <c r="G208" s="132" t="str">
        <f t="shared" si="12"/>
        <v/>
      </c>
      <c r="H208" s="144" t="str">
        <f t="shared" ref="H208:J209" si="13">IFERROR(E208*$D208, "")</f>
        <v/>
      </c>
      <c r="I208" s="131" t="str">
        <f t="shared" si="13"/>
        <v/>
      </c>
      <c r="J208" s="132" t="str">
        <f t="shared" si="13"/>
        <v/>
      </c>
      <c r="L208" s="22"/>
      <c r="M208" s="22"/>
      <c r="N208" s="22"/>
      <c r="O208" s="22"/>
    </row>
    <row r="209" spans="2:15" x14ac:dyDescent="0.35">
      <c r="B209" s="115" t="s">
        <v>159</v>
      </c>
      <c r="C209" s="133" t="s">
        <v>368</v>
      </c>
      <c r="D209" s="134">
        <f>D202</f>
        <v>2.1339999999999999</v>
      </c>
      <c r="E209" s="145" t="str">
        <f t="shared" si="12"/>
        <v/>
      </c>
      <c r="F209" s="134" t="str">
        <f t="shared" si="12"/>
        <v/>
      </c>
      <c r="G209" s="135" t="str">
        <f t="shared" si="12"/>
        <v/>
      </c>
      <c r="H209" s="145" t="str">
        <f t="shared" si="13"/>
        <v/>
      </c>
      <c r="I209" s="134" t="str">
        <f t="shared" si="13"/>
        <v/>
      </c>
      <c r="J209" s="135" t="str">
        <f t="shared" si="13"/>
        <v/>
      </c>
      <c r="L209" s="22"/>
      <c r="M209" s="22"/>
      <c r="N209" s="22"/>
      <c r="O209" s="22"/>
    </row>
    <row r="210" spans="2:15" x14ac:dyDescent="0.35">
      <c r="B210" s="117" t="s">
        <v>369</v>
      </c>
      <c r="C210" s="118"/>
      <c r="D210" s="119"/>
      <c r="E210" s="146"/>
      <c r="F210" s="119"/>
      <c r="G210" s="120"/>
      <c r="H210" s="146"/>
      <c r="I210" s="119"/>
      <c r="J210" s="120"/>
      <c r="L210" s="22"/>
      <c r="M210" s="22"/>
      <c r="N210" s="22"/>
      <c r="O210" s="22"/>
    </row>
    <row r="211" spans="2:15" x14ac:dyDescent="0.35">
      <c r="B211" s="115" t="s">
        <v>159</v>
      </c>
      <c r="C211" s="133" t="s">
        <v>368</v>
      </c>
      <c r="D211" s="134">
        <f>D202</f>
        <v>2.1339999999999999</v>
      </c>
      <c r="E211" s="145" t="str">
        <f>D135</f>
        <v/>
      </c>
      <c r="F211" s="134" t="str">
        <f>E135</f>
        <v/>
      </c>
      <c r="G211" s="135" t="str">
        <f>F135</f>
        <v/>
      </c>
      <c r="H211" s="145" t="str">
        <f>IFERROR(E211*$D211, "")</f>
        <v/>
      </c>
      <c r="I211" s="134" t="str">
        <f>IFERROR(F211*$D211, "")</f>
        <v/>
      </c>
      <c r="J211" s="135" t="str">
        <f>IFERROR(G211*$D211, "")</f>
        <v/>
      </c>
      <c r="L211" s="22"/>
    </row>
    <row r="212" spans="2:15" x14ac:dyDescent="0.35">
      <c r="B212" s="117" t="s">
        <v>370</v>
      </c>
      <c r="C212" s="118"/>
      <c r="D212" s="119"/>
      <c r="E212" s="146"/>
      <c r="F212" s="119"/>
      <c r="G212" s="120"/>
      <c r="H212" s="146"/>
      <c r="I212" s="119"/>
      <c r="J212" s="120"/>
      <c r="L212" s="22"/>
    </row>
    <row r="213" spans="2:15" x14ac:dyDescent="0.35">
      <c r="B213" s="115" t="s">
        <v>158</v>
      </c>
      <c r="C213" s="133" t="s">
        <v>367</v>
      </c>
      <c r="D213" s="134">
        <f>D201</f>
        <v>0.28299999999999997</v>
      </c>
      <c r="E213" s="144" t="str">
        <f>IFERROR(IF('BI - References'!$E$41="yes",((D141*D138)+(D142*D137)),""), "")</f>
        <v/>
      </c>
      <c r="F213" s="131" t="str">
        <f>IFERROR(IF('BI - References'!$E$41="yes",((E141*E138)+(E142*E137)),""), "")</f>
        <v/>
      </c>
      <c r="G213" s="132" t="str">
        <f>IFERROR(IF('BI - References'!$E$41="yes",((F141*F138)+(F142*F137)),""), "")</f>
        <v/>
      </c>
      <c r="H213" s="145" t="str">
        <f>IFERROR(E213*$D213, "")</f>
        <v/>
      </c>
      <c r="I213" s="134" t="str">
        <f>IFERROR(F213*$D213, "")</f>
        <v/>
      </c>
      <c r="J213" s="135" t="str">
        <f>IFERROR(G213*$D213, "")</f>
        <v/>
      </c>
      <c r="K213" s="221"/>
      <c r="L213" s="22"/>
    </row>
    <row r="214" spans="2:15" x14ac:dyDescent="0.35">
      <c r="B214" s="187" t="s">
        <v>371</v>
      </c>
      <c r="C214" s="137"/>
      <c r="D214" s="188"/>
      <c r="E214" s="189"/>
      <c r="F214" s="188"/>
      <c r="G214" s="190"/>
      <c r="H214" s="189"/>
      <c r="I214" s="188"/>
      <c r="J214" s="190"/>
      <c r="L214" s="22"/>
    </row>
    <row r="215" spans="2:15" x14ac:dyDescent="0.35">
      <c r="B215" s="117" t="s">
        <v>372</v>
      </c>
      <c r="C215" s="118"/>
      <c r="D215" s="119"/>
      <c r="E215" s="146"/>
      <c r="F215" s="119"/>
      <c r="G215" s="120"/>
      <c r="H215" s="146"/>
      <c r="I215" s="119"/>
      <c r="J215" s="120"/>
      <c r="L215" s="22"/>
    </row>
    <row r="216" spans="2:15" x14ac:dyDescent="0.35">
      <c r="B216" s="115" t="s">
        <v>158</v>
      </c>
      <c r="C216" s="133" t="s">
        <v>367</v>
      </c>
      <c r="D216" s="134">
        <f>D201</f>
        <v>0.28299999999999997</v>
      </c>
      <c r="E216" s="145" t="str">
        <f>IFERROR( ( D148 * D149^2 * D150 * D146 *  (1+D151) ) / 1000, "")</f>
        <v/>
      </c>
      <c r="F216" s="145" t="str">
        <f>IFERROR( ( E148 * E149^2 * E150 * E146 *  (1+E151) ) / 1000, "")</f>
        <v/>
      </c>
      <c r="G216" s="145" t="str">
        <f>IFERROR( ( F148 * F149^2 * F150 * F146 *  (1+F151) ) / 1000, "")</f>
        <v/>
      </c>
      <c r="H216" s="145" t="str">
        <f>IFERROR(E216*$D216, "")</f>
        <v/>
      </c>
      <c r="I216" s="134" t="str">
        <f>IFERROR(F216*$D216, "")</f>
        <v/>
      </c>
      <c r="J216" s="135" t="str">
        <f>IFERROR(G216*$D216, "")</f>
        <v/>
      </c>
      <c r="L216" s="22"/>
    </row>
    <row r="217" spans="2:15" x14ac:dyDescent="0.35">
      <c r="B217" s="117" t="s">
        <v>373</v>
      </c>
      <c r="C217" s="118"/>
      <c r="D217" s="119"/>
      <c r="E217" s="146"/>
      <c r="F217" s="119"/>
      <c r="G217" s="120"/>
      <c r="H217" s="146"/>
      <c r="I217" s="119"/>
      <c r="J217" s="120"/>
      <c r="L217" s="22"/>
    </row>
    <row r="218" spans="2:15" x14ac:dyDescent="0.35">
      <c r="B218" s="116" t="s">
        <v>374</v>
      </c>
      <c r="C218" s="1" t="s">
        <v>375</v>
      </c>
      <c r="D218" s="130" t="s">
        <v>177</v>
      </c>
      <c r="E218" s="144" t="str">
        <f>IFERROR(D157^2*D163, "")</f>
        <v/>
      </c>
      <c r="F218" s="131" t="str">
        <f t="shared" ref="E218:G223" si="14">IFERROR(E157^2*E163, "")</f>
        <v/>
      </c>
      <c r="G218" s="132" t="str">
        <f t="shared" si="14"/>
        <v/>
      </c>
      <c r="H218" s="144" t="str">
        <f t="shared" ref="H218:J225" si="15">IFERROR(E218*$D218, "")</f>
        <v/>
      </c>
      <c r="I218" s="131" t="str">
        <f t="shared" si="15"/>
        <v/>
      </c>
      <c r="J218" s="132" t="str">
        <f t="shared" si="15"/>
        <v/>
      </c>
      <c r="L218" s="22"/>
    </row>
    <row r="219" spans="2:15" x14ac:dyDescent="0.35">
      <c r="B219" s="116" t="s">
        <v>376</v>
      </c>
      <c r="C219" s="1" t="s">
        <v>375</v>
      </c>
      <c r="D219" s="130" t="s">
        <v>177</v>
      </c>
      <c r="E219" s="144" t="str">
        <f t="shared" si="14"/>
        <v/>
      </c>
      <c r="F219" s="131" t="str">
        <f t="shared" si="14"/>
        <v/>
      </c>
      <c r="G219" s="132" t="str">
        <f t="shared" si="14"/>
        <v/>
      </c>
      <c r="H219" s="144" t="str">
        <f t="shared" si="15"/>
        <v/>
      </c>
      <c r="I219" s="131" t="str">
        <f t="shared" si="15"/>
        <v/>
      </c>
      <c r="J219" s="132" t="str">
        <f t="shared" si="15"/>
        <v/>
      </c>
      <c r="L219" s="22"/>
    </row>
    <row r="220" spans="2:15" x14ac:dyDescent="0.35">
      <c r="B220" s="116" t="s">
        <v>377</v>
      </c>
      <c r="C220" s="1" t="s">
        <v>375</v>
      </c>
      <c r="D220" s="130" t="s">
        <v>177</v>
      </c>
      <c r="E220" s="144" t="str">
        <f t="shared" si="14"/>
        <v/>
      </c>
      <c r="F220" s="131" t="str">
        <f t="shared" si="14"/>
        <v/>
      </c>
      <c r="G220" s="132" t="str">
        <f t="shared" si="14"/>
        <v/>
      </c>
      <c r="H220" s="144" t="str">
        <f t="shared" si="15"/>
        <v/>
      </c>
      <c r="I220" s="131" t="str">
        <f t="shared" si="15"/>
        <v/>
      </c>
      <c r="J220" s="132" t="str">
        <f t="shared" si="15"/>
        <v/>
      </c>
      <c r="L220" s="22"/>
    </row>
    <row r="221" spans="2:15" x14ac:dyDescent="0.35">
      <c r="B221" s="116" t="s">
        <v>378</v>
      </c>
      <c r="C221" s="1" t="s">
        <v>375</v>
      </c>
      <c r="D221" s="130" t="s">
        <v>177</v>
      </c>
      <c r="E221" s="144" t="str">
        <f t="shared" si="14"/>
        <v/>
      </c>
      <c r="F221" s="131" t="str">
        <f t="shared" si="14"/>
        <v/>
      </c>
      <c r="G221" s="132" t="str">
        <f t="shared" si="14"/>
        <v/>
      </c>
      <c r="H221" s="144" t="str">
        <f t="shared" si="15"/>
        <v/>
      </c>
      <c r="I221" s="131" t="str">
        <f t="shared" si="15"/>
        <v/>
      </c>
      <c r="J221" s="132" t="str">
        <f t="shared" si="15"/>
        <v/>
      </c>
      <c r="L221" s="22"/>
    </row>
    <row r="222" spans="2:15" x14ac:dyDescent="0.35">
      <c r="B222" s="116" t="s">
        <v>379</v>
      </c>
      <c r="C222" s="1" t="s">
        <v>375</v>
      </c>
      <c r="D222" s="130" t="s">
        <v>177</v>
      </c>
      <c r="E222" s="144" t="str">
        <f t="shared" si="14"/>
        <v/>
      </c>
      <c r="F222" s="131" t="str">
        <f t="shared" si="14"/>
        <v/>
      </c>
      <c r="G222" s="132" t="str">
        <f t="shared" si="14"/>
        <v/>
      </c>
      <c r="H222" s="144" t="str">
        <f t="shared" si="15"/>
        <v/>
      </c>
      <c r="I222" s="131" t="str">
        <f t="shared" si="15"/>
        <v/>
      </c>
      <c r="J222" s="132" t="str">
        <f t="shared" si="15"/>
        <v/>
      </c>
      <c r="L222" s="22"/>
    </row>
    <row r="223" spans="2:15" x14ac:dyDescent="0.35">
      <c r="B223" s="116" t="s">
        <v>380</v>
      </c>
      <c r="C223" s="1" t="s">
        <v>375</v>
      </c>
      <c r="D223" s="130" t="s">
        <v>177</v>
      </c>
      <c r="E223" s="144" t="str">
        <f t="shared" si="14"/>
        <v/>
      </c>
      <c r="F223" s="131" t="str">
        <f t="shared" si="14"/>
        <v/>
      </c>
      <c r="G223" s="132" t="str">
        <f t="shared" si="14"/>
        <v/>
      </c>
      <c r="H223" s="144" t="str">
        <f t="shared" si="15"/>
        <v/>
      </c>
      <c r="I223" s="131" t="str">
        <f t="shared" si="15"/>
        <v/>
      </c>
      <c r="J223" s="132" t="str">
        <f t="shared" si="15"/>
        <v/>
      </c>
      <c r="L223" s="22"/>
    </row>
    <row r="224" spans="2:15" x14ac:dyDescent="0.35">
      <c r="B224" s="116" t="s">
        <v>381</v>
      </c>
      <c r="C224" s="1" t="s">
        <v>375</v>
      </c>
      <c r="D224" s="130" t="s">
        <v>177</v>
      </c>
      <c r="E224" s="144">
        <f>IFERROR(SUM(E218:E223), "")</f>
        <v>0</v>
      </c>
      <c r="F224" s="131">
        <f t="shared" ref="F224:G224" si="16">IFERROR(SUM(F218:F223), "")</f>
        <v>0</v>
      </c>
      <c r="G224" s="132">
        <f t="shared" si="16"/>
        <v>0</v>
      </c>
      <c r="H224" s="144" t="str">
        <f t="shared" si="15"/>
        <v/>
      </c>
      <c r="I224" s="131" t="str">
        <f t="shared" si="15"/>
        <v/>
      </c>
      <c r="J224" s="132" t="str">
        <f t="shared" si="15"/>
        <v/>
      </c>
      <c r="L224" s="22"/>
    </row>
    <row r="225" spans="2:12" x14ac:dyDescent="0.35">
      <c r="B225" s="115" t="s">
        <v>158</v>
      </c>
      <c r="C225" s="133" t="s">
        <v>367</v>
      </c>
      <c r="D225" s="134">
        <f>D201</f>
        <v>0.28299999999999997</v>
      </c>
      <c r="E225" s="145" t="str">
        <f>IFERROR( IF('BI - References'!$E$21="yes",E224 * (D155 * D153 * D154^2)/1000,""), "")</f>
        <v/>
      </c>
      <c r="F225" s="134" t="str">
        <f>IFERROR( IF('BI - References'!$E$21="yes",F224 * (E155 * E153 * E154^2)/1000,""), "")</f>
        <v/>
      </c>
      <c r="G225" s="135" t="str">
        <f>IFERROR( IF('BI - References'!$E$21="yes",G224 * (F155 * F153 * F154^2)/1000,""), "")</f>
        <v/>
      </c>
      <c r="H225" s="145" t="str">
        <f>IFERROR(E225*$D225, "")</f>
        <v/>
      </c>
      <c r="I225" s="134" t="str">
        <f t="shared" si="15"/>
        <v/>
      </c>
      <c r="J225" s="135" t="str">
        <f t="shared" si="15"/>
        <v/>
      </c>
      <c r="L225" s="22"/>
    </row>
    <row r="226" spans="2:12" x14ac:dyDescent="0.35">
      <c r="B226" s="124" t="s">
        <v>382</v>
      </c>
      <c r="C226" s="118"/>
      <c r="D226" s="122"/>
      <c r="E226" s="143"/>
      <c r="F226" s="122"/>
      <c r="G226" s="123"/>
      <c r="H226" s="146">
        <f>IFERROR(SUM(H208,H209,H211,H213,H216,H225), 0)</f>
        <v>0</v>
      </c>
      <c r="I226" s="119">
        <f>IFERROR(SUM(I208,I209,I211,I213,I216,I225), 0)</f>
        <v>0</v>
      </c>
      <c r="J226" s="120">
        <f>IFERROR(SUM(J208,J209,J211,J213,J216,J225), 0)</f>
        <v>0</v>
      </c>
      <c r="K226" t="s">
        <v>383</v>
      </c>
      <c r="L226" s="22"/>
    </row>
    <row r="227" spans="2:12" x14ac:dyDescent="0.35">
      <c r="B227" s="125" t="s">
        <v>384</v>
      </c>
      <c r="C227" s="126"/>
      <c r="D227" s="126"/>
      <c r="E227" s="147"/>
      <c r="F227" s="127"/>
      <c r="G227" s="148"/>
      <c r="H227" s="149">
        <f>IFERROR(H226*D112, "")</f>
        <v>0</v>
      </c>
      <c r="I227" s="128">
        <f>IFERROR(I226*E112, "")</f>
        <v>0</v>
      </c>
      <c r="J227" s="129" t="str">
        <f>IFERROR(J226*F112, "")</f>
        <v/>
      </c>
      <c r="K227" t="s">
        <v>385</v>
      </c>
      <c r="L227" s="22"/>
    </row>
    <row r="228" spans="2:12" x14ac:dyDescent="0.35">
      <c r="L228" s="22"/>
    </row>
    <row r="229" spans="2:12" x14ac:dyDescent="0.35">
      <c r="B229" s="21" t="s">
        <v>542</v>
      </c>
    </row>
    <row r="230" spans="2:12" x14ac:dyDescent="0.35">
      <c r="B230" t="s">
        <v>386</v>
      </c>
      <c r="C230" t="s">
        <v>315</v>
      </c>
      <c r="D230" t="s">
        <v>316</v>
      </c>
      <c r="E230" t="s">
        <v>317</v>
      </c>
      <c r="F230" s="69"/>
    </row>
    <row r="231" spans="2:12" x14ac:dyDescent="0.35">
      <c r="B231" s="69" t="s">
        <v>388</v>
      </c>
      <c r="C231" s="22" t="str">
        <f>IFERROR(IF('BI - References'!$E$21="yes",(D170-D171)*D175, ""), "")</f>
        <v/>
      </c>
      <c r="D231" s="22" t="str">
        <f>IFERROR(IF('BI - References'!$E$21="yes",(E170-E171)*E175,""), "")</f>
        <v/>
      </c>
      <c r="E231" s="22" t="str">
        <f>IFERROR(IF('BI - References'!$E$21="yes",(F170-F171)*F175,""), "")</f>
        <v/>
      </c>
      <c r="F231" t="s">
        <v>562</v>
      </c>
    </row>
    <row r="232" spans="2:12" x14ac:dyDescent="0.35">
      <c r="B232" t="s">
        <v>531</v>
      </c>
      <c r="C232" s="43" t="str">
        <f>_xlfn.LET(_xlpm.recycled,_xlfn.XLOOKUP("Insulating/ switch gas SF6",BI_Tbl_materials[Material],BI_Tbl_materials[Asset '#1 - Recycled (%)],0,0),IF(D172="SF6",126.72617*(1-_xlpm.recycled)+32.883956*_xlpm.recycled,D173))</f>
        <v/>
      </c>
      <c r="D232" s="43" t="str">
        <f>_xlfn.LET(_xlpm.recycled,_xlfn.XLOOKUP("Insulating/ switch gas SF6",BI_Tbl_materials[Material],BI_Tbl_materials[Asset '#2 - Recycled (%)],0,0),IF(E172="SF6",126.72617*(1-_xlpm.recycled)+32.883956*_xlpm.recycled,E173))</f>
        <v/>
      </c>
      <c r="E232" s="43" t="str">
        <f>_xlfn.LET(_xlpm.recycled,_xlfn.XLOOKUP("Insulating/ switch gas SF6",BI_Tbl_materials[Material],BI_Tbl_materials[Asset '#3 - Recycled (%)],0,0),IF(F172="SF6",126.72617*(1-_xlpm.recycled)+32.883956*_xlpm.recycled,F173))</f>
        <v/>
      </c>
      <c r="F232" t="s">
        <v>560</v>
      </c>
      <c r="H232" s="44"/>
      <c r="J232" s="186"/>
    </row>
    <row r="233" spans="2:12" x14ac:dyDescent="0.35">
      <c r="B233" t="s">
        <v>532</v>
      </c>
      <c r="C233" s="43" t="str">
        <f>IF(D172="SF6",24300,D174)</f>
        <v/>
      </c>
      <c r="D233" s="43" t="str">
        <f>IF(E172="SF6",24300,E174)</f>
        <v/>
      </c>
      <c r="E233" s="43" t="str">
        <f>IF(F172="SF6",24300,F174)</f>
        <v/>
      </c>
      <c r="F233" t="s">
        <v>556</v>
      </c>
    </row>
    <row r="234" spans="2:12" x14ac:dyDescent="0.35">
      <c r="B234" s="68" t="s">
        <v>541</v>
      </c>
      <c r="C234" s="25" t="str">
        <f>IFERROR(_xlfn.XLOOKUP("Insulating/ switch gas SF6",BI_Tbl_materials[Material],BI_Tbl_materials[Asset '#1 - Weight (g)],0,0)/1000*C232,"0")</f>
        <v>0</v>
      </c>
      <c r="D234" s="25" t="str">
        <f>IFERROR(_xlfn.XLOOKUP("Insulating/ switch gas SF6",BI_Tbl_materials[Material],BI_Tbl_materials[Asset '#2 - Weight (g)],0,0)/1000*D232,"0")</f>
        <v>0</v>
      </c>
      <c r="E234" s="25" t="str">
        <f>IFERROR(_xlfn.XLOOKUP("Insulating/ switch gas SF6",BI_Tbl_materials[Material],BI_Tbl_materials[Asset '#3 - Weight (g)],0,0)/1000*E232,"0")</f>
        <v>0</v>
      </c>
    </row>
    <row r="235" spans="2:12" ht="27" x14ac:dyDescent="0.35">
      <c r="B235" s="68" t="s">
        <v>389</v>
      </c>
      <c r="C235" s="25" t="str">
        <f>IFERROR(C231*C233, "0")</f>
        <v>0</v>
      </c>
      <c r="D235" s="25" t="str">
        <f t="shared" ref="D235:E235" si="17">IFERROR(D231*D233, "0")</f>
        <v>0</v>
      </c>
      <c r="E235" s="25" t="str">
        <f t="shared" si="17"/>
        <v>0</v>
      </c>
      <c r="F235" t="s">
        <v>390</v>
      </c>
    </row>
    <row r="236" spans="2:12" x14ac:dyDescent="0.35">
      <c r="C236" s="22"/>
      <c r="D236" s="22"/>
      <c r="E236" s="22"/>
    </row>
    <row r="237" spans="2:12" x14ac:dyDescent="0.35">
      <c r="B237" s="21" t="s">
        <v>391</v>
      </c>
    </row>
    <row r="238" spans="2:12" x14ac:dyDescent="0.35">
      <c r="B238" s="22" t="s">
        <v>386</v>
      </c>
      <c r="C238" t="s">
        <v>175</v>
      </c>
      <c r="D238" t="s">
        <v>315</v>
      </c>
      <c r="E238" t="s">
        <v>316</v>
      </c>
      <c r="F238" t="s">
        <v>317</v>
      </c>
      <c r="G238" t="s">
        <v>387</v>
      </c>
      <c r="H238" s="44"/>
    </row>
    <row r="239" spans="2:12" x14ac:dyDescent="0.35">
      <c r="B239" t="s">
        <v>126</v>
      </c>
      <c r="C239" s="48" t="str">
        <f>BI_ref_baseline_price</f>
        <v>N/A</v>
      </c>
      <c r="D239" s="48" t="str">
        <f>D111</f>
        <v/>
      </c>
      <c r="E239" s="48" t="str">
        <f>E111</f>
        <v/>
      </c>
      <c r="F239" s="48" t="str">
        <f>F111</f>
        <v/>
      </c>
    </row>
    <row r="240" spans="2:12" x14ac:dyDescent="0.35">
      <c r="B240" t="s">
        <v>392</v>
      </c>
      <c r="C240" s="51" t="str">
        <f>IFERROR(BI_ref_baseline_GWP_total/BI_REF_multiplier_kg_g,"")</f>
        <v/>
      </c>
      <c r="D240" s="51">
        <f>D266</f>
        <v>0</v>
      </c>
      <c r="E240" s="51">
        <f t="shared" ref="E240" si="18">E266</f>
        <v>0</v>
      </c>
      <c r="F240" s="51">
        <f>F266</f>
        <v>0</v>
      </c>
    </row>
    <row r="241" spans="1:22" x14ac:dyDescent="0.35">
      <c r="B241" t="s">
        <v>393</v>
      </c>
      <c r="C241" s="51" t="str">
        <f>IFERROR(C240/1000, "")</f>
        <v/>
      </c>
      <c r="D241" s="51">
        <f t="shared" ref="D241:F241" si="19">IFERROR(D240/1000, "")</f>
        <v>0</v>
      </c>
      <c r="E241" s="51">
        <f t="shared" si="19"/>
        <v>0</v>
      </c>
      <c r="F241" s="51">
        <f t="shared" si="19"/>
        <v>0</v>
      </c>
    </row>
    <row r="242" spans="1:22" ht="27" x14ac:dyDescent="0.35">
      <c r="B242" s="50" t="s">
        <v>185</v>
      </c>
      <c r="C242" s="53" t="s">
        <v>177</v>
      </c>
      <c r="D242" s="52" t="str">
        <f>IFERROR( (D239-$C$239)/($C$241-D241), "-")</f>
        <v>-</v>
      </c>
      <c r="E242" s="52" t="str">
        <f>IFERROR( (E239-$C$239)/($C$241-E241), "-")</f>
        <v>-</v>
      </c>
      <c r="F242" s="52" t="str">
        <f>IFERROR( (F239-$C$239)/($C$241-F241), "-")</f>
        <v>-</v>
      </c>
      <c r="G242" t="s">
        <v>394</v>
      </c>
    </row>
    <row r="243" spans="1:22" x14ac:dyDescent="0.35">
      <c r="C243" s="49"/>
      <c r="D243" s="49"/>
      <c r="E243" s="49"/>
      <c r="F243" s="49"/>
    </row>
    <row r="244" spans="1:22" s="171" customFormat="1" ht="20.5" x14ac:dyDescent="0.45">
      <c r="A244" s="169"/>
      <c r="B244" s="170" t="s">
        <v>395</v>
      </c>
      <c r="C244" s="169"/>
      <c r="D244" s="169"/>
      <c r="E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</row>
    <row r="245" spans="1:22" x14ac:dyDescent="0.35">
      <c r="B245" s="21"/>
      <c r="F245" s="21"/>
    </row>
    <row r="246" spans="1:22" x14ac:dyDescent="0.35">
      <c r="B246" s="21" t="str">
        <f>"Climate change impact per year ("&amp;BI_Ref_g_kg&amp;" CO2-eq/unit per year)"</f>
        <v>Climate change impact per year (kg CO2-eq/unit per year)</v>
      </c>
      <c r="F246" s="22"/>
    </row>
    <row r="247" spans="1:22" ht="27" x14ac:dyDescent="0.35">
      <c r="C247" s="219" t="s">
        <v>175</v>
      </c>
      <c r="D247" s="218" t="str">
        <f>"Asset 1" &amp; IF(D$110="","", ": " &amp; D$110)</f>
        <v>Asset 1: 20cm kabelafdekband</v>
      </c>
      <c r="E247" s="218" t="str">
        <f>"Asset 2" &amp; IF(E$110="","", ": " &amp; E$110)</f>
        <v xml:space="preserve">Asset 2: 40cm kabelafdekband </v>
      </c>
      <c r="F247" s="218" t="str">
        <f>"Asset 3" &amp; IF(F$110="","", ": " &amp; F$110)</f>
        <v>Asset 3</v>
      </c>
      <c r="G247" s="21" t="s">
        <v>396</v>
      </c>
      <c r="L247" s="221"/>
    </row>
    <row r="248" spans="1:22" x14ac:dyDescent="0.35">
      <c r="B248" s="39" t="s">
        <v>397</v>
      </c>
      <c r="C248" s="173" t="s">
        <v>177</v>
      </c>
      <c r="D248" s="258">
        <f>IFERROR(D261/D$257,"")</f>
        <v>0</v>
      </c>
      <c r="E248" s="166">
        <f t="shared" ref="E248:F248" si="20">IFERROR(E261/E$257,"")</f>
        <v>0</v>
      </c>
      <c r="F248" s="166" t="str">
        <f t="shared" si="20"/>
        <v/>
      </c>
      <c r="G248" t="s">
        <v>398</v>
      </c>
    </row>
    <row r="249" spans="1:22" x14ac:dyDescent="0.35">
      <c r="B249" s="39" t="s">
        <v>178</v>
      </c>
      <c r="C249" s="8" t="s">
        <v>177</v>
      </c>
      <c r="D249" s="258" t="str">
        <f>IF(OR(BI_ref_selected_goal="Insight",BI_ref_assembly_energy_tender = "yes"),IFERROR(D262/D$257,""), "-")</f>
        <v>-</v>
      </c>
      <c r="E249" s="166" t="str">
        <f>IF(OR(BI_ref_selected_goal="Insight",BI_ref_assembly_energy_tender = "yes"),IFERROR(E262/E$257,""), "-")</f>
        <v>-</v>
      </c>
      <c r="F249" s="166" t="str">
        <f>IF(OR(BI_ref_selected_goal="Insight",BI_ref_assembly_energy_tender = "yes"),IFERROR(F262/F$257,""), "-")</f>
        <v>-</v>
      </c>
      <c r="G249" t="s">
        <v>399</v>
      </c>
    </row>
    <row r="250" spans="1:22" x14ac:dyDescent="0.35">
      <c r="B250" s="39" t="s">
        <v>179</v>
      </c>
      <c r="C250" s="8" t="s">
        <v>177</v>
      </c>
      <c r="D250" s="258" t="str">
        <f>IFERROR(D263/D$257,"")</f>
        <v/>
      </c>
      <c r="E250" s="166" t="str">
        <f t="shared" ref="E250:F253" si="21">IFERROR(E263/E$257,"")</f>
        <v/>
      </c>
      <c r="F250" s="166" t="str">
        <f t="shared" si="21"/>
        <v/>
      </c>
      <c r="G250" t="s">
        <v>355</v>
      </c>
    </row>
    <row r="251" spans="1:22" x14ac:dyDescent="0.35">
      <c r="B251" s="39" t="s">
        <v>180</v>
      </c>
      <c r="C251" s="8" t="s">
        <v>177</v>
      </c>
      <c r="D251" s="258" t="str">
        <f>IF( OR(AND(BI_ref_asset=BI_ref_assetname_electricity_cable,BI_ref_losses="no"),AND(BI_ref_asset=BI_ref_assetname_gas_tube, BI_ref_selected_goal&lt;&gt;"Insight")), "-", IFERROR(D264/D$257,""))</f>
        <v>-</v>
      </c>
      <c r="E251" s="166" t="str">
        <f>IF( OR(AND(BI_ref_asset=BI_ref_assetname_electricity_cable,BI_ref_losses="no"),AND(BI_ref_asset=BI_ref_assetname_gas_tube, BI_ref_selected_goal&lt;&gt;"Insight")), "-", IFERROR(E264/E$257,""))</f>
        <v>-</v>
      </c>
      <c r="F251" s="166" t="str">
        <f>IF( OR(AND(BI_ref_asset=BI_ref_assetname_electricity_cable,BI_ref_losses="no"),AND(BI_ref_asset=BI_ref_assetname_gas_tube, BI_ref_selected_goal&lt;&gt;"Insight")), "-", IFERROR(F264/F$257,""))</f>
        <v>-</v>
      </c>
      <c r="G251" t="s">
        <v>400</v>
      </c>
    </row>
    <row r="252" spans="1:22" x14ac:dyDescent="0.35">
      <c r="B252" s="39" t="s">
        <v>401</v>
      </c>
      <c r="C252" s="8" t="s">
        <v>177</v>
      </c>
      <c r="D252" s="258">
        <f>IFERROR(D265/D$257,"")</f>
        <v>0</v>
      </c>
      <c r="E252" s="166">
        <f t="shared" si="21"/>
        <v>0</v>
      </c>
      <c r="F252" s="166" t="str">
        <f t="shared" si="21"/>
        <v/>
      </c>
      <c r="G252" t="s">
        <v>398</v>
      </c>
    </row>
    <row r="253" spans="1:22" x14ac:dyDescent="0.35">
      <c r="B253" s="172" t="s">
        <v>182</v>
      </c>
      <c r="C253" s="174" t="str">
        <f>IF(BI_ref_baseline_GWP_per_year="","-",BI_ref_baseline_GWP_per_year)</f>
        <v>-</v>
      </c>
      <c r="D253" s="257">
        <f>IFERROR(D266/D$257,"")</f>
        <v>0</v>
      </c>
      <c r="E253" s="176">
        <f t="shared" si="21"/>
        <v>0</v>
      </c>
      <c r="F253" s="176" t="str">
        <f t="shared" si="21"/>
        <v/>
      </c>
      <c r="G253" t="s">
        <v>398</v>
      </c>
    </row>
    <row r="254" spans="1:22" x14ac:dyDescent="0.35">
      <c r="C254" s="22"/>
    </row>
    <row r="255" spans="1:22" x14ac:dyDescent="0.35">
      <c r="B255" s="21" t="s">
        <v>183</v>
      </c>
      <c r="C255" s="22"/>
    </row>
    <row r="256" spans="1:22" ht="27" x14ac:dyDescent="0.35">
      <c r="C256" s="220" t="str">
        <f>C247</f>
        <v>Baseline</v>
      </c>
      <c r="D256" s="220" t="str">
        <f t="shared" ref="D256:F256" si="22">D247</f>
        <v>Asset 1: 20cm kabelafdekband</v>
      </c>
      <c r="E256" s="220" t="str">
        <f t="shared" si="22"/>
        <v xml:space="preserve">Asset 2: 40cm kabelafdekband </v>
      </c>
      <c r="F256" s="220" t="str">
        <f t="shared" si="22"/>
        <v>Asset 3</v>
      </c>
    </row>
    <row r="257" spans="2:12" x14ac:dyDescent="0.35">
      <c r="B257" s="39" t="s">
        <v>114</v>
      </c>
      <c r="C257" s="177" t="str">
        <f>IF(BI_ref_baseline_lifetime="","-",BI_ref_baseline_lifetime)</f>
        <v>-</v>
      </c>
      <c r="D257" s="166">
        <f>D112</f>
        <v>40</v>
      </c>
      <c r="E257" s="166">
        <f>E112</f>
        <v>40</v>
      </c>
      <c r="F257" s="166" t="str">
        <f>F112</f>
        <v/>
      </c>
      <c r="G257" t="s">
        <v>402</v>
      </c>
      <c r="H257" s="150"/>
    </row>
    <row r="258" spans="2:12" x14ac:dyDescent="0.35">
      <c r="C258" s="22"/>
      <c r="I258" s="22"/>
    </row>
    <row r="259" spans="2:12" x14ac:dyDescent="0.35">
      <c r="B259" s="21" t="str">
        <f>"Climate change impact total ("&amp;BI_Ref_g_kg&amp;" CO2-eq/unit)"</f>
        <v>Climate change impact total (kg CO2-eq/unit)</v>
      </c>
      <c r="C259" s="22"/>
      <c r="I259" s="22"/>
    </row>
    <row r="260" spans="2:12" ht="27" x14ac:dyDescent="0.35">
      <c r="C260" s="220" t="str">
        <f>C247</f>
        <v>Baseline</v>
      </c>
      <c r="D260" s="220" t="str">
        <f t="shared" ref="D260:F260" si="23">D247</f>
        <v>Asset 1: 20cm kabelafdekband</v>
      </c>
      <c r="E260" s="220" t="str">
        <f t="shared" si="23"/>
        <v xml:space="preserve">Asset 2: 40cm kabelafdekband </v>
      </c>
      <c r="F260" s="220" t="str">
        <f t="shared" si="23"/>
        <v>Asset 3</v>
      </c>
      <c r="I260" s="22"/>
    </row>
    <row r="261" spans="2:12" x14ac:dyDescent="0.35">
      <c r="B261" s="39" t="s">
        <v>397</v>
      </c>
      <c r="C261" s="173" t="s">
        <v>177</v>
      </c>
      <c r="D261" s="166">
        <f>IFERROR(SUM(BI_Tbl_materials[Asset '#1 - CFP_materials],$C$234)*BI_REF_multiplier_kg_g, "")</f>
        <v>0</v>
      </c>
      <c r="E261" s="166">
        <f>IFERROR(SUM(BI_Tbl_materials[Asset '#2 - CFP_materials],$D$234)*BI_REF_multiplier_kg_g, "")</f>
        <v>0</v>
      </c>
      <c r="F261" s="166">
        <f>IFERROR(SUM(BI_Tbl_materials[Asset '#3 - CFP_materials],$E$234)*BI_REF_multiplier_kg_g, "")</f>
        <v>0</v>
      </c>
      <c r="G261" t="s">
        <v>398</v>
      </c>
      <c r="I261" s="22"/>
    </row>
    <row r="262" spans="2:12" x14ac:dyDescent="0.35">
      <c r="B262" s="39" t="s">
        <v>178</v>
      </c>
      <c r="C262" s="8" t="s">
        <v>177</v>
      </c>
      <c r="D262" s="166" t="str">
        <f>IF(OR(BI_ref_selected_goal="Insight",BI_ref_assembly_energy_tender = "yes"),IFERROR(D185*BI_REF_multiplier_kg_g,""), "-")</f>
        <v>-</v>
      </c>
      <c r="E262" s="166" t="str">
        <f>IF(OR(BI_ref_selected_goal="Insight",BI_ref_assembly_energy_tender = "yes"),IFERROR(E185*BI_REF_multiplier_kg_g,""), "-")</f>
        <v>-</v>
      </c>
      <c r="F262" s="166" t="str">
        <f>IF(OR(BI_ref_selected_goal="Insight",BI_ref_assembly_energy_tender = "yes"),IFERROR(F185*BI_REF_multiplier_kg_g,""), "-")</f>
        <v>-</v>
      </c>
      <c r="G262" t="s">
        <v>399</v>
      </c>
      <c r="I262" s="22"/>
      <c r="L262" s="221"/>
    </row>
    <row r="263" spans="2:12" x14ac:dyDescent="0.35">
      <c r="B263" s="39" t="s">
        <v>179</v>
      </c>
      <c r="C263" s="8" t="s">
        <v>177</v>
      </c>
      <c r="D263" s="166" t="str">
        <f>IFERROR(D197*BI_REF_multiplier_kg_g, "")</f>
        <v/>
      </c>
      <c r="E263" s="166" t="str">
        <f>IFERROR(E197*BI_REF_multiplier_kg_g, "")</f>
        <v/>
      </c>
      <c r="F263" s="166" t="str">
        <f>IFERROR(F197*BI_REF_multiplier_kg_g, "")</f>
        <v/>
      </c>
      <c r="G263" t="s">
        <v>355</v>
      </c>
      <c r="I263" s="22"/>
      <c r="L263" s="221"/>
    </row>
    <row r="264" spans="2:12" x14ac:dyDescent="0.35">
      <c r="B264" s="39" t="s">
        <v>180</v>
      </c>
      <c r="C264" s="8" t="s">
        <v>177</v>
      </c>
      <c r="D264" s="166">
        <f>IF( AND(BI_ref_asset=BI_ref_assetname_gas_tube, BI_ref_selected_goal&lt;&gt;"Insight"), "-", IFERROR((H227+C235)*BI_REF_multiplier_kg_g,""))</f>
        <v>0</v>
      </c>
      <c r="E264" s="166">
        <f>IF( AND(BI_ref_asset=BI_ref_assetname_gas_tube, BI_ref_selected_goal&lt;&gt;"Insight"), "-", IFERROR((I227+D235)*BI_REF_multiplier_kg_g,""))</f>
        <v>0</v>
      </c>
      <c r="F264" s="166" t="str">
        <f>IF( AND(BI_ref_asset=BI_ref_assetname_gas_tube, BI_ref_selected_goal&lt;&gt;"Insight"), "-", IFERROR((J227+E235)*BI_REF_multiplier_kg_g,""))</f>
        <v/>
      </c>
      <c r="G264" t="s">
        <v>400</v>
      </c>
      <c r="I264" s="22"/>
    </row>
    <row r="265" spans="2:12" x14ac:dyDescent="0.35">
      <c r="B265" s="39" t="s">
        <v>401</v>
      </c>
      <c r="C265" s="8" t="s">
        <v>177</v>
      </c>
      <c r="D265" s="258">
        <f>IFERROR(SUM(BI_Tbl_materials[Asset '#1 - CFP_eol])*BI_REF_multiplier_kg_g, "")</f>
        <v>0</v>
      </c>
      <c r="E265" s="166">
        <f>IFERROR(SUM(BI_Tbl_materials[Asset '#2 - CFP_eol])*BI_REF_multiplier_kg_g, "")</f>
        <v>0</v>
      </c>
      <c r="F265" s="166">
        <f>IFERROR(SUM(BI_Tbl_materials[Asset '#3 - CFP_eol])*BI_REF_multiplier_kg_g, "")</f>
        <v>0</v>
      </c>
      <c r="G265" t="s">
        <v>398</v>
      </c>
      <c r="I265" s="22"/>
    </row>
    <row r="266" spans="2:12" x14ac:dyDescent="0.35">
      <c r="B266" s="172" t="s">
        <v>182</v>
      </c>
      <c r="C266" s="174" t="str">
        <f>IF(BI_ref_baseline_GWP_total="","-",BI_ref_baseline_GWP_total)</f>
        <v>-</v>
      </c>
      <c r="D266" s="257">
        <f>IFERROR(SUM(D261:D264), "")</f>
        <v>0</v>
      </c>
      <c r="E266" s="257">
        <f>IFERROR(SUM(E261:E264), "")</f>
        <v>0</v>
      </c>
      <c r="F266" s="257">
        <f>IFERROR(SUM(F261:F264), "")</f>
        <v>0</v>
      </c>
      <c r="G266" t="s">
        <v>398</v>
      </c>
      <c r="I266" s="22"/>
    </row>
    <row r="267" spans="2:12" x14ac:dyDescent="0.35">
      <c r="C267" s="22"/>
      <c r="I267" s="22"/>
    </row>
    <row r="268" spans="2:12" x14ac:dyDescent="0.35">
      <c r="B268" s="21" t="s">
        <v>184</v>
      </c>
      <c r="C268" s="22"/>
    </row>
    <row r="269" spans="2:12" ht="27" x14ac:dyDescent="0.35">
      <c r="C269" s="220" t="str">
        <f>C247</f>
        <v>Baseline</v>
      </c>
      <c r="D269" s="220" t="str">
        <f t="shared" ref="D269:F269" si="24">D247</f>
        <v>Asset 1: 20cm kabelafdekband</v>
      </c>
      <c r="E269" s="220" t="str">
        <f t="shared" si="24"/>
        <v xml:space="preserve">Asset 2: 40cm kabelafdekband </v>
      </c>
      <c r="F269" s="220" t="str">
        <f t="shared" si="24"/>
        <v>Asset 3</v>
      </c>
    </row>
    <row r="270" spans="2:12" x14ac:dyDescent="0.35">
      <c r="B270" s="39" t="s">
        <v>403</v>
      </c>
      <c r="C270" s="178" t="str">
        <f>IF(BI_ref_baseline_circ="","-",BI_ref_baseline_circ)</f>
        <v>-</v>
      </c>
      <c r="D270" s="167" t="str">
        <f>IFERROR( SUMPRODUCT(BI_Tbl_materials[Asset '#1 - Weight (g)],BI_Tbl_materials[Asset '#1 - Circular content]) / SUM(BI_Tbl_materials[Asset '#1 - Weight (g)]), "")</f>
        <v/>
      </c>
      <c r="E270" s="167" t="str">
        <f>IFERROR( SUMPRODUCT(BI_Tbl_materials[Asset '#2 - Weight (g)],BI_Tbl_materials[Asset '#2 - Circular content]) / SUM(BI_Tbl_materials[Asset '#2 - Weight (g)]), "")</f>
        <v/>
      </c>
      <c r="F270" s="167" t="str">
        <f>IFERROR( SUMPRODUCT(BI_Tbl_materials[Asset '#3 - Weight (g)],BI_Tbl_materials[Asset '#3 - Circular content]) / SUM(BI_Tbl_materials[Asset '#3 - Weight (g)]), "")</f>
        <v/>
      </c>
      <c r="G270" t="s">
        <v>398</v>
      </c>
    </row>
    <row r="271" spans="2:12" x14ac:dyDescent="0.35">
      <c r="C271" s="22"/>
    </row>
    <row r="272" spans="2:12" x14ac:dyDescent="0.35">
      <c r="B272" s="21" t="s">
        <v>404</v>
      </c>
      <c r="C272" s="22"/>
    </row>
    <row r="273" spans="2:7" ht="27" x14ac:dyDescent="0.35">
      <c r="C273" s="220" t="str">
        <f>C247</f>
        <v>Baseline</v>
      </c>
      <c r="D273" s="220" t="str">
        <f t="shared" ref="D273:F273" si="25">D247</f>
        <v>Asset 1: 20cm kabelafdekband</v>
      </c>
      <c r="E273" s="220" t="str">
        <f t="shared" si="25"/>
        <v xml:space="preserve">Asset 2: 40cm kabelafdekband </v>
      </c>
      <c r="F273" s="220" t="str">
        <f t="shared" si="25"/>
        <v>Asset 3</v>
      </c>
    </row>
    <row r="274" spans="2:7" x14ac:dyDescent="0.35">
      <c r="B274" s="39" t="s">
        <v>301</v>
      </c>
      <c r="C274" s="173" t="s">
        <v>177</v>
      </c>
      <c r="D274" s="166" t="str">
        <f>VLOOKUP(B274, BI_Tbl_materials[],MATCH(BI_Tbl_materials[[#Headers],[Asset '#1 - Weight (g)]],BI_Tbl_materials[#Headers], 0),FALSE)</f>
        <v/>
      </c>
      <c r="E274" s="166" t="str">
        <f>VLOOKUP(B274, BI_Tbl_materials[],MATCH(BI_Tbl_materials[[#Headers],[Asset '#2 - Weight (g)]],BI_Tbl_materials[#Headers], 0),FALSE)</f>
        <v/>
      </c>
      <c r="F274" s="166" t="str">
        <f>VLOOKUP(B274, BI_Tbl_materials[],MATCH(BI_Tbl_materials[[#Headers],[Asset '#3 - Weight (g)]],BI_Tbl_materials[#Headers], 0),FALSE)</f>
        <v/>
      </c>
      <c r="G274" t="s">
        <v>405</v>
      </c>
    </row>
    <row r="275" spans="2:7" x14ac:dyDescent="0.35">
      <c r="B275" s="39" t="s">
        <v>300</v>
      </c>
      <c r="C275" s="8" t="s">
        <v>177</v>
      </c>
      <c r="D275" s="166" t="str">
        <f>VLOOKUP(B275, BI_Tbl_materials[],MATCH(BI_Tbl_materials[[#Headers],[Asset '#1 - Weight (g)]],BI_Tbl_materials[#Headers], 0),FALSE)</f>
        <v/>
      </c>
      <c r="E275" s="166" t="str">
        <f>VLOOKUP(B275, BI_Tbl_materials[],MATCH(BI_Tbl_materials[[#Headers],[Asset '#2 - Weight (g)]],BI_Tbl_materials[#Headers], 0),FALSE)</f>
        <v/>
      </c>
      <c r="F275" s="166" t="str">
        <f>VLOOKUP(B275, BI_Tbl_materials[],MATCH(BI_Tbl_materials[[#Headers],[Asset '#3 - Weight (g)]],BI_Tbl_materials[#Headers], 0),FALSE)</f>
        <v/>
      </c>
      <c r="G275" t="s">
        <v>405</v>
      </c>
    </row>
    <row r="276" spans="2:7" x14ac:dyDescent="0.35">
      <c r="B276" s="39" t="s">
        <v>302</v>
      </c>
      <c r="C276" s="8" t="s">
        <v>177</v>
      </c>
      <c r="D276" s="166" t="str">
        <f>VLOOKUP(B276, BI_Tbl_materials[],MATCH(BI_Tbl_materials[[#Headers],[Asset '#1 - Weight (g)]],BI_Tbl_materials[#Headers], 0),FALSE)</f>
        <v/>
      </c>
      <c r="E276" s="166" t="str">
        <f>VLOOKUP(B276, BI_Tbl_materials[],MATCH(BI_Tbl_materials[[#Headers],[Asset '#2 - Weight (g)]],BI_Tbl_materials[#Headers], 0),FALSE)</f>
        <v/>
      </c>
      <c r="F276" s="166" t="str">
        <f>VLOOKUP(B276, BI_Tbl_materials[],MATCH(BI_Tbl_materials[[#Headers],[Asset '#3 - Weight (g)]],BI_Tbl_materials[#Headers], 0),FALSE)</f>
        <v/>
      </c>
      <c r="G276" t="s">
        <v>405</v>
      </c>
    </row>
    <row r="277" spans="2:7" x14ac:dyDescent="0.35">
      <c r="B277" s="39" t="s">
        <v>261</v>
      </c>
      <c r="C277" s="8" t="s">
        <v>177</v>
      </c>
      <c r="D277" s="166" t="str">
        <f>VLOOKUP(B277, BI_Tbl_materials[],MATCH(BI_Tbl_materials[[#Headers],[Asset '#1 - Weight (g)]],BI_Tbl_materials[#Headers], 0),FALSE)</f>
        <v/>
      </c>
      <c r="E277" s="166" t="str">
        <f>VLOOKUP(B277, BI_Tbl_materials[],MATCH(BI_Tbl_materials[[#Headers],[Asset '#2 - Weight (g)]],BI_Tbl_materials[#Headers], 0),FALSE)</f>
        <v/>
      </c>
      <c r="F277" s="166" t="str">
        <f>VLOOKUP(B277, BI_Tbl_materials[],MATCH(BI_Tbl_materials[[#Headers],[Asset '#3 - Weight (g)]],BI_Tbl_materials[#Headers], 0),FALSE)</f>
        <v/>
      </c>
      <c r="G277" t="s">
        <v>405</v>
      </c>
    </row>
    <row r="278" spans="2:7" x14ac:dyDescent="0.35">
      <c r="B278" s="15" t="s">
        <v>182</v>
      </c>
      <c r="C278" s="174">
        <f>IF(BI_ref_baseline_conflict="","-",BI_ref_baseline_conflict)</f>
        <v>0</v>
      </c>
      <c r="D278" s="175" t="str">
        <f>IF(AND(D274="",D275="",D276="",D277=""),"",SUM(D274:D277))</f>
        <v/>
      </c>
      <c r="E278" s="175" t="str">
        <f t="shared" ref="E278:F278" si="26">IF(AND(E274="",E275="",E276="",E277=""),"",SUM(E274:E277))</f>
        <v/>
      </c>
      <c r="F278" s="175" t="str">
        <f t="shared" si="26"/>
        <v/>
      </c>
      <c r="G278" t="s">
        <v>406</v>
      </c>
    </row>
    <row r="279" spans="2:7" x14ac:dyDescent="0.35">
      <c r="C279" s="22"/>
    </row>
    <row r="280" spans="2:7" x14ac:dyDescent="0.35">
      <c r="B280" s="21" t="s">
        <v>185</v>
      </c>
      <c r="C280" s="22"/>
    </row>
    <row r="281" spans="2:7" ht="27" x14ac:dyDescent="0.35">
      <c r="C281" s="220" t="str">
        <f>C247</f>
        <v>Baseline</v>
      </c>
      <c r="D281" s="220" t="str">
        <f t="shared" ref="D281:F281" si="27">D247</f>
        <v>Asset 1: 20cm kabelafdekband</v>
      </c>
      <c r="E281" s="220" t="str">
        <f t="shared" si="27"/>
        <v xml:space="preserve">Asset 2: 40cm kabelafdekband </v>
      </c>
      <c r="F281" s="220" t="str">
        <f t="shared" si="27"/>
        <v>Asset 3</v>
      </c>
    </row>
    <row r="282" spans="2:7" x14ac:dyDescent="0.35">
      <c r="B282" s="39" t="s">
        <v>186</v>
      </c>
      <c r="C282" s="166" t="s">
        <v>177</v>
      </c>
      <c r="D282" s="166" t="str">
        <f>D242</f>
        <v>-</v>
      </c>
      <c r="E282" s="166" t="str">
        <f>E242</f>
        <v>-</v>
      </c>
      <c r="F282" s="166" t="str">
        <f>F242</f>
        <v>-</v>
      </c>
      <c r="G282" t="s">
        <v>394</v>
      </c>
    </row>
    <row r="283" spans="2:7" x14ac:dyDescent="0.35">
      <c r="C283" s="22"/>
    </row>
    <row r="284" spans="2:7" x14ac:dyDescent="0.35">
      <c r="B284" s="104" t="s">
        <v>407</v>
      </c>
      <c r="C284" s="22"/>
    </row>
    <row r="285" spans="2:7" ht="27" x14ac:dyDescent="0.35">
      <c r="C285" s="220" t="str">
        <f>C247</f>
        <v>Baseline</v>
      </c>
      <c r="D285" s="220" t="str">
        <f t="shared" ref="D285:F285" si="28">D247</f>
        <v>Asset 1: 20cm kabelafdekband</v>
      </c>
      <c r="E285" s="220" t="str">
        <f t="shared" si="28"/>
        <v xml:space="preserve">Asset 2: 40cm kabelafdekband </v>
      </c>
      <c r="F285" s="220" t="str">
        <f t="shared" si="28"/>
        <v>Asset 3</v>
      </c>
    </row>
    <row r="286" spans="2:7" x14ac:dyDescent="0.35">
      <c r="B286" s="12" t="s">
        <v>187</v>
      </c>
      <c r="C286" s="210" t="str">
        <f>IFERROR((BI_ref_environmental_price/(1000*BI_REF_multiplier_kg_g))*BI_ref_baseline_GWP_per_year, "-")</f>
        <v>-</v>
      </c>
      <c r="D286" s="211" t="str">
        <f>IFERROR((BI_ref_environmental_price/(1000*BI_REF_multiplier_kg_g))*D253, "-")</f>
        <v>-</v>
      </c>
      <c r="E286" s="211" t="str">
        <f>IFERROR((BI_ref_environmental_price/(1000*BI_REF_multiplier_kg_g))*E253, "-")</f>
        <v>-</v>
      </c>
      <c r="F286" s="211" t="str">
        <f>IFERROR((BI_ref_environmental_price/(1000*BI_REF_multiplier_kg_g))*F253, "-")</f>
        <v>-</v>
      </c>
      <c r="G286" t="s">
        <v>408</v>
      </c>
    </row>
  </sheetData>
  <sheetProtection algorithmName="SHA-512" hashValue="D4gD+v94tUvHIY5jWOvzKlnSkNQlg2rxER1CD5tjs0/qi7tOhWo/tfV07cfa4RSBBWLS4yRJvPNgJS9L0ehJew==" saltValue="ZKtomZ/BvJ6IaVUB2UmePw==" spinCount="100000" sheet="1" objects="1" scenarios="1" selectLockedCells="1"/>
  <phoneticPr fontId="29" type="noConversion"/>
  <dataValidations count="3">
    <dataValidation operator="greaterThanOrEqual" allowBlank="1" showInputMessage="1" showErrorMessage="1" error="Cell should be greater than or equal to 0" sqref="C157:C168" xr:uid="{00000000-0002-0000-0900-000001000000}"/>
    <dataValidation type="decimal" allowBlank="1" showInputMessage="1" showErrorMessage="1" sqref="N12:N94" xr:uid="{3F68FD3D-FCBC-4845-B680-9A0EC7917D1E}">
      <formula1>0</formula1>
      <formula2>1</formula2>
    </dataValidation>
    <dataValidation type="list" allowBlank="1" showInputMessage="1" showErrorMessage="1" sqref="C12:H95" xr:uid="{00000000-0002-0000-0900-000000000000}">
      <formula1>dd_materials_used_in_asset</formula1>
    </dataValidation>
  </dataValidations>
  <pageMargins left="0.7" right="0.7" top="0.75" bottom="0.75" header="0.3" footer="0.3"/>
  <pageSetup paperSize="9" orientation="portrait" r:id="rId1"/>
  <legacy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'BI - Dropdown'!$E$34:$E$36</xm:f>
          </x14:formula1>
          <xm:sqref>M91:M94 M40</xm:sqref>
        </x14:dataValidation>
        <x14:dataValidation type="list" allowBlank="1" showInputMessage="1" showErrorMessage="1" xr:uid="{00000000-0002-0000-0900-000003000000}">
          <x14:formula1>
            <xm:f>'BI - Dropdown'!$M$6:$M$7</xm:f>
          </x14:formula1>
          <xm:sqref>M95:N95 M73:M90 M12:M39 M41:M71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2"/>
  <dimension ref="B4:G80"/>
  <sheetViews>
    <sheetView showRowColHeaders="0" zoomScaleNormal="100" workbookViewId="0">
      <selection activeCell="D56" sqref="D56"/>
    </sheetView>
  </sheetViews>
  <sheetFormatPr defaultColWidth="9.09765625" defaultRowHeight="13.5" x14ac:dyDescent="0.35"/>
  <cols>
    <col min="2" max="2" width="47.296875" customWidth="1"/>
    <col min="3" max="5" width="31.3984375" customWidth="1"/>
    <col min="6" max="6" width="14.09765625" customWidth="1"/>
    <col min="7" max="7" width="55.59765625" customWidth="1"/>
    <col min="9" max="9" width="31.8984375" customWidth="1"/>
    <col min="10" max="10" width="38.69921875" customWidth="1"/>
  </cols>
  <sheetData>
    <row r="4" spans="2:7" x14ac:dyDescent="0.35">
      <c r="B4" s="21" t="s">
        <v>409</v>
      </c>
    </row>
    <row r="6" spans="2:7" ht="40.5" x14ac:dyDescent="0.35">
      <c r="B6" s="157" t="s">
        <v>410</v>
      </c>
      <c r="C6" s="158" t="s">
        <v>411</v>
      </c>
      <c r="D6" s="158" t="s">
        <v>412</v>
      </c>
      <c r="E6" s="159" t="str">
        <f>"Used in tool as reference (based on selected goal: " &amp; BI_ref_selected_goal &amp; ")"</f>
        <v>Used in tool as reference (based on selected goal: Tender)</v>
      </c>
      <c r="F6" s="159" t="s">
        <v>413</v>
      </c>
      <c r="G6" s="160" t="s">
        <v>396</v>
      </c>
    </row>
    <row r="7" spans="2:7" x14ac:dyDescent="0.35">
      <c r="B7" s="161" t="s">
        <v>120</v>
      </c>
      <c r="C7" s="162"/>
      <c r="D7" s="163"/>
      <c r="E7" s="163"/>
      <c r="F7" s="163"/>
      <c r="G7" s="164"/>
    </row>
    <row r="8" spans="2:7" x14ac:dyDescent="0.35">
      <c r="B8" s="153" t="s">
        <v>66</v>
      </c>
      <c r="C8" s="62" t="str">
        <f>IF(ISBLANK(start_prepare_asset),"",start_prepare_asset)</f>
        <v>Electricity cable</v>
      </c>
      <c r="D8" s="62" t="str">
        <f>IF(ISBLANK(start_insight_asset),"",start_insight_asset)</f>
        <v/>
      </c>
      <c r="E8" s="62" t="str">
        <f>IF(BI_ref_selected_goal=BI_ref_goalname_tender, C8, IF(BI_ref_selected_goal=BI_ref_goalname_insight,D8))</f>
        <v>Electricity cable</v>
      </c>
      <c r="F8" s="62" t="s">
        <v>239</v>
      </c>
      <c r="G8" s="58"/>
    </row>
    <row r="9" spans="2:7" x14ac:dyDescent="0.35">
      <c r="B9" s="153" t="s">
        <v>67</v>
      </c>
      <c r="C9" s="62" t="str">
        <f>IF(ISBLANK(start_prepare_subasset),"",start_prepare_subasset)</f>
        <v>other</v>
      </c>
      <c r="D9" s="62" t="str">
        <f>IF(ISBLANK(start_insight_subasset),"",start_insight_subasset)</f>
        <v/>
      </c>
      <c r="E9" s="62" t="str">
        <f>IF(BI_ref_selected_goal=BI_ref_goalname_tender, C9, IF(BI_ref_selected_goal=BI_ref_goalname_insight,D9))</f>
        <v>other</v>
      </c>
      <c r="F9" s="62" t="s">
        <v>239</v>
      </c>
      <c r="G9" s="58"/>
    </row>
    <row r="10" spans="2:7" x14ac:dyDescent="0.35">
      <c r="B10" s="152" t="s">
        <v>414</v>
      </c>
      <c r="C10" s="62"/>
      <c r="D10" s="62"/>
      <c r="E10" s="62"/>
      <c r="F10" s="62"/>
      <c r="G10" s="58"/>
    </row>
    <row r="11" spans="2:7" x14ac:dyDescent="0.35">
      <c r="B11" s="153" t="s">
        <v>94</v>
      </c>
      <c r="C11" s="62">
        <f>IF(ISBLANK('Start - Prepare tender'!C25),"",'Start - Prepare tender'!C25)</f>
        <v>0</v>
      </c>
      <c r="D11" s="62" t="str">
        <f>IF(ISBLANK('Start - Insight'!C18), "", 'Start - Insight'!C18)</f>
        <v/>
      </c>
      <c r="E11" s="62">
        <f>IF(BI_ref_selected_goal=BI_ref_goalname_tender, C11, IF(BI_ref_selected_goal=BI_ref_goalname_insight,D11))</f>
        <v>0</v>
      </c>
      <c r="F11" s="62"/>
      <c r="G11" s="58"/>
    </row>
    <row r="12" spans="2:7" x14ac:dyDescent="0.35">
      <c r="B12" s="153" t="s">
        <v>95</v>
      </c>
      <c r="C12" s="62">
        <v>0</v>
      </c>
      <c r="D12" s="62">
        <v>0</v>
      </c>
      <c r="E12" s="62">
        <f>IF(BI_ref_selected_goal=BI_ref_goalname_tender, C12, IF(BI_ref_selected_goal=BI_ref_goalname_insight,D12))</f>
        <v>0</v>
      </c>
      <c r="F12" s="62"/>
      <c r="G12" s="58"/>
    </row>
    <row r="13" spans="2:7" x14ac:dyDescent="0.35">
      <c r="B13" s="153" t="s">
        <v>97</v>
      </c>
      <c r="C13" s="62">
        <f>IF(ISBLANK('Start - Prepare tender'!C27),"",'Start - Prepare tender'!C27)</f>
        <v>1</v>
      </c>
      <c r="D13" s="62" t="str">
        <f>IF(ISBLANK('Start - Insight'!C20), "", 'Start - Insight'!C20)</f>
        <v/>
      </c>
      <c r="E13" s="62">
        <f>IF(BI_ref_selected_goal=BI_ref_goalname_tender, C13, IF(BI_ref_selected_goal=BI_ref_goalname_insight,D13))</f>
        <v>1</v>
      </c>
      <c r="F13" s="62"/>
      <c r="G13" s="58"/>
    </row>
    <row r="14" spans="2:7" x14ac:dyDescent="0.35">
      <c r="B14" s="153" t="s">
        <v>326</v>
      </c>
      <c r="C14" s="62">
        <f>IF(ISBLANK('Start - Prepare tender'!C28),"",'Start - Prepare tender'!C28)</f>
        <v>0</v>
      </c>
      <c r="D14" s="62" t="str">
        <f>IF(ISBLANK('Start - Insight'!C21), "", 'Start - Insight'!C21)</f>
        <v/>
      </c>
      <c r="E14" s="62">
        <f>IF(BI_ref_selected_goal=BI_ref_goalname_tender, C14, IF(BI_ref_selected_goal=BI_ref_goalname_insight,D14))</f>
        <v>0</v>
      </c>
      <c r="F14" s="62"/>
      <c r="G14" s="58"/>
    </row>
    <row r="15" spans="2:7" x14ac:dyDescent="0.35">
      <c r="B15" s="153" t="s">
        <v>529</v>
      </c>
      <c r="C15" s="62" t="str">
        <f>'Start - Prepare tender'!C29</f>
        <v>no</v>
      </c>
      <c r="D15" s="62">
        <f>'Start - Insight'!C22</f>
        <v>0</v>
      </c>
      <c r="E15" s="62" t="str">
        <f>IF(BI_ref_selected_goal=BI_ref_goalname_tender, C15, IF(BI_ref_selected_goal=BI_ref_goalname_insight,D15))</f>
        <v>no</v>
      </c>
      <c r="F15" s="62" t="s">
        <v>239</v>
      </c>
      <c r="G15" s="58"/>
    </row>
    <row r="16" spans="2:7" x14ac:dyDescent="0.35">
      <c r="B16" s="152" t="s">
        <v>415</v>
      </c>
      <c r="C16" s="62"/>
      <c r="D16" s="62"/>
      <c r="E16" s="62"/>
      <c r="F16" s="62"/>
      <c r="G16" s="58"/>
    </row>
    <row r="17" spans="2:7" x14ac:dyDescent="0.35">
      <c r="B17" s="153" t="s">
        <v>94</v>
      </c>
      <c r="C17" s="62" t="str">
        <f>IF(ISBLANK('Start - Prepare tender'!C32), "", 'Start - Prepare tender'!C32)</f>
        <v/>
      </c>
      <c r="D17" s="62" t="str">
        <f>IF(ISBLANK('Start - Insight'!C25), "", 'Start - Insight'!C25)</f>
        <v/>
      </c>
      <c r="E17" s="62" t="str">
        <f t="shared" ref="E17:E28" si="0">IF(BI_ref_selected_goal=BI_ref_goalname_tender, C17, IF(BI_ref_selected_goal=BI_ref_goalname_insight,D17))</f>
        <v/>
      </c>
      <c r="F17" s="62"/>
      <c r="G17" s="58"/>
    </row>
    <row r="18" spans="2:7" x14ac:dyDescent="0.35">
      <c r="B18" s="153" t="s">
        <v>95</v>
      </c>
      <c r="C18" s="62" t="str">
        <f>IF(ISBLANK('Start - Prepare tender'!C33), "", 'Start - Prepare tender'!C33)</f>
        <v/>
      </c>
      <c r="D18" s="62" t="str">
        <f>IF(ISBLANK('Start - Insight'!C26), "", 'Start - Insight'!C26)</f>
        <v/>
      </c>
      <c r="E18" s="62" t="str">
        <f t="shared" si="0"/>
        <v/>
      </c>
      <c r="F18" s="62"/>
      <c r="G18" s="58"/>
    </row>
    <row r="19" spans="2:7" x14ac:dyDescent="0.35">
      <c r="B19" s="153" t="s">
        <v>97</v>
      </c>
      <c r="C19" s="62" t="str">
        <f>IF(ISBLANK('Start - Prepare tender'!C34), "", 'Start - Prepare tender'!C34)</f>
        <v/>
      </c>
      <c r="D19" s="62" t="str">
        <f>IF(ISBLANK('Start - Insight'!C27), "", 'Start - Insight'!C27)</f>
        <v/>
      </c>
      <c r="E19" s="62" t="str">
        <f t="shared" si="0"/>
        <v/>
      </c>
      <c r="F19" s="62"/>
      <c r="G19" s="58"/>
    </row>
    <row r="20" spans="2:7" x14ac:dyDescent="0.35">
      <c r="B20" s="153" t="s">
        <v>98</v>
      </c>
      <c r="C20" s="62" t="str">
        <f>IF(ISBLANK('Start - Prepare tender'!C35), "", 'Start - Prepare tender'!C35)</f>
        <v/>
      </c>
      <c r="D20" s="62" t="str">
        <f>IF(ISBLANK('Start - Insight'!C28), "", 'Start - Insight'!C28)</f>
        <v/>
      </c>
      <c r="E20" s="62" t="str">
        <f t="shared" si="0"/>
        <v/>
      </c>
      <c r="F20" s="62" t="s">
        <v>239</v>
      </c>
      <c r="G20" s="58"/>
    </row>
    <row r="21" spans="2:7" x14ac:dyDescent="0.35">
      <c r="B21" s="153" t="s">
        <v>529</v>
      </c>
      <c r="C21" s="62" t="str">
        <f>IF(ISBLANK('Start - Prepare tender'!C36), "", 'Start - Prepare tender'!C36)</f>
        <v/>
      </c>
      <c r="D21" s="62" t="str">
        <f>IF(ISBLANK('Start - Insight'!C29), "", 'Start - Insight'!C29)</f>
        <v/>
      </c>
      <c r="E21" s="62" t="str">
        <f t="shared" ref="E21" si="1">IF(BI_ref_selected_goal=BI_ref_goalname_tender, C21, IF(BI_ref_selected_goal=BI_ref_goalname_insight,D21))</f>
        <v/>
      </c>
      <c r="F21" s="62" t="s">
        <v>239</v>
      </c>
      <c r="G21" s="58"/>
    </row>
    <row r="22" spans="2:7" x14ac:dyDescent="0.35">
      <c r="B22" s="153" t="s">
        <v>99</v>
      </c>
      <c r="C22" s="62" t="str">
        <f>IF(ISBLANK('Start - Prepare tender'!C37), "", 'Start - Prepare tender'!C37)</f>
        <v/>
      </c>
      <c r="D22" s="62" t="str">
        <f>IF(ISBLANK('Start - Insight'!C30), "", 'Start - Insight'!C30)</f>
        <v/>
      </c>
      <c r="E22" s="62" t="str">
        <f t="shared" si="0"/>
        <v/>
      </c>
      <c r="F22" s="62"/>
      <c r="G22" s="58"/>
    </row>
    <row r="23" spans="2:7" x14ac:dyDescent="0.35">
      <c r="B23" s="154" t="s">
        <v>101</v>
      </c>
      <c r="C23" s="62" t="str">
        <f>IF(ISBLANK('Start - Prepare tender'!C39), "", 'Start - Prepare tender'!C39)</f>
        <v/>
      </c>
      <c r="D23" s="62" t="str">
        <f>IF(ISBLANK('Start - Insight'!C32), "", 'Start - Insight'!C32)</f>
        <v/>
      </c>
      <c r="E23" s="62" t="str">
        <f t="shared" si="0"/>
        <v/>
      </c>
      <c r="F23" s="62"/>
      <c r="G23" s="58"/>
    </row>
    <row r="24" spans="2:7" x14ac:dyDescent="0.35">
      <c r="B24" s="154" t="s">
        <v>102</v>
      </c>
      <c r="C24" s="62" t="str">
        <f>IF(ISBLANK('Start - Prepare tender'!C40), "", 'Start - Prepare tender'!C40)</f>
        <v/>
      </c>
      <c r="D24" s="62" t="str">
        <f>IF(ISBLANK('Start - Insight'!C33), "", 'Start - Insight'!C33)</f>
        <v/>
      </c>
      <c r="E24" s="62" t="str">
        <f t="shared" si="0"/>
        <v/>
      </c>
      <c r="F24" s="62"/>
      <c r="G24" s="58"/>
    </row>
    <row r="25" spans="2:7" x14ac:dyDescent="0.35">
      <c r="B25" s="154" t="s">
        <v>103</v>
      </c>
      <c r="C25" s="62" t="str">
        <f>IF(ISBLANK('Start - Prepare tender'!C41), "", 'Start - Prepare tender'!C41)</f>
        <v/>
      </c>
      <c r="D25" s="62" t="str">
        <f>IF(ISBLANK('Start - Insight'!C34), "", 'Start - Insight'!C34)</f>
        <v/>
      </c>
      <c r="E25" s="62" t="str">
        <f t="shared" si="0"/>
        <v/>
      </c>
      <c r="F25" s="62"/>
      <c r="G25" s="58"/>
    </row>
    <row r="26" spans="2:7" x14ac:dyDescent="0.35">
      <c r="B26" s="154" t="s">
        <v>104</v>
      </c>
      <c r="C26" s="62" t="str">
        <f>IF(ISBLANK('Start - Prepare tender'!C42), "", 'Start - Prepare tender'!C42)</f>
        <v/>
      </c>
      <c r="D26" s="62" t="str">
        <f>IF(ISBLANK('Start - Insight'!C35), "", 'Start - Insight'!C35)</f>
        <v/>
      </c>
      <c r="E26" s="62" t="str">
        <f t="shared" si="0"/>
        <v/>
      </c>
      <c r="F26" s="62"/>
      <c r="G26" s="58"/>
    </row>
    <row r="27" spans="2:7" x14ac:dyDescent="0.35">
      <c r="B27" s="154" t="s">
        <v>105</v>
      </c>
      <c r="C27" s="62" t="str">
        <f>IF(ISBLANK('Start - Prepare tender'!C43), "", 'Start - Prepare tender'!C43)</f>
        <v/>
      </c>
      <c r="D27" s="62" t="str">
        <f>IF(ISBLANK('Start - Insight'!C36), "", 'Start - Insight'!C36)</f>
        <v/>
      </c>
      <c r="E27" s="62" t="str">
        <f t="shared" si="0"/>
        <v/>
      </c>
      <c r="F27" s="62"/>
      <c r="G27" s="58"/>
    </row>
    <row r="28" spans="2:7" x14ac:dyDescent="0.35">
      <c r="B28" s="154" t="s">
        <v>106</v>
      </c>
      <c r="C28" s="62" t="str">
        <f>IF(ISBLANK('Start - Prepare tender'!C44), "", 'Start - Prepare tender'!C44)</f>
        <v/>
      </c>
      <c r="D28" s="62" t="str">
        <f>IF(ISBLANK('Start - Insight'!C37), "", 'Start - Insight'!C37)</f>
        <v/>
      </c>
      <c r="E28" s="62" t="str">
        <f t="shared" si="0"/>
        <v/>
      </c>
      <c r="F28" s="62"/>
      <c r="G28" s="58"/>
    </row>
    <row r="29" spans="2:7" x14ac:dyDescent="0.35">
      <c r="B29" s="153" t="s">
        <v>100</v>
      </c>
      <c r="C29" s="62"/>
      <c r="D29" s="62"/>
      <c r="E29" s="62"/>
      <c r="F29" s="62"/>
      <c r="G29" s="58"/>
    </row>
    <row r="30" spans="2:7" x14ac:dyDescent="0.35">
      <c r="B30" s="154" t="s">
        <v>101</v>
      </c>
      <c r="C30" s="62" t="str">
        <f>IF( ISBLANK('Start - Prepare tender'!D39),"", 'Start - Prepare tender'!D39)</f>
        <v/>
      </c>
      <c r="D30" s="62" t="str">
        <f>IF(ISBLANK('Start - Insight'!D32),"",'Start - Insight'!D32)</f>
        <v/>
      </c>
      <c r="E30" s="62" t="str">
        <f t="shared" ref="E30:E40" si="2">IF(BI_ref_selected_goal=BI_ref_goalname_tender, C30, IF(BI_ref_selected_goal=BI_ref_goalname_insight,D30))</f>
        <v/>
      </c>
      <c r="F30" s="62"/>
      <c r="G30" s="58"/>
    </row>
    <row r="31" spans="2:7" x14ac:dyDescent="0.35">
      <c r="B31" s="154" t="s">
        <v>102</v>
      </c>
      <c r="C31" s="62" t="str">
        <f>IF( ISBLANK('Start - Prepare tender'!D40),"", 'Start - Prepare tender'!D40)</f>
        <v/>
      </c>
      <c r="D31" s="62" t="str">
        <f>IF(ISBLANK('Start - Insight'!D33),"",'Start - Insight'!D33)</f>
        <v/>
      </c>
      <c r="E31" s="62" t="str">
        <f t="shared" si="2"/>
        <v/>
      </c>
      <c r="F31" s="62"/>
      <c r="G31" s="58"/>
    </row>
    <row r="32" spans="2:7" x14ac:dyDescent="0.35">
      <c r="B32" s="154" t="s">
        <v>103</v>
      </c>
      <c r="C32" s="62" t="str">
        <f>IF( ISBLANK('Start - Prepare tender'!D41),"", 'Start - Prepare tender'!D41)</f>
        <v/>
      </c>
      <c r="D32" s="62" t="str">
        <f>IF(ISBLANK('Start - Insight'!D34),"",'Start - Insight'!D34)</f>
        <v/>
      </c>
      <c r="E32" s="62" t="str">
        <f t="shared" si="2"/>
        <v/>
      </c>
      <c r="F32" s="62"/>
      <c r="G32" s="58"/>
    </row>
    <row r="33" spans="2:7" x14ac:dyDescent="0.35">
      <c r="B33" s="154" t="s">
        <v>104</v>
      </c>
      <c r="C33" s="62" t="str">
        <f>IF( ISBLANK('Start - Prepare tender'!D42),"", 'Start - Prepare tender'!D42)</f>
        <v/>
      </c>
      <c r="D33" s="62" t="str">
        <f>IF(ISBLANK('Start - Insight'!D35),"",'Start - Insight'!D35)</f>
        <v/>
      </c>
      <c r="E33" s="62" t="str">
        <f t="shared" si="2"/>
        <v/>
      </c>
      <c r="F33" s="62"/>
      <c r="G33" s="58"/>
    </row>
    <row r="34" spans="2:7" x14ac:dyDescent="0.35">
      <c r="B34" s="154" t="s">
        <v>105</v>
      </c>
      <c r="C34" s="62" t="str">
        <f>IF( ISBLANK('Start - Prepare tender'!D43),"", 'Start - Prepare tender'!D43)</f>
        <v/>
      </c>
      <c r="D34" s="62" t="str">
        <f>IF(ISBLANK('Start - Insight'!D36),"",'Start - Insight'!D36)</f>
        <v/>
      </c>
      <c r="E34" s="62" t="str">
        <f t="shared" si="2"/>
        <v/>
      </c>
      <c r="F34" s="62"/>
      <c r="G34" s="58"/>
    </row>
    <row r="35" spans="2:7" x14ac:dyDescent="0.35">
      <c r="B35" s="154" t="s">
        <v>106</v>
      </c>
      <c r="C35" s="62" t="str">
        <f>IF( ISBLANK('Start - Prepare tender'!D44),"", 'Start - Prepare tender'!D44)</f>
        <v/>
      </c>
      <c r="D35" s="62" t="str">
        <f>IF(ISBLANK('Start - Insight'!D37),"",'Start - Insight'!D37)</f>
        <v/>
      </c>
      <c r="E35" s="62" t="str">
        <f t="shared" si="2"/>
        <v/>
      </c>
      <c r="F35" s="62"/>
      <c r="G35" s="58"/>
    </row>
    <row r="36" spans="2:7" x14ac:dyDescent="0.35">
      <c r="B36" s="152" t="s">
        <v>416</v>
      </c>
      <c r="C36" s="62"/>
      <c r="D36" s="62"/>
      <c r="E36" s="62"/>
      <c r="F36" s="62"/>
      <c r="G36" s="58"/>
    </row>
    <row r="37" spans="2:7" x14ac:dyDescent="0.35">
      <c r="B37" s="153" t="s">
        <v>108</v>
      </c>
      <c r="C37" s="62" t="str">
        <f>IF( ISBLANK('Start - Prepare tender'!C47),"", 'Start - Prepare tender'!C47)</f>
        <v/>
      </c>
      <c r="D37" s="62" t="str">
        <f>IF(ISBLANK('Start - Insight'!C40),"",'Start - Insight'!C40)</f>
        <v/>
      </c>
      <c r="E37" s="62" t="str">
        <f t="shared" si="2"/>
        <v/>
      </c>
      <c r="F37" s="62"/>
      <c r="G37" s="58"/>
    </row>
    <row r="38" spans="2:7" x14ac:dyDescent="0.35">
      <c r="B38" s="153" t="s">
        <v>109</v>
      </c>
      <c r="C38" s="62" t="str">
        <f>IF( ISBLANK('Start - Prepare tender'!C48),"", 'Start - Prepare tender'!C48)</f>
        <v/>
      </c>
      <c r="D38" s="62" t="str">
        <f>IF(ISBLANK('Start - Insight'!C41),"",'Start - Insight'!C41)</f>
        <v/>
      </c>
      <c r="E38" s="62" t="str">
        <f t="shared" si="2"/>
        <v/>
      </c>
      <c r="F38" s="62"/>
      <c r="G38" s="58"/>
    </row>
    <row r="39" spans="2:7" x14ac:dyDescent="0.35">
      <c r="B39" s="153" t="s">
        <v>97</v>
      </c>
      <c r="C39" s="62" t="str">
        <f>IF( ISBLANK('Start - Prepare tender'!C49),"", 'Start - Prepare tender'!C49)</f>
        <v/>
      </c>
      <c r="D39" s="62" t="str">
        <f>IF(ISBLANK('Start - Insight'!C42),"",'Start - Insight'!C42)</f>
        <v/>
      </c>
      <c r="E39" s="62" t="str">
        <f t="shared" si="2"/>
        <v/>
      </c>
      <c r="F39" s="62"/>
      <c r="G39" s="58"/>
    </row>
    <row r="40" spans="2:7" x14ac:dyDescent="0.35">
      <c r="B40" s="153" t="s">
        <v>110</v>
      </c>
      <c r="C40" s="62" t="str">
        <f>IF( ISBLANK('Start - Prepare tender'!C50),"", 'Start - Prepare tender'!C50)</f>
        <v/>
      </c>
      <c r="D40" s="62" t="str">
        <f>IF(ISBLANK('Start - Insight'!C43),"",'Start - Insight'!C43)</f>
        <v/>
      </c>
      <c r="E40" s="62" t="str">
        <f t="shared" si="2"/>
        <v/>
      </c>
      <c r="F40" s="62"/>
      <c r="G40" s="58"/>
    </row>
    <row r="41" spans="2:7" x14ac:dyDescent="0.35">
      <c r="B41" s="153" t="s">
        <v>529</v>
      </c>
      <c r="C41" s="62" t="str">
        <f>IF( ISBLANK('Start - Prepare tender'!C51),"", 'Start - Prepare tender'!C51)</f>
        <v/>
      </c>
      <c r="D41" s="62" t="str">
        <f>IF(ISBLANK('Start - Insight'!C44),"",'Start - Insight'!C44)</f>
        <v/>
      </c>
      <c r="E41" s="62" t="str">
        <f t="shared" ref="E41" si="3">IF(BI_ref_selected_goal=BI_ref_goalname_tender, C41, IF(BI_ref_selected_goal=BI_ref_goalname_insight,D41))</f>
        <v/>
      </c>
      <c r="F41" s="62" t="s">
        <v>239</v>
      </c>
      <c r="G41" s="58"/>
    </row>
    <row r="42" spans="2:7" x14ac:dyDescent="0.35">
      <c r="B42" s="152" t="s">
        <v>121</v>
      </c>
      <c r="C42" s="62"/>
      <c r="D42" s="62"/>
      <c r="E42" s="62"/>
      <c r="F42" s="62"/>
      <c r="G42" s="58"/>
    </row>
    <row r="43" spans="2:7" x14ac:dyDescent="0.35">
      <c r="B43" s="153" t="s">
        <v>112</v>
      </c>
      <c r="C43" s="62" t="str">
        <f>IF(ISBLANK(start_prepare_baseline_GWP),"",start_prepare_baseline_GWP)</f>
        <v/>
      </c>
      <c r="D43" s="62" t="str">
        <f>IF(ISBLANK(start_insight_baseline_GWP),"",start_insight_baseline_GWP)</f>
        <v/>
      </c>
      <c r="E43" s="62" t="str">
        <f>IF(BI_ref_selected_goal=BI_ref_goalname_tender, C43, IF(BI_ref_selected_goal=BI_ref_goalname_insight,D43))</f>
        <v/>
      </c>
      <c r="F43" s="62" t="s">
        <v>239</v>
      </c>
      <c r="G43" s="58"/>
    </row>
    <row r="44" spans="2:7" x14ac:dyDescent="0.35">
      <c r="B44" s="153" t="s">
        <v>417</v>
      </c>
      <c r="C44" s="62" t="str">
        <f>IF(ISBLANK(start_prepare_baseline_circ),"",start_prepare_baseline_circ)</f>
        <v/>
      </c>
      <c r="D44" s="62" t="str">
        <f>IF(ISBLANK(start_insight_baseline_circ),"",start_insight_baseline_circ)</f>
        <v/>
      </c>
      <c r="E44" s="62" t="str">
        <f>IF(BI_ref_selected_goal=BI_ref_goalname_tender, C44, IF(BI_ref_selected_goal=BI_ref_goalname_insight,D44))</f>
        <v/>
      </c>
      <c r="F44" s="62" t="s">
        <v>239</v>
      </c>
      <c r="G44" s="58"/>
    </row>
    <row r="45" spans="2:7" x14ac:dyDescent="0.35">
      <c r="B45" s="153" t="s">
        <v>418</v>
      </c>
      <c r="C45" s="62">
        <v>0</v>
      </c>
      <c r="D45" s="62">
        <v>0</v>
      </c>
      <c r="E45" s="62">
        <f>IF(BI_ref_selected_goal=BI_ref_goalname_tender, C45, IF(BI_ref_selected_goal=BI_ref_goalname_insight,D45))</f>
        <v>0</v>
      </c>
      <c r="F45" s="62" t="s">
        <v>239</v>
      </c>
      <c r="G45" s="58"/>
    </row>
    <row r="46" spans="2:7" x14ac:dyDescent="0.35">
      <c r="B46" s="153" t="s">
        <v>114</v>
      </c>
      <c r="C46" s="62" t="str">
        <f>IF(ISBLANK(start_prepare_baseline_lifetime),"",start_prepare_baseline_lifetime)</f>
        <v/>
      </c>
      <c r="D46" s="62" t="str">
        <f>IF(ISBLANK(start_insight_baseline_lifetime),"",start_insight_baseline_lifetime)</f>
        <v/>
      </c>
      <c r="E46" s="62" t="str">
        <f>IF(BI_ref_selected_goal=BI_ref_goalname_tender, C46, IF(BI_ref_selected_goal=BI_ref_goalname_insight,D46))</f>
        <v/>
      </c>
      <c r="F46" s="62" t="s">
        <v>239</v>
      </c>
      <c r="G46" s="58"/>
    </row>
    <row r="47" spans="2:7" x14ac:dyDescent="0.35">
      <c r="B47" s="153" t="s">
        <v>126</v>
      </c>
      <c r="C47" s="62" t="s">
        <v>142</v>
      </c>
      <c r="D47" s="62" t="str">
        <f>IF(ISBLANK(start_insight_baseline_price),"",start_insight_baseline_price)</f>
        <v/>
      </c>
      <c r="E47" s="62" t="str">
        <f>IF(BI_ref_selected_goal=BI_ref_goalname_tender, C47, IF(BI_ref_selected_goal=BI_ref_goalname_insight,D47))</f>
        <v>N/A</v>
      </c>
      <c r="F47" s="62" t="s">
        <v>239</v>
      </c>
      <c r="G47" s="58" t="s">
        <v>419</v>
      </c>
    </row>
    <row r="48" spans="2:7" x14ac:dyDescent="0.35">
      <c r="B48" s="152" t="s">
        <v>127</v>
      </c>
      <c r="C48" s="62"/>
      <c r="D48" s="62"/>
      <c r="E48" s="62"/>
      <c r="F48" s="62"/>
      <c r="G48" s="58"/>
    </row>
    <row r="49" spans="2:7" x14ac:dyDescent="0.35">
      <c r="B49" s="153" t="s">
        <v>117</v>
      </c>
      <c r="C49" s="62" t="str">
        <f>IF(ISBLANK('Start - Prepare tender'!C59),"", 'Start - Prepare tender'!C59)</f>
        <v/>
      </c>
      <c r="D49" s="62" t="str">
        <f>IF(ISBLANK('Start - Insight'!C53), "", 'Start - Insight'!C53)</f>
        <v/>
      </c>
      <c r="E49" s="62" t="str">
        <f>IF(BI_ref_selected_goal=BI_ref_goalname_tender, C49, IF(BI_ref_selected_goal=BI_ref_goalname_insight,D49))</f>
        <v/>
      </c>
      <c r="F49" s="62" t="s">
        <v>239</v>
      </c>
      <c r="G49" s="58"/>
    </row>
    <row r="50" spans="2:7" x14ac:dyDescent="0.35">
      <c r="B50" s="152" t="s">
        <v>123</v>
      </c>
      <c r="C50" s="62"/>
      <c r="D50" s="62"/>
      <c r="E50" s="62"/>
      <c r="F50" s="62"/>
      <c r="G50" s="58"/>
    </row>
    <row r="51" spans="2:7" x14ac:dyDescent="0.35">
      <c r="B51" s="155" t="s">
        <v>70</v>
      </c>
      <c r="C51" s="156">
        <f>IF(ISBLANK(start_tender_number),"",start_tender_number)</f>
        <v>2</v>
      </c>
      <c r="D51" s="156" t="str">
        <f>IF(ISBLANK(start_insight_number),"",start_insight_number)</f>
        <v/>
      </c>
      <c r="E51" s="156">
        <f>IF(BI_ref_selected_goal=BI_ref_goalname_tender, C51, IF(BI_ref_selected_goal=BI_ref_goalname_insight,D51))</f>
        <v>2</v>
      </c>
      <c r="F51" s="156" t="s">
        <v>239</v>
      </c>
      <c r="G51" s="61" t="s">
        <v>420</v>
      </c>
    </row>
    <row r="53" spans="2:7" x14ac:dyDescent="0.35">
      <c r="C53" s="72"/>
    </row>
    <row r="54" spans="2:7" x14ac:dyDescent="0.35">
      <c r="B54" s="21" t="s">
        <v>421</v>
      </c>
    </row>
    <row r="55" spans="2:7" x14ac:dyDescent="0.35">
      <c r="B55" s="54" t="s">
        <v>422</v>
      </c>
      <c r="C55" s="55" t="s">
        <v>423</v>
      </c>
      <c r="D55" s="55" t="s">
        <v>424</v>
      </c>
      <c r="E55" s="55" t="s">
        <v>396</v>
      </c>
      <c r="F55" s="165"/>
      <c r="G55" s="164"/>
    </row>
    <row r="56" spans="2:7" x14ac:dyDescent="0.35">
      <c r="B56" s="57" t="s">
        <v>425</v>
      </c>
      <c r="C56" s="236" t="s">
        <v>426</v>
      </c>
      <c r="D56" s="263" t="s">
        <v>411</v>
      </c>
      <c r="E56" t="s">
        <v>427</v>
      </c>
      <c r="G56" s="58"/>
    </row>
    <row r="57" spans="2:7" x14ac:dyDescent="0.35">
      <c r="B57" s="57" t="s">
        <v>428</v>
      </c>
      <c r="C57" t="s">
        <v>429</v>
      </c>
      <c r="D57" s="62" t="str">
        <f>IF(OR(BI_ref_asset=BI_ref_assetname_electricity_cable,BI_ref_asset=BI_ref_assetname_gas_tube),"m", IF(OR(BI_ref_asset=BI_ref_assetname_switch_gear,BI_ref_asset=BI_ref_assetname_transformer,BI_ref_asset=BI_ref_assetname_transformer_substation,BI_ref_asset=BI_ref_assetname_other_asset),"unit","") )</f>
        <v>m</v>
      </c>
      <c r="E57" t="s">
        <v>430</v>
      </c>
      <c r="G57" s="58"/>
    </row>
    <row r="58" spans="2:7" x14ac:dyDescent="0.35">
      <c r="B58" s="57" t="s">
        <v>431</v>
      </c>
      <c r="C58" t="s">
        <v>432</v>
      </c>
      <c r="D58" s="62" t="str">
        <f>IFERROR(BI_ref_baseline_GWP_per_year*BI_ref_baseline_lifetime, "")</f>
        <v/>
      </c>
      <c r="E58" t="s">
        <v>433</v>
      </c>
      <c r="G58" s="58"/>
    </row>
    <row r="59" spans="2:7" x14ac:dyDescent="0.35">
      <c r="B59" s="57" t="s">
        <v>431</v>
      </c>
      <c r="C59" t="s">
        <v>434</v>
      </c>
      <c r="D59" s="237" t="str">
        <f>BI_Ref_g_kg&amp;" CO2-eq/"&amp;BI_ref_functional_unit&amp;" per year"</f>
        <v>kg CO2-eq/m per year</v>
      </c>
      <c r="G59" s="58"/>
    </row>
    <row r="60" spans="2:7" x14ac:dyDescent="0.35">
      <c r="B60" s="57" t="s">
        <v>435</v>
      </c>
      <c r="C60" t="s">
        <v>436</v>
      </c>
      <c r="D60" s="62" t="str">
        <f xml:space="preserve"> BI_ref_asset &amp; IF(BI_ref_asset =C70, "",  " (" &amp; BI_ref_subasset &amp; ")")</f>
        <v>Electricity cable (other)</v>
      </c>
      <c r="E60" t="s">
        <v>437</v>
      </c>
      <c r="G60" s="58"/>
    </row>
    <row r="61" spans="2:7" x14ac:dyDescent="0.35">
      <c r="B61" s="57" t="s">
        <v>438</v>
      </c>
      <c r="C61" t="s">
        <v>431</v>
      </c>
      <c r="D61" s="62">
        <f>IF(BI_Ref_g_kg="g",1000,1)</f>
        <v>1</v>
      </c>
      <c r="G61" s="58"/>
    </row>
    <row r="62" spans="2:7" x14ac:dyDescent="0.35">
      <c r="B62" s="59" t="s">
        <v>431</v>
      </c>
      <c r="C62" s="238" t="s">
        <v>439</v>
      </c>
      <c r="D62" s="156" t="str">
        <f>IF(OR(BI_ref_asset=BI_ref_assetname_electricity_cable,BI_ref_asset=BI_ref_assetname_gas_tube),"kg", IF(OR(BI_ref_asset=BI_ref_assetname_switch_gear,BI_ref_asset=BI_ref_assetname_transformer,BI_ref_asset=BI_ref_assetname_transformer_substation,BI_ref_asset=BI_ref_assetname_other_asset),"kg","") )</f>
        <v>kg</v>
      </c>
      <c r="E62" s="60"/>
      <c r="F62" s="60"/>
      <c r="G62" s="61"/>
    </row>
    <row r="64" spans="2:7" x14ac:dyDescent="0.35">
      <c r="B64" s="54" t="s">
        <v>440</v>
      </c>
      <c r="C64" s="56" t="s">
        <v>441</v>
      </c>
      <c r="D64" s="21" t="s">
        <v>396</v>
      </c>
    </row>
    <row r="65" spans="2:4" x14ac:dyDescent="0.35">
      <c r="B65" s="57" t="s">
        <v>442</v>
      </c>
      <c r="C65" s="58" t="s">
        <v>79</v>
      </c>
      <c r="D65" t="s">
        <v>443</v>
      </c>
    </row>
    <row r="66" spans="2:4" x14ac:dyDescent="0.35">
      <c r="B66" s="57" t="s">
        <v>442</v>
      </c>
      <c r="C66" s="58" t="s">
        <v>206</v>
      </c>
      <c r="D66" t="s">
        <v>443</v>
      </c>
    </row>
    <row r="67" spans="2:4" x14ac:dyDescent="0.35">
      <c r="B67" s="57" t="s">
        <v>442</v>
      </c>
      <c r="C67" s="58" t="s">
        <v>203</v>
      </c>
      <c r="D67" t="s">
        <v>443</v>
      </c>
    </row>
    <row r="68" spans="2:4" x14ac:dyDescent="0.35">
      <c r="B68" s="57" t="s">
        <v>442</v>
      </c>
      <c r="C68" s="58" t="s">
        <v>204</v>
      </c>
      <c r="D68" t="s">
        <v>443</v>
      </c>
    </row>
    <row r="69" spans="2:4" x14ac:dyDescent="0.35">
      <c r="B69" s="57" t="s">
        <v>442</v>
      </c>
      <c r="C69" s="58" t="s">
        <v>205</v>
      </c>
      <c r="D69" t="s">
        <v>443</v>
      </c>
    </row>
    <row r="70" spans="2:4" x14ac:dyDescent="0.35">
      <c r="B70" s="57" t="s">
        <v>442</v>
      </c>
      <c r="C70" s="58" t="s">
        <v>207</v>
      </c>
      <c r="D70" t="s">
        <v>443</v>
      </c>
    </row>
    <row r="71" spans="2:4" x14ac:dyDescent="0.35">
      <c r="B71" s="57" t="s">
        <v>444</v>
      </c>
      <c r="C71" s="58" t="s">
        <v>412</v>
      </c>
      <c r="D71" s="168" t="s">
        <v>445</v>
      </c>
    </row>
    <row r="72" spans="2:4" x14ac:dyDescent="0.35">
      <c r="B72" s="57" t="s">
        <v>444</v>
      </c>
      <c r="C72" s="58" t="s">
        <v>411</v>
      </c>
      <c r="D72" s="168" t="s">
        <v>445</v>
      </c>
    </row>
    <row r="73" spans="2:4" x14ac:dyDescent="0.35">
      <c r="B73" s="57" t="s">
        <v>446</v>
      </c>
      <c r="C73" s="58" t="str">
        <f>IF('Start - Prepare tender'!$C$21="yes","yes","no")</f>
        <v>no</v>
      </c>
    </row>
    <row r="74" spans="2:4" x14ac:dyDescent="0.35">
      <c r="B74" s="57"/>
      <c r="C74" s="58"/>
    </row>
    <row r="75" spans="2:4" x14ac:dyDescent="0.35">
      <c r="B75" s="57"/>
      <c r="C75" s="58"/>
    </row>
    <row r="76" spans="2:4" x14ac:dyDescent="0.35">
      <c r="B76" s="57"/>
      <c r="C76" s="58"/>
    </row>
    <row r="77" spans="2:4" x14ac:dyDescent="0.35">
      <c r="B77" s="57"/>
      <c r="C77" s="58"/>
    </row>
    <row r="78" spans="2:4" x14ac:dyDescent="0.35">
      <c r="B78" s="57"/>
      <c r="C78" s="58"/>
    </row>
    <row r="79" spans="2:4" x14ac:dyDescent="0.35">
      <c r="B79" s="57"/>
      <c r="C79" s="58"/>
    </row>
    <row r="80" spans="2:4" x14ac:dyDescent="0.35">
      <c r="B80" s="59"/>
      <c r="C80" s="61"/>
    </row>
  </sheetData>
  <sheetProtection algorithmName="SHA-512" hashValue="RAdqygmssgUlvu0lJvgW2le/CINor9WX2MCwSSKyH02G8wrmG4EI3u7v5vUopWgyLQCYTtVGLVaVV0tBZR/xaQ==" saltValue="73She8ejTRAujrHei+956A==" spinCount="100000" sheet="1" objects="1" scenarios="1" selectLockedCells="1"/>
  <dataValidations disablePrompts="1" count="1">
    <dataValidation allowBlank="1" showInputMessage="1" showErrorMessage="1" error="Error functional unit - BI - References" sqref="D57" xr:uid="{00000000-0002-0000-0A00-000000000000}"/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5"/>
  <dimension ref="B1:O35"/>
  <sheetViews>
    <sheetView showRowColHeaders="0" zoomScaleNormal="100" workbookViewId="0">
      <selection activeCell="XFD1" sqref="XFD1"/>
    </sheetView>
  </sheetViews>
  <sheetFormatPr defaultColWidth="9.09765625" defaultRowHeight="13.5" x14ac:dyDescent="0.35"/>
  <cols>
    <col min="2" max="14" width="18.3984375" style="23" customWidth="1"/>
    <col min="15" max="15" width="18.09765625" style="23" customWidth="1"/>
    <col min="16" max="26" width="18.09765625" customWidth="1"/>
  </cols>
  <sheetData>
    <row r="1" spans="2:15" ht="14" thickBot="1" x14ac:dyDescent="0.4"/>
    <row r="2" spans="2:15" ht="14.5" thickTop="1" thickBot="1" x14ac:dyDescent="0.4">
      <c r="B2" s="35" t="s">
        <v>447</v>
      </c>
      <c r="C2" s="35" t="s">
        <v>447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ht="14" thickTop="1" x14ac:dyDescent="0.35"/>
    <row r="4" spans="2:15" ht="40.5" x14ac:dyDescent="0.35">
      <c r="B4" s="36" t="s">
        <v>448</v>
      </c>
      <c r="C4" s="36" t="s">
        <v>449</v>
      </c>
      <c r="D4" s="36" t="s">
        <v>450</v>
      </c>
      <c r="E4" s="36" t="s">
        <v>451</v>
      </c>
      <c r="F4" s="36" t="s">
        <v>452</v>
      </c>
      <c r="G4" s="36" t="s">
        <v>453</v>
      </c>
      <c r="H4" s="36" t="s">
        <v>454</v>
      </c>
      <c r="I4" s="36" t="s">
        <v>455</v>
      </c>
      <c r="J4" s="36" t="s">
        <v>456</v>
      </c>
      <c r="K4" s="36" t="s">
        <v>457</v>
      </c>
      <c r="L4" s="36" t="s">
        <v>458</v>
      </c>
      <c r="M4" s="36" t="s">
        <v>459</v>
      </c>
      <c r="N4" s="36" t="s">
        <v>460</v>
      </c>
      <c r="O4" s="36" t="s">
        <v>461</v>
      </c>
    </row>
    <row r="5" spans="2:15" x14ac:dyDescent="0.35">
      <c r="B5" s="37"/>
      <c r="C5" s="37"/>
      <c r="D5" s="37"/>
      <c r="E5" s="37"/>
      <c r="F5" s="37"/>
      <c r="G5" s="1"/>
      <c r="H5" s="1"/>
      <c r="I5" s="37"/>
      <c r="J5" s="37"/>
      <c r="K5" s="37"/>
      <c r="L5" s="37"/>
      <c r="M5" s="37"/>
      <c r="N5" s="37"/>
      <c r="O5" s="37"/>
    </row>
    <row r="6" spans="2:15" ht="28" x14ac:dyDescent="0.45">
      <c r="B6" s="37" t="str">
        <f>'BI - References'!C65</f>
        <v>Electricity cable</v>
      </c>
      <c r="C6" s="37" t="str">
        <f>'BI - References'!C65</f>
        <v>Electricity cable</v>
      </c>
      <c r="D6" s="37">
        <v>1</v>
      </c>
      <c r="E6" s="37" t="s">
        <v>462</v>
      </c>
      <c r="F6" s="37" t="s">
        <v>84</v>
      </c>
      <c r="G6" s="37" t="s">
        <v>81</v>
      </c>
      <c r="H6" s="37" t="s">
        <v>463</v>
      </c>
      <c r="I6" s="37" t="s">
        <v>464</v>
      </c>
      <c r="J6" s="37" t="s">
        <v>465</v>
      </c>
      <c r="K6" s="37" t="s">
        <v>466</v>
      </c>
      <c r="L6" s="37" t="s">
        <v>467</v>
      </c>
      <c r="M6" s="37" t="s">
        <v>468</v>
      </c>
      <c r="N6" s="37" t="s">
        <v>469</v>
      </c>
      <c r="O6" s="37" t="s">
        <v>470</v>
      </c>
    </row>
    <row r="7" spans="2:15" ht="27" x14ac:dyDescent="0.35">
      <c r="B7" s="37" t="str">
        <f>'BI - References'!C66</f>
        <v>Pipeline</v>
      </c>
      <c r="C7" s="37" t="str">
        <f>'BI - References'!C66</f>
        <v>Pipeline</v>
      </c>
      <c r="D7" s="37">
        <v>2</v>
      </c>
      <c r="E7" s="37" t="s">
        <v>471</v>
      </c>
      <c r="F7" s="37" t="s">
        <v>472</v>
      </c>
      <c r="G7" s="37" t="s">
        <v>473</v>
      </c>
      <c r="H7" s="37" t="s">
        <v>474</v>
      </c>
      <c r="I7" s="37" t="s">
        <v>475</v>
      </c>
      <c r="J7" s="37" t="s">
        <v>476</v>
      </c>
      <c r="K7" s="37" t="s">
        <v>477</v>
      </c>
      <c r="L7" s="37" t="s">
        <v>478</v>
      </c>
      <c r="M7" s="37" t="s">
        <v>479</v>
      </c>
      <c r="N7" s="37" t="s">
        <v>480</v>
      </c>
      <c r="O7" s="37" t="s">
        <v>481</v>
      </c>
    </row>
    <row r="8" spans="2:15" ht="27" x14ac:dyDescent="0.35">
      <c r="B8" s="37" t="str">
        <f>'BI - References'!C67</f>
        <v>Switchgear</v>
      </c>
      <c r="C8" s="37" t="str">
        <f>'BI - References'!C67</f>
        <v>Switchgear</v>
      </c>
      <c r="D8" s="37">
        <v>3</v>
      </c>
      <c r="G8" s="37" t="s">
        <v>482</v>
      </c>
      <c r="H8" s="37" t="s">
        <v>483</v>
      </c>
      <c r="I8" s="37" t="s">
        <v>484</v>
      </c>
      <c r="J8" s="37" t="s">
        <v>485</v>
      </c>
      <c r="K8" s="37" t="s">
        <v>486</v>
      </c>
      <c r="L8" s="37" t="s">
        <v>142</v>
      </c>
    </row>
    <row r="9" spans="2:15" x14ac:dyDescent="0.35">
      <c r="B9" s="37" t="str">
        <f>'BI - References'!C68</f>
        <v>Transformer</v>
      </c>
      <c r="C9" s="37" t="str">
        <f>'BI - References'!C68</f>
        <v>Transformer</v>
      </c>
      <c r="G9" s="37" t="s">
        <v>487</v>
      </c>
      <c r="H9" s="37" t="s">
        <v>481</v>
      </c>
      <c r="I9" s="37" t="s">
        <v>488</v>
      </c>
      <c r="J9" s="37" t="s">
        <v>489</v>
      </c>
      <c r="K9" s="37" t="s">
        <v>481</v>
      </c>
    </row>
    <row r="10" spans="2:15" ht="27" x14ac:dyDescent="0.35">
      <c r="B10" s="37" t="str">
        <f>'BI - References'!C69</f>
        <v>Transformer substation</v>
      </c>
      <c r="C10" s="37" t="str">
        <f>'BI - References'!C69</f>
        <v>Transformer substation</v>
      </c>
      <c r="G10" s="37" t="s">
        <v>490</v>
      </c>
      <c r="I10" s="37" t="s">
        <v>491</v>
      </c>
      <c r="J10" s="37" t="s">
        <v>481</v>
      </c>
    </row>
    <row r="11" spans="2:15" x14ac:dyDescent="0.35">
      <c r="C11" s="37" t="str">
        <f>'BI - References'!C70</f>
        <v>Other asset</v>
      </c>
      <c r="G11" s="37" t="s">
        <v>492</v>
      </c>
      <c r="I11" s="37" t="s">
        <v>493</v>
      </c>
    </row>
    <row r="12" spans="2:15" x14ac:dyDescent="0.35">
      <c r="G12" s="37" t="s">
        <v>481</v>
      </c>
      <c r="I12" s="37" t="s">
        <v>494</v>
      </c>
    </row>
    <row r="13" spans="2:15" x14ac:dyDescent="0.35">
      <c r="B13" s="24"/>
      <c r="I13" s="37" t="s">
        <v>495</v>
      </c>
    </row>
    <row r="14" spans="2:15" x14ac:dyDescent="0.35">
      <c r="I14" s="37" t="s">
        <v>496</v>
      </c>
    </row>
    <row r="15" spans="2:15" x14ac:dyDescent="0.35">
      <c r="I15" s="37" t="s">
        <v>497</v>
      </c>
    </row>
    <row r="16" spans="2:15" x14ac:dyDescent="0.35">
      <c r="I16" s="37" t="s">
        <v>498</v>
      </c>
    </row>
    <row r="17" spans="2:15" x14ac:dyDescent="0.35">
      <c r="I17" s="37" t="s">
        <v>481</v>
      </c>
    </row>
    <row r="25" spans="2:15" ht="14" thickBot="1" x14ac:dyDescent="0.4"/>
    <row r="26" spans="2:15" ht="14.5" thickTop="1" thickBot="1" x14ac:dyDescent="0.4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2:15" ht="14" thickTop="1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2:15" ht="27" x14ac:dyDescent="0.35">
      <c r="B28" s="36" t="s">
        <v>499</v>
      </c>
      <c r="C28" s="36" t="s">
        <v>500</v>
      </c>
      <c r="D28" s="36" t="s">
        <v>501</v>
      </c>
      <c r="E28" s="36" t="s">
        <v>502</v>
      </c>
      <c r="F28" s="36" t="s">
        <v>503</v>
      </c>
      <c r="G28" s="36" t="s">
        <v>504</v>
      </c>
      <c r="H28" s="36" t="s">
        <v>505</v>
      </c>
      <c r="I28" s="36"/>
      <c r="J28" s="36"/>
      <c r="K28" s="36"/>
      <c r="L28" s="36"/>
      <c r="M28" s="36"/>
      <c r="N28" s="36"/>
      <c r="O28" s="36"/>
    </row>
    <row r="29" spans="2:15" x14ac:dyDescent="0.35">
      <c r="B29" s="37"/>
      <c r="C29" s="37"/>
      <c r="D29" s="37"/>
      <c r="E29" s="37"/>
      <c r="F29" s="37"/>
      <c r="G29" s="37" t="s">
        <v>30</v>
      </c>
      <c r="H29" s="37"/>
    </row>
    <row r="30" spans="2:15" x14ac:dyDescent="0.35">
      <c r="B30" s="37" t="s">
        <v>481</v>
      </c>
      <c r="C30" s="37" t="s">
        <v>77</v>
      </c>
      <c r="D30" s="37" t="s">
        <v>239</v>
      </c>
      <c r="E30" s="37">
        <v>1</v>
      </c>
      <c r="F30" s="37">
        <v>1</v>
      </c>
      <c r="G30" s="37" t="s">
        <v>506</v>
      </c>
    </row>
    <row r="31" spans="2:15" x14ac:dyDescent="0.35">
      <c r="C31" s="37" t="s">
        <v>507</v>
      </c>
      <c r="E31" s="37">
        <v>3</v>
      </c>
      <c r="F31" s="37">
        <v>2</v>
      </c>
      <c r="G31" s="37" t="s">
        <v>508</v>
      </c>
    </row>
    <row r="32" spans="2:15" x14ac:dyDescent="0.35">
      <c r="C32" s="37" t="s">
        <v>509</v>
      </c>
      <c r="F32" s="37">
        <v>3</v>
      </c>
      <c r="G32" s="37" t="s">
        <v>510</v>
      </c>
    </row>
    <row r="33" spans="6:6" x14ac:dyDescent="0.35">
      <c r="F33" s="37">
        <v>4</v>
      </c>
    </row>
    <row r="34" spans="6:6" x14ac:dyDescent="0.35">
      <c r="F34" s="37">
        <v>5</v>
      </c>
    </row>
    <row r="35" spans="6:6" x14ac:dyDescent="0.35">
      <c r="F35" s="37">
        <v>6</v>
      </c>
    </row>
  </sheetData>
  <sheetProtection algorithmName="SHA-512" hashValue="vNPOSEk6ECgOcPVRXl+9c65MkxLGq4vCBrgKEEHKKTBPt6q858zEN+K+Yr9U82U1/1XiJay+uvdwKPLDVDrROA==" saltValue="pT10qDfcxvxb8upX9UrA3g==" spinCount="100000" sheet="1" objects="1" scenarios="1" selectLockedCells="1"/>
  <dataValidations count="1">
    <dataValidation type="list" allowBlank="1" showInputMessage="1" showErrorMessage="1" sqref="B2:C2" xr:uid="{00000000-0002-0000-0B00-000000000000}">
      <formula1>dd_asset_tender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1"/>
  <dimension ref="B3:E152"/>
  <sheetViews>
    <sheetView showRowColHeaders="0" zoomScaleNormal="100" workbookViewId="0">
      <selection activeCell="XFD1" sqref="XFD1"/>
    </sheetView>
  </sheetViews>
  <sheetFormatPr defaultRowHeight="13.5" x14ac:dyDescent="0.35"/>
  <cols>
    <col min="2" max="2" width="9.69921875" style="23" customWidth="1"/>
    <col min="3" max="3" width="14.296875" style="23" customWidth="1"/>
    <col min="4" max="4" width="22.59765625" style="23" customWidth="1"/>
    <col min="5" max="5" width="169.296875" customWidth="1"/>
  </cols>
  <sheetData>
    <row r="3" spans="2:5" x14ac:dyDescent="0.35">
      <c r="B3" s="296" t="s">
        <v>511</v>
      </c>
      <c r="C3" s="297"/>
      <c r="D3" s="297"/>
      <c r="E3" s="298"/>
    </row>
    <row r="4" spans="2:5" x14ac:dyDescent="0.35">
      <c r="B4" s="98" t="s">
        <v>512</v>
      </c>
      <c r="C4" s="98" t="s">
        <v>513</v>
      </c>
      <c r="D4" s="98" t="s">
        <v>514</v>
      </c>
      <c r="E4" s="98" t="s">
        <v>515</v>
      </c>
    </row>
    <row r="5" spans="2:5" ht="27" x14ac:dyDescent="0.35">
      <c r="B5" s="87" t="s">
        <v>516</v>
      </c>
      <c r="C5" s="88">
        <v>44000</v>
      </c>
      <c r="D5" s="89" t="s">
        <v>517</v>
      </c>
      <c r="E5" s="90" t="s">
        <v>518</v>
      </c>
    </row>
    <row r="6" spans="2:5" ht="202.5" x14ac:dyDescent="0.35">
      <c r="B6" s="91" t="s">
        <v>519</v>
      </c>
      <c r="C6" s="230">
        <v>44025</v>
      </c>
      <c r="D6" s="92" t="s">
        <v>517</v>
      </c>
      <c r="E6" s="93" t="s">
        <v>520</v>
      </c>
    </row>
    <row r="7" spans="2:5" ht="121.5" x14ac:dyDescent="0.35">
      <c r="B7" s="91" t="s">
        <v>521</v>
      </c>
      <c r="C7" s="230">
        <v>45278</v>
      </c>
      <c r="D7" s="92" t="s">
        <v>522</v>
      </c>
      <c r="E7" s="93" t="s">
        <v>523</v>
      </c>
    </row>
    <row r="8" spans="2:5" ht="135" x14ac:dyDescent="0.35">
      <c r="B8" s="91" t="s">
        <v>524</v>
      </c>
      <c r="C8" s="230">
        <v>45380</v>
      </c>
      <c r="D8" s="92" t="s">
        <v>522</v>
      </c>
      <c r="E8" s="93" t="s">
        <v>525</v>
      </c>
    </row>
    <row r="9" spans="2:5" ht="108" x14ac:dyDescent="0.35">
      <c r="B9" s="91" t="s">
        <v>527</v>
      </c>
      <c r="C9" s="230">
        <v>45783</v>
      </c>
      <c r="D9" s="92" t="s">
        <v>528</v>
      </c>
      <c r="E9" s="93" t="s">
        <v>535</v>
      </c>
    </row>
    <row r="10" spans="2:5" ht="108" x14ac:dyDescent="0.35">
      <c r="B10" s="91" t="s">
        <v>554</v>
      </c>
      <c r="C10" s="230">
        <v>45999</v>
      </c>
      <c r="D10" s="92" t="s">
        <v>528</v>
      </c>
      <c r="E10" s="93" t="s">
        <v>555</v>
      </c>
    </row>
    <row r="11" spans="2:5" x14ac:dyDescent="0.35">
      <c r="B11" s="91"/>
      <c r="C11" s="91"/>
      <c r="D11" s="92"/>
      <c r="E11" s="94"/>
    </row>
    <row r="12" spans="2:5" x14ac:dyDescent="0.35">
      <c r="B12" s="91"/>
      <c r="C12" s="91"/>
      <c r="D12" s="92"/>
      <c r="E12" s="94"/>
    </row>
    <row r="13" spans="2:5" x14ac:dyDescent="0.35">
      <c r="B13" s="91"/>
      <c r="C13" s="91"/>
      <c r="D13" s="92"/>
      <c r="E13" s="94"/>
    </row>
    <row r="14" spans="2:5" x14ac:dyDescent="0.35">
      <c r="B14" s="91"/>
      <c r="C14" s="91"/>
      <c r="D14" s="92"/>
      <c r="E14" s="94"/>
    </row>
    <row r="15" spans="2:5" x14ac:dyDescent="0.35">
      <c r="B15" s="91"/>
      <c r="C15" s="91"/>
      <c r="D15" s="92"/>
      <c r="E15" s="94"/>
    </row>
    <row r="16" spans="2:5" x14ac:dyDescent="0.35">
      <c r="B16" s="91"/>
      <c r="C16" s="91"/>
      <c r="D16" s="92"/>
      <c r="E16" s="94"/>
    </row>
    <row r="17" spans="2:5" x14ac:dyDescent="0.35">
      <c r="B17" s="91"/>
      <c r="C17" s="91"/>
      <c r="D17" s="92"/>
      <c r="E17" s="94"/>
    </row>
    <row r="18" spans="2:5" x14ac:dyDescent="0.35">
      <c r="B18" s="91"/>
      <c r="C18" s="91"/>
      <c r="D18" s="92"/>
      <c r="E18" s="94"/>
    </row>
    <row r="19" spans="2:5" x14ac:dyDescent="0.35">
      <c r="B19" s="91"/>
      <c r="C19" s="91"/>
      <c r="D19" s="92"/>
      <c r="E19" s="94"/>
    </row>
    <row r="20" spans="2:5" x14ac:dyDescent="0.35">
      <c r="B20" s="91"/>
      <c r="C20" s="91"/>
      <c r="D20" s="92"/>
      <c r="E20" s="94"/>
    </row>
    <row r="21" spans="2:5" x14ac:dyDescent="0.35">
      <c r="B21" s="91"/>
      <c r="C21" s="91"/>
      <c r="D21" s="92"/>
      <c r="E21" s="94"/>
    </row>
    <row r="22" spans="2:5" x14ac:dyDescent="0.35">
      <c r="B22" s="91"/>
      <c r="C22" s="91"/>
      <c r="D22" s="92"/>
      <c r="E22" s="94"/>
    </row>
    <row r="23" spans="2:5" x14ac:dyDescent="0.35">
      <c r="B23" s="91"/>
      <c r="C23" s="91"/>
      <c r="D23" s="92"/>
      <c r="E23" s="94"/>
    </row>
    <row r="24" spans="2:5" x14ac:dyDescent="0.35">
      <c r="B24" s="91"/>
      <c r="C24" s="91"/>
      <c r="D24" s="92"/>
      <c r="E24" s="94"/>
    </row>
    <row r="25" spans="2:5" x14ac:dyDescent="0.35">
      <c r="B25" s="91"/>
      <c r="C25" s="91"/>
      <c r="D25" s="92"/>
      <c r="E25" s="94"/>
    </row>
    <row r="26" spans="2:5" x14ac:dyDescent="0.35">
      <c r="B26" s="91"/>
      <c r="C26" s="91"/>
      <c r="D26" s="92"/>
      <c r="E26" s="94"/>
    </row>
    <row r="27" spans="2:5" x14ac:dyDescent="0.35">
      <c r="B27" s="91"/>
      <c r="C27" s="91"/>
      <c r="D27" s="92"/>
      <c r="E27" s="94"/>
    </row>
    <row r="28" spans="2:5" x14ac:dyDescent="0.35">
      <c r="B28" s="91"/>
      <c r="C28" s="91"/>
      <c r="D28" s="92"/>
      <c r="E28" s="94"/>
    </row>
    <row r="29" spans="2:5" x14ac:dyDescent="0.35">
      <c r="B29" s="91"/>
      <c r="C29" s="91"/>
      <c r="D29" s="92"/>
      <c r="E29" s="94"/>
    </row>
    <row r="30" spans="2:5" x14ac:dyDescent="0.35">
      <c r="B30" s="91"/>
      <c r="C30" s="91"/>
      <c r="D30" s="92"/>
      <c r="E30" s="94"/>
    </row>
    <row r="31" spans="2:5" x14ac:dyDescent="0.35">
      <c r="B31" s="91"/>
      <c r="C31" s="91"/>
      <c r="D31" s="92"/>
      <c r="E31" s="94"/>
    </row>
    <row r="32" spans="2:5" x14ac:dyDescent="0.35">
      <c r="B32" s="91"/>
      <c r="C32" s="91"/>
      <c r="D32" s="92"/>
      <c r="E32" s="94"/>
    </row>
    <row r="33" spans="2:5" x14ac:dyDescent="0.35">
      <c r="B33" s="91"/>
      <c r="C33" s="91"/>
      <c r="D33" s="92"/>
      <c r="E33" s="94"/>
    </row>
    <row r="34" spans="2:5" x14ac:dyDescent="0.35">
      <c r="B34" s="91"/>
      <c r="C34" s="91"/>
      <c r="D34" s="92"/>
      <c r="E34" s="94"/>
    </row>
    <row r="35" spans="2:5" x14ac:dyDescent="0.35">
      <c r="B35" s="91"/>
      <c r="C35" s="91"/>
      <c r="D35" s="92"/>
      <c r="E35" s="94"/>
    </row>
    <row r="36" spans="2:5" x14ac:dyDescent="0.35">
      <c r="B36" s="91"/>
      <c r="C36" s="91"/>
      <c r="D36" s="92"/>
      <c r="E36" s="94"/>
    </row>
    <row r="37" spans="2:5" x14ac:dyDescent="0.35">
      <c r="B37" s="91"/>
      <c r="C37" s="91"/>
      <c r="D37" s="92"/>
      <c r="E37" s="94"/>
    </row>
    <row r="38" spans="2:5" x14ac:dyDescent="0.35">
      <c r="B38" s="91"/>
      <c r="C38" s="91"/>
      <c r="D38" s="92"/>
      <c r="E38" s="94"/>
    </row>
    <row r="39" spans="2:5" x14ac:dyDescent="0.35">
      <c r="B39" s="91"/>
      <c r="C39" s="91"/>
      <c r="D39" s="92"/>
      <c r="E39" s="94"/>
    </row>
    <row r="40" spans="2:5" x14ac:dyDescent="0.35">
      <c r="B40" s="91"/>
      <c r="C40" s="91"/>
      <c r="D40" s="92"/>
      <c r="E40" s="94"/>
    </row>
    <row r="41" spans="2:5" x14ac:dyDescent="0.35">
      <c r="B41" s="91"/>
      <c r="C41" s="91"/>
      <c r="D41" s="92"/>
      <c r="E41" s="94"/>
    </row>
    <row r="42" spans="2:5" x14ac:dyDescent="0.35">
      <c r="B42" s="91"/>
      <c r="C42" s="91"/>
      <c r="D42" s="92"/>
      <c r="E42" s="94"/>
    </row>
    <row r="43" spans="2:5" x14ac:dyDescent="0.35">
      <c r="B43" s="91"/>
      <c r="C43" s="91"/>
      <c r="D43" s="92"/>
      <c r="E43" s="94"/>
    </row>
    <row r="44" spans="2:5" x14ac:dyDescent="0.35">
      <c r="B44" s="91"/>
      <c r="C44" s="91"/>
      <c r="D44" s="92"/>
      <c r="E44" s="94"/>
    </row>
    <row r="45" spans="2:5" x14ac:dyDescent="0.35">
      <c r="B45" s="91"/>
      <c r="C45" s="91"/>
      <c r="D45" s="92"/>
      <c r="E45" s="94"/>
    </row>
    <row r="46" spans="2:5" x14ac:dyDescent="0.35">
      <c r="B46" s="91"/>
      <c r="C46" s="91"/>
      <c r="D46" s="92"/>
      <c r="E46" s="94"/>
    </row>
    <row r="47" spans="2:5" x14ac:dyDescent="0.35">
      <c r="B47" s="91"/>
      <c r="C47" s="91"/>
      <c r="D47" s="92"/>
      <c r="E47" s="94"/>
    </row>
    <row r="48" spans="2:5" x14ac:dyDescent="0.35">
      <c r="B48" s="91"/>
      <c r="C48" s="91"/>
      <c r="D48" s="92"/>
      <c r="E48" s="94"/>
    </row>
    <row r="49" spans="2:5" x14ac:dyDescent="0.35">
      <c r="B49" s="91"/>
      <c r="C49" s="91"/>
      <c r="D49" s="92"/>
      <c r="E49" s="94"/>
    </row>
    <row r="50" spans="2:5" x14ac:dyDescent="0.35">
      <c r="B50" s="91"/>
      <c r="C50" s="91"/>
      <c r="D50" s="92"/>
      <c r="E50" s="94"/>
    </row>
    <row r="51" spans="2:5" x14ac:dyDescent="0.35">
      <c r="B51" s="91"/>
      <c r="C51" s="91"/>
      <c r="D51" s="92"/>
      <c r="E51" s="94"/>
    </row>
    <row r="52" spans="2:5" x14ac:dyDescent="0.35">
      <c r="B52" s="91"/>
      <c r="C52" s="91"/>
      <c r="D52" s="92"/>
      <c r="E52" s="94"/>
    </row>
    <row r="53" spans="2:5" x14ac:dyDescent="0.35">
      <c r="B53" s="91"/>
      <c r="C53" s="91"/>
      <c r="D53" s="92"/>
      <c r="E53" s="94"/>
    </row>
    <row r="54" spans="2:5" x14ac:dyDescent="0.35">
      <c r="B54" s="91"/>
      <c r="C54" s="91"/>
      <c r="D54" s="92"/>
      <c r="E54" s="94"/>
    </row>
    <row r="55" spans="2:5" x14ac:dyDescent="0.35">
      <c r="B55" s="91"/>
      <c r="C55" s="91"/>
      <c r="D55" s="92"/>
      <c r="E55" s="94"/>
    </row>
    <row r="56" spans="2:5" x14ac:dyDescent="0.35">
      <c r="B56" s="91"/>
      <c r="C56" s="91"/>
      <c r="D56" s="92"/>
      <c r="E56" s="94"/>
    </row>
    <row r="57" spans="2:5" x14ac:dyDescent="0.35">
      <c r="B57" s="91"/>
      <c r="C57" s="91"/>
      <c r="D57" s="92"/>
      <c r="E57" s="94"/>
    </row>
    <row r="58" spans="2:5" x14ac:dyDescent="0.35">
      <c r="B58" s="91"/>
      <c r="C58" s="91"/>
      <c r="D58" s="92"/>
      <c r="E58" s="94"/>
    </row>
    <row r="59" spans="2:5" x14ac:dyDescent="0.35">
      <c r="B59" s="91"/>
      <c r="C59" s="91"/>
      <c r="D59" s="92"/>
      <c r="E59" s="94"/>
    </row>
    <row r="60" spans="2:5" x14ac:dyDescent="0.35">
      <c r="B60" s="91"/>
      <c r="C60" s="91"/>
      <c r="D60" s="92"/>
      <c r="E60" s="94"/>
    </row>
    <row r="61" spans="2:5" x14ac:dyDescent="0.35">
      <c r="B61" s="91"/>
      <c r="C61" s="91"/>
      <c r="D61" s="92"/>
      <c r="E61" s="94"/>
    </row>
    <row r="62" spans="2:5" x14ac:dyDescent="0.35">
      <c r="B62" s="91"/>
      <c r="C62" s="91"/>
      <c r="D62" s="92"/>
      <c r="E62" s="94"/>
    </row>
    <row r="63" spans="2:5" x14ac:dyDescent="0.35">
      <c r="B63" s="91"/>
      <c r="C63" s="91"/>
      <c r="D63" s="92"/>
      <c r="E63" s="94"/>
    </row>
    <row r="64" spans="2:5" x14ac:dyDescent="0.35">
      <c r="B64" s="91"/>
      <c r="C64" s="91"/>
      <c r="D64" s="92"/>
      <c r="E64" s="94"/>
    </row>
    <row r="65" spans="2:5" x14ac:dyDescent="0.35">
      <c r="B65" s="91"/>
      <c r="C65" s="91"/>
      <c r="D65" s="92"/>
      <c r="E65" s="94"/>
    </row>
    <row r="66" spans="2:5" x14ac:dyDescent="0.35">
      <c r="B66" s="91"/>
      <c r="C66" s="91"/>
      <c r="D66" s="92"/>
      <c r="E66" s="94"/>
    </row>
    <row r="67" spans="2:5" x14ac:dyDescent="0.35">
      <c r="B67" s="91"/>
      <c r="C67" s="91"/>
      <c r="D67" s="92"/>
      <c r="E67" s="94"/>
    </row>
    <row r="68" spans="2:5" x14ac:dyDescent="0.35">
      <c r="B68" s="91"/>
      <c r="C68" s="91"/>
      <c r="D68" s="92"/>
      <c r="E68" s="94"/>
    </row>
    <row r="69" spans="2:5" x14ac:dyDescent="0.35">
      <c r="B69" s="91"/>
      <c r="C69" s="91"/>
      <c r="D69" s="92"/>
      <c r="E69" s="94"/>
    </row>
    <row r="70" spans="2:5" x14ac:dyDescent="0.35">
      <c r="B70" s="91"/>
      <c r="C70" s="91"/>
      <c r="D70" s="92"/>
      <c r="E70" s="94"/>
    </row>
    <row r="71" spans="2:5" x14ac:dyDescent="0.35">
      <c r="B71" s="91"/>
      <c r="C71" s="91"/>
      <c r="D71" s="92"/>
      <c r="E71" s="94"/>
    </row>
    <row r="72" spans="2:5" x14ac:dyDescent="0.35">
      <c r="B72" s="91"/>
      <c r="C72" s="91"/>
      <c r="D72" s="92"/>
      <c r="E72" s="94"/>
    </row>
    <row r="73" spans="2:5" x14ac:dyDescent="0.35">
      <c r="B73" s="91"/>
      <c r="C73" s="91"/>
      <c r="D73" s="92"/>
      <c r="E73" s="94"/>
    </row>
    <row r="74" spans="2:5" x14ac:dyDescent="0.35">
      <c r="B74" s="91"/>
      <c r="C74" s="91"/>
      <c r="D74" s="92"/>
      <c r="E74" s="94"/>
    </row>
    <row r="75" spans="2:5" x14ac:dyDescent="0.35">
      <c r="B75" s="91"/>
      <c r="C75" s="91"/>
      <c r="D75" s="92"/>
      <c r="E75" s="94"/>
    </row>
    <row r="76" spans="2:5" x14ac:dyDescent="0.35">
      <c r="B76" s="91"/>
      <c r="C76" s="91"/>
      <c r="D76" s="92"/>
      <c r="E76" s="94"/>
    </row>
    <row r="77" spans="2:5" x14ac:dyDescent="0.35">
      <c r="B77" s="91"/>
      <c r="C77" s="91"/>
      <c r="D77" s="92"/>
      <c r="E77" s="94"/>
    </row>
    <row r="78" spans="2:5" x14ac:dyDescent="0.35">
      <c r="B78" s="91"/>
      <c r="C78" s="91"/>
      <c r="D78" s="92"/>
      <c r="E78" s="94"/>
    </row>
    <row r="79" spans="2:5" x14ac:dyDescent="0.35">
      <c r="B79" s="91"/>
      <c r="C79" s="91"/>
      <c r="D79" s="92"/>
      <c r="E79" s="94"/>
    </row>
    <row r="80" spans="2:5" x14ac:dyDescent="0.35">
      <c r="B80" s="91"/>
      <c r="C80" s="91"/>
      <c r="D80" s="92"/>
      <c r="E80" s="94"/>
    </row>
    <row r="81" spans="2:5" x14ac:dyDescent="0.35">
      <c r="B81" s="91"/>
      <c r="C81" s="91"/>
      <c r="D81" s="92"/>
      <c r="E81" s="94"/>
    </row>
    <row r="82" spans="2:5" x14ac:dyDescent="0.35">
      <c r="B82" s="91"/>
      <c r="C82" s="91"/>
      <c r="D82" s="92"/>
      <c r="E82" s="94"/>
    </row>
    <row r="83" spans="2:5" x14ac:dyDescent="0.35">
      <c r="B83" s="91"/>
      <c r="C83" s="91"/>
      <c r="D83" s="92"/>
      <c r="E83" s="94"/>
    </row>
    <row r="84" spans="2:5" x14ac:dyDescent="0.35">
      <c r="B84" s="91"/>
      <c r="C84" s="91"/>
      <c r="D84" s="92"/>
      <c r="E84" s="94"/>
    </row>
    <row r="85" spans="2:5" x14ac:dyDescent="0.35">
      <c r="B85" s="91"/>
      <c r="C85" s="91"/>
      <c r="D85" s="92"/>
      <c r="E85" s="94"/>
    </row>
    <row r="86" spans="2:5" x14ac:dyDescent="0.35">
      <c r="B86" s="91"/>
      <c r="C86" s="91"/>
      <c r="D86" s="92"/>
      <c r="E86" s="94"/>
    </row>
    <row r="87" spans="2:5" x14ac:dyDescent="0.35">
      <c r="B87" s="91"/>
      <c r="C87" s="91"/>
      <c r="D87" s="92"/>
      <c r="E87" s="94"/>
    </row>
    <row r="88" spans="2:5" x14ac:dyDescent="0.35">
      <c r="B88" s="91"/>
      <c r="C88" s="91"/>
      <c r="D88" s="92"/>
      <c r="E88" s="94"/>
    </row>
    <row r="89" spans="2:5" x14ac:dyDescent="0.35">
      <c r="B89" s="91"/>
      <c r="C89" s="91"/>
      <c r="D89" s="92"/>
      <c r="E89" s="94"/>
    </row>
    <row r="90" spans="2:5" x14ac:dyDescent="0.35">
      <c r="B90" s="91"/>
      <c r="C90" s="91"/>
      <c r="D90" s="92"/>
      <c r="E90" s="94"/>
    </row>
    <row r="91" spans="2:5" x14ac:dyDescent="0.35">
      <c r="B91" s="91"/>
      <c r="C91" s="91"/>
      <c r="D91" s="92"/>
      <c r="E91" s="94"/>
    </row>
    <row r="92" spans="2:5" x14ac:dyDescent="0.35">
      <c r="B92" s="91"/>
      <c r="C92" s="91"/>
      <c r="D92" s="92"/>
      <c r="E92" s="94"/>
    </row>
    <row r="93" spans="2:5" x14ac:dyDescent="0.35">
      <c r="B93" s="91"/>
      <c r="C93" s="91"/>
      <c r="D93" s="92"/>
      <c r="E93" s="94"/>
    </row>
    <row r="94" spans="2:5" x14ac:dyDescent="0.35">
      <c r="B94" s="91"/>
      <c r="C94" s="91"/>
      <c r="D94" s="92"/>
      <c r="E94" s="94"/>
    </row>
    <row r="95" spans="2:5" x14ac:dyDescent="0.35">
      <c r="B95" s="91"/>
      <c r="C95" s="91"/>
      <c r="D95" s="92"/>
      <c r="E95" s="94"/>
    </row>
    <row r="96" spans="2:5" x14ac:dyDescent="0.35">
      <c r="B96" s="91"/>
      <c r="C96" s="91"/>
      <c r="D96" s="92"/>
      <c r="E96" s="94"/>
    </row>
    <row r="97" spans="2:5" x14ac:dyDescent="0.35">
      <c r="B97" s="91"/>
      <c r="C97" s="91"/>
      <c r="D97" s="92"/>
      <c r="E97" s="94"/>
    </row>
    <row r="98" spans="2:5" x14ac:dyDescent="0.35">
      <c r="B98" s="91"/>
      <c r="C98" s="91"/>
      <c r="D98" s="92"/>
      <c r="E98" s="94"/>
    </row>
    <row r="99" spans="2:5" x14ac:dyDescent="0.35">
      <c r="B99" s="91"/>
      <c r="C99" s="91"/>
      <c r="D99" s="92"/>
      <c r="E99" s="94"/>
    </row>
    <row r="100" spans="2:5" x14ac:dyDescent="0.35">
      <c r="B100" s="91"/>
      <c r="C100" s="91"/>
      <c r="D100" s="92"/>
      <c r="E100" s="94"/>
    </row>
    <row r="101" spans="2:5" x14ac:dyDescent="0.35">
      <c r="B101" s="91"/>
      <c r="C101" s="91"/>
      <c r="D101" s="92"/>
      <c r="E101" s="94"/>
    </row>
    <row r="102" spans="2:5" x14ac:dyDescent="0.35">
      <c r="B102" s="91"/>
      <c r="C102" s="91"/>
      <c r="D102" s="92"/>
      <c r="E102" s="94"/>
    </row>
    <row r="103" spans="2:5" x14ac:dyDescent="0.35">
      <c r="B103" s="91"/>
      <c r="C103" s="91"/>
      <c r="D103" s="92"/>
      <c r="E103" s="94"/>
    </row>
    <row r="104" spans="2:5" x14ac:dyDescent="0.35">
      <c r="B104" s="91"/>
      <c r="C104" s="91"/>
      <c r="D104" s="92"/>
      <c r="E104" s="94"/>
    </row>
    <row r="105" spans="2:5" x14ac:dyDescent="0.35">
      <c r="B105" s="91"/>
      <c r="C105" s="91"/>
      <c r="D105" s="92"/>
      <c r="E105" s="94"/>
    </row>
    <row r="106" spans="2:5" x14ac:dyDescent="0.35">
      <c r="B106" s="91"/>
      <c r="C106" s="91"/>
      <c r="D106" s="92"/>
      <c r="E106" s="94"/>
    </row>
    <row r="107" spans="2:5" x14ac:dyDescent="0.35">
      <c r="B107" s="91"/>
      <c r="C107" s="91"/>
      <c r="D107" s="92"/>
      <c r="E107" s="94"/>
    </row>
    <row r="108" spans="2:5" x14ac:dyDescent="0.35">
      <c r="B108" s="91"/>
      <c r="C108" s="91"/>
      <c r="D108" s="92"/>
      <c r="E108" s="94"/>
    </row>
    <row r="109" spans="2:5" x14ac:dyDescent="0.35">
      <c r="B109" s="91"/>
      <c r="C109" s="91"/>
      <c r="D109" s="92"/>
      <c r="E109" s="94"/>
    </row>
    <row r="110" spans="2:5" x14ac:dyDescent="0.35">
      <c r="B110" s="91"/>
      <c r="C110" s="91"/>
      <c r="D110" s="92"/>
      <c r="E110" s="94"/>
    </row>
    <row r="111" spans="2:5" x14ac:dyDescent="0.35">
      <c r="B111" s="91"/>
      <c r="C111" s="91"/>
      <c r="D111" s="92"/>
      <c r="E111" s="94"/>
    </row>
    <row r="112" spans="2:5" x14ac:dyDescent="0.35">
      <c r="B112" s="91"/>
      <c r="C112" s="91"/>
      <c r="D112" s="92"/>
      <c r="E112" s="94"/>
    </row>
    <row r="113" spans="2:5" x14ac:dyDescent="0.35">
      <c r="B113" s="91"/>
      <c r="C113" s="91"/>
      <c r="D113" s="92"/>
      <c r="E113" s="94"/>
    </row>
    <row r="114" spans="2:5" x14ac:dyDescent="0.35">
      <c r="B114" s="91"/>
      <c r="C114" s="91"/>
      <c r="D114" s="92"/>
      <c r="E114" s="94"/>
    </row>
    <row r="115" spans="2:5" x14ac:dyDescent="0.35">
      <c r="B115" s="91"/>
      <c r="C115" s="91"/>
      <c r="D115" s="92"/>
      <c r="E115" s="94"/>
    </row>
    <row r="116" spans="2:5" x14ac:dyDescent="0.35">
      <c r="B116" s="91"/>
      <c r="C116" s="91"/>
      <c r="D116" s="92"/>
      <c r="E116" s="94"/>
    </row>
    <row r="117" spans="2:5" x14ac:dyDescent="0.35">
      <c r="B117" s="91"/>
      <c r="C117" s="91"/>
      <c r="D117" s="92"/>
      <c r="E117" s="94"/>
    </row>
    <row r="118" spans="2:5" x14ac:dyDescent="0.35">
      <c r="B118" s="91"/>
      <c r="C118" s="91"/>
      <c r="D118" s="92"/>
      <c r="E118" s="94"/>
    </row>
    <row r="119" spans="2:5" x14ac:dyDescent="0.35">
      <c r="B119" s="91"/>
      <c r="C119" s="91"/>
      <c r="D119" s="92"/>
      <c r="E119" s="94"/>
    </row>
    <row r="120" spans="2:5" x14ac:dyDescent="0.35">
      <c r="B120" s="91"/>
      <c r="C120" s="91"/>
      <c r="D120" s="92"/>
      <c r="E120" s="94"/>
    </row>
    <row r="121" spans="2:5" x14ac:dyDescent="0.35">
      <c r="B121" s="91"/>
      <c r="C121" s="91"/>
      <c r="D121" s="92"/>
      <c r="E121" s="94"/>
    </row>
    <row r="122" spans="2:5" x14ac:dyDescent="0.35">
      <c r="B122" s="91"/>
      <c r="C122" s="91"/>
      <c r="D122" s="92"/>
      <c r="E122" s="94"/>
    </row>
    <row r="123" spans="2:5" x14ac:dyDescent="0.35">
      <c r="B123" s="91"/>
      <c r="C123" s="91"/>
      <c r="D123" s="92"/>
      <c r="E123" s="94"/>
    </row>
    <row r="124" spans="2:5" x14ac:dyDescent="0.35">
      <c r="B124" s="91"/>
      <c r="C124" s="91"/>
      <c r="D124" s="92"/>
      <c r="E124" s="94"/>
    </row>
    <row r="125" spans="2:5" x14ac:dyDescent="0.35">
      <c r="B125" s="91"/>
      <c r="C125" s="91"/>
      <c r="D125" s="92"/>
      <c r="E125" s="94"/>
    </row>
    <row r="126" spans="2:5" x14ac:dyDescent="0.35">
      <c r="B126" s="91"/>
      <c r="C126" s="91"/>
      <c r="D126" s="92"/>
      <c r="E126" s="94"/>
    </row>
    <row r="127" spans="2:5" x14ac:dyDescent="0.35">
      <c r="B127" s="91"/>
      <c r="C127" s="91"/>
      <c r="D127" s="92"/>
      <c r="E127" s="94"/>
    </row>
    <row r="128" spans="2:5" x14ac:dyDescent="0.35">
      <c r="B128" s="91"/>
      <c r="C128" s="91"/>
      <c r="D128" s="92"/>
      <c r="E128" s="94"/>
    </row>
    <row r="129" spans="2:5" x14ac:dyDescent="0.35">
      <c r="B129" s="91"/>
      <c r="C129" s="91"/>
      <c r="D129" s="92"/>
      <c r="E129" s="94"/>
    </row>
    <row r="130" spans="2:5" x14ac:dyDescent="0.35">
      <c r="B130" s="91"/>
      <c r="C130" s="91"/>
      <c r="D130" s="92"/>
      <c r="E130" s="94"/>
    </row>
    <row r="131" spans="2:5" x14ac:dyDescent="0.35">
      <c r="B131" s="91"/>
      <c r="C131" s="91"/>
      <c r="D131" s="92"/>
      <c r="E131" s="94"/>
    </row>
    <row r="132" spans="2:5" x14ac:dyDescent="0.35">
      <c r="B132" s="91"/>
      <c r="C132" s="91"/>
      <c r="D132" s="92"/>
      <c r="E132" s="94"/>
    </row>
    <row r="133" spans="2:5" x14ac:dyDescent="0.35">
      <c r="B133" s="91"/>
      <c r="C133" s="91"/>
      <c r="D133" s="92"/>
      <c r="E133" s="94"/>
    </row>
    <row r="134" spans="2:5" x14ac:dyDescent="0.35">
      <c r="B134" s="91"/>
      <c r="C134" s="91"/>
      <c r="D134" s="92"/>
      <c r="E134" s="94"/>
    </row>
    <row r="135" spans="2:5" x14ac:dyDescent="0.35">
      <c r="B135" s="91"/>
      <c r="C135" s="91"/>
      <c r="D135" s="92"/>
      <c r="E135" s="94"/>
    </row>
    <row r="136" spans="2:5" x14ac:dyDescent="0.35">
      <c r="B136" s="91"/>
      <c r="C136" s="91"/>
      <c r="D136" s="92"/>
      <c r="E136" s="94"/>
    </row>
    <row r="137" spans="2:5" x14ac:dyDescent="0.35">
      <c r="B137" s="91"/>
      <c r="C137" s="91"/>
      <c r="D137" s="92"/>
      <c r="E137" s="94"/>
    </row>
    <row r="138" spans="2:5" x14ac:dyDescent="0.35">
      <c r="B138" s="91"/>
      <c r="C138" s="91"/>
      <c r="D138" s="92"/>
      <c r="E138" s="94"/>
    </row>
    <row r="139" spans="2:5" x14ac:dyDescent="0.35">
      <c r="B139" s="91"/>
      <c r="C139" s="91"/>
      <c r="D139" s="92"/>
      <c r="E139" s="94"/>
    </row>
    <row r="140" spans="2:5" x14ac:dyDescent="0.35">
      <c r="B140" s="91"/>
      <c r="C140" s="91"/>
      <c r="D140" s="92"/>
      <c r="E140" s="94"/>
    </row>
    <row r="141" spans="2:5" x14ac:dyDescent="0.35">
      <c r="B141" s="91"/>
      <c r="C141" s="91"/>
      <c r="D141" s="92"/>
      <c r="E141" s="94"/>
    </row>
    <row r="142" spans="2:5" x14ac:dyDescent="0.35">
      <c r="B142" s="91"/>
      <c r="C142" s="91"/>
      <c r="D142" s="92"/>
      <c r="E142" s="94"/>
    </row>
    <row r="143" spans="2:5" x14ac:dyDescent="0.35">
      <c r="B143" s="91"/>
      <c r="C143" s="91"/>
      <c r="D143" s="92"/>
      <c r="E143" s="94"/>
    </row>
    <row r="144" spans="2:5" x14ac:dyDescent="0.35">
      <c r="B144" s="91"/>
      <c r="C144" s="91"/>
      <c r="D144" s="92"/>
      <c r="E144" s="94"/>
    </row>
    <row r="145" spans="2:5" x14ac:dyDescent="0.35">
      <c r="B145" s="91"/>
      <c r="C145" s="91"/>
      <c r="D145" s="92"/>
      <c r="E145" s="94"/>
    </row>
    <row r="146" spans="2:5" x14ac:dyDescent="0.35">
      <c r="B146" s="91"/>
      <c r="C146" s="91"/>
      <c r="D146" s="92"/>
      <c r="E146" s="94"/>
    </row>
    <row r="147" spans="2:5" x14ac:dyDescent="0.35">
      <c r="B147" s="91"/>
      <c r="C147" s="91"/>
      <c r="D147" s="92"/>
      <c r="E147" s="94"/>
    </row>
    <row r="148" spans="2:5" x14ac:dyDescent="0.35">
      <c r="B148" s="91"/>
      <c r="C148" s="91"/>
      <c r="D148" s="92"/>
      <c r="E148" s="94"/>
    </row>
    <row r="149" spans="2:5" x14ac:dyDescent="0.35">
      <c r="B149" s="91"/>
      <c r="C149" s="91"/>
      <c r="D149" s="92"/>
      <c r="E149" s="94"/>
    </row>
    <row r="150" spans="2:5" x14ac:dyDescent="0.35">
      <c r="B150" s="91"/>
      <c r="C150" s="91"/>
      <c r="D150" s="92"/>
      <c r="E150" s="94"/>
    </row>
    <row r="151" spans="2:5" x14ac:dyDescent="0.35">
      <c r="B151" s="91"/>
      <c r="C151" s="91"/>
      <c r="D151" s="92"/>
      <c r="E151" s="94"/>
    </row>
    <row r="152" spans="2:5" x14ac:dyDescent="0.35">
      <c r="B152" s="95"/>
      <c r="C152" s="95"/>
      <c r="D152" s="96"/>
      <c r="E152" s="97"/>
    </row>
  </sheetData>
  <sheetProtection algorithmName="SHA-512" hashValue="GpycT28xFTG8S8VoXIYgXvLD3C361wG6LjhI4sVzN9cztLX5Ye2FKazG9/fky3Z8NRkiXqhhgPgK2VbeZqygEw==" saltValue="pU0D2ZhMthABpRZA/BuQDQ==" spinCount="100000" sheet="1" objects="1" scenarios="1" selectLockedCells="1"/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3"/>
  <dimension ref="C2:E8"/>
  <sheetViews>
    <sheetView showRowColHeaders="0" zoomScaleNormal="100" workbookViewId="0">
      <selection activeCell="XFD1" sqref="XFD1"/>
    </sheetView>
  </sheetViews>
  <sheetFormatPr defaultColWidth="9.09765625" defaultRowHeight="13.5" x14ac:dyDescent="0.35"/>
  <sheetData>
    <row r="2" spans="3:5" x14ac:dyDescent="0.35">
      <c r="C2" s="72"/>
      <c r="E2" s="74"/>
    </row>
    <row r="8" spans="3:5" x14ac:dyDescent="0.35">
      <c r="E8" s="74" t="s">
        <v>526</v>
      </c>
    </row>
  </sheetData>
  <sheetProtection algorithmName="SHA-512" hashValue="T+DRLg/fr1F1zAY5b5qIbf1QLryXLhraHi8yNYPXx2WSi76JjxDy2hTfPB5CvLRltb1CHsbm7sHQt8W4CYHGzg==" saltValue="4AJyAw99QLKB5pbStykHqQ==" spinCount="100000" sheet="1" objects="1" scenarios="1" selectLockedCell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unhide_rows_asset_and_results_sheets">
                <anchor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4</xdr:col>
                    <xdr:colOff>31750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Button 2">
              <controlPr defaultSize="0" print="0" autoFill="0" autoPict="0" macro="[0]!btn_show_all_sheet">
                <anchor moveWithCells="1" sizeWithCells="1">
                  <from>
                    <xdr:col>1</xdr:col>
                    <xdr:colOff>31750</xdr:colOff>
                    <xdr:row>4</xdr:row>
                    <xdr:rowOff>31750</xdr:rowOff>
                  </from>
                  <to>
                    <xdr:col>3</xdr:col>
                    <xdr:colOff>603250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Button 3">
              <controlPr defaultSize="0" print="0" autoFill="0" autoPict="0" macro="[0]!btn_Fill_Asset_sheets_with_dummy_values">
                <anchor>
                  <from>
                    <xdr:col>1</xdr:col>
                    <xdr:colOff>38100</xdr:colOff>
                    <xdr:row>7</xdr:row>
                    <xdr:rowOff>69850</xdr:rowOff>
                  </from>
                  <to>
                    <xdr:col>3</xdr:col>
                    <xdr:colOff>260350</xdr:colOff>
                    <xdr:row>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rgb="FF0070C0"/>
    <pageSetUpPr autoPageBreaks="0"/>
  </sheetPr>
  <dimension ref="A1:M35"/>
  <sheetViews>
    <sheetView showRowColHeaders="0" zoomScaleNormal="100" workbookViewId="0">
      <selection activeCell="XFD1" sqref="XFD1"/>
    </sheetView>
  </sheetViews>
  <sheetFormatPr defaultColWidth="0" defaultRowHeight="13.5" zeroHeight="1" x14ac:dyDescent="0.35"/>
  <cols>
    <col min="1" max="1" width="2.296875" style="1" customWidth="1"/>
    <col min="2" max="12" width="9.09765625" style="1" customWidth="1"/>
    <col min="13" max="13" width="2.09765625" style="1" customWidth="1"/>
    <col min="14" max="16384" width="3.8984375" style="1" hidden="1"/>
  </cols>
  <sheetData>
    <row r="1" spans="1:13" ht="15" customHeight="1" x14ac:dyDescent="0.35">
      <c r="A1" s="272" t="s">
        <v>37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15" customHeigh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 ht="15" customHeight="1" x14ac:dyDescent="0.3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x14ac:dyDescent="0.35"/>
    <row r="5" spans="1:13" ht="14.5" x14ac:dyDescent="0.35">
      <c r="B5" s="26" t="s">
        <v>38</v>
      </c>
    </row>
    <row r="6" spans="1:13" x14ac:dyDescent="0.35">
      <c r="B6" s="1" t="s">
        <v>39</v>
      </c>
    </row>
    <row r="7" spans="1:13" x14ac:dyDescent="0.35">
      <c r="B7" s="1" t="s">
        <v>40</v>
      </c>
    </row>
    <row r="8" spans="1:13" ht="15" customHeight="1" x14ac:dyDescent="0.35"/>
    <row r="9" spans="1:13" x14ac:dyDescent="0.35">
      <c r="B9" s="38" t="s">
        <v>41</v>
      </c>
    </row>
    <row r="10" spans="1:13" x14ac:dyDescent="0.35">
      <c r="B10" s="3" t="s">
        <v>42</v>
      </c>
    </row>
    <row r="11" spans="1:13" x14ac:dyDescent="0.35">
      <c r="B11" s="1" t="s">
        <v>43</v>
      </c>
    </row>
    <row r="12" spans="1:13" x14ac:dyDescent="0.35">
      <c r="B12" s="1" t="s">
        <v>44</v>
      </c>
    </row>
    <row r="13" spans="1:13" x14ac:dyDescent="0.35">
      <c r="B13" s="3" t="s">
        <v>45</v>
      </c>
    </row>
    <row r="14" spans="1:13" ht="15" customHeight="1" x14ac:dyDescent="0.35">
      <c r="B14" s="3" t="s">
        <v>46</v>
      </c>
    </row>
    <row r="15" spans="1:13" ht="15" customHeight="1" x14ac:dyDescent="0.35"/>
    <row r="16" spans="1:13" ht="15" customHeight="1" x14ac:dyDescent="0.35">
      <c r="B16" s="4" t="s">
        <v>47</v>
      </c>
    </row>
    <row r="17" spans="2:2" x14ac:dyDescent="0.35">
      <c r="B17" s="1" t="s">
        <v>48</v>
      </c>
    </row>
    <row r="18" spans="2:2" x14ac:dyDescent="0.35">
      <c r="B18" s="3" t="s">
        <v>49</v>
      </c>
    </row>
    <row r="19" spans="2:2" x14ac:dyDescent="0.35">
      <c r="B19" s="1" t="s">
        <v>50</v>
      </c>
    </row>
    <row r="20" spans="2:2" x14ac:dyDescent="0.35">
      <c r="B20" s="10" t="s">
        <v>51</v>
      </c>
    </row>
    <row r="21" spans="2:2" x14ac:dyDescent="0.35">
      <c r="B21" s="10" t="s">
        <v>52</v>
      </c>
    </row>
    <row r="22" spans="2:2" x14ac:dyDescent="0.35">
      <c r="B22" s="10" t="s">
        <v>53</v>
      </c>
    </row>
    <row r="23" spans="2:2" x14ac:dyDescent="0.35"/>
    <row r="24" spans="2:2" ht="15" customHeight="1" x14ac:dyDescent="0.35">
      <c r="B24" s="3"/>
    </row>
    <row r="25" spans="2:2" ht="14.5" x14ac:dyDescent="0.35">
      <c r="B25" s="26" t="s">
        <v>54</v>
      </c>
    </row>
    <row r="26" spans="2:2" x14ac:dyDescent="0.35"/>
    <row r="27" spans="2:2" x14ac:dyDescent="0.35"/>
    <row r="28" spans="2:2" x14ac:dyDescent="0.35"/>
    <row r="29" spans="2:2" x14ac:dyDescent="0.35"/>
    <row r="30" spans="2:2" x14ac:dyDescent="0.35"/>
    <row r="31" spans="2:2" x14ac:dyDescent="0.35"/>
    <row r="32" spans="2:2" x14ac:dyDescent="0.35"/>
    <row r="33" spans="1:13" x14ac:dyDescent="0.35">
      <c r="A33" s="45"/>
      <c r="B33" s="46"/>
      <c r="C33" s="46"/>
      <c r="D33" s="45"/>
      <c r="E33" s="45"/>
      <c r="F33" s="45"/>
      <c r="G33" s="45"/>
      <c r="H33" s="45"/>
      <c r="I33" s="45"/>
      <c r="J33" s="45"/>
      <c r="K33" s="46"/>
      <c r="L33" s="46"/>
      <c r="M33" s="46"/>
    </row>
    <row r="34" spans="1:13" x14ac:dyDescent="0.35">
      <c r="A34" s="46"/>
      <c r="B34" s="46"/>
      <c r="C34" s="46"/>
      <c r="D34" s="45"/>
      <c r="E34" s="45"/>
      <c r="F34" s="45"/>
      <c r="G34" s="45"/>
      <c r="H34" s="45"/>
      <c r="I34" s="45"/>
      <c r="J34" s="45"/>
      <c r="K34" s="46"/>
      <c r="L34" s="46"/>
      <c r="M34" s="46"/>
    </row>
    <row r="35" spans="1:13" x14ac:dyDescent="0.35">
      <c r="A35" s="46"/>
      <c r="B35" s="46"/>
      <c r="C35" s="46"/>
      <c r="D35" s="45"/>
      <c r="E35" s="45"/>
      <c r="F35" s="45"/>
      <c r="G35" s="45"/>
      <c r="H35" s="45"/>
      <c r="I35" s="45"/>
      <c r="J35" s="45"/>
      <c r="K35" s="46"/>
      <c r="L35" s="46"/>
      <c r="M35" s="46"/>
    </row>
  </sheetData>
  <sheetProtection algorithmName="SHA-512" hashValue="448bK9qbpgbMLdr1DYidJuvNpl6Dj0GT+XyaU1TA/vib2Sn45EeVuvut1okjSNHrjHT5cVUBq2C/56f0BZ+0og==" saltValue="3YT8+KqiW4dSTB+Ealam4g==" spinCount="100000" sheet="1" objects="1" scenarios="1" selectLockedCells="1"/>
  <dataConsolidate/>
  <mergeCells count="1">
    <mergeCell ref="A1:M3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autoFill="0" autoPict="0" macro="[0]!btn_click_goal_insight">
                <anchor moveWithCells="1" sizeWithCells="1">
                  <from>
                    <xdr:col>4</xdr:col>
                    <xdr:colOff>184150</xdr:colOff>
                    <xdr:row>26</xdr:row>
                    <xdr:rowOff>76200</xdr:rowOff>
                  </from>
                  <to>
                    <xdr:col>7</xdr:col>
                    <xdr:colOff>31750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Button 11">
              <controlPr defaultSize="0" autoFill="0" autoPict="0" macro="[0]!btn_click_goal_prepare_tender">
                <anchor moveWithCells="1" sizeWithCells="1">
                  <from>
                    <xdr:col>1</xdr:col>
                    <xdr:colOff>146050</xdr:colOff>
                    <xdr:row>26</xdr:row>
                    <xdr:rowOff>76200</xdr:rowOff>
                  </from>
                  <to>
                    <xdr:col>3</xdr:col>
                    <xdr:colOff>571500</xdr:colOff>
                    <xdr:row>29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theme="5"/>
    <pageSetUpPr autoPageBreaks="0"/>
  </sheetPr>
  <dimension ref="A1:L35"/>
  <sheetViews>
    <sheetView showRowColHeaders="0" tabSelected="1" zoomScaleNormal="100" workbookViewId="0">
      <selection activeCell="C27" sqref="C27"/>
    </sheetView>
  </sheetViews>
  <sheetFormatPr defaultColWidth="0" defaultRowHeight="13.5" zeroHeight="1" x14ac:dyDescent="0.35"/>
  <cols>
    <col min="1" max="1" width="2.09765625" style="1" customWidth="1"/>
    <col min="2" max="2" width="37.296875" style="1" customWidth="1"/>
    <col min="3" max="3" width="23.8984375" style="1" customWidth="1"/>
    <col min="4" max="7" width="10.3984375" style="1" customWidth="1"/>
    <col min="8" max="16384" width="9.09765625" style="1" hidden="1"/>
  </cols>
  <sheetData>
    <row r="1" spans="1:7" ht="15" customHeight="1" x14ac:dyDescent="0.35">
      <c r="A1" s="272" t="s">
        <v>55</v>
      </c>
      <c r="B1" s="272"/>
      <c r="C1" s="272"/>
      <c r="D1" s="272"/>
      <c r="E1" s="272"/>
      <c r="F1" s="272"/>
      <c r="G1" s="272"/>
    </row>
    <row r="2" spans="1:7" ht="15" customHeight="1" x14ac:dyDescent="0.35">
      <c r="A2" s="272"/>
      <c r="B2" s="272"/>
      <c r="C2" s="272"/>
      <c r="D2" s="272"/>
      <c r="E2" s="272"/>
      <c r="F2" s="272"/>
      <c r="G2" s="272"/>
    </row>
    <row r="3" spans="1:7" ht="15" customHeight="1" x14ac:dyDescent="0.35">
      <c r="A3" s="272"/>
      <c r="B3" s="272"/>
      <c r="C3" s="272"/>
      <c r="D3" s="272"/>
      <c r="E3" s="272"/>
      <c r="F3" s="272"/>
      <c r="G3" s="272"/>
    </row>
    <row r="4" spans="1:7" x14ac:dyDescent="0.35"/>
    <row r="5" spans="1:7" ht="14.5" x14ac:dyDescent="0.35">
      <c r="B5" s="26" t="s">
        <v>56</v>
      </c>
    </row>
    <row r="6" spans="1:7" x14ac:dyDescent="0.35">
      <c r="B6" s="73" t="s">
        <v>57</v>
      </c>
      <c r="C6" s="3"/>
      <c r="D6" s="3"/>
    </row>
    <row r="7" spans="1:7" x14ac:dyDescent="0.35">
      <c r="B7" s="73" t="s">
        <v>58</v>
      </c>
      <c r="C7" s="3"/>
      <c r="D7" s="3"/>
    </row>
    <row r="8" spans="1:7" x14ac:dyDescent="0.35">
      <c r="B8" s="73" t="s">
        <v>59</v>
      </c>
      <c r="C8" s="3"/>
      <c r="D8" s="3"/>
    </row>
    <row r="9" spans="1:7" x14ac:dyDescent="0.35">
      <c r="B9" s="3" t="s">
        <v>60</v>
      </c>
      <c r="D9" s="3"/>
    </row>
    <row r="10" spans="1:7" x14ac:dyDescent="0.35">
      <c r="B10" s="3" t="s">
        <v>61</v>
      </c>
      <c r="D10" s="3"/>
    </row>
    <row r="11" spans="1:7" x14ac:dyDescent="0.35">
      <c r="B11" s="63"/>
    </row>
    <row r="12" spans="1:7" x14ac:dyDescent="0.35">
      <c r="B12" s="63"/>
    </row>
    <row r="13" spans="1:7" x14ac:dyDescent="0.35">
      <c r="B13" s="9"/>
    </row>
    <row r="14" spans="1:7" x14ac:dyDescent="0.35">
      <c r="B14" s="4" t="s">
        <v>62</v>
      </c>
    </row>
    <row r="15" spans="1:7" x14ac:dyDescent="0.35">
      <c r="B15" s="27" t="s">
        <v>63</v>
      </c>
      <c r="C15" s="64" t="str">
        <f>IF('Start - Prepare tender'!C13="","",'Start - Prepare tender'!C13)</f>
        <v>Enexis</v>
      </c>
      <c r="G15" s="9"/>
    </row>
    <row r="16" spans="1:7" x14ac:dyDescent="0.35">
      <c r="B16" s="27" t="s">
        <v>64</v>
      </c>
      <c r="C16" s="64" t="str">
        <f>IF('Start - Prepare tender'!C14="","",'Start - Prepare tender'!C14)</f>
        <v>Ingrid Schenk-Koops</v>
      </c>
      <c r="G16" s="9"/>
    </row>
    <row r="17" spans="2:12" x14ac:dyDescent="0.35"/>
    <row r="18" spans="2:12" x14ac:dyDescent="0.35">
      <c r="B18" s="33" t="s">
        <v>65</v>
      </c>
    </row>
    <row r="19" spans="2:12" x14ac:dyDescent="0.35">
      <c r="B19" s="27" t="s">
        <v>66</v>
      </c>
      <c r="C19" s="64" t="str">
        <f>BI_ref_asset</f>
        <v>Electricity cable</v>
      </c>
    </row>
    <row r="20" spans="2:12" x14ac:dyDescent="0.35">
      <c r="B20" s="27" t="s">
        <v>67</v>
      </c>
      <c r="C20" s="64" t="str">
        <f>BI_ref_subasset</f>
        <v>other</v>
      </c>
    </row>
    <row r="21" spans="2:12" x14ac:dyDescent="0.35">
      <c r="G21" s="9"/>
    </row>
    <row r="22" spans="2:12" x14ac:dyDescent="0.35">
      <c r="B22" s="4" t="s">
        <v>58</v>
      </c>
    </row>
    <row r="23" spans="2:12" x14ac:dyDescent="0.35">
      <c r="B23" s="27" t="s">
        <v>68</v>
      </c>
      <c r="C23" s="77"/>
      <c r="G23" s="9"/>
    </row>
    <row r="24" spans="2:12" x14ac:dyDescent="0.35">
      <c r="B24" s="27" t="s">
        <v>69</v>
      </c>
      <c r="C24" s="77"/>
    </row>
    <row r="25" spans="2:12" ht="19" x14ac:dyDescent="0.45">
      <c r="B25" s="16"/>
      <c r="L25" s="10"/>
    </row>
    <row r="26" spans="2:12" ht="14" thickBot="1" x14ac:dyDescent="0.4">
      <c r="B26" s="4" t="s">
        <v>59</v>
      </c>
    </row>
    <row r="27" spans="2:12" ht="14.5" thickTop="1" thickBot="1" x14ac:dyDescent="0.4">
      <c r="B27" s="27" t="s">
        <v>70</v>
      </c>
      <c r="C27" s="78">
        <v>2</v>
      </c>
    </row>
    <row r="28" spans="2:12" ht="14" thickTop="1" x14ac:dyDescent="0.35">
      <c r="B28" s="9"/>
    </row>
    <row r="29" spans="2:12" x14ac:dyDescent="0.35"/>
    <row r="30" spans="2:12" x14ac:dyDescent="0.35"/>
    <row r="31" spans="2:12" x14ac:dyDescent="0.35"/>
    <row r="32" spans="2:12" x14ac:dyDescent="0.35"/>
    <row r="33" spans="1:7" x14ac:dyDescent="0.35">
      <c r="A33" s="71"/>
      <c r="B33" s="71"/>
      <c r="C33" s="71"/>
      <c r="D33" s="71"/>
      <c r="E33" s="71"/>
      <c r="F33" s="71"/>
      <c r="G33" s="71"/>
    </row>
    <row r="34" spans="1:7" x14ac:dyDescent="0.35">
      <c r="A34" s="71"/>
      <c r="B34" s="71"/>
      <c r="C34" s="71"/>
      <c r="D34" s="71"/>
      <c r="E34" s="71"/>
      <c r="F34" s="71"/>
      <c r="G34" s="71"/>
    </row>
    <row r="35" spans="1:7" x14ac:dyDescent="0.35">
      <c r="A35" s="71"/>
      <c r="B35" s="71"/>
      <c r="C35" s="71"/>
      <c r="D35" s="71"/>
      <c r="E35" s="71"/>
      <c r="F35" s="71"/>
      <c r="G35" s="71"/>
    </row>
  </sheetData>
  <sheetProtection algorithmName="SHA-512" hashValue="dxd8laTLnTLh5DL7k7zmkyq9J+6gOyqS9gjWx0drDTV0rJcjWi35HDxNkN7G44JcfA7qO1O2qCkoL10LYfIirw==" saltValue="VS4ZoXXyKeWONwnnjLzPpw==" spinCount="100000" sheet="1" objects="1" scenarios="1" selectLockedCells="1"/>
  <dataConsolidate/>
  <mergeCells count="1">
    <mergeCell ref="A1:G3"/>
  </mergeCells>
  <dataValidations count="1">
    <dataValidation type="list" showInputMessage="1" showErrorMessage="1" sqref="C27" xr:uid="{00000000-0002-0000-0200-000000000000}">
      <formula1>dd_number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>
    <tabColor theme="5"/>
    <pageSetUpPr autoPageBreaks="0"/>
  </sheetPr>
  <dimension ref="A1:H68"/>
  <sheetViews>
    <sheetView showRowColHeaders="0" topLeftCell="A9" zoomScaleNormal="100" workbookViewId="0">
      <selection activeCell="C54" sqref="C54"/>
    </sheetView>
  </sheetViews>
  <sheetFormatPr defaultColWidth="0" defaultRowHeight="13.5" zeroHeight="1" x14ac:dyDescent="0.35"/>
  <cols>
    <col min="1" max="1" width="2.09765625" style="1" customWidth="1"/>
    <col min="2" max="2" width="37.09765625" style="1" customWidth="1"/>
    <col min="3" max="3" width="23.8984375" style="1" customWidth="1"/>
    <col min="4" max="7" width="10.3984375" style="1" customWidth="1"/>
    <col min="8" max="16384" width="9.09765625" style="1" hidden="1"/>
  </cols>
  <sheetData>
    <row r="1" spans="1:8" ht="15" customHeight="1" x14ac:dyDescent="0.35">
      <c r="A1" s="272" t="s">
        <v>71</v>
      </c>
      <c r="B1" s="272"/>
      <c r="C1" s="272"/>
      <c r="D1" s="272"/>
      <c r="E1" s="272"/>
      <c r="F1" s="272"/>
      <c r="G1" s="272"/>
    </row>
    <row r="2" spans="1:8" ht="15" customHeight="1" x14ac:dyDescent="0.35">
      <c r="A2" s="272"/>
      <c r="B2" s="272"/>
      <c r="C2" s="272"/>
      <c r="D2" s="272"/>
      <c r="E2" s="272"/>
      <c r="F2" s="272"/>
      <c r="G2" s="272"/>
    </row>
    <row r="3" spans="1:8" ht="15" customHeight="1" x14ac:dyDescent="0.35">
      <c r="A3" s="272"/>
      <c r="B3" s="272"/>
      <c r="C3" s="272"/>
      <c r="D3" s="272"/>
      <c r="E3" s="272"/>
      <c r="F3" s="272"/>
      <c r="G3" s="272"/>
    </row>
    <row r="4" spans="1:8" x14ac:dyDescent="0.35"/>
    <row r="5" spans="1:8" ht="14.5" x14ac:dyDescent="0.35">
      <c r="B5" s="26" t="s">
        <v>56</v>
      </c>
      <c r="H5" s="9"/>
    </row>
    <row r="6" spans="1:8" x14ac:dyDescent="0.35">
      <c r="B6" s="3" t="s">
        <v>72</v>
      </c>
    </row>
    <row r="7" spans="1:8" x14ac:dyDescent="0.35">
      <c r="B7" s="3" t="s">
        <v>73</v>
      </c>
    </row>
    <row r="8" spans="1:8" x14ac:dyDescent="0.35">
      <c r="B8" s="3" t="s">
        <v>74</v>
      </c>
    </row>
    <row r="9" spans="1:8" x14ac:dyDescent="0.35">
      <c r="B9" s="1" t="s">
        <v>75</v>
      </c>
    </row>
    <row r="10" spans="1:8" x14ac:dyDescent="0.35">
      <c r="B10" s="3" t="s">
        <v>76</v>
      </c>
    </row>
    <row r="11" spans="1:8" x14ac:dyDescent="0.35">
      <c r="B11" s="3"/>
    </row>
    <row r="12" spans="1:8" ht="14" thickBot="1" x14ac:dyDescent="0.4">
      <c r="B12" s="4" t="s">
        <v>72</v>
      </c>
    </row>
    <row r="13" spans="1:8" ht="14.5" thickTop="1" thickBot="1" x14ac:dyDescent="0.4">
      <c r="B13" s="27" t="s">
        <v>63</v>
      </c>
      <c r="C13" s="79" t="s">
        <v>509</v>
      </c>
      <c r="D13" s="6" t="s">
        <v>78</v>
      </c>
    </row>
    <row r="14" spans="1:8" ht="14" thickTop="1" x14ac:dyDescent="0.35">
      <c r="B14" s="27" t="s">
        <v>64</v>
      </c>
      <c r="C14" s="80" t="s">
        <v>563</v>
      </c>
    </row>
    <row r="15" spans="1:8" x14ac:dyDescent="0.35"/>
    <row r="16" spans="1:8" ht="14" thickBot="1" x14ac:dyDescent="0.4">
      <c r="B16" s="33" t="s">
        <v>73</v>
      </c>
    </row>
    <row r="17" spans="2:8" ht="14.5" thickTop="1" thickBot="1" x14ac:dyDescent="0.4">
      <c r="B17" s="27" t="s">
        <v>66</v>
      </c>
      <c r="C17" s="78" t="s">
        <v>79</v>
      </c>
      <c r="D17" s="6" t="s">
        <v>80</v>
      </c>
    </row>
    <row r="18" spans="2:8" ht="14.5" thickTop="1" thickBot="1" x14ac:dyDescent="0.4">
      <c r="B18" s="27" t="s">
        <v>67</v>
      </c>
      <c r="C18" s="78" t="s">
        <v>481</v>
      </c>
      <c r="D18" s="6" t="s">
        <v>78</v>
      </c>
    </row>
    <row r="19" spans="2:8" ht="14" thickTop="1" x14ac:dyDescent="0.35">
      <c r="B19" s="27"/>
      <c r="D19" s="6"/>
    </row>
    <row r="20" spans="2:8" ht="14" thickBot="1" x14ac:dyDescent="0.4">
      <c r="B20" s="33" t="s">
        <v>82</v>
      </c>
      <c r="D20" s="6"/>
    </row>
    <row r="21" spans="2:8" ht="14.5" thickTop="1" thickBot="1" x14ac:dyDescent="0.4">
      <c r="B21" s="27" t="s">
        <v>83</v>
      </c>
      <c r="C21" s="101" t="s">
        <v>472</v>
      </c>
      <c r="D21" s="6" t="s">
        <v>80</v>
      </c>
      <c r="H21" s="9"/>
    </row>
    <row r="22" spans="2:8" ht="14" hidden="1" thickTop="1" x14ac:dyDescent="0.35">
      <c r="B22" s="232" t="s">
        <v>85</v>
      </c>
      <c r="D22" s="6"/>
      <c r="H22" s="9"/>
    </row>
    <row r="23" spans="2:8" ht="14" thickTop="1" x14ac:dyDescent="0.35">
      <c r="B23" s="27"/>
      <c r="D23" s="6"/>
    </row>
    <row r="24" spans="2:8" ht="31.4" customHeight="1" x14ac:dyDescent="0.35">
      <c r="B24" s="282" t="str">
        <f>"Step 2b: Predefine other properties (" &amp; BI_ref_assetname_electricity_cable &amp; ") 
Please review manual for definitions"</f>
        <v>Step 2b: Predefine other properties (Electricity cable) 
Please review manual for definitions</v>
      </c>
      <c r="C24" s="282"/>
      <c r="H24" s="9" t="s">
        <v>86</v>
      </c>
    </row>
    <row r="25" spans="2:8" x14ac:dyDescent="0.35">
      <c r="B25" s="27" t="s">
        <v>87</v>
      </c>
      <c r="C25" s="248">
        <v>0</v>
      </c>
      <c r="D25" s="1" t="s">
        <v>88</v>
      </c>
      <c r="H25" s="9" t="s">
        <v>86</v>
      </c>
    </row>
    <row r="26" spans="2:8" ht="14" thickBot="1" x14ac:dyDescent="0.4">
      <c r="B26" s="27" t="s">
        <v>89</v>
      </c>
      <c r="H26" s="9" t="s">
        <v>86</v>
      </c>
    </row>
    <row r="27" spans="2:8" ht="14.5" thickTop="1" thickBot="1" x14ac:dyDescent="0.4">
      <c r="B27" s="27" t="s">
        <v>90</v>
      </c>
      <c r="C27" s="101">
        <v>1</v>
      </c>
      <c r="H27" s="9" t="s">
        <v>86</v>
      </c>
    </row>
    <row r="28" spans="2:8" ht="14.5" thickTop="1" thickBot="1" x14ac:dyDescent="0.4">
      <c r="B28" s="27" t="s">
        <v>91</v>
      </c>
      <c r="C28" s="247">
        <v>0</v>
      </c>
      <c r="D28" s="1" t="s">
        <v>92</v>
      </c>
      <c r="H28" s="9" t="s">
        <v>86</v>
      </c>
    </row>
    <row r="29" spans="2:8" ht="14.5" thickTop="1" thickBot="1" x14ac:dyDescent="0.4">
      <c r="B29" s="27" t="s">
        <v>529</v>
      </c>
      <c r="C29" s="101" t="s">
        <v>472</v>
      </c>
      <c r="H29" s="9"/>
    </row>
    <row r="30" spans="2:8" ht="14" hidden="1" thickTop="1" x14ac:dyDescent="0.35">
      <c r="H30" s="9" t="s">
        <v>93</v>
      </c>
    </row>
    <row r="31" spans="2:8" hidden="1" x14ac:dyDescent="0.35">
      <c r="B31" s="4" t="str">
        <f>"Step 2b: Predefine other properties (" &amp; BI_ref_assetname_switch_gear &amp; ") (optional)"</f>
        <v>Step 2b: Predefine other properties (Switchgear) (optional)</v>
      </c>
      <c r="H31" s="9" t="s">
        <v>93</v>
      </c>
    </row>
    <row r="32" spans="2:8" hidden="1" x14ac:dyDescent="0.35">
      <c r="B32" s="27" t="s">
        <v>94</v>
      </c>
      <c r="C32" s="248"/>
      <c r="D32" s="1" t="s">
        <v>88</v>
      </c>
      <c r="H32" s="9" t="s">
        <v>93</v>
      </c>
    </row>
    <row r="33" spans="2:8" ht="14" hidden="1" thickBot="1" x14ac:dyDescent="0.4">
      <c r="B33" s="27" t="s">
        <v>95</v>
      </c>
      <c r="C33" s="113"/>
      <c r="D33" s="1" t="s">
        <v>96</v>
      </c>
      <c r="H33" s="9" t="s">
        <v>93</v>
      </c>
    </row>
    <row r="34" spans="2:8" ht="14.5" hidden="1" thickTop="1" thickBot="1" x14ac:dyDescent="0.4">
      <c r="B34" s="27" t="s">
        <v>97</v>
      </c>
      <c r="C34" s="101"/>
      <c r="H34" s="9" t="s">
        <v>93</v>
      </c>
    </row>
    <row r="35" spans="2:8" ht="14.5" hidden="1" thickTop="1" thickBot="1" x14ac:dyDescent="0.4">
      <c r="B35" s="27" t="s">
        <v>98</v>
      </c>
      <c r="C35" s="101"/>
      <c r="H35" s="9" t="s">
        <v>93</v>
      </c>
    </row>
    <row r="36" spans="2:8" ht="14.5" hidden="1" thickTop="1" thickBot="1" x14ac:dyDescent="0.4">
      <c r="B36" s="27" t="s">
        <v>529</v>
      </c>
      <c r="C36" s="101"/>
      <c r="H36" s="9"/>
    </row>
    <row r="37" spans="2:8" ht="14" hidden="1" thickTop="1" x14ac:dyDescent="0.35">
      <c r="H37" s="9" t="s">
        <v>93</v>
      </c>
    </row>
    <row r="38" spans="2:8" ht="27" hidden="1" x14ac:dyDescent="0.35">
      <c r="C38" s="37" t="s">
        <v>99</v>
      </c>
      <c r="D38" s="1" t="s">
        <v>100</v>
      </c>
      <c r="H38" s="9" t="s">
        <v>93</v>
      </c>
    </row>
    <row r="39" spans="2:8" hidden="1" x14ac:dyDescent="0.35">
      <c r="B39" s="34" t="s">
        <v>101</v>
      </c>
      <c r="C39" s="103"/>
      <c r="D39" s="247"/>
      <c r="H39" s="9" t="s">
        <v>93</v>
      </c>
    </row>
    <row r="40" spans="2:8" hidden="1" x14ac:dyDescent="0.35">
      <c r="B40" s="34" t="s">
        <v>102</v>
      </c>
      <c r="C40" s="102"/>
      <c r="D40" s="247"/>
      <c r="H40" s="9" t="s">
        <v>93</v>
      </c>
    </row>
    <row r="41" spans="2:8" hidden="1" x14ac:dyDescent="0.35">
      <c r="B41" s="34" t="s">
        <v>103</v>
      </c>
      <c r="C41" s="102"/>
      <c r="D41" s="247"/>
      <c r="H41" s="9" t="s">
        <v>93</v>
      </c>
    </row>
    <row r="42" spans="2:8" hidden="1" x14ac:dyDescent="0.35">
      <c r="B42" s="34" t="s">
        <v>104</v>
      </c>
      <c r="C42" s="102"/>
      <c r="D42" s="247"/>
      <c r="H42" s="9" t="s">
        <v>93</v>
      </c>
    </row>
    <row r="43" spans="2:8" hidden="1" x14ac:dyDescent="0.35">
      <c r="B43" s="34" t="s">
        <v>105</v>
      </c>
      <c r="C43" s="102"/>
      <c r="D43" s="247"/>
      <c r="H43" s="9" t="s">
        <v>93</v>
      </c>
    </row>
    <row r="44" spans="2:8" hidden="1" x14ac:dyDescent="0.35">
      <c r="B44" s="34" t="s">
        <v>106</v>
      </c>
      <c r="C44" s="102"/>
      <c r="D44" s="247"/>
      <c r="H44" s="9" t="s">
        <v>93</v>
      </c>
    </row>
    <row r="45" spans="2:8" hidden="1" x14ac:dyDescent="0.35">
      <c r="H45" s="9" t="s">
        <v>107</v>
      </c>
    </row>
    <row r="46" spans="2:8" hidden="1" x14ac:dyDescent="0.35">
      <c r="B46" s="4" t="str">
        <f>"Step 2b: Predefine other properties (" &amp; BI_ref_assetname_transformer &amp; ") (optional)"</f>
        <v>Step 2b: Predefine other properties (Transformer) (optional)</v>
      </c>
      <c r="H46" s="9" t="s">
        <v>107</v>
      </c>
    </row>
    <row r="47" spans="2:8" hidden="1" x14ac:dyDescent="0.35">
      <c r="B47" s="27" t="s">
        <v>108</v>
      </c>
      <c r="C47" s="248"/>
      <c r="D47" s="1" t="s">
        <v>88</v>
      </c>
      <c r="H47" s="9" t="s">
        <v>107</v>
      </c>
    </row>
    <row r="48" spans="2:8" ht="14" hidden="1" thickBot="1" x14ac:dyDescent="0.4">
      <c r="B48" s="27" t="s">
        <v>109</v>
      </c>
      <c r="C48" s="248"/>
      <c r="D48" s="1" t="s">
        <v>88</v>
      </c>
      <c r="H48" s="9" t="s">
        <v>107</v>
      </c>
    </row>
    <row r="49" spans="2:8" ht="14.5" hidden="1" thickTop="1" thickBot="1" x14ac:dyDescent="0.4">
      <c r="B49" s="27" t="s">
        <v>97</v>
      </c>
      <c r="C49" s="101"/>
      <c r="H49" s="9" t="s">
        <v>107</v>
      </c>
    </row>
    <row r="50" spans="2:8" ht="14" hidden="1" thickBot="1" x14ac:dyDescent="0.4">
      <c r="B50" s="27" t="s">
        <v>110</v>
      </c>
      <c r="C50" s="247"/>
      <c r="D50" s="1" t="s">
        <v>111</v>
      </c>
      <c r="H50" s="9" t="s">
        <v>107</v>
      </c>
    </row>
    <row r="51" spans="2:8" ht="14.5" hidden="1" thickTop="1" thickBot="1" x14ac:dyDescent="0.4">
      <c r="B51" s="27" t="s">
        <v>529</v>
      </c>
      <c r="C51" s="101"/>
    </row>
    <row r="52" spans="2:8" ht="14" thickTop="1" x14ac:dyDescent="0.35">
      <c r="H52" s="9"/>
    </row>
    <row r="53" spans="2:8" x14ac:dyDescent="0.35">
      <c r="B53" s="4" t="s">
        <v>74</v>
      </c>
    </row>
    <row r="54" spans="2:8" x14ac:dyDescent="0.35">
      <c r="B54" s="27" t="s">
        <v>112</v>
      </c>
      <c r="C54" s="248"/>
      <c r="D54" s="3" t="str">
        <f>BI_Ref_g_kg&amp;" CO2-eq/" &amp; BI_ref_functional_unit &amp; " per year"</f>
        <v>kg CO2-eq/m per year</v>
      </c>
    </row>
    <row r="55" spans="2:8" x14ac:dyDescent="0.35">
      <c r="B55" s="27" t="s">
        <v>113</v>
      </c>
      <c r="C55" s="81"/>
      <c r="D55" s="1" t="s">
        <v>96</v>
      </c>
    </row>
    <row r="56" spans="2:8" x14ac:dyDescent="0.35">
      <c r="B56" s="27" t="s">
        <v>114</v>
      </c>
      <c r="C56" s="248"/>
      <c r="D56" s="3" t="s">
        <v>115</v>
      </c>
    </row>
    <row r="57" spans="2:8" x14ac:dyDescent="0.35"/>
    <row r="58" spans="2:8" x14ac:dyDescent="0.35">
      <c r="B58" s="38" t="s">
        <v>116</v>
      </c>
    </row>
    <row r="59" spans="2:8" x14ac:dyDescent="0.35">
      <c r="B59" s="28" t="s">
        <v>117</v>
      </c>
      <c r="C59" s="229"/>
      <c r="D59" s="1" t="s">
        <v>118</v>
      </c>
    </row>
    <row r="60" spans="2:8" x14ac:dyDescent="0.35"/>
    <row r="61" spans="2:8" x14ac:dyDescent="0.35">
      <c r="B61" s="38" t="s">
        <v>76</v>
      </c>
    </row>
    <row r="62" spans="2:8" x14ac:dyDescent="0.35">
      <c r="H62" s="9"/>
    </row>
    <row r="63" spans="2:8" x14ac:dyDescent="0.35">
      <c r="H63" s="9"/>
    </row>
    <row r="64" spans="2:8" x14ac:dyDescent="0.35"/>
    <row r="65" spans="1:7" x14ac:dyDescent="0.35"/>
    <row r="66" spans="1:7" x14ac:dyDescent="0.35">
      <c r="A66" s="71"/>
      <c r="B66" s="71"/>
      <c r="C66" s="71"/>
      <c r="D66" s="71"/>
      <c r="E66" s="71"/>
      <c r="F66" s="71"/>
      <c r="G66" s="71"/>
    </row>
    <row r="67" spans="1:7" x14ac:dyDescent="0.35">
      <c r="A67" s="71"/>
      <c r="B67" s="71"/>
      <c r="C67" s="71"/>
      <c r="D67" s="71"/>
      <c r="E67" s="71"/>
      <c r="F67" s="71"/>
      <c r="G67" s="71"/>
    </row>
    <row r="68" spans="1:7" x14ac:dyDescent="0.35">
      <c r="A68" s="71"/>
      <c r="B68" s="71"/>
      <c r="C68" s="71"/>
      <c r="D68" s="71"/>
      <c r="E68" s="71"/>
      <c r="F68" s="71"/>
      <c r="G68" s="71"/>
    </row>
  </sheetData>
  <sheetProtection algorithmName="SHA-512" hashValue="ZR0TIOcD5BjisfoJxs3UhLoYPhSJipQLjOCIDemeo451zYHggq1bpoJSCdDEeEvgAijNtnIb3EsEB75UXQV7BA==" saltValue="6eCdOAzYIwl14hf/6n1VUw==" spinCount="100000" sheet="1" objects="1" scenarios="1" selectLockedCells="1"/>
  <dataConsolidate/>
  <mergeCells count="2">
    <mergeCell ref="A1:G3"/>
    <mergeCell ref="B24:C24"/>
  </mergeCells>
  <dataValidations count="10">
    <dataValidation type="list" showInputMessage="1" showErrorMessage="1" sqref="C17" xr:uid="{00000000-0002-0000-0300-000000000000}">
      <formula1>dd_asset_tender</formula1>
    </dataValidation>
    <dataValidation type="list" allowBlank="1" showInputMessage="1" showErrorMessage="1" sqref="C13" xr:uid="{00000000-0002-0000-0300-000001000000}">
      <formula1>dd_network_operator</formula1>
    </dataValidation>
    <dataValidation type="decimal" operator="greaterThanOrEqual" allowBlank="1" showInputMessage="1" showErrorMessage="1" error="Cell should be greater than or equal to 0" sqref="C54 C59 C50 C56 C32 D39:D44 C25 C28" xr:uid="{00000000-0002-0000-0300-000002000000}">
      <formula1>0</formula1>
    </dataValidation>
    <dataValidation type="decimal" allowBlank="1" showInputMessage="1" showErrorMessage="1" error="Cell should be between 0-100%" sqref="C55 C33" xr:uid="{00000000-0002-0000-0300-000003000000}">
      <formula1>0</formula1>
      <formula2>1</formula2>
    </dataValidation>
    <dataValidation type="list" showInputMessage="1" showErrorMessage="1" sqref="C34 C27 C49" xr:uid="{00000000-0002-0000-0300-000004000000}">
      <formula1>dd_number_of_phases</formula1>
    </dataValidation>
    <dataValidation type="list" showInputMessage="1" showErrorMessage="1" sqref="C35" xr:uid="{00000000-0002-0000-0300-000005000000}">
      <formula1>dd_number_of_fields</formula1>
    </dataValidation>
    <dataValidation type="list" showInputMessage="1" showErrorMessage="1" sqref="C21 C29 C36 C51" xr:uid="{1027550D-22CF-42DE-A5EE-B8593256E25B}">
      <formula1>dd_yes_no</formula1>
    </dataValidation>
    <dataValidation type="decimal" allowBlank="1" showInputMessage="1" showErrorMessage="1" error="Value should be between 0 and operation time" sqref="C48" xr:uid="{CE082203-D6DC-4D39-ABEE-83618E6A3D4D}">
      <formula1>0</formula1>
      <formula2>C47</formula2>
    </dataValidation>
    <dataValidation type="decimal" allowBlank="1" showInputMessage="1" showErrorMessage="1" error="Cell should be between 0 and 8784" sqref="C47" xr:uid="{05446FEA-3C1E-4A3E-A567-238CDCD09992}">
      <formula1>0</formula1>
      <formula2>8784</formula2>
    </dataValidation>
    <dataValidation type="list" allowBlank="1" showInputMessage="1" showErrorMessage="1" sqref="C18" xr:uid="{7DD82207-E6F3-4933-911C-6ADF096809BA}">
      <formula1>dd_subasset_cable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8" r:id="rId4" name="Button 14">
              <controlPr defaultSize="0" print="0" autoFill="0" autoPict="0" macro="[0]!btn_complete_tender_preparation_and_save">
                <anchor moveWithCells="1" sizeWithCells="1">
                  <from>
                    <xdr:col>1</xdr:col>
                    <xdr:colOff>152400</xdr:colOff>
                    <xdr:row>61</xdr:row>
                    <xdr:rowOff>114300</xdr:rowOff>
                  </from>
                  <to>
                    <xdr:col>1</xdr:col>
                    <xdr:colOff>1860550</xdr:colOff>
                    <xdr:row>63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>
    <tabColor theme="5"/>
    <pageSetUpPr autoPageBreaks="0"/>
  </sheetPr>
  <dimension ref="A1:L63"/>
  <sheetViews>
    <sheetView showRowColHeaders="0" zoomScaleNormal="100" workbookViewId="0">
      <selection activeCell="C14" sqref="C14"/>
    </sheetView>
  </sheetViews>
  <sheetFormatPr defaultColWidth="0" defaultRowHeight="13.5" zeroHeight="1" x14ac:dyDescent="0.35"/>
  <cols>
    <col min="1" max="1" width="2.09765625" style="1" customWidth="1"/>
    <col min="2" max="2" width="37.09765625" style="1" customWidth="1"/>
    <col min="3" max="3" width="23.8984375" style="1" customWidth="1"/>
    <col min="4" max="7" width="10.3984375" style="1" customWidth="1"/>
    <col min="8" max="16384" width="9.09765625" style="1" hidden="1"/>
  </cols>
  <sheetData>
    <row r="1" spans="1:8" ht="15" customHeight="1" x14ac:dyDescent="0.35">
      <c r="A1" s="272" t="s">
        <v>119</v>
      </c>
      <c r="B1" s="272"/>
      <c r="C1" s="272"/>
      <c r="D1" s="272"/>
      <c r="E1" s="272"/>
      <c r="F1" s="272"/>
      <c r="G1" s="272"/>
    </row>
    <row r="2" spans="1:8" ht="15" customHeight="1" x14ac:dyDescent="0.35">
      <c r="A2" s="272"/>
      <c r="B2" s="272"/>
      <c r="C2" s="272"/>
      <c r="D2" s="272"/>
      <c r="E2" s="272"/>
      <c r="F2" s="272"/>
      <c r="G2" s="272"/>
    </row>
    <row r="3" spans="1:8" ht="15" customHeight="1" x14ac:dyDescent="0.35">
      <c r="A3" s="272"/>
      <c r="B3" s="272"/>
      <c r="C3" s="272"/>
      <c r="D3" s="272"/>
      <c r="E3" s="272"/>
      <c r="F3" s="272"/>
      <c r="G3" s="272"/>
    </row>
    <row r="4" spans="1:8" x14ac:dyDescent="0.35"/>
    <row r="5" spans="1:8" ht="14.5" x14ac:dyDescent="0.35">
      <c r="B5" s="26" t="s">
        <v>56</v>
      </c>
      <c r="H5" s="9"/>
    </row>
    <row r="6" spans="1:8" x14ac:dyDescent="0.35">
      <c r="B6" s="3" t="s">
        <v>120</v>
      </c>
    </row>
    <row r="7" spans="1:8" x14ac:dyDescent="0.35">
      <c r="B7" s="3" t="s">
        <v>121</v>
      </c>
    </row>
    <row r="8" spans="1:8" x14ac:dyDescent="0.35">
      <c r="B8" s="1" t="s">
        <v>122</v>
      </c>
    </row>
    <row r="9" spans="1:8" x14ac:dyDescent="0.35">
      <c r="B9" s="3" t="s">
        <v>123</v>
      </c>
    </row>
    <row r="10" spans="1:8" x14ac:dyDescent="0.35">
      <c r="B10" s="3" t="s">
        <v>124</v>
      </c>
    </row>
    <row r="11" spans="1:8" x14ac:dyDescent="0.35">
      <c r="B11" s="3" t="s">
        <v>125</v>
      </c>
    </row>
    <row r="12" spans="1:8" x14ac:dyDescent="0.35"/>
    <row r="13" spans="1:8" ht="14" thickBot="1" x14ac:dyDescent="0.4">
      <c r="B13" s="33" t="s">
        <v>120</v>
      </c>
    </row>
    <row r="14" spans="1:8" ht="14.5" thickTop="1" thickBot="1" x14ac:dyDescent="0.4">
      <c r="B14" s="27" t="s">
        <v>66</v>
      </c>
      <c r="C14" s="78"/>
      <c r="D14" s="6" t="s">
        <v>80</v>
      </c>
      <c r="H14" s="9"/>
    </row>
    <row r="15" spans="1:8" ht="14.5" thickTop="1" thickBot="1" x14ac:dyDescent="0.4">
      <c r="B15" s="27" t="s">
        <v>67</v>
      </c>
      <c r="C15" s="82"/>
      <c r="D15" s="6" t="s">
        <v>78</v>
      </c>
      <c r="H15" s="9"/>
    </row>
    <row r="16" spans="1:8" ht="14" thickTop="1" x14ac:dyDescent="0.35">
      <c r="H16" s="9" t="s">
        <v>86</v>
      </c>
    </row>
    <row r="17" spans="2:8" ht="29.9" customHeight="1" x14ac:dyDescent="0.35">
      <c r="B17" s="282" t="str">
        <f>"Step 1a: Predefine other properties (" &amp; BI_ref_assetname_electricity_cable &amp; ") 
Please review manual for definitions"</f>
        <v>Step 1a: Predefine other properties (Electricity cable) 
Please review manual for definitions</v>
      </c>
      <c r="C17" s="282"/>
      <c r="H17" s="9" t="s">
        <v>86</v>
      </c>
    </row>
    <row r="18" spans="2:8" x14ac:dyDescent="0.35">
      <c r="B18" s="27" t="s">
        <v>87</v>
      </c>
      <c r="C18" s="248"/>
      <c r="D18" s="1" t="s">
        <v>88</v>
      </c>
      <c r="H18" s="9" t="s">
        <v>86</v>
      </c>
    </row>
    <row r="19" spans="2:8" ht="14" thickBot="1" x14ac:dyDescent="0.4">
      <c r="B19" s="27" t="s">
        <v>89</v>
      </c>
      <c r="H19" s="9" t="s">
        <v>86</v>
      </c>
    </row>
    <row r="20" spans="2:8" ht="14.5" thickTop="1" thickBot="1" x14ac:dyDescent="0.4">
      <c r="B20" s="27" t="s">
        <v>90</v>
      </c>
      <c r="C20" s="101"/>
      <c r="H20" s="9" t="s">
        <v>86</v>
      </c>
    </row>
    <row r="21" spans="2:8" ht="14.5" thickTop="1" thickBot="1" x14ac:dyDescent="0.4">
      <c r="B21" s="27" t="s">
        <v>91</v>
      </c>
      <c r="C21" s="247"/>
      <c r="D21" s="1" t="s">
        <v>92</v>
      </c>
      <c r="H21" s="9" t="s">
        <v>86</v>
      </c>
    </row>
    <row r="22" spans="2:8" ht="14.5" thickTop="1" thickBot="1" x14ac:dyDescent="0.4">
      <c r="B22" s="27" t="s">
        <v>529</v>
      </c>
      <c r="C22" s="101"/>
      <c r="H22" s="9"/>
    </row>
    <row r="23" spans="2:8" ht="14" hidden="1" thickTop="1" x14ac:dyDescent="0.35">
      <c r="H23" s="9" t="s">
        <v>93</v>
      </c>
    </row>
    <row r="24" spans="2:8" hidden="1" x14ac:dyDescent="0.35">
      <c r="B24" s="4" t="str">
        <f>"Step 1a: Predefine other properties (" &amp; BI_ref_assetname_switch_gear &amp; ") (optional)"</f>
        <v>Step 1a: Predefine other properties (Switchgear) (optional)</v>
      </c>
      <c r="H24" s="9" t="s">
        <v>93</v>
      </c>
    </row>
    <row r="25" spans="2:8" hidden="1" x14ac:dyDescent="0.35">
      <c r="B25" s="27" t="s">
        <v>94</v>
      </c>
      <c r="C25" s="248"/>
      <c r="D25" s="1" t="s">
        <v>88</v>
      </c>
      <c r="H25" s="9" t="s">
        <v>93</v>
      </c>
    </row>
    <row r="26" spans="2:8" ht="14" hidden="1" thickBot="1" x14ac:dyDescent="0.4">
      <c r="B26" s="27" t="s">
        <v>95</v>
      </c>
      <c r="C26" s="113"/>
      <c r="D26" s="1" t="s">
        <v>96</v>
      </c>
      <c r="H26" s="9" t="s">
        <v>93</v>
      </c>
    </row>
    <row r="27" spans="2:8" ht="14.5" hidden="1" thickTop="1" thickBot="1" x14ac:dyDescent="0.4">
      <c r="B27" s="27" t="s">
        <v>97</v>
      </c>
      <c r="C27" s="101"/>
      <c r="H27" s="9" t="s">
        <v>93</v>
      </c>
    </row>
    <row r="28" spans="2:8" ht="14.5" hidden="1" thickTop="1" thickBot="1" x14ac:dyDescent="0.4">
      <c r="B28" s="27" t="s">
        <v>98</v>
      </c>
      <c r="C28" s="101"/>
      <c r="H28" s="9" t="s">
        <v>93</v>
      </c>
    </row>
    <row r="29" spans="2:8" ht="14.5" hidden="1" thickTop="1" thickBot="1" x14ac:dyDescent="0.4">
      <c r="B29" s="27" t="s">
        <v>529</v>
      </c>
      <c r="C29" s="101"/>
      <c r="H29" s="9"/>
    </row>
    <row r="30" spans="2:8" ht="14" hidden="1" thickTop="1" x14ac:dyDescent="0.35">
      <c r="H30" s="9" t="s">
        <v>93</v>
      </c>
    </row>
    <row r="31" spans="2:8" ht="27" hidden="1" x14ac:dyDescent="0.35">
      <c r="C31" s="37" t="s">
        <v>99</v>
      </c>
      <c r="D31" s="1" t="s">
        <v>100</v>
      </c>
      <c r="H31" s="9" t="s">
        <v>93</v>
      </c>
    </row>
    <row r="32" spans="2:8" hidden="1" x14ac:dyDescent="0.35">
      <c r="B32" s="34" t="s">
        <v>101</v>
      </c>
      <c r="C32" s="103"/>
      <c r="D32" s="247"/>
      <c r="H32" s="9" t="s">
        <v>93</v>
      </c>
    </row>
    <row r="33" spans="2:8" hidden="1" x14ac:dyDescent="0.35">
      <c r="B33" s="34" t="s">
        <v>102</v>
      </c>
      <c r="C33" s="102"/>
      <c r="D33" s="247"/>
      <c r="H33" s="9" t="s">
        <v>93</v>
      </c>
    </row>
    <row r="34" spans="2:8" hidden="1" x14ac:dyDescent="0.35">
      <c r="B34" s="34" t="s">
        <v>103</v>
      </c>
      <c r="C34" s="102"/>
      <c r="D34" s="247"/>
      <c r="H34" s="9" t="s">
        <v>93</v>
      </c>
    </row>
    <row r="35" spans="2:8" hidden="1" x14ac:dyDescent="0.35">
      <c r="B35" s="34" t="s">
        <v>104</v>
      </c>
      <c r="C35" s="102"/>
      <c r="D35" s="247"/>
      <c r="H35" s="9" t="s">
        <v>93</v>
      </c>
    </row>
    <row r="36" spans="2:8" hidden="1" x14ac:dyDescent="0.35">
      <c r="B36" s="34" t="s">
        <v>105</v>
      </c>
      <c r="C36" s="102"/>
      <c r="D36" s="247"/>
      <c r="H36" s="9" t="s">
        <v>93</v>
      </c>
    </row>
    <row r="37" spans="2:8" hidden="1" x14ac:dyDescent="0.35">
      <c r="B37" s="34" t="s">
        <v>106</v>
      </c>
      <c r="C37" s="102"/>
      <c r="D37" s="247"/>
      <c r="H37" s="9" t="s">
        <v>93</v>
      </c>
    </row>
    <row r="38" spans="2:8" hidden="1" x14ac:dyDescent="0.35">
      <c r="H38" s="9" t="s">
        <v>107</v>
      </c>
    </row>
    <row r="39" spans="2:8" hidden="1" x14ac:dyDescent="0.35">
      <c r="B39" s="4" t="str">
        <f>"Step 1a: Predefine other properties (" &amp; BI_ref_assetname_transformer &amp; ")"</f>
        <v>Step 1a: Predefine other properties (Transformer)</v>
      </c>
      <c r="H39" s="9" t="s">
        <v>107</v>
      </c>
    </row>
    <row r="40" spans="2:8" hidden="1" x14ac:dyDescent="0.35">
      <c r="B40" s="27" t="s">
        <v>108</v>
      </c>
      <c r="C40" s="248"/>
      <c r="D40" s="1" t="s">
        <v>88</v>
      </c>
      <c r="H40" s="9" t="s">
        <v>107</v>
      </c>
    </row>
    <row r="41" spans="2:8" ht="14" hidden="1" thickBot="1" x14ac:dyDescent="0.4">
      <c r="B41" s="27" t="s">
        <v>109</v>
      </c>
      <c r="C41" s="248"/>
      <c r="D41" s="1" t="s">
        <v>88</v>
      </c>
      <c r="H41" s="9" t="s">
        <v>107</v>
      </c>
    </row>
    <row r="42" spans="2:8" ht="14.5" hidden="1" thickTop="1" thickBot="1" x14ac:dyDescent="0.4">
      <c r="B42" s="27" t="s">
        <v>97</v>
      </c>
      <c r="C42" s="101"/>
      <c r="H42" s="9" t="s">
        <v>107</v>
      </c>
    </row>
    <row r="43" spans="2:8" ht="14.5" hidden="1" thickTop="1" thickBot="1" x14ac:dyDescent="0.4">
      <c r="B43" s="27" t="s">
        <v>110</v>
      </c>
      <c r="C43" s="247"/>
      <c r="D43" s="1" t="s">
        <v>111</v>
      </c>
      <c r="H43" s="9" t="s">
        <v>107</v>
      </c>
    </row>
    <row r="44" spans="2:8" ht="14.5" hidden="1" thickTop="1" thickBot="1" x14ac:dyDescent="0.4">
      <c r="B44" s="27" t="s">
        <v>529</v>
      </c>
      <c r="C44" s="101"/>
      <c r="H44" s="9"/>
    </row>
    <row r="45" spans="2:8" ht="14" thickTop="1" x14ac:dyDescent="0.35">
      <c r="H45" s="9"/>
    </row>
    <row r="46" spans="2:8" x14ac:dyDescent="0.35">
      <c r="B46" s="4" t="s">
        <v>121</v>
      </c>
      <c r="H46" s="9"/>
    </row>
    <row r="47" spans="2:8" x14ac:dyDescent="0.35">
      <c r="B47" s="27" t="s">
        <v>112</v>
      </c>
      <c r="C47" s="248"/>
      <c r="D47" s="3" t="str">
        <f>BI_Ref_g_kg&amp;" CO2-eq/" &amp; BI_ref_functional_unit &amp; " per year"</f>
        <v>kg CO2-eq/m per year</v>
      </c>
    </row>
    <row r="48" spans="2:8" x14ac:dyDescent="0.35">
      <c r="B48" s="27" t="s">
        <v>113</v>
      </c>
      <c r="C48" s="83"/>
      <c r="D48" s="1" t="s">
        <v>96</v>
      </c>
      <c r="H48" s="9"/>
    </row>
    <row r="49" spans="1:12" x14ac:dyDescent="0.35">
      <c r="B49" s="27" t="s">
        <v>114</v>
      </c>
      <c r="C49" s="248"/>
      <c r="D49" s="3" t="s">
        <v>115</v>
      </c>
      <c r="L49" s="10"/>
    </row>
    <row r="50" spans="1:12" x14ac:dyDescent="0.35">
      <c r="B50" s="27" t="s">
        <v>126</v>
      </c>
      <c r="C50" s="228"/>
      <c r="D50" s="3" t="str">
        <f xml:space="preserve"> "€/" &amp; BI_ref_functional_unit</f>
        <v>€/m</v>
      </c>
    </row>
    <row r="51" spans="1:12" x14ac:dyDescent="0.35">
      <c r="H51" s="9"/>
    </row>
    <row r="52" spans="1:12" x14ac:dyDescent="0.35">
      <c r="B52" s="38" t="s">
        <v>127</v>
      </c>
    </row>
    <row r="53" spans="1:12" x14ac:dyDescent="0.35">
      <c r="B53" s="28" t="s">
        <v>117</v>
      </c>
      <c r="C53" s="228"/>
      <c r="D53" s="1" t="s">
        <v>118</v>
      </c>
    </row>
    <row r="54" spans="1:12" x14ac:dyDescent="0.35"/>
    <row r="55" spans="1:12" ht="14" thickBot="1" x14ac:dyDescent="0.4">
      <c r="B55" s="4" t="s">
        <v>123</v>
      </c>
    </row>
    <row r="56" spans="1:12" ht="14.5" thickTop="1" thickBot="1" x14ac:dyDescent="0.4">
      <c r="B56" s="27" t="s">
        <v>70</v>
      </c>
      <c r="C56" s="82"/>
    </row>
    <row r="57" spans="1:12" ht="14" thickTop="1" x14ac:dyDescent="0.35">
      <c r="B57" s="9"/>
    </row>
    <row r="58" spans="1:12" x14ac:dyDescent="0.35">
      <c r="B58" s="4"/>
    </row>
    <row r="59" spans="1:12" x14ac:dyDescent="0.35"/>
    <row r="60" spans="1:12" x14ac:dyDescent="0.35"/>
    <row r="61" spans="1:12" x14ac:dyDescent="0.35">
      <c r="A61" s="71"/>
      <c r="B61" s="71"/>
      <c r="C61" s="71"/>
      <c r="D61" s="71"/>
      <c r="E61" s="71"/>
      <c r="F61" s="71"/>
      <c r="G61" s="71"/>
    </row>
    <row r="62" spans="1:12" x14ac:dyDescent="0.35">
      <c r="A62" s="71"/>
      <c r="B62" s="71"/>
      <c r="C62" s="71"/>
      <c r="D62" s="71"/>
      <c r="E62" s="71"/>
      <c r="F62" s="71"/>
      <c r="G62" s="71"/>
    </row>
    <row r="63" spans="1:12" x14ac:dyDescent="0.35">
      <c r="A63" s="71"/>
      <c r="B63" s="71"/>
      <c r="C63" s="71"/>
      <c r="D63" s="71"/>
      <c r="E63" s="71"/>
      <c r="F63" s="71"/>
      <c r="G63" s="71"/>
    </row>
  </sheetData>
  <sheetProtection algorithmName="SHA-512" hashValue="BFYLnABOOJQifu+Pj4ZIDIf5IkaHO8pzxlchLLRf+P7Ery4lqmVs6XFTzDyI59UuWe0VCB9j9uwhyT4I4pUreQ==" saltValue="eHgw1eWlehK9a48i/DGeKA==" spinCount="100000" sheet="1" objects="1" scenarios="1" selectLockedCells="1"/>
  <mergeCells count="2">
    <mergeCell ref="A1:G3"/>
    <mergeCell ref="B17:C17"/>
  </mergeCells>
  <dataValidations count="10">
    <dataValidation type="list" showInputMessage="1" showErrorMessage="1" sqref="C14" xr:uid="{00000000-0002-0000-0400-000000000000}">
      <formula1>dd_asset_insight</formula1>
    </dataValidation>
    <dataValidation type="list" showInputMessage="1" showErrorMessage="1" sqref="C56" xr:uid="{00000000-0002-0000-0400-000001000000}">
      <formula1>dd_number</formula1>
    </dataValidation>
    <dataValidation type="decimal" allowBlank="1" showInputMessage="1" showErrorMessage="1" error="Cell should be between 0-100%" sqref="C48 C26" xr:uid="{00000000-0002-0000-0400-000002000000}">
      <formula1>0</formula1>
      <formula2>1</formula2>
    </dataValidation>
    <dataValidation type="decimal" operator="greaterThanOrEqual" allowBlank="1" showInputMessage="1" showErrorMessage="1" error="Cell should be greater than or equal to 0" sqref="C53 C47 C18 C49:C50 C25 D32:D37 C21 C43" xr:uid="{00000000-0002-0000-0400-000003000000}">
      <formula1>0</formula1>
    </dataValidation>
    <dataValidation type="list" showInputMessage="1" showErrorMessage="1" sqref="C28" xr:uid="{00000000-0002-0000-0400-000004000000}">
      <formula1>dd_number_of_fields</formula1>
    </dataValidation>
    <dataValidation type="list" showInputMessage="1" showErrorMessage="1" sqref="C27 C20 C42" xr:uid="{00000000-0002-0000-0400-000005000000}">
      <formula1>dd_number_of_phases</formula1>
    </dataValidation>
    <dataValidation type="decimal" allowBlank="1" showInputMessage="1" showErrorMessage="1" error="Cell should be greater than or equal to 0" sqref="C40" xr:uid="{15D0672D-27D9-4813-9453-D31B650AF8DD}">
      <formula1>0</formula1>
      <formula2>8784</formula2>
    </dataValidation>
    <dataValidation type="decimal" allowBlank="1" showInputMessage="1" showErrorMessage="1" error="Value should be between 0 and operation time" sqref="C41" xr:uid="{3B8CF360-A8F4-46CB-94B6-9B20F3A5E931}">
      <formula1>0</formula1>
      <formula2>C40</formula2>
    </dataValidation>
    <dataValidation type="list" showInputMessage="1" showErrorMessage="1" sqref="C22 C29 C44" xr:uid="{0DF0F1AA-E4C7-4F56-8DF7-D161EB517284}">
      <formula1>dd_yes_no</formula1>
    </dataValidation>
    <dataValidation type="list" allowBlank="1" showInputMessage="1" showErrorMessage="1" sqref="C15" xr:uid="{C4F8089E-A797-4ADC-87A5-0FC073782D67}">
      <formula1>dd_subasset_transformer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9">
    <tabColor rgb="FF92D050"/>
    <pageSetUpPr autoPageBreaks="0"/>
  </sheetPr>
  <dimension ref="A1:J181"/>
  <sheetViews>
    <sheetView showRowColHeaders="0" topLeftCell="A88" zoomScaleNormal="100" workbookViewId="0">
      <selection activeCell="C18" sqref="C18"/>
    </sheetView>
  </sheetViews>
  <sheetFormatPr defaultColWidth="0" defaultRowHeight="13.5" x14ac:dyDescent="0.35"/>
  <cols>
    <col min="1" max="1" width="2.09765625" style="1" customWidth="1"/>
    <col min="2" max="2" width="45.09765625" style="1" customWidth="1"/>
    <col min="3" max="6" width="13.59765625" style="1" customWidth="1"/>
    <col min="7" max="7" width="10" style="1" customWidth="1"/>
    <col min="8" max="9" width="13.59765625" style="1" hidden="1" customWidth="1"/>
    <col min="10" max="16384" width="4.8984375" style="1" hidden="1"/>
  </cols>
  <sheetData>
    <row r="1" spans="1:7" x14ac:dyDescent="0.35">
      <c r="A1" s="286" t="str">
        <f>"Datasheet 1 - " &amp; BI_ref_asset_and_subasset</f>
        <v>Datasheet 1 - Electricity cable (other)</v>
      </c>
      <c r="B1" s="286"/>
      <c r="C1" s="286"/>
      <c r="D1" s="286"/>
      <c r="E1" s="286"/>
      <c r="F1" s="286"/>
      <c r="G1" s="286"/>
    </row>
    <row r="2" spans="1:7" x14ac:dyDescent="0.35">
      <c r="A2" s="286"/>
      <c r="B2" s="286"/>
      <c r="C2" s="286"/>
      <c r="D2" s="286"/>
      <c r="E2" s="286"/>
      <c r="F2" s="286"/>
      <c r="G2" s="286"/>
    </row>
    <row r="3" spans="1:7" x14ac:dyDescent="0.35">
      <c r="A3" s="286"/>
      <c r="B3" s="286"/>
      <c r="C3" s="286"/>
      <c r="D3" s="286"/>
      <c r="E3" s="286"/>
      <c r="F3" s="286"/>
      <c r="G3" s="286"/>
    </row>
    <row r="4" spans="1:7" hidden="1" x14ac:dyDescent="0.35"/>
    <row r="5" spans="1:7" hidden="1" x14ac:dyDescent="0.35">
      <c r="B5" s="4" t="s">
        <v>129</v>
      </c>
    </row>
    <row r="6" spans="1:7" hidden="1" x14ac:dyDescent="0.35">
      <c r="B6" s="27" t="s">
        <v>68</v>
      </c>
      <c r="C6" s="284"/>
      <c r="D6" s="285"/>
    </row>
    <row r="7" spans="1:7" hidden="1" x14ac:dyDescent="0.35">
      <c r="B7" s="27" t="s">
        <v>69</v>
      </c>
      <c r="C7" s="284"/>
      <c r="D7" s="285"/>
    </row>
    <row r="8" spans="1:7" hidden="1" x14ac:dyDescent="0.35">
      <c r="B8" s="28" t="s">
        <v>63</v>
      </c>
      <c r="C8" s="284"/>
      <c r="D8" s="285"/>
    </row>
    <row r="9" spans="1:7" ht="14" hidden="1" thickBot="1" x14ac:dyDescent="0.4">
      <c r="B9" s="28" t="s">
        <v>64</v>
      </c>
      <c r="C9" s="287"/>
      <c r="D9" s="288"/>
    </row>
    <row r="10" spans="1:7" ht="14.5" hidden="1" thickTop="1" thickBot="1" x14ac:dyDescent="0.4">
      <c r="B10" s="27" t="s">
        <v>130</v>
      </c>
      <c r="C10" s="289"/>
      <c r="D10" s="290"/>
    </row>
    <row r="12" spans="1:7" x14ac:dyDescent="0.35">
      <c r="B12" s="4" t="s">
        <v>131</v>
      </c>
    </row>
    <row r="13" spans="1:7" x14ac:dyDescent="0.35">
      <c r="B13" s="27" t="s">
        <v>66</v>
      </c>
      <c r="C13" s="273" t="str">
        <f>BI_ref_asset</f>
        <v>Electricity cable</v>
      </c>
      <c r="D13" s="275"/>
    </row>
    <row r="14" spans="1:7" x14ac:dyDescent="0.35">
      <c r="B14" s="27" t="s">
        <v>67</v>
      </c>
      <c r="C14" s="291" t="str">
        <f>BI_ref_subasset</f>
        <v>other</v>
      </c>
      <c r="D14" s="292"/>
    </row>
    <row r="15" spans="1:7" x14ac:dyDescent="0.35">
      <c r="B15" s="27" t="s">
        <v>132</v>
      </c>
      <c r="C15" s="284" t="s">
        <v>565</v>
      </c>
      <c r="D15" s="285"/>
      <c r="E15" s="6"/>
    </row>
    <row r="16" spans="1:7" hidden="1" x14ac:dyDescent="0.35">
      <c r="B16" s="27" t="s">
        <v>126</v>
      </c>
      <c r="C16" s="228"/>
      <c r="D16" s="3" t="str">
        <f xml:space="preserve"> "€/" &amp; BI_ref_functional_unit</f>
        <v>€/m</v>
      </c>
    </row>
    <row r="17" spans="2:9" ht="14" thickBot="1" x14ac:dyDescent="0.4">
      <c r="B17" s="27" t="s">
        <v>133</v>
      </c>
      <c r="C17" s="248">
        <v>40</v>
      </c>
      <c r="D17" s="1" t="s">
        <v>115</v>
      </c>
    </row>
    <row r="18" spans="2:9" ht="14.5" thickTop="1" thickBot="1" x14ac:dyDescent="0.4">
      <c r="B18" s="27" t="s">
        <v>134</v>
      </c>
      <c r="C18" s="247"/>
      <c r="D18" s="82" t="s">
        <v>564</v>
      </c>
    </row>
    <row r="19" spans="2:9" ht="14" thickTop="1" x14ac:dyDescent="0.35"/>
    <row r="20" spans="2:9" ht="14" thickBot="1" x14ac:dyDescent="0.4">
      <c r="B20" s="4" t="s">
        <v>135</v>
      </c>
    </row>
    <row r="21" spans="2:9" ht="14.5" thickTop="1" thickBot="1" x14ac:dyDescent="0.4">
      <c r="B21" s="28" t="s">
        <v>136</v>
      </c>
      <c r="C21" s="82"/>
    </row>
    <row r="22" spans="2:9" ht="14" thickTop="1" x14ac:dyDescent="0.35">
      <c r="B22" s="30" t="s">
        <v>137</v>
      </c>
      <c r="C22" s="84"/>
    </row>
    <row r="23" spans="2:9" x14ac:dyDescent="0.35">
      <c r="B23" s="34"/>
    </row>
    <row r="24" spans="2:9" ht="27.5" thickBot="1" x14ac:dyDescent="0.4">
      <c r="B24" s="38" t="str">
        <f xml:space="preserve"> "Materials (per " &amp; BI_ref_functional_unit &amp; ")"</f>
        <v>Materials (per m)</v>
      </c>
      <c r="C24" s="268" t="str">
        <f>"Weight ("&amp; LEFT(D18,LEN(D18))&amp; ")"</f>
        <v>Weight (g/unit)</v>
      </c>
      <c r="D24" s="19" t="s">
        <v>138</v>
      </c>
      <c r="H24" s="20" t="s">
        <v>139</v>
      </c>
      <c r="I24" s="20" t="s">
        <v>140</v>
      </c>
    </row>
    <row r="25" spans="2:9" ht="14.5" hidden="1" thickTop="1" thickBot="1" x14ac:dyDescent="0.4">
      <c r="B25" s="266" t="str">
        <f>'BI - Data + Results'!B12</f>
        <v>ABS</v>
      </c>
      <c r="C25" s="269"/>
      <c r="D25" s="227"/>
      <c r="H25" s="227"/>
      <c r="I25" s="264"/>
    </row>
    <row r="26" spans="2:9" ht="14.5" thickTop="1" thickBot="1" x14ac:dyDescent="0.4">
      <c r="B26" s="266" t="str">
        <f>'BI - Data + Results'!B13</f>
        <v>Aluminium (alloys)</v>
      </c>
      <c r="C26" s="247"/>
      <c r="D26" s="233"/>
      <c r="E26" s="259"/>
      <c r="F26" s="259"/>
      <c r="H26" s="227"/>
      <c r="I26" s="264"/>
    </row>
    <row r="27" spans="2:9" ht="14.5" thickTop="1" thickBot="1" x14ac:dyDescent="0.4">
      <c r="B27" s="266" t="str">
        <f>'BI - Data + Results'!B14</f>
        <v>Aluminium (electronic purity)</v>
      </c>
      <c r="C27" s="247"/>
      <c r="D27" s="233"/>
      <c r="E27" s="259"/>
      <c r="F27" s="259"/>
      <c r="H27" s="227"/>
      <c r="I27" s="264"/>
    </row>
    <row r="28" spans="2:9" ht="14.5" thickTop="1" thickBot="1" x14ac:dyDescent="0.4">
      <c r="B28" s="266" t="str">
        <f>'BI - Data + Results'!B15</f>
        <v>Aluminium (low-CO2, with EPD)</v>
      </c>
      <c r="C28" s="247"/>
      <c r="D28" s="259"/>
      <c r="E28" s="259"/>
      <c r="F28" s="259"/>
      <c r="H28" s="227"/>
      <c r="I28" s="264"/>
    </row>
    <row r="29" spans="2:9" ht="14.5" hidden="1" thickTop="1" thickBot="1" x14ac:dyDescent="0.4">
      <c r="B29" s="266" t="str">
        <f>'BI - Data + Results'!B16</f>
        <v>Brass</v>
      </c>
      <c r="C29" s="269"/>
      <c r="D29" s="227"/>
      <c r="H29" s="227"/>
      <c r="I29" s="264"/>
    </row>
    <row r="30" spans="2:9" ht="14.5" hidden="1" thickTop="1" thickBot="1" x14ac:dyDescent="0.4">
      <c r="B30" s="266" t="str">
        <f>'BI - Data + Results'!B17</f>
        <v>Bronze</v>
      </c>
      <c r="C30" s="269"/>
      <c r="D30" s="227"/>
      <c r="H30" s="227"/>
      <c r="I30" s="264"/>
    </row>
    <row r="31" spans="2:9" ht="14.5" hidden="1" thickTop="1" thickBot="1" x14ac:dyDescent="0.4">
      <c r="B31" s="266" t="str">
        <f>'BI - Data + Results'!B18</f>
        <v>Cement (CEM I)</v>
      </c>
      <c r="C31" s="269"/>
      <c r="D31" s="227"/>
      <c r="H31" s="227"/>
      <c r="I31" s="264"/>
    </row>
    <row r="32" spans="2:9" ht="14.5" hidden="1" thickTop="1" thickBot="1" x14ac:dyDescent="0.4">
      <c r="B32" s="266" t="str">
        <f>'BI - Data + Results'!B19</f>
        <v>Cement (CEM II)</v>
      </c>
      <c r="C32" s="269"/>
      <c r="D32" s="227"/>
      <c r="H32" s="227"/>
      <c r="I32" s="264"/>
    </row>
    <row r="33" spans="2:9" ht="14.5" hidden="1" thickTop="1" thickBot="1" x14ac:dyDescent="0.4">
      <c r="B33" s="266" t="str">
        <f>'BI - Data + Results'!B20</f>
        <v>Cement (CEM III/A)</v>
      </c>
      <c r="C33" s="269"/>
      <c r="D33" s="227"/>
      <c r="H33" s="227"/>
      <c r="I33" s="264"/>
    </row>
    <row r="34" spans="2:9" ht="14.5" hidden="1" thickTop="1" thickBot="1" x14ac:dyDescent="0.4">
      <c r="B34" s="266" t="str">
        <f>'BI - Data + Results'!B21</f>
        <v>Cement (CEM III/B)</v>
      </c>
      <c r="C34" s="269"/>
      <c r="D34" s="227"/>
      <c r="H34" s="227"/>
      <c r="I34" s="264"/>
    </row>
    <row r="35" spans="2:9" ht="14.5" hidden="1" thickTop="1" thickBot="1" x14ac:dyDescent="0.4">
      <c r="B35" s="266" t="str">
        <f>'BI - Data + Results'!B22</f>
        <v>Cement (other)</v>
      </c>
      <c r="C35" s="269"/>
      <c r="D35" s="227"/>
      <c r="H35" s="227"/>
      <c r="I35" s="264"/>
    </row>
    <row r="36" spans="2:9" ht="14.5" hidden="1" thickTop="1" thickBot="1" x14ac:dyDescent="0.4">
      <c r="B36" s="266" t="str">
        <f>'BI - Data + Results'!B23</f>
        <v>Circuit board</v>
      </c>
      <c r="C36" s="269"/>
      <c r="H36" s="227"/>
      <c r="I36" s="264"/>
    </row>
    <row r="37" spans="2:9" ht="14.5" hidden="1" thickTop="1" thickBot="1" x14ac:dyDescent="0.4">
      <c r="B37" s="266" t="str">
        <f>'BI - Data + Results'!B24</f>
        <v>Clay expanded</v>
      </c>
      <c r="C37" s="269"/>
      <c r="H37" s="227"/>
      <c r="I37" s="264"/>
    </row>
    <row r="38" spans="2:9" ht="14.5" thickTop="1" thickBot="1" x14ac:dyDescent="0.4">
      <c r="B38" s="266" t="str">
        <f>'BI - Data + Results'!B25</f>
        <v>Copper (electronic purity)</v>
      </c>
      <c r="C38" s="247"/>
      <c r="D38" s="233"/>
      <c r="E38" s="259"/>
      <c r="F38" s="259"/>
      <c r="H38" s="227"/>
      <c r="I38" s="264"/>
    </row>
    <row r="39" spans="2:9" ht="14.5" thickTop="1" thickBot="1" x14ac:dyDescent="0.4">
      <c r="B39" s="266" t="str">
        <f>'BI - Data + Results'!B26</f>
        <v>Copper (low CO2, with EPD)</v>
      </c>
      <c r="C39" s="247"/>
      <c r="D39" s="259"/>
      <c r="E39" s="259"/>
      <c r="F39" s="259"/>
      <c r="H39" s="227"/>
      <c r="I39" s="264"/>
    </row>
    <row r="40" spans="2:9" ht="14.5" thickTop="1" thickBot="1" x14ac:dyDescent="0.4">
      <c r="B40" s="266" t="str">
        <f>'BI - Data + Results'!B27</f>
        <v>Copper (mechanical purity)</v>
      </c>
      <c r="C40" s="247"/>
      <c r="D40" s="234"/>
      <c r="E40" s="259"/>
      <c r="F40" s="259"/>
      <c r="H40" s="227"/>
      <c r="I40" s="264"/>
    </row>
    <row r="41" spans="2:9" ht="14.5" thickTop="1" thickBot="1" x14ac:dyDescent="0.4">
      <c r="B41" s="266" t="str">
        <f>'BI - Data + Results'!B28</f>
        <v>Copper (tinned)</v>
      </c>
      <c r="C41" s="247"/>
      <c r="D41" s="234"/>
      <c r="E41" s="259"/>
      <c r="F41" s="259"/>
      <c r="H41" s="227"/>
      <c r="I41" s="264"/>
    </row>
    <row r="42" spans="2:9" ht="14.5" hidden="1" thickTop="1" thickBot="1" x14ac:dyDescent="0.4">
      <c r="B42" s="266" t="str">
        <f>'BI - Data + Results'!B29</f>
        <v>Cork</v>
      </c>
      <c r="C42" s="269"/>
      <c r="H42" s="227"/>
      <c r="I42" s="264"/>
    </row>
    <row r="43" spans="2:9" ht="14.5" hidden="1" thickTop="1" thickBot="1" x14ac:dyDescent="0.4">
      <c r="B43" s="266" t="str">
        <f>'BI - Data + Results'!B30</f>
        <v>Crushed limestone</v>
      </c>
      <c r="C43" s="269"/>
      <c r="D43" s="270"/>
      <c r="H43" s="227"/>
      <c r="I43" s="264"/>
    </row>
    <row r="44" spans="2:9" ht="14.5" hidden="1" thickTop="1" thickBot="1" x14ac:dyDescent="0.4">
      <c r="B44" s="266" t="str">
        <f>'BI - Data + Results'!B31</f>
        <v>Epoxy resin</v>
      </c>
      <c r="C44" s="269"/>
      <c r="D44" s="270"/>
      <c r="H44" s="227"/>
      <c r="I44" s="264"/>
    </row>
    <row r="45" spans="2:9" ht="14.5" thickTop="1" thickBot="1" x14ac:dyDescent="0.4">
      <c r="B45" s="266" t="str">
        <f>'BI - Data + Results'!B32</f>
        <v>Fibreglass (optics)</v>
      </c>
      <c r="C45" s="247"/>
      <c r="D45" s="259"/>
      <c r="E45" s="259"/>
      <c r="F45" s="259"/>
      <c r="H45" s="227"/>
      <c r="I45" s="264"/>
    </row>
    <row r="46" spans="2:9" ht="14.5" thickTop="1" thickBot="1" x14ac:dyDescent="0.4">
      <c r="B46" s="266" t="str">
        <f>'BI - Data + Results'!B33</f>
        <v>Glass-fibre reinforced plastic</v>
      </c>
      <c r="C46" s="247"/>
      <c r="D46" s="259"/>
      <c r="E46" s="259"/>
      <c r="F46" s="259"/>
      <c r="H46" s="227"/>
      <c r="I46" s="264"/>
    </row>
    <row r="47" spans="2:9" ht="14.5" thickTop="1" thickBot="1" x14ac:dyDescent="0.4">
      <c r="B47" s="266" t="str">
        <f>'BI - Data + Results'!B34</f>
        <v>Glue</v>
      </c>
      <c r="C47" s="247"/>
      <c r="D47" s="259"/>
      <c r="E47" s="259"/>
      <c r="F47" s="259"/>
      <c r="H47" s="227"/>
      <c r="I47" s="264"/>
    </row>
    <row r="48" spans="2:9" ht="14.5" hidden="1" thickTop="1" thickBot="1" x14ac:dyDescent="0.4">
      <c r="B48" s="266" t="str">
        <f>'BI - Data + Results'!B35</f>
        <v>Gold</v>
      </c>
      <c r="C48" s="269"/>
      <c r="D48" s="227"/>
      <c r="H48" s="227"/>
      <c r="I48" s="264"/>
    </row>
    <row r="49" spans="2:9" ht="14.5" hidden="1" thickTop="1" thickBot="1" x14ac:dyDescent="0.4">
      <c r="B49" s="266" t="str">
        <f>'BI - Data + Results'!B36</f>
        <v>Grit (stone for concrete)</v>
      </c>
      <c r="C49" s="269"/>
      <c r="D49" s="227"/>
      <c r="H49" s="227"/>
      <c r="I49" s="264"/>
    </row>
    <row r="50" spans="2:9" ht="14.5" thickTop="1" thickBot="1" x14ac:dyDescent="0.4">
      <c r="B50" s="266" t="str">
        <f>'BI - Data + Results'!B37</f>
        <v>HDPE</v>
      </c>
      <c r="C50" s="247"/>
      <c r="D50" s="233"/>
      <c r="E50" s="259"/>
      <c r="F50" s="259"/>
      <c r="H50" s="227"/>
      <c r="I50" s="264"/>
    </row>
    <row r="51" spans="2:9" ht="14.5" thickTop="1" thickBot="1" x14ac:dyDescent="0.4">
      <c r="B51" s="266" t="str">
        <f>'BI - Data + Results'!B38</f>
        <v>Ink</v>
      </c>
      <c r="C51" s="247"/>
      <c r="D51" s="259"/>
      <c r="E51" s="259"/>
      <c r="F51" s="259"/>
      <c r="H51" s="227"/>
      <c r="I51" s="264"/>
    </row>
    <row r="52" spans="2:9" ht="14.5" hidden="1" thickTop="1" thickBot="1" x14ac:dyDescent="0.4">
      <c r="B52" s="266" t="str">
        <f>'BI - Data + Results'!B39</f>
        <v>Insulating/ switch gas SF6</v>
      </c>
      <c r="C52" s="253">
        <f>C177</f>
        <v>0</v>
      </c>
      <c r="E52" s="271" t="s">
        <v>558</v>
      </c>
      <c r="H52" s="227"/>
      <c r="I52" s="264"/>
    </row>
    <row r="53" spans="2:9" ht="14.5" thickTop="1" thickBot="1" x14ac:dyDescent="0.4">
      <c r="B53" s="266" t="str">
        <f>'BI - Data + Results'!B40</f>
        <v>Iron</v>
      </c>
      <c r="C53" s="247"/>
      <c r="D53" s="233"/>
      <c r="E53" s="259"/>
      <c r="F53" s="259"/>
      <c r="H53" s="227"/>
      <c r="I53" s="264"/>
    </row>
    <row r="54" spans="2:9" ht="14.5" thickTop="1" thickBot="1" x14ac:dyDescent="0.4">
      <c r="B54" s="266" t="str">
        <f>'BI - Data + Results'!B41</f>
        <v>LDPE</v>
      </c>
      <c r="C54" s="247"/>
      <c r="D54" s="259"/>
      <c r="E54" s="259"/>
      <c r="F54" s="259"/>
      <c r="H54" s="227"/>
      <c r="I54" s="264"/>
    </row>
    <row r="55" spans="2:9" ht="14.5" thickTop="1" thickBot="1" x14ac:dyDescent="0.4">
      <c r="B55" s="266" t="str">
        <f>'BI - Data + Results'!B42</f>
        <v>Lead</v>
      </c>
      <c r="C55" s="247"/>
      <c r="D55" s="233"/>
      <c r="E55" s="259"/>
      <c r="F55" s="259"/>
      <c r="H55" s="227"/>
      <c r="I55" s="264"/>
    </row>
    <row r="56" spans="2:9" ht="14.5" thickTop="1" thickBot="1" x14ac:dyDescent="0.4">
      <c r="B56" s="266" t="str">
        <f>'BI - Data + Results'!B43</f>
        <v>LSZH</v>
      </c>
      <c r="C56" s="247"/>
      <c r="D56" s="259"/>
      <c r="E56" s="259"/>
      <c r="F56" s="259"/>
      <c r="H56" s="227"/>
      <c r="I56" s="264"/>
    </row>
    <row r="57" spans="2:9" ht="14.5" thickTop="1" thickBot="1" x14ac:dyDescent="0.4">
      <c r="B57" s="266" t="str">
        <f>'BI - Data + Results'!B44</f>
        <v>MDPE</v>
      </c>
      <c r="C57" s="247"/>
      <c r="D57" s="233"/>
      <c r="E57" s="259"/>
      <c r="F57" s="259"/>
      <c r="H57" s="227"/>
      <c r="I57" s="264"/>
    </row>
    <row r="58" spans="2:9" ht="14.5" thickTop="1" thickBot="1" x14ac:dyDescent="0.4">
      <c r="B58" s="266" t="str">
        <f>'BI - Data + Results'!B45</f>
        <v>Nickel</v>
      </c>
      <c r="C58" s="247"/>
      <c r="D58" s="233"/>
      <c r="E58" s="259"/>
      <c r="F58" s="259"/>
      <c r="H58" s="227"/>
      <c r="I58" s="264"/>
    </row>
    <row r="59" spans="2:9" ht="14.5" thickTop="1" thickBot="1" x14ac:dyDescent="0.4">
      <c r="B59" s="266" t="str">
        <f>'BI - Data + Results'!B46</f>
        <v>Nylon (PA)</v>
      </c>
      <c r="C59" s="247"/>
      <c r="E59" s="259"/>
      <c r="F59" s="259"/>
      <c r="H59" s="227"/>
      <c r="I59" s="264"/>
    </row>
    <row r="60" spans="2:9" ht="14.5" hidden="1" thickTop="1" thickBot="1" x14ac:dyDescent="0.4">
      <c r="B60" s="266" t="str">
        <f>'BI - Data + Results'!B47</f>
        <v>Oil (Biobased Ester)</v>
      </c>
      <c r="C60" s="269"/>
      <c r="H60" s="227"/>
      <c r="I60" s="264"/>
    </row>
    <row r="61" spans="2:9" ht="14.5" thickTop="1" thickBot="1" x14ac:dyDescent="0.4">
      <c r="B61" s="266" t="str">
        <f>'BI - Data + Results'!B48</f>
        <v>Oil (lubrication)</v>
      </c>
      <c r="C61" s="247"/>
      <c r="D61" s="259"/>
      <c r="E61" s="259"/>
      <c r="F61" s="259"/>
      <c r="H61" s="227"/>
      <c r="I61" s="264"/>
    </row>
    <row r="62" spans="2:9" ht="14.5" hidden="1" thickTop="1" thickBot="1" x14ac:dyDescent="0.4">
      <c r="B62" s="266" t="str">
        <f>'BI - Data + Results'!B49</f>
        <v>Oil (Standard Mineral)</v>
      </c>
      <c r="C62" s="269"/>
      <c r="H62" s="227"/>
      <c r="I62" s="264"/>
    </row>
    <row r="63" spans="2:9" ht="14.5" hidden="1" thickTop="1" thickBot="1" x14ac:dyDescent="0.4">
      <c r="B63" s="266" t="str">
        <f>'BI - Data + Results'!B50</f>
        <v>PA6 (Nylon 6)</v>
      </c>
      <c r="C63" s="269"/>
      <c r="D63" s="227"/>
      <c r="H63" s="227"/>
      <c r="I63" s="264"/>
    </row>
    <row r="64" spans="2:9" ht="14.5" hidden="1" thickTop="1" thickBot="1" x14ac:dyDescent="0.4">
      <c r="B64" s="266" t="str">
        <f>'BI - Data + Results'!B51</f>
        <v>PA6.6 (nylon 6.6)</v>
      </c>
      <c r="C64" s="269"/>
      <c r="D64" s="227"/>
      <c r="H64" s="227"/>
      <c r="I64" s="264"/>
    </row>
    <row r="65" spans="2:9" ht="14.5" hidden="1" thickTop="1" thickBot="1" x14ac:dyDescent="0.4">
      <c r="B65" s="266" t="str">
        <f>'BI - Data + Results'!B52</f>
        <v>Paint</v>
      </c>
      <c r="C65" s="269"/>
      <c r="H65" s="227"/>
      <c r="I65" s="264"/>
    </row>
    <row r="66" spans="2:9" ht="14.5" thickTop="1" thickBot="1" x14ac:dyDescent="0.4">
      <c r="B66" s="266" t="str">
        <f>'BI - Data + Results'!B53</f>
        <v>Paper</v>
      </c>
      <c r="C66" s="247"/>
      <c r="D66" s="259"/>
      <c r="E66" s="259"/>
      <c r="F66" s="259"/>
      <c r="H66" s="227"/>
      <c r="I66" s="264"/>
    </row>
    <row r="67" spans="2:9" ht="14.5" thickTop="1" thickBot="1" x14ac:dyDescent="0.4">
      <c r="B67" s="266" t="str">
        <f>'BI - Data + Results'!B54</f>
        <v>PBT</v>
      </c>
      <c r="C67" s="247"/>
      <c r="D67" s="259"/>
      <c r="E67" s="259"/>
      <c r="F67" s="259"/>
      <c r="H67" s="227"/>
      <c r="I67" s="264"/>
    </row>
    <row r="68" spans="2:9" ht="14.5" hidden="1" thickTop="1" thickBot="1" x14ac:dyDescent="0.4">
      <c r="B68" s="266" t="str">
        <f>'BI - Data + Results'!B55</f>
        <v>PC</v>
      </c>
      <c r="C68" s="269"/>
      <c r="D68" s="227"/>
      <c r="H68" s="227"/>
      <c r="I68" s="264"/>
    </row>
    <row r="69" spans="2:9" ht="14.5" hidden="1" thickTop="1" thickBot="1" x14ac:dyDescent="0.4">
      <c r="B69" s="266" t="str">
        <f>'BI - Data + Results'!B56</f>
        <v>PC GF10%</v>
      </c>
      <c r="C69" s="269"/>
      <c r="H69" s="227"/>
      <c r="I69" s="264"/>
    </row>
    <row r="70" spans="2:9" ht="14.5" thickTop="1" thickBot="1" x14ac:dyDescent="0.4">
      <c r="B70" s="266" t="str">
        <f>'BI - Data + Results'!B57</f>
        <v>PE (biobased)</v>
      </c>
      <c r="C70" s="247"/>
      <c r="D70" s="233"/>
      <c r="E70" s="259"/>
      <c r="F70" s="259"/>
      <c r="H70" s="227"/>
      <c r="I70" s="264"/>
    </row>
    <row r="71" spans="2:9" ht="14.5" thickTop="1" thickBot="1" x14ac:dyDescent="0.4">
      <c r="B71" s="266" t="str">
        <f>'BI - Data + Results'!B58</f>
        <v>PE (fossil)</v>
      </c>
      <c r="C71" s="247"/>
      <c r="D71" s="233"/>
      <c r="E71" s="259"/>
      <c r="F71" s="259"/>
      <c r="H71" s="227"/>
      <c r="I71" s="264"/>
    </row>
    <row r="72" spans="2:9" ht="14.5" thickTop="1" thickBot="1" x14ac:dyDescent="0.4">
      <c r="B72" s="266" t="str">
        <f>'BI - Data + Results'!B59</f>
        <v>PET</v>
      </c>
      <c r="C72" s="247"/>
      <c r="D72" s="233"/>
      <c r="E72" s="259"/>
      <c r="F72" s="259"/>
      <c r="H72" s="227"/>
      <c r="I72" s="264"/>
    </row>
    <row r="73" spans="2:9" ht="14.5" thickTop="1" thickBot="1" x14ac:dyDescent="0.4">
      <c r="B73" s="266" t="str">
        <f>'BI - Data + Results'!B60</f>
        <v>Pigment</v>
      </c>
      <c r="C73" s="247"/>
      <c r="D73" s="259"/>
      <c r="E73" s="259"/>
      <c r="F73" s="259"/>
      <c r="H73" s="227"/>
      <c r="I73" s="264"/>
    </row>
    <row r="74" spans="2:9" ht="14.5" hidden="1" thickTop="1" thickBot="1" x14ac:dyDescent="0.4">
      <c r="B74" s="266" t="str">
        <f>'BI - Data + Results'!B61</f>
        <v>Plasticiser for concrete</v>
      </c>
      <c r="C74" s="269"/>
      <c r="H74" s="227"/>
      <c r="I74" s="264"/>
    </row>
    <row r="75" spans="2:9" ht="14.5" thickTop="1" thickBot="1" x14ac:dyDescent="0.4">
      <c r="B75" s="266" t="str">
        <f>'BI - Data + Results'!B62</f>
        <v>Polyester</v>
      </c>
      <c r="C75" s="247"/>
      <c r="D75" s="233"/>
      <c r="E75" s="259"/>
      <c r="F75" s="259"/>
      <c r="H75" s="227"/>
      <c r="I75" s="264"/>
    </row>
    <row r="76" spans="2:9" ht="14.5" hidden="1" thickTop="1" thickBot="1" x14ac:dyDescent="0.4">
      <c r="B76" s="266" t="str">
        <f>'BI - Data + Results'!B63</f>
        <v>Polystyrene</v>
      </c>
      <c r="C76" s="269"/>
      <c r="D76" s="227"/>
      <c r="H76" s="227"/>
      <c r="I76" s="264"/>
    </row>
    <row r="77" spans="2:9" ht="14.5" hidden="1" thickTop="1" thickBot="1" x14ac:dyDescent="0.4">
      <c r="B77" s="266" t="str">
        <f>'BI - Data + Results'!B64</f>
        <v>Porcelain/ceramics</v>
      </c>
      <c r="C77" s="269"/>
      <c r="D77" s="227"/>
      <c r="H77" s="227"/>
      <c r="I77" s="264"/>
    </row>
    <row r="78" spans="2:9" ht="14.5" thickTop="1" thickBot="1" x14ac:dyDescent="0.4">
      <c r="B78" s="266" t="str">
        <f>'BI - Data + Results'!B65</f>
        <v>PP</v>
      </c>
      <c r="C78" s="247"/>
      <c r="D78" s="233"/>
      <c r="E78" s="259"/>
      <c r="F78" s="259"/>
      <c r="H78" s="227"/>
      <c r="I78" s="264"/>
    </row>
    <row r="79" spans="2:9" ht="14.5" thickTop="1" thickBot="1" x14ac:dyDescent="0.4">
      <c r="B79" s="266" t="str">
        <f>'BI - Data + Results'!B66</f>
        <v>PP (semicon)</v>
      </c>
      <c r="C79" s="247"/>
      <c r="D79" s="233"/>
      <c r="E79" s="259"/>
      <c r="F79" s="259"/>
      <c r="H79" s="227"/>
      <c r="I79" s="264"/>
    </row>
    <row r="80" spans="2:9" ht="14.5" hidden="1" thickTop="1" thickBot="1" x14ac:dyDescent="0.4">
      <c r="B80" s="266" t="str">
        <f>'BI - Data + Results'!B67</f>
        <v>Pressboard</v>
      </c>
      <c r="C80" s="269"/>
      <c r="H80" s="227"/>
      <c r="I80" s="264"/>
    </row>
    <row r="81" spans="2:9" ht="14.5" thickTop="1" thickBot="1" x14ac:dyDescent="0.4">
      <c r="B81" s="266" t="str">
        <f>'BI - Data + Results'!B68</f>
        <v>PVC</v>
      </c>
      <c r="C81" s="247"/>
      <c r="D81" s="233"/>
      <c r="E81" s="259"/>
      <c r="F81" s="259"/>
      <c r="H81" s="227"/>
      <c r="I81" s="264"/>
    </row>
    <row r="82" spans="2:9" ht="14.5" thickTop="1" thickBot="1" x14ac:dyDescent="0.4">
      <c r="B82" s="266" t="str">
        <f>'BI - Data + Results'!B69</f>
        <v>PVC (biobased)</v>
      </c>
      <c r="C82" s="247"/>
      <c r="D82" s="233"/>
      <c r="E82" s="259"/>
      <c r="F82" s="259"/>
      <c r="H82" s="227"/>
      <c r="I82" s="264"/>
    </row>
    <row r="83" spans="2:9" ht="14.5" thickTop="1" thickBot="1" x14ac:dyDescent="0.4">
      <c r="B83" s="266" t="str">
        <f>'BI - Data + Results'!B70</f>
        <v>Rubber (not crosslinked)</v>
      </c>
      <c r="C83" s="247"/>
      <c r="D83" s="233"/>
      <c r="E83" s="259"/>
      <c r="F83" s="259"/>
      <c r="H83" s="227"/>
      <c r="I83" s="264"/>
    </row>
    <row r="84" spans="2:9" ht="14.5" hidden="1" thickTop="1" thickBot="1" x14ac:dyDescent="0.4">
      <c r="B84" s="266" t="str">
        <f>'BI - Data + Results'!B71</f>
        <v>Sand for concrete</v>
      </c>
      <c r="C84" s="269"/>
      <c r="D84" s="227"/>
      <c r="H84" s="227"/>
      <c r="I84" s="264"/>
    </row>
    <row r="85" spans="2:9" ht="14.5" hidden="1" thickTop="1" thickBot="1" x14ac:dyDescent="0.4">
      <c r="B85" s="266" t="str">
        <f>'BI - Data + Results'!B72</f>
        <v>Silicone insulation</v>
      </c>
      <c r="C85" s="269"/>
      <c r="H85" s="227"/>
      <c r="I85" s="264"/>
    </row>
    <row r="86" spans="2:9" ht="14.5" hidden="1" thickTop="1" thickBot="1" x14ac:dyDescent="0.4">
      <c r="B86" s="266" t="str">
        <f>'BI - Data + Results'!B73</f>
        <v>Silver</v>
      </c>
      <c r="C86" s="269"/>
      <c r="D86" s="227"/>
      <c r="H86" s="227"/>
      <c r="I86" s="264"/>
    </row>
    <row r="87" spans="2:9" ht="14.5" thickTop="1" thickBot="1" x14ac:dyDescent="0.4">
      <c r="B87" s="266" t="str">
        <f>'BI - Data + Results'!B74</f>
        <v>Steel</v>
      </c>
      <c r="C87" s="247"/>
      <c r="D87" s="233"/>
      <c r="E87" s="259"/>
      <c r="F87" s="259"/>
      <c r="H87" s="227"/>
      <c r="I87" s="264"/>
    </row>
    <row r="88" spans="2:9" ht="14.5" thickTop="1" thickBot="1" x14ac:dyDescent="0.4">
      <c r="B88" s="266" t="str">
        <f>'BI - Data + Results'!B75</f>
        <v>Steel (carbon steel)</v>
      </c>
      <c r="C88" s="247"/>
      <c r="D88" s="233"/>
      <c r="E88" s="259"/>
      <c r="F88" s="259"/>
      <c r="H88" s="227"/>
      <c r="I88" s="264"/>
    </row>
    <row r="89" spans="2:9" ht="14.5" hidden="1" thickTop="1" thickBot="1" x14ac:dyDescent="0.4">
      <c r="B89" s="266" t="str">
        <f>'BI - Data + Results'!B76</f>
        <v>Steel (grain oriented electrical steel)</v>
      </c>
      <c r="C89" s="269"/>
      <c r="D89" s="227"/>
      <c r="H89" s="227"/>
      <c r="I89" s="264"/>
    </row>
    <row r="90" spans="2:9" ht="14.5" thickTop="1" thickBot="1" x14ac:dyDescent="0.4">
      <c r="B90" s="266" t="str">
        <f>'BI - Data + Results'!B77</f>
        <v>Steel (low-CO2, DRI hydrogen, with EPD)</v>
      </c>
      <c r="C90" s="247"/>
      <c r="D90" s="259"/>
      <c r="E90" s="259"/>
      <c r="F90" s="259"/>
      <c r="H90" s="227"/>
      <c r="I90" s="264"/>
    </row>
    <row r="91" spans="2:9" ht="14.5" thickTop="1" thickBot="1" x14ac:dyDescent="0.4">
      <c r="B91" s="266" t="str">
        <f>'BI - Data + Results'!B78</f>
        <v>Steel (medium-CO2, DRI natural gas, with EPD)</v>
      </c>
      <c r="C91" s="247"/>
      <c r="D91" s="259"/>
      <c r="E91" s="259"/>
      <c r="F91" s="259"/>
      <c r="H91" s="227"/>
      <c r="I91" s="264"/>
    </row>
    <row r="92" spans="2:9" ht="14.5" hidden="1" thickTop="1" thickBot="1" x14ac:dyDescent="0.4">
      <c r="B92" s="266" t="str">
        <f>'BI - Data + Results'!B79</f>
        <v>Steel (stainless steel)</v>
      </c>
      <c r="C92" s="269"/>
      <c r="D92" s="227"/>
      <c r="H92" s="227"/>
      <c r="I92" s="264"/>
    </row>
    <row r="93" spans="2:9" ht="14.5" hidden="1" thickTop="1" thickBot="1" x14ac:dyDescent="0.4">
      <c r="B93" s="266" t="str">
        <f>'BI - Data + Results'!B80</f>
        <v>Steel (zinc plated)</v>
      </c>
      <c r="C93" s="269"/>
      <c r="D93" s="227"/>
      <c r="H93" s="227"/>
      <c r="I93" s="264"/>
    </row>
    <row r="94" spans="2:9" ht="14.5" thickTop="1" thickBot="1" x14ac:dyDescent="0.4">
      <c r="B94" s="266" t="str">
        <f>'BI - Data + Results'!B81</f>
        <v>Tantalum</v>
      </c>
      <c r="C94" s="247"/>
      <c r="D94" s="233"/>
      <c r="E94" s="259"/>
      <c r="F94" s="259"/>
      <c r="H94" s="227"/>
      <c r="I94" s="264"/>
    </row>
    <row r="95" spans="2:9" ht="14.5" thickTop="1" thickBot="1" x14ac:dyDescent="0.4">
      <c r="B95" s="266" t="str">
        <f>'BI - Data + Results'!B82</f>
        <v>Tin</v>
      </c>
      <c r="C95" s="247"/>
      <c r="D95" s="233"/>
      <c r="E95" s="259"/>
      <c r="F95" s="259"/>
      <c r="H95" s="227"/>
      <c r="I95" s="264"/>
    </row>
    <row r="96" spans="2:9" ht="14.5" thickTop="1" thickBot="1" x14ac:dyDescent="0.4">
      <c r="B96" s="266" t="str">
        <f>'BI - Data + Results'!B83</f>
        <v>Tungsten</v>
      </c>
      <c r="C96" s="247"/>
      <c r="D96" s="233"/>
      <c r="E96" s="259"/>
      <c r="F96" s="259"/>
      <c r="H96" s="227"/>
      <c r="I96" s="264"/>
    </row>
    <row r="97" spans="2:10" ht="14.5" hidden="1" thickTop="1" thickBot="1" x14ac:dyDescent="0.4">
      <c r="B97" s="266" t="str">
        <f>'BI - Data + Results'!B84</f>
        <v>Water (for concrete)</v>
      </c>
      <c r="C97" s="269"/>
      <c r="H97" s="227"/>
      <c r="I97" s="264"/>
    </row>
    <row r="98" spans="2:10" ht="14.5" thickTop="1" thickBot="1" x14ac:dyDescent="0.4">
      <c r="B98" s="266" t="str">
        <f>'BI - Data + Results'!B85</f>
        <v>Water blocking tapes</v>
      </c>
      <c r="C98" s="247"/>
      <c r="D98" s="259"/>
      <c r="E98" s="259"/>
      <c r="F98" s="259"/>
      <c r="H98" s="227"/>
      <c r="I98" s="264"/>
    </row>
    <row r="99" spans="2:10" ht="14.5" hidden="1" thickTop="1" thickBot="1" x14ac:dyDescent="0.4">
      <c r="B99" s="266" t="str">
        <f>'BI - Data + Results'!B86</f>
        <v>Wood A quality</v>
      </c>
      <c r="C99" s="269"/>
      <c r="H99" s="227"/>
      <c r="I99" s="264"/>
    </row>
    <row r="100" spans="2:10" ht="14.5" hidden="1" thickTop="1" thickBot="1" x14ac:dyDescent="0.4">
      <c r="B100" s="266" t="str">
        <f>'BI - Data + Results'!B87</f>
        <v>Wood B quality</v>
      </c>
      <c r="C100" s="269"/>
      <c r="H100" s="227"/>
      <c r="I100" s="264"/>
    </row>
    <row r="101" spans="2:10" ht="14.5" thickTop="1" thickBot="1" x14ac:dyDescent="0.4">
      <c r="B101" s="266" t="str">
        <f>'BI - Data + Results'!B88</f>
        <v>XLPE (biobased)</v>
      </c>
      <c r="C101" s="247"/>
      <c r="D101" s="233"/>
      <c r="E101" s="259"/>
      <c r="F101" s="259"/>
      <c r="H101" s="227"/>
      <c r="I101" s="264"/>
    </row>
    <row r="102" spans="2:10" ht="14.5" thickTop="1" thickBot="1" x14ac:dyDescent="0.4">
      <c r="B102" s="266" t="str">
        <f>'BI - Data + Results'!B89</f>
        <v>XLPE insulation (natural)</v>
      </c>
      <c r="C102" s="247"/>
      <c r="D102" s="233"/>
      <c r="E102" s="259"/>
      <c r="F102" s="259"/>
      <c r="H102" s="227"/>
      <c r="I102" s="264"/>
    </row>
    <row r="103" spans="2:10" ht="14.5" thickTop="1" thickBot="1" x14ac:dyDescent="0.4">
      <c r="B103" s="266" t="str">
        <f>'BI - Data + Results'!B90</f>
        <v>XLPE Semiconductive (black with carbon)</v>
      </c>
      <c r="C103" s="247"/>
      <c r="D103" s="233"/>
      <c r="E103" s="259"/>
      <c r="F103" s="259"/>
      <c r="H103" s="227"/>
      <c r="I103" s="264"/>
    </row>
    <row r="104" spans="2:10" ht="14.5" thickTop="1" thickBot="1" x14ac:dyDescent="0.4">
      <c r="B104" s="266" t="str">
        <f>'BI - Data + Results'!B91</f>
        <v>Zinc</v>
      </c>
      <c r="C104" s="247"/>
      <c r="D104" s="259"/>
      <c r="E104" s="259"/>
      <c r="F104" s="259"/>
      <c r="H104" s="227"/>
      <c r="I104" s="264"/>
    </row>
    <row r="105" spans="2:10" ht="14.5" hidden="1" thickTop="1" thickBot="1" x14ac:dyDescent="0.4">
      <c r="B105" s="266" t="str">
        <f>'BI - Data + Results'!B92</f>
        <v>ZZ - Additional space for future materials001</v>
      </c>
      <c r="C105" s="269"/>
      <c r="D105" s="227"/>
      <c r="H105" s="227"/>
      <c r="I105" s="264"/>
    </row>
    <row r="106" spans="2:10" ht="14.5" hidden="1" thickTop="1" thickBot="1" x14ac:dyDescent="0.4">
      <c r="B106" s="266" t="str">
        <f>'BI - Data + Results'!B93</f>
        <v>ZZ - Additional space for future materials002</v>
      </c>
      <c r="C106" s="269"/>
      <c r="D106" s="227"/>
      <c r="H106" s="227"/>
      <c r="I106" s="264"/>
    </row>
    <row r="107" spans="2:10" ht="14.5" hidden="1" thickTop="1" thickBot="1" x14ac:dyDescent="0.4">
      <c r="B107" s="266" t="str">
        <f>'BI - Data + Results'!B94</f>
        <v>ZZ - Additional space for future materials003</v>
      </c>
      <c r="C107" s="269"/>
      <c r="D107" s="227"/>
      <c r="H107" s="227"/>
      <c r="I107" s="264"/>
    </row>
    <row r="108" spans="2:10" ht="28" thickTop="1" thickBot="1" x14ac:dyDescent="0.4">
      <c r="B108" s="267" t="s">
        <v>141</v>
      </c>
      <c r="C108" s="249">
        <f>C18-SUM(C25:C107)</f>
        <v>0</v>
      </c>
      <c r="D108" s="223">
        <v>0</v>
      </c>
      <c r="H108" s="223">
        <v>0</v>
      </c>
      <c r="I108" s="224" t="s">
        <v>142</v>
      </c>
      <c r="J108" s="31"/>
    </row>
    <row r="109" spans="2:10" ht="78" customHeight="1" thickTop="1" x14ac:dyDescent="0.35">
      <c r="B109" s="293" t="s">
        <v>533</v>
      </c>
      <c r="C109" s="293"/>
      <c r="D109" s="293"/>
      <c r="E109" s="293"/>
      <c r="F109" s="293"/>
    </row>
    <row r="110" spans="2:10" hidden="1" x14ac:dyDescent="0.35">
      <c r="C110" s="8"/>
      <c r="E110" s="8"/>
      <c r="F110" s="8"/>
    </row>
    <row r="111" spans="2:10" hidden="1" x14ac:dyDescent="0.35">
      <c r="B111" s="38" t="s">
        <v>143</v>
      </c>
    </row>
    <row r="112" spans="2:10" hidden="1" x14ac:dyDescent="0.35">
      <c r="B112" s="27" t="s">
        <v>144</v>
      </c>
      <c r="C112" s="247"/>
      <c r="D112" s="3" t="str">
        <f>"kWh/" &amp; BI_ref_functional_unit</f>
        <v>kWh/m</v>
      </c>
    </row>
    <row r="113" spans="2:4" hidden="1" x14ac:dyDescent="0.35">
      <c r="B113" s="27" t="s">
        <v>145</v>
      </c>
      <c r="C113" s="247"/>
      <c r="D113" s="3" t="str">
        <f>"kWh/" &amp; BI_ref_functional_unit</f>
        <v>kWh/m</v>
      </c>
    </row>
    <row r="114" spans="2:4" hidden="1" x14ac:dyDescent="0.35">
      <c r="B114" s="27" t="s">
        <v>146</v>
      </c>
      <c r="C114" s="247"/>
      <c r="D114" s="3" t="str">
        <f>"MJ/" &amp; BI_ref_functional_unit</f>
        <v>MJ/m</v>
      </c>
    </row>
    <row r="115" spans="2:4" hidden="1" x14ac:dyDescent="0.35">
      <c r="B115" s="27" t="s">
        <v>147</v>
      </c>
      <c r="C115" s="247"/>
      <c r="D115" s="3" t="str">
        <f>"MJ/" &amp; BI_ref_functional_unit</f>
        <v>MJ/m</v>
      </c>
    </row>
    <row r="117" spans="2:4" x14ac:dyDescent="0.35">
      <c r="B117" s="4" t="s">
        <v>148</v>
      </c>
    </row>
    <row r="118" spans="2:4" x14ac:dyDescent="0.35">
      <c r="B118" s="27" t="s">
        <v>149</v>
      </c>
      <c r="C118" s="247"/>
      <c r="D118" s="1" t="s">
        <v>150</v>
      </c>
    </row>
    <row r="119" spans="2:4" x14ac:dyDescent="0.35">
      <c r="B119" s="27" t="s">
        <v>151</v>
      </c>
      <c r="C119" s="247"/>
      <c r="D119" s="1" t="s">
        <v>150</v>
      </c>
    </row>
    <row r="120" spans="2:4" x14ac:dyDescent="0.35">
      <c r="B120" s="27" t="s">
        <v>152</v>
      </c>
      <c r="C120" s="247"/>
      <c r="D120" s="1" t="s">
        <v>150</v>
      </c>
    </row>
    <row r="121" spans="2:4" x14ac:dyDescent="0.35">
      <c r="B121" s="28" t="s">
        <v>153</v>
      </c>
      <c r="C121" s="247"/>
      <c r="D121" s="1" t="s">
        <v>150</v>
      </c>
    </row>
    <row r="122" spans="2:4" x14ac:dyDescent="0.35">
      <c r="B122" s="28" t="s">
        <v>154</v>
      </c>
      <c r="C122" s="247"/>
      <c r="D122" s="1" t="s">
        <v>150</v>
      </c>
    </row>
    <row r="123" spans="2:4" x14ac:dyDescent="0.35">
      <c r="B123" s="28" t="s">
        <v>155</v>
      </c>
      <c r="C123" s="247"/>
      <c r="D123" s="1" t="s">
        <v>150</v>
      </c>
    </row>
    <row r="124" spans="2:4" x14ac:dyDescent="0.35">
      <c r="B124" s="28" t="s">
        <v>156</v>
      </c>
      <c r="C124" s="247"/>
      <c r="D124" s="1" t="s">
        <v>150</v>
      </c>
    </row>
    <row r="125" spans="2:4" x14ac:dyDescent="0.35">
      <c r="B125" s="28" t="s">
        <v>157</v>
      </c>
      <c r="C125" s="247"/>
      <c r="D125" s="1" t="s">
        <v>150</v>
      </c>
    </row>
    <row r="126" spans="2:4" hidden="1" x14ac:dyDescent="0.35"/>
    <row r="127" spans="2:4" hidden="1" x14ac:dyDescent="0.35">
      <c r="B127" s="4" t="str">
        <f>"Energy loss (" &amp; BI_ref_assetname_other_asset &amp; ")"</f>
        <v>Energy loss (Other asset)</v>
      </c>
    </row>
    <row r="128" spans="2:4" hidden="1" x14ac:dyDescent="0.35">
      <c r="B128" s="27" t="s">
        <v>158</v>
      </c>
      <c r="C128" s="247"/>
      <c r="D128" s="3" t="str">
        <f>"kWh/" &amp; BI_ref_functional_unit &amp; " per year"</f>
        <v>kWh/m per year</v>
      </c>
    </row>
    <row r="129" spans="2:4" hidden="1" x14ac:dyDescent="0.35">
      <c r="B129" s="27" t="s">
        <v>159</v>
      </c>
      <c r="C129" s="247"/>
      <c r="D129" s="5" t="str">
        <f>"Nm3/" &amp; BI_ref_functional_unit &amp; " per year"</f>
        <v>Nm3/m per year</v>
      </c>
    </row>
    <row r="130" spans="2:4" hidden="1" x14ac:dyDescent="0.35"/>
    <row r="131" spans="2:4" hidden="1" x14ac:dyDescent="0.35">
      <c r="B131" s="4" t="str">
        <f>"Energy loss (" &amp; BI_ref_assetname_gas_tube &amp; ")"</f>
        <v>Energy loss (Pipeline)</v>
      </c>
    </row>
    <row r="132" spans="2:4" hidden="1" x14ac:dyDescent="0.35">
      <c r="B132" s="27" t="s">
        <v>159</v>
      </c>
      <c r="C132" s="247"/>
      <c r="D132" s="5" t="str">
        <f>"Nm3/" &amp; BI_ref_functional_unit &amp; " per year"</f>
        <v>Nm3/m per year</v>
      </c>
    </row>
    <row r="133" spans="2:4" hidden="1" x14ac:dyDescent="0.35">
      <c r="B133" s="27" t="s">
        <v>160</v>
      </c>
      <c r="C133" s="5"/>
      <c r="D133" s="5"/>
    </row>
    <row r="134" spans="2:4" hidden="1" x14ac:dyDescent="0.35"/>
    <row r="135" spans="2:4" hidden="1" x14ac:dyDescent="0.35">
      <c r="B135" s="4" t="str">
        <f>"Energy loss (" &amp; BI_ref_assetname_transformer &amp; ")"</f>
        <v>Energy loss (Transformer)</v>
      </c>
    </row>
    <row r="136" spans="2:4" hidden="1" x14ac:dyDescent="0.35">
      <c r="B136" s="27" t="s">
        <v>108</v>
      </c>
      <c r="C136" s="251" t="str">
        <f>'BI - References'!E37</f>
        <v/>
      </c>
      <c r="D136" s="1" t="s">
        <v>88</v>
      </c>
    </row>
    <row r="137" spans="2:4" hidden="1" x14ac:dyDescent="0.35">
      <c r="B137" s="27" t="s">
        <v>109</v>
      </c>
      <c r="C137" s="251" t="str">
        <f>'BI - References'!E38</f>
        <v/>
      </c>
      <c r="D137" s="1" t="s">
        <v>88</v>
      </c>
    </row>
    <row r="138" spans="2:4" hidden="1" x14ac:dyDescent="0.35">
      <c r="B138" s="27" t="s">
        <v>97</v>
      </c>
      <c r="C138" s="222" t="str">
        <f>'BI - References'!E39</f>
        <v/>
      </c>
    </row>
    <row r="139" spans="2:4" hidden="1" x14ac:dyDescent="0.35">
      <c r="B139" s="27" t="s">
        <v>110</v>
      </c>
      <c r="C139" s="250" t="str">
        <f>'BI - References'!E40</f>
        <v/>
      </c>
      <c r="D139" s="1" t="s">
        <v>111</v>
      </c>
    </row>
    <row r="140" spans="2:4" hidden="1" x14ac:dyDescent="0.35">
      <c r="B140" s="29" t="s">
        <v>161</v>
      </c>
      <c r="C140" s="252"/>
      <c r="D140" s="3" t="str">
        <f>"kW"</f>
        <v>kW</v>
      </c>
    </row>
    <row r="141" spans="2:4" hidden="1" x14ac:dyDescent="0.35">
      <c r="B141" s="27" t="s">
        <v>162</v>
      </c>
      <c r="C141" s="252"/>
      <c r="D141" s="3" t="str">
        <f>"kW"</f>
        <v>kW</v>
      </c>
    </row>
    <row r="142" spans="2:4" ht="13.5" hidden="1" customHeight="1" x14ac:dyDescent="0.35">
      <c r="B142" s="27" t="s">
        <v>163</v>
      </c>
      <c r="C142" s="27"/>
      <c r="D142" s="27"/>
    </row>
    <row r="143" spans="2:4" hidden="1" x14ac:dyDescent="0.35">
      <c r="B143" s="4"/>
    </row>
    <row r="144" spans="2:4" hidden="1" x14ac:dyDescent="0.35">
      <c r="B144" s="4" t="str">
        <f>"Energy loss (" &amp; BI_ref_assetname_transformer_substation &amp; ")"</f>
        <v>Energy loss (Transformer substation)</v>
      </c>
    </row>
    <row r="145" spans="2:5" hidden="1" x14ac:dyDescent="0.35">
      <c r="B145" s="27" t="s">
        <v>164</v>
      </c>
    </row>
    <row r="146" spans="2:5" hidden="1" x14ac:dyDescent="0.35"/>
    <row r="147" spans="2:5" ht="45" hidden="1" customHeight="1" x14ac:dyDescent="0.35">
      <c r="B147" s="282" t="str">
        <f>"Energy loss (" &amp; BI_ref_assetname_electricity_cable &amp; ") 
Energy loss is calculated using IEC 60287-1-1. Please refer 
to the manual for clarification and prescribed assumptions."</f>
        <v>Energy loss (Electricity cable) 
Energy loss is calculated using IEC 60287-1-1. Please refer 
to the manual for clarification and prescribed assumptions.</v>
      </c>
      <c r="C147" s="282"/>
      <c r="D147" s="282"/>
    </row>
    <row r="148" spans="2:5" hidden="1" x14ac:dyDescent="0.35">
      <c r="B148" s="27" t="s">
        <v>87</v>
      </c>
      <c r="C148" s="253">
        <f>'BI - References'!E11</f>
        <v>0</v>
      </c>
      <c r="D148" s="1" t="s">
        <v>88</v>
      </c>
    </row>
    <row r="149" spans="2:5" hidden="1" x14ac:dyDescent="0.35">
      <c r="B149" s="27" t="s">
        <v>89</v>
      </c>
    </row>
    <row r="150" spans="2:5" hidden="1" x14ac:dyDescent="0.35">
      <c r="B150" s="27" t="s">
        <v>97</v>
      </c>
      <c r="C150" s="99">
        <f>'BI - References'!E13</f>
        <v>1</v>
      </c>
    </row>
    <row r="151" spans="2:5" hidden="1" x14ac:dyDescent="0.35">
      <c r="B151" s="27" t="s">
        <v>91</v>
      </c>
      <c r="C151" s="254">
        <f>'BI - References'!E14</f>
        <v>0</v>
      </c>
      <c r="D151" s="1" t="s">
        <v>92</v>
      </c>
    </row>
    <row r="152" spans="2:5" hidden="1" x14ac:dyDescent="0.35">
      <c r="B152" s="27" t="s">
        <v>165</v>
      </c>
      <c r="C152" s="252"/>
      <c r="D152" s="1" t="str">
        <f>"Ω/" &amp; BI_ref_functional_unit</f>
        <v>Ω/m</v>
      </c>
    </row>
    <row r="153" spans="2:5" hidden="1" x14ac:dyDescent="0.35">
      <c r="B153" s="27" t="s">
        <v>166</v>
      </c>
      <c r="C153" s="252"/>
    </row>
    <row r="154" spans="2:5" ht="31.4" hidden="1" customHeight="1" x14ac:dyDescent="0.45">
      <c r="B154" s="294" t="s">
        <v>167</v>
      </c>
      <c r="C154" s="294"/>
      <c r="D154" s="294"/>
      <c r="E154" s="294"/>
    </row>
    <row r="155" spans="2:5" hidden="1" x14ac:dyDescent="0.35"/>
    <row r="156" spans="2:5" hidden="1" x14ac:dyDescent="0.35">
      <c r="B156" s="4" t="str">
        <f>"Energy loss (" &amp; BI_ref_assetname_switch_gear &amp; ")"</f>
        <v>Energy loss (Switchgear)</v>
      </c>
    </row>
    <row r="157" spans="2:5" hidden="1" x14ac:dyDescent="0.35">
      <c r="B157" s="27" t="s">
        <v>94</v>
      </c>
      <c r="C157" s="253" t="str">
        <f>'BI - References'!E17</f>
        <v/>
      </c>
      <c r="D157" s="1" t="s">
        <v>88</v>
      </c>
    </row>
    <row r="158" spans="2:5" hidden="1" x14ac:dyDescent="0.35">
      <c r="B158" s="27" t="s">
        <v>95</v>
      </c>
      <c r="C158" s="151" t="str">
        <f>'BI - References'!E18</f>
        <v/>
      </c>
      <c r="D158" s="1" t="s">
        <v>96</v>
      </c>
    </row>
    <row r="159" spans="2:5" hidden="1" x14ac:dyDescent="0.35">
      <c r="B159" s="27" t="s">
        <v>97</v>
      </c>
      <c r="C159" s="99" t="str">
        <f>'BI - References'!E19</f>
        <v/>
      </c>
    </row>
    <row r="160" spans="2:5" hidden="1" x14ac:dyDescent="0.35">
      <c r="B160" s="27" t="s">
        <v>98</v>
      </c>
      <c r="C160" s="99" t="str">
        <f>'BI - References'!E20</f>
        <v/>
      </c>
    </row>
    <row r="161" spans="2:7" hidden="1" x14ac:dyDescent="0.35"/>
    <row r="162" spans="2:7" ht="27" hidden="1" x14ac:dyDescent="0.35">
      <c r="C162" s="37" t="s">
        <v>100</v>
      </c>
      <c r="D162" s="37" t="s">
        <v>168</v>
      </c>
    </row>
    <row r="163" spans="2:7" hidden="1" x14ac:dyDescent="0.35">
      <c r="B163" s="34" t="str">
        <f>"Functionality 1" &amp; IF('BI - References'!E23="","", ": " &amp; 'BI - References'!E23)</f>
        <v>Functionality 1</v>
      </c>
      <c r="C163" s="254" t="str">
        <f>'BI - References'!E30</f>
        <v/>
      </c>
      <c r="D163" s="252"/>
    </row>
    <row r="164" spans="2:7" hidden="1" x14ac:dyDescent="0.35">
      <c r="B164" s="34" t="str">
        <f>"Functionality 2" &amp; IF('BI - References'!E24="","", ": " &amp; 'BI - References'!E24)</f>
        <v>Functionality 2</v>
      </c>
      <c r="C164" s="254" t="str">
        <f>'BI - References'!E31</f>
        <v/>
      </c>
      <c r="D164" s="252"/>
    </row>
    <row r="165" spans="2:7" hidden="1" x14ac:dyDescent="0.35">
      <c r="B165" s="34" t="str">
        <f>"Functionality 3" &amp; IF('BI - References'!E25="","", ": " &amp; 'BI - References'!E25)</f>
        <v>Functionality 3</v>
      </c>
      <c r="C165" s="254" t="str">
        <f>'BI - References'!E32</f>
        <v/>
      </c>
      <c r="D165" s="252"/>
    </row>
    <row r="166" spans="2:7" hidden="1" x14ac:dyDescent="0.35">
      <c r="B166" s="34" t="str">
        <f>"Functionality 4" &amp; IF('BI - References'!E26="","", ": " &amp; 'BI - References'!E26)</f>
        <v>Functionality 4</v>
      </c>
      <c r="C166" s="254" t="str">
        <f>'BI - References'!E33</f>
        <v/>
      </c>
      <c r="D166" s="252"/>
    </row>
    <row r="167" spans="2:7" hidden="1" x14ac:dyDescent="0.35">
      <c r="B167" s="34" t="str">
        <f>"Functionality 5" &amp; IF('BI - References'!E27="","", ": " &amp; 'BI - References'!E27)</f>
        <v>Functionality 5</v>
      </c>
      <c r="C167" s="254" t="str">
        <f>'BI - References'!E34</f>
        <v/>
      </c>
      <c r="D167" s="252"/>
    </row>
    <row r="168" spans="2:7" hidden="1" x14ac:dyDescent="0.35">
      <c r="B168" s="34" t="str">
        <f>"Functionality 6" &amp; IF('BI - References'!E28="","", ": " &amp; 'BI - References'!E28)</f>
        <v>Functionality 6</v>
      </c>
      <c r="C168" s="254" t="str">
        <f>'BI - References'!E35</f>
        <v/>
      </c>
      <c r="D168" s="252"/>
    </row>
    <row r="169" spans="2:7" hidden="1" x14ac:dyDescent="0.35"/>
    <row r="170" spans="2:7" hidden="1" x14ac:dyDescent="0.35">
      <c r="B170" s="4" t="str">
        <f>"Emission of insulating/switch gas (" &amp; BI_ref_assetname_switch_gear &amp; ")"</f>
        <v>Emission of insulating/switch gas (Switchgear)</v>
      </c>
    </row>
    <row r="171" spans="2:7" ht="15.5" hidden="1" x14ac:dyDescent="0.35">
      <c r="B171" s="27" t="s">
        <v>169</v>
      </c>
      <c r="C171" s="252"/>
      <c r="D171" s="1" t="s">
        <v>170</v>
      </c>
    </row>
    <row r="172" spans="2:7" ht="27.5" hidden="1" thickBot="1" x14ac:dyDescent="0.4">
      <c r="B172" s="65" t="s">
        <v>171</v>
      </c>
      <c r="C172" s="252"/>
      <c r="D172" s="66" t="s">
        <v>170</v>
      </c>
      <c r="E172" s="283"/>
      <c r="F172" s="283"/>
      <c r="G172" s="283"/>
    </row>
    <row r="173" spans="2:7" ht="14.5" hidden="1" thickTop="1" thickBot="1" x14ac:dyDescent="0.4">
      <c r="B173" s="65" t="s">
        <v>536</v>
      </c>
      <c r="C173" s="82"/>
      <c r="D173" s="66"/>
      <c r="E173" s="6"/>
      <c r="F173" s="6"/>
      <c r="G173" s="6"/>
    </row>
    <row r="174" spans="2:7" ht="30" hidden="1" customHeight="1" thickTop="1" x14ac:dyDescent="0.35">
      <c r="B174" s="256" t="s">
        <v>539</v>
      </c>
      <c r="C174" s="252"/>
      <c r="D174" s="1" t="s">
        <v>530</v>
      </c>
    </row>
    <row r="175" spans="2:7" ht="30" hidden="1" customHeight="1" x14ac:dyDescent="0.35">
      <c r="B175" s="256" t="s">
        <v>540</v>
      </c>
      <c r="C175" s="252"/>
      <c r="D175" s="1" t="s">
        <v>530</v>
      </c>
      <c r="E175" s="67"/>
    </row>
    <row r="176" spans="2:7" ht="15.5" hidden="1" x14ac:dyDescent="0.35">
      <c r="B176" s="27" t="s">
        <v>172</v>
      </c>
      <c r="C176" s="255"/>
      <c r="D176" s="1" t="s">
        <v>173</v>
      </c>
    </row>
    <row r="177" spans="1:7" hidden="1" x14ac:dyDescent="0.35">
      <c r="B177" s="27" t="s">
        <v>557</v>
      </c>
      <c r="C177" s="252">
        <f>C171*C176*IF(D177="g",1000,1)</f>
        <v>0</v>
      </c>
      <c r="D177" s="1" t="str">
        <f>IF(D18="g/unit","g","kg")</f>
        <v>g</v>
      </c>
    </row>
    <row r="179" spans="1:7" x14ac:dyDescent="0.35">
      <c r="A179" s="71"/>
      <c r="B179" s="71"/>
      <c r="C179" s="71"/>
      <c r="D179" s="71"/>
      <c r="E179" s="71"/>
      <c r="F179" s="71"/>
      <c r="G179" s="71"/>
    </row>
    <row r="180" spans="1:7" x14ac:dyDescent="0.35">
      <c r="A180" s="71"/>
      <c r="B180" s="71"/>
      <c r="C180" s="71"/>
      <c r="D180" s="71"/>
      <c r="E180" s="71"/>
      <c r="F180" s="71"/>
      <c r="G180" s="71"/>
    </row>
    <row r="181" spans="1:7" x14ac:dyDescent="0.35">
      <c r="A181" s="71"/>
      <c r="B181" s="71"/>
      <c r="C181" s="71"/>
      <c r="D181" s="71"/>
      <c r="E181" s="71"/>
      <c r="F181" s="71"/>
      <c r="G181" s="71"/>
    </row>
  </sheetData>
  <sheetProtection algorithmName="SHA-512" hashValue="FwjztnI84Z/+3nw2lTpbBKvaXnEeEfl5PtH+McJw79KNjUYC0NHP2BFfCcCChpF5BL2s/46lUhIgPGvw0yXyQQ==" saltValue="mZtGU8mSI7xw7ViA3HG1Nw==" spinCount="100000" sheet="1" objects="1" scenarios="1" selectLockedCells="1"/>
  <dataConsolidate/>
  <mergeCells count="13">
    <mergeCell ref="E172:G172"/>
    <mergeCell ref="C15:D15"/>
    <mergeCell ref="A1:G3"/>
    <mergeCell ref="C6:D6"/>
    <mergeCell ref="C7:D7"/>
    <mergeCell ref="C8:D8"/>
    <mergeCell ref="C9:D9"/>
    <mergeCell ref="C10:D10"/>
    <mergeCell ref="C13:D13"/>
    <mergeCell ref="C14:D14"/>
    <mergeCell ref="B147:D147"/>
    <mergeCell ref="B109:F109"/>
    <mergeCell ref="B154:E154"/>
  </mergeCells>
  <conditionalFormatting sqref="C22">
    <cfRule type="expression" dxfId="108" priority="11">
      <formula>$C$21&lt;&gt;"yes"</formula>
    </cfRule>
  </conditionalFormatting>
  <conditionalFormatting sqref="D108 H108:I108">
    <cfRule type="expression" dxfId="107" priority="9">
      <formula>$C$108&lt;0</formula>
    </cfRule>
  </conditionalFormatting>
  <conditionalFormatting sqref="C108">
    <cfRule type="expression" dxfId="106" priority="7">
      <formula>$C$108&lt;0</formula>
    </cfRule>
  </conditionalFormatting>
  <conditionalFormatting sqref="C174">
    <cfRule type="expression" dxfId="105" priority="2">
      <formula>$C$174="N/A"</formula>
    </cfRule>
  </conditionalFormatting>
  <conditionalFormatting sqref="C175">
    <cfRule type="expression" dxfId="104" priority="1">
      <formula>$C$175="N/A"</formula>
    </cfRule>
  </conditionalFormatting>
  <dataValidations count="11">
    <dataValidation type="decimal" allowBlank="1" showInputMessage="1" showErrorMessage="1" error="Cell should be between 0-100%" sqref="H25:H107 D59:D67 D55:D57 D25:D53 D69:D107" xr:uid="{00000000-0002-0000-0500-000000000000}">
      <formula1>0</formula1>
      <formula2>1</formula2>
    </dataValidation>
    <dataValidation type="list" showInputMessage="1" showErrorMessage="1" sqref="C21" xr:uid="{00000000-0002-0000-0500-000002000000}">
      <formula1>dd_yes_no</formula1>
    </dataValidation>
    <dataValidation type="list" showInputMessage="1" showErrorMessage="1" sqref="C10:D10" xr:uid="{00000000-0002-0000-0500-000003000000}">
      <formula1>dd_filled_in_by</formula1>
    </dataValidation>
    <dataValidation type="custom" operator="greaterThanOrEqual" showInputMessage="1" showErrorMessage="1" error="Cell can only be changed if &quot;yes&quot; is selected." sqref="C22" xr:uid="{00000000-0002-0000-0500-000004000000}">
      <formula1>C21="yes"</formula1>
    </dataValidation>
    <dataValidation type="decimal" operator="greaterThanOrEqual" allowBlank="1" showInputMessage="1" showErrorMessage="1" error="Cell should be greater than or equal to 0" sqref="C16:C18 C112:C115 C118:C125 C152:C153 C140:C141 C128:C129 C53:C107 D163:D168 C132 C25:C51 C176:C177 C174 C171:C172" xr:uid="{00000000-0002-0000-0500-000006000000}">
      <formula1>0</formula1>
    </dataValidation>
    <dataValidation type="whole" operator="greaterThanOrEqual" showInputMessage="1" showErrorMessage="1" sqref="C108" xr:uid="{00000000-0002-0000-0500-000009000000}">
      <formula1>1</formula1>
    </dataValidation>
    <dataValidation operator="greaterThanOrEqual" allowBlank="1" showInputMessage="1" showErrorMessage="1" error="Cell should be greater than or equal to 0" sqref="C136:C139 C150:C151 C157:C160 C163:C168 C148 C52" xr:uid="{00000000-0002-0000-0500-00000A000000}"/>
    <dataValidation type="list" showInputMessage="1" showErrorMessage="1" sqref="I25:I108" xr:uid="{00000000-0002-0000-0500-000008000000}">
      <formula1>dd_rec_down</formula1>
    </dataValidation>
    <dataValidation type="list" allowBlank="1" showInputMessage="1" showErrorMessage="1" sqref="D18" xr:uid="{8FB3EC5E-7FA1-4CA2-B0F2-17C8A5484721}">
      <formula1>"g/unit,kg/unit"</formula1>
    </dataValidation>
    <dataValidation type="custom" operator="greaterThanOrEqual" allowBlank="1" showInputMessage="1" showErrorMessage="1" error="Cell should be greater than or equal to 0" sqref="C175" xr:uid="{9613721E-A820-491A-8BD7-A2BFCA0921F8}">
      <formula1>OR(AND(ISNUMBER(C175),C175&gt;=0),C175="unknown")</formula1>
    </dataValidation>
    <dataValidation type="list" operator="greaterThanOrEqual" allowBlank="1" showInputMessage="1" showErrorMessage="1" error="Cell should be greater than or equal to 0" sqref="C173" xr:uid="{449CF525-5E28-4EF3-B121-0999D909A2BD}">
      <formula1>dd_switchgas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click_btn_reset_asset1">
                <anchor>
                  <from>
                    <xdr:col>1</xdr:col>
                    <xdr:colOff>31750</xdr:colOff>
                    <xdr:row>0</xdr:row>
                    <xdr:rowOff>152400</xdr:rowOff>
                  </from>
                  <to>
                    <xdr:col>1</xdr:col>
                    <xdr:colOff>984250</xdr:colOff>
                    <xdr:row>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0">
    <tabColor rgb="FF92D050"/>
    <pageSetUpPr autoPageBreaks="0"/>
  </sheetPr>
  <dimension ref="A1:XFC181"/>
  <sheetViews>
    <sheetView showRowColHeaders="0" zoomScaleNormal="100" workbookViewId="0">
      <selection activeCell="C18" sqref="C18"/>
    </sheetView>
  </sheetViews>
  <sheetFormatPr defaultColWidth="0" defaultRowHeight="13.5" zeroHeight="1" x14ac:dyDescent="0.35"/>
  <cols>
    <col min="1" max="1" width="2.09765625" style="1" customWidth="1"/>
    <col min="2" max="2" width="45.09765625" style="1" customWidth="1"/>
    <col min="3" max="6" width="13.59765625" style="1" customWidth="1"/>
    <col min="7" max="7" width="10" style="1" customWidth="1"/>
    <col min="8" max="9" width="13.59765625" style="1" hidden="1"/>
    <col min="10" max="10" width="9.09765625" style="1" hidden="1"/>
    <col min="11" max="11" width="10.59765625" style="1" hidden="1"/>
    <col min="12" max="12" width="11" style="1" hidden="1"/>
    <col min="13" max="13" width="10.296875" style="1" hidden="1"/>
    <col min="14" max="14" width="9.09765625" style="1" hidden="1"/>
    <col min="15" max="15" width="10" style="1" hidden="1"/>
    <col min="16" max="16383" width="9.09765625" style="1" hidden="1"/>
    <col min="16384" max="16384" width="4.8984375" style="1" hidden="1"/>
  </cols>
  <sheetData>
    <row r="1" spans="1:9" x14ac:dyDescent="0.35">
      <c r="A1" s="286" t="str">
        <f>"Datasheet 2 - " &amp; BI_ref_asset_and_subasset</f>
        <v>Datasheet 2 - Electricity cable (other)</v>
      </c>
      <c r="B1" s="286"/>
      <c r="C1" s="286"/>
      <c r="D1" s="286"/>
      <c r="E1" s="286"/>
      <c r="F1" s="286"/>
      <c r="G1" s="286"/>
    </row>
    <row r="2" spans="1:9" x14ac:dyDescent="0.35">
      <c r="A2" s="286"/>
      <c r="B2" s="286"/>
      <c r="C2" s="286"/>
      <c r="D2" s="286"/>
      <c r="E2" s="286"/>
      <c r="F2" s="286"/>
      <c r="G2" s="286"/>
      <c r="H2" s="9"/>
      <c r="I2" s="10"/>
    </row>
    <row r="3" spans="1:9" x14ac:dyDescent="0.35">
      <c r="A3" s="286"/>
      <c r="B3" s="286"/>
      <c r="C3" s="286"/>
      <c r="D3" s="286"/>
      <c r="E3" s="286"/>
      <c r="F3" s="286"/>
      <c r="G3" s="286"/>
      <c r="H3" s="9"/>
      <c r="I3" s="10"/>
    </row>
    <row r="4" spans="1:9" hidden="1" x14ac:dyDescent="0.35">
      <c r="H4" s="7"/>
      <c r="I4" s="9"/>
    </row>
    <row r="5" spans="1:9" hidden="1" x14ac:dyDescent="0.35">
      <c r="B5" s="4" t="s">
        <v>129</v>
      </c>
      <c r="H5" s="7"/>
    </row>
    <row r="6" spans="1:9" hidden="1" x14ac:dyDescent="0.35">
      <c r="B6" s="27" t="s">
        <v>68</v>
      </c>
      <c r="C6" s="284"/>
      <c r="D6" s="285"/>
      <c r="H6" s="7"/>
      <c r="I6" s="10"/>
    </row>
    <row r="7" spans="1:9" hidden="1" x14ac:dyDescent="0.35">
      <c r="B7" s="27" t="s">
        <v>69</v>
      </c>
      <c r="C7" s="284"/>
      <c r="D7" s="285"/>
      <c r="H7" s="7"/>
      <c r="I7" s="10"/>
    </row>
    <row r="8" spans="1:9" hidden="1" x14ac:dyDescent="0.35">
      <c r="B8" s="28" t="s">
        <v>63</v>
      </c>
      <c r="C8" s="284"/>
      <c r="D8" s="285"/>
      <c r="H8" s="7"/>
    </row>
    <row r="9" spans="1:9" ht="14" hidden="1" thickBot="1" x14ac:dyDescent="0.4">
      <c r="B9" s="28" t="s">
        <v>64</v>
      </c>
      <c r="C9" s="287"/>
      <c r="D9" s="288"/>
      <c r="H9" s="7"/>
    </row>
    <row r="10" spans="1:9" ht="14.5" hidden="1" thickTop="1" thickBot="1" x14ac:dyDescent="0.4">
      <c r="B10" s="27" t="s">
        <v>130</v>
      </c>
      <c r="C10" s="289"/>
      <c r="D10" s="290"/>
      <c r="H10" s="7"/>
    </row>
    <row r="11" spans="1:9" x14ac:dyDescent="0.35"/>
    <row r="12" spans="1:9" x14ac:dyDescent="0.35">
      <c r="B12" s="4" t="s">
        <v>131</v>
      </c>
    </row>
    <row r="13" spans="1:9" x14ac:dyDescent="0.35">
      <c r="B13" s="27" t="s">
        <v>66</v>
      </c>
      <c r="C13" s="273" t="str">
        <f>BI_ref_asset</f>
        <v>Electricity cable</v>
      </c>
      <c r="D13" s="275"/>
    </row>
    <row r="14" spans="1:9" x14ac:dyDescent="0.35">
      <c r="B14" s="27" t="s">
        <v>67</v>
      </c>
      <c r="C14" s="291" t="str">
        <f>BI_ref_subasset</f>
        <v>other</v>
      </c>
      <c r="D14" s="292"/>
    </row>
    <row r="15" spans="1:9" x14ac:dyDescent="0.35">
      <c r="B15" s="27" t="s">
        <v>132</v>
      </c>
      <c r="C15" s="284" t="s">
        <v>566</v>
      </c>
      <c r="D15" s="285"/>
      <c r="E15" s="6"/>
    </row>
    <row r="16" spans="1:9" hidden="1" x14ac:dyDescent="0.35">
      <c r="B16" s="27" t="s">
        <v>126</v>
      </c>
      <c r="C16" s="228"/>
      <c r="D16" s="3" t="str">
        <f xml:space="preserve"> "€/" &amp; BI_ref_functional_unit</f>
        <v>€/m</v>
      </c>
      <c r="H16" s="7"/>
    </row>
    <row r="17" spans="2:9" ht="14" thickBot="1" x14ac:dyDescent="0.4">
      <c r="B17" s="27" t="s">
        <v>133</v>
      </c>
      <c r="C17" s="248">
        <v>40</v>
      </c>
      <c r="D17" s="1" t="s">
        <v>115</v>
      </c>
    </row>
    <row r="18" spans="2:9" ht="14.5" thickTop="1" thickBot="1" x14ac:dyDescent="0.4">
      <c r="B18" s="27" t="s">
        <v>134</v>
      </c>
      <c r="C18" s="247"/>
      <c r="D18" s="82" t="s">
        <v>564</v>
      </c>
      <c r="H18" s="9"/>
    </row>
    <row r="19" spans="2:9" ht="14" thickTop="1" x14ac:dyDescent="0.35">
      <c r="H19" s="9"/>
    </row>
    <row r="20" spans="2:9" ht="14" thickBot="1" x14ac:dyDescent="0.4">
      <c r="B20" s="4" t="s">
        <v>135</v>
      </c>
    </row>
    <row r="21" spans="2:9" ht="14.5" thickTop="1" thickBot="1" x14ac:dyDescent="0.4">
      <c r="B21" s="28" t="s">
        <v>136</v>
      </c>
      <c r="C21" s="82"/>
    </row>
    <row r="22" spans="2:9" ht="14" thickTop="1" x14ac:dyDescent="0.35">
      <c r="B22" s="30" t="s">
        <v>137</v>
      </c>
      <c r="C22" s="84"/>
      <c r="H22" s="9"/>
    </row>
    <row r="23" spans="2:9" x14ac:dyDescent="0.35">
      <c r="B23" s="34"/>
      <c r="H23" s="9"/>
    </row>
    <row r="24" spans="2:9" ht="27.5" thickBot="1" x14ac:dyDescent="0.4">
      <c r="B24" s="38" t="str">
        <f xml:space="preserve"> "Materials (per " &amp; BI_ref_functional_unit &amp; ")"</f>
        <v>Materials (per m)</v>
      </c>
      <c r="C24" s="268" t="str">
        <f>"Weight ("&amp; LEFT(D18,LEN(D18))&amp; ")"</f>
        <v>Weight (g/unit)</v>
      </c>
      <c r="D24" s="19" t="s">
        <v>138</v>
      </c>
      <c r="H24" s="20" t="s">
        <v>139</v>
      </c>
      <c r="I24" s="20" t="s">
        <v>140</v>
      </c>
    </row>
    <row r="25" spans="2:9" ht="14.5" hidden="1" thickTop="1" thickBot="1" x14ac:dyDescent="0.4">
      <c r="B25" s="266" t="str">
        <f>'BI - Data + Results'!B12</f>
        <v>ABS</v>
      </c>
      <c r="C25" s="269"/>
      <c r="D25" s="227"/>
      <c r="H25" s="227"/>
      <c r="I25" s="264"/>
    </row>
    <row r="26" spans="2:9" ht="14.5" thickTop="1" thickBot="1" x14ac:dyDescent="0.4">
      <c r="B26" s="266" t="str">
        <f>'BI - Data + Results'!B13</f>
        <v>Aluminium (alloys)</v>
      </c>
      <c r="C26" s="247"/>
      <c r="D26" s="233"/>
      <c r="E26" s="259"/>
      <c r="F26" s="259"/>
      <c r="H26" s="227"/>
      <c r="I26" s="264"/>
    </row>
    <row r="27" spans="2:9" ht="14.5" thickTop="1" thickBot="1" x14ac:dyDescent="0.4">
      <c r="B27" s="266" t="str">
        <f>'BI - Data + Results'!B14</f>
        <v>Aluminium (electronic purity)</v>
      </c>
      <c r="C27" s="247"/>
      <c r="D27" s="233"/>
      <c r="E27" s="259"/>
      <c r="F27" s="259"/>
      <c r="H27" s="227"/>
      <c r="I27" s="264"/>
    </row>
    <row r="28" spans="2:9" ht="14.5" thickTop="1" thickBot="1" x14ac:dyDescent="0.4">
      <c r="B28" s="266" t="str">
        <f>'BI - Data + Results'!B15</f>
        <v>Aluminium (low-CO2, with EPD)</v>
      </c>
      <c r="C28" s="247"/>
      <c r="D28" s="259"/>
      <c r="E28" s="259"/>
      <c r="F28" s="259"/>
      <c r="H28" s="227"/>
      <c r="I28" s="264"/>
    </row>
    <row r="29" spans="2:9" ht="14.5" hidden="1" thickTop="1" thickBot="1" x14ac:dyDescent="0.4">
      <c r="B29" s="266" t="str">
        <f>'BI - Data + Results'!B16</f>
        <v>Brass</v>
      </c>
      <c r="C29" s="269"/>
      <c r="D29" s="227"/>
      <c r="H29" s="227"/>
      <c r="I29" s="264"/>
    </row>
    <row r="30" spans="2:9" ht="14.5" hidden="1" thickTop="1" thickBot="1" x14ac:dyDescent="0.4">
      <c r="B30" s="266" t="str">
        <f>'BI - Data + Results'!B17</f>
        <v>Bronze</v>
      </c>
      <c r="C30" s="269"/>
      <c r="D30" s="227"/>
      <c r="H30" s="227"/>
      <c r="I30" s="264"/>
    </row>
    <row r="31" spans="2:9" ht="14.5" hidden="1" thickTop="1" thickBot="1" x14ac:dyDescent="0.4">
      <c r="B31" s="266" t="str">
        <f>'BI - Data + Results'!B18</f>
        <v>Cement (CEM I)</v>
      </c>
      <c r="C31" s="269"/>
      <c r="D31" s="227"/>
      <c r="H31" s="227"/>
      <c r="I31" s="264"/>
    </row>
    <row r="32" spans="2:9" ht="14.5" hidden="1" thickTop="1" thickBot="1" x14ac:dyDescent="0.4">
      <c r="B32" s="266" t="str">
        <f>'BI - Data + Results'!B19</f>
        <v>Cement (CEM II)</v>
      </c>
      <c r="C32" s="269"/>
      <c r="D32" s="227"/>
      <c r="H32" s="227"/>
      <c r="I32" s="264"/>
    </row>
    <row r="33" spans="2:9" ht="14.5" hidden="1" thickTop="1" thickBot="1" x14ac:dyDescent="0.4">
      <c r="B33" s="266" t="str">
        <f>'BI - Data + Results'!B20</f>
        <v>Cement (CEM III/A)</v>
      </c>
      <c r="C33" s="269"/>
      <c r="D33" s="227"/>
      <c r="H33" s="227"/>
      <c r="I33" s="264"/>
    </row>
    <row r="34" spans="2:9" ht="14.5" hidden="1" thickTop="1" thickBot="1" x14ac:dyDescent="0.4">
      <c r="B34" s="266" t="str">
        <f>'BI - Data + Results'!B21</f>
        <v>Cement (CEM III/B)</v>
      </c>
      <c r="C34" s="269"/>
      <c r="D34" s="227"/>
      <c r="H34" s="227"/>
      <c r="I34" s="264"/>
    </row>
    <row r="35" spans="2:9" ht="14.5" hidden="1" thickTop="1" thickBot="1" x14ac:dyDescent="0.4">
      <c r="B35" s="266" t="str">
        <f>'BI - Data + Results'!B22</f>
        <v>Cement (other)</v>
      </c>
      <c r="C35" s="269"/>
      <c r="D35" s="227"/>
      <c r="H35" s="227"/>
      <c r="I35" s="264"/>
    </row>
    <row r="36" spans="2:9" ht="14.5" hidden="1" thickTop="1" thickBot="1" x14ac:dyDescent="0.4">
      <c r="B36" s="266" t="str">
        <f>'BI - Data + Results'!B23</f>
        <v>Circuit board</v>
      </c>
      <c r="C36" s="269"/>
      <c r="H36" s="227"/>
      <c r="I36" s="264"/>
    </row>
    <row r="37" spans="2:9" ht="14.5" hidden="1" thickTop="1" thickBot="1" x14ac:dyDescent="0.4">
      <c r="B37" s="266" t="str">
        <f>'BI - Data + Results'!B24</f>
        <v>Clay expanded</v>
      </c>
      <c r="C37" s="269"/>
      <c r="H37" s="227"/>
      <c r="I37" s="264"/>
    </row>
    <row r="38" spans="2:9" ht="14.5" thickTop="1" thickBot="1" x14ac:dyDescent="0.4">
      <c r="B38" s="266" t="str">
        <f>'BI - Data + Results'!B25</f>
        <v>Copper (electronic purity)</v>
      </c>
      <c r="C38" s="247"/>
      <c r="D38" s="233"/>
      <c r="E38" s="259"/>
      <c r="F38" s="259"/>
      <c r="H38" s="227"/>
      <c r="I38" s="264"/>
    </row>
    <row r="39" spans="2:9" ht="14.5" thickTop="1" thickBot="1" x14ac:dyDescent="0.4">
      <c r="B39" s="266" t="str">
        <f>'BI - Data + Results'!B26</f>
        <v>Copper (low CO2, with EPD)</v>
      </c>
      <c r="C39" s="247"/>
      <c r="D39" s="259"/>
      <c r="E39" s="259"/>
      <c r="F39" s="259"/>
      <c r="H39" s="227"/>
      <c r="I39" s="264"/>
    </row>
    <row r="40" spans="2:9" ht="14.5" thickTop="1" thickBot="1" x14ac:dyDescent="0.4">
      <c r="B40" s="266" t="str">
        <f>'BI - Data + Results'!B27</f>
        <v>Copper (mechanical purity)</v>
      </c>
      <c r="C40" s="247"/>
      <c r="D40" s="234"/>
      <c r="E40" s="259"/>
      <c r="F40" s="259"/>
      <c r="H40" s="227"/>
      <c r="I40" s="264"/>
    </row>
    <row r="41" spans="2:9" ht="14.5" thickTop="1" thickBot="1" x14ac:dyDescent="0.4">
      <c r="B41" s="266" t="str">
        <f>'BI - Data + Results'!B28</f>
        <v>Copper (tinned)</v>
      </c>
      <c r="C41" s="247"/>
      <c r="D41" s="234"/>
      <c r="E41" s="259"/>
      <c r="F41" s="259"/>
      <c r="H41" s="227"/>
      <c r="I41" s="264"/>
    </row>
    <row r="42" spans="2:9" ht="14.5" hidden="1" thickTop="1" thickBot="1" x14ac:dyDescent="0.4">
      <c r="B42" s="266" t="str">
        <f>'BI - Data + Results'!B29</f>
        <v>Cork</v>
      </c>
      <c r="C42" s="269"/>
      <c r="H42" s="227"/>
      <c r="I42" s="264"/>
    </row>
    <row r="43" spans="2:9" ht="14.5" hidden="1" thickTop="1" thickBot="1" x14ac:dyDescent="0.4">
      <c r="B43" s="266" t="str">
        <f>'BI - Data + Results'!B30</f>
        <v>Crushed limestone</v>
      </c>
      <c r="C43" s="269"/>
      <c r="D43" s="270"/>
      <c r="H43" s="227"/>
      <c r="I43" s="264"/>
    </row>
    <row r="44" spans="2:9" ht="14.5" hidden="1" thickTop="1" thickBot="1" x14ac:dyDescent="0.4">
      <c r="B44" s="266" t="str">
        <f>'BI - Data + Results'!B31</f>
        <v>Epoxy resin</v>
      </c>
      <c r="C44" s="269"/>
      <c r="D44" s="270"/>
      <c r="H44" s="227"/>
      <c r="I44" s="264"/>
    </row>
    <row r="45" spans="2:9" ht="14.5" thickTop="1" thickBot="1" x14ac:dyDescent="0.4">
      <c r="B45" s="266" t="str">
        <f>'BI - Data + Results'!B32</f>
        <v>Fibreglass (optics)</v>
      </c>
      <c r="C45" s="247"/>
      <c r="D45" s="259"/>
      <c r="E45" s="259"/>
      <c r="F45" s="259"/>
      <c r="H45" s="227"/>
      <c r="I45" s="264"/>
    </row>
    <row r="46" spans="2:9" ht="14.5" thickTop="1" thickBot="1" x14ac:dyDescent="0.4">
      <c r="B46" s="266" t="str">
        <f>'BI - Data + Results'!B33</f>
        <v>Glass-fibre reinforced plastic</v>
      </c>
      <c r="C46" s="247"/>
      <c r="D46" s="259"/>
      <c r="E46" s="259"/>
      <c r="F46" s="259"/>
      <c r="H46" s="227"/>
      <c r="I46" s="264"/>
    </row>
    <row r="47" spans="2:9" ht="14.5" thickTop="1" thickBot="1" x14ac:dyDescent="0.4">
      <c r="B47" s="266" t="str">
        <f>'BI - Data + Results'!B34</f>
        <v>Glue</v>
      </c>
      <c r="C47" s="247"/>
      <c r="D47" s="259"/>
      <c r="E47" s="259"/>
      <c r="F47" s="259"/>
      <c r="H47" s="227"/>
      <c r="I47" s="264"/>
    </row>
    <row r="48" spans="2:9" ht="14.5" hidden="1" thickTop="1" thickBot="1" x14ac:dyDescent="0.4">
      <c r="B48" s="266" t="str">
        <f>'BI - Data + Results'!B35</f>
        <v>Gold</v>
      </c>
      <c r="C48" s="269"/>
      <c r="D48" s="227"/>
      <c r="H48" s="227"/>
      <c r="I48" s="264"/>
    </row>
    <row r="49" spans="2:9" ht="14.5" hidden="1" thickTop="1" thickBot="1" x14ac:dyDescent="0.4">
      <c r="B49" s="266" t="str">
        <f>'BI - Data + Results'!B36</f>
        <v>Grit (stone for concrete)</v>
      </c>
      <c r="C49" s="269"/>
      <c r="D49" s="227"/>
      <c r="H49" s="227"/>
      <c r="I49" s="264"/>
    </row>
    <row r="50" spans="2:9" ht="14.5" thickTop="1" thickBot="1" x14ac:dyDescent="0.4">
      <c r="B50" s="266" t="str">
        <f>'BI - Data + Results'!B37</f>
        <v>HDPE</v>
      </c>
      <c r="C50" s="247"/>
      <c r="D50" s="233"/>
      <c r="E50" s="259"/>
      <c r="F50" s="259"/>
      <c r="H50" s="227"/>
      <c r="I50" s="264"/>
    </row>
    <row r="51" spans="2:9" ht="14.5" thickTop="1" thickBot="1" x14ac:dyDescent="0.4">
      <c r="B51" s="266" t="str">
        <f>'BI - Data + Results'!B38</f>
        <v>Ink</v>
      </c>
      <c r="C51" s="247"/>
      <c r="D51" s="259"/>
      <c r="E51" s="259"/>
      <c r="F51" s="259"/>
      <c r="H51" s="227"/>
      <c r="I51" s="264"/>
    </row>
    <row r="52" spans="2:9" ht="14.5" hidden="1" thickTop="1" thickBot="1" x14ac:dyDescent="0.4">
      <c r="B52" s="266" t="str">
        <f>'BI - Data + Results'!B39</f>
        <v>Insulating/ switch gas SF6</v>
      </c>
      <c r="C52" s="253">
        <f>C177</f>
        <v>0</v>
      </c>
      <c r="E52" s="271" t="s">
        <v>558</v>
      </c>
      <c r="H52" s="227"/>
      <c r="I52" s="264"/>
    </row>
    <row r="53" spans="2:9" ht="14.5" thickTop="1" thickBot="1" x14ac:dyDescent="0.4">
      <c r="B53" s="266" t="str">
        <f>'BI - Data + Results'!B40</f>
        <v>Iron</v>
      </c>
      <c r="C53" s="247"/>
      <c r="D53" s="233"/>
      <c r="E53" s="259"/>
      <c r="F53" s="259"/>
      <c r="H53" s="227"/>
      <c r="I53" s="264"/>
    </row>
    <row r="54" spans="2:9" ht="14.5" thickTop="1" thickBot="1" x14ac:dyDescent="0.4">
      <c r="B54" s="266" t="str">
        <f>'BI - Data + Results'!B41</f>
        <v>LDPE</v>
      </c>
      <c r="C54" s="247"/>
      <c r="D54" s="259"/>
      <c r="E54" s="259"/>
      <c r="F54" s="259"/>
      <c r="H54" s="227"/>
      <c r="I54" s="264"/>
    </row>
    <row r="55" spans="2:9" ht="14.5" thickTop="1" thickBot="1" x14ac:dyDescent="0.4">
      <c r="B55" s="266" t="str">
        <f>'BI - Data + Results'!B42</f>
        <v>Lead</v>
      </c>
      <c r="C55" s="247"/>
      <c r="D55" s="233"/>
      <c r="E55" s="259"/>
      <c r="F55" s="259"/>
      <c r="H55" s="227"/>
      <c r="I55" s="264"/>
    </row>
    <row r="56" spans="2:9" ht="14.5" thickTop="1" thickBot="1" x14ac:dyDescent="0.4">
      <c r="B56" s="266" t="str">
        <f>'BI - Data + Results'!B43</f>
        <v>LSZH</v>
      </c>
      <c r="C56" s="247"/>
      <c r="D56" s="259"/>
      <c r="E56" s="259"/>
      <c r="F56" s="259"/>
      <c r="H56" s="227"/>
      <c r="I56" s="264"/>
    </row>
    <row r="57" spans="2:9" ht="14.5" thickTop="1" thickBot="1" x14ac:dyDescent="0.4">
      <c r="B57" s="266" t="str">
        <f>'BI - Data + Results'!B44</f>
        <v>MDPE</v>
      </c>
      <c r="C57" s="247"/>
      <c r="D57" s="233"/>
      <c r="E57" s="259"/>
      <c r="F57" s="259"/>
      <c r="H57" s="227"/>
      <c r="I57" s="264"/>
    </row>
    <row r="58" spans="2:9" ht="14.5" thickTop="1" thickBot="1" x14ac:dyDescent="0.4">
      <c r="B58" s="266" t="str">
        <f>'BI - Data + Results'!B45</f>
        <v>Nickel</v>
      </c>
      <c r="C58" s="247"/>
      <c r="D58" s="233"/>
      <c r="E58" s="259"/>
      <c r="F58" s="259"/>
      <c r="H58" s="227"/>
      <c r="I58" s="264"/>
    </row>
    <row r="59" spans="2:9" ht="14.5" thickTop="1" thickBot="1" x14ac:dyDescent="0.4">
      <c r="B59" s="266" t="str">
        <f>'BI - Data + Results'!B46</f>
        <v>Nylon (PA)</v>
      </c>
      <c r="C59" s="247"/>
      <c r="E59" s="259"/>
      <c r="F59" s="259"/>
      <c r="H59" s="227"/>
      <c r="I59" s="264"/>
    </row>
    <row r="60" spans="2:9" ht="14.5" hidden="1" thickTop="1" thickBot="1" x14ac:dyDescent="0.4">
      <c r="B60" s="266" t="str">
        <f>'BI - Data + Results'!B47</f>
        <v>Oil (Biobased Ester)</v>
      </c>
      <c r="C60" s="269"/>
      <c r="H60" s="227"/>
      <c r="I60" s="264"/>
    </row>
    <row r="61" spans="2:9" ht="14.5" thickTop="1" thickBot="1" x14ac:dyDescent="0.4">
      <c r="B61" s="266" t="str">
        <f>'BI - Data + Results'!B48</f>
        <v>Oil (lubrication)</v>
      </c>
      <c r="C61" s="247"/>
      <c r="D61" s="259"/>
      <c r="E61" s="259"/>
      <c r="F61" s="259"/>
      <c r="H61" s="227"/>
      <c r="I61" s="264"/>
    </row>
    <row r="62" spans="2:9" ht="14.5" hidden="1" thickTop="1" thickBot="1" x14ac:dyDescent="0.4">
      <c r="B62" s="266" t="str">
        <f>'BI - Data + Results'!B49</f>
        <v>Oil (Standard Mineral)</v>
      </c>
      <c r="C62" s="269"/>
      <c r="H62" s="227"/>
      <c r="I62" s="264"/>
    </row>
    <row r="63" spans="2:9" ht="14.5" hidden="1" thickTop="1" thickBot="1" x14ac:dyDescent="0.4">
      <c r="B63" s="266" t="str">
        <f>'BI - Data + Results'!B50</f>
        <v>PA6 (Nylon 6)</v>
      </c>
      <c r="C63" s="269"/>
      <c r="D63" s="227"/>
      <c r="H63" s="227"/>
      <c r="I63" s="264"/>
    </row>
    <row r="64" spans="2:9" ht="14.5" hidden="1" thickTop="1" thickBot="1" x14ac:dyDescent="0.4">
      <c r="B64" s="266" t="str">
        <f>'BI - Data + Results'!B51</f>
        <v>PA6.6 (nylon 6.6)</v>
      </c>
      <c r="C64" s="269"/>
      <c r="D64" s="227"/>
      <c r="H64" s="227"/>
      <c r="I64" s="264"/>
    </row>
    <row r="65" spans="2:9" ht="14.5" hidden="1" thickTop="1" thickBot="1" x14ac:dyDescent="0.4">
      <c r="B65" s="266" t="str">
        <f>'BI - Data + Results'!B52</f>
        <v>Paint</v>
      </c>
      <c r="C65" s="269"/>
      <c r="H65" s="227"/>
      <c r="I65" s="264"/>
    </row>
    <row r="66" spans="2:9" ht="14.5" thickTop="1" thickBot="1" x14ac:dyDescent="0.4">
      <c r="B66" s="266" t="str">
        <f>'BI - Data + Results'!B53</f>
        <v>Paper</v>
      </c>
      <c r="C66" s="247"/>
      <c r="D66" s="259"/>
      <c r="E66" s="259"/>
      <c r="F66" s="259"/>
      <c r="H66" s="227"/>
      <c r="I66" s="264"/>
    </row>
    <row r="67" spans="2:9" ht="14.5" thickTop="1" thickBot="1" x14ac:dyDescent="0.4">
      <c r="B67" s="266" t="str">
        <f>'BI - Data + Results'!B54</f>
        <v>PBT</v>
      </c>
      <c r="C67" s="247"/>
      <c r="D67" s="259"/>
      <c r="E67" s="259"/>
      <c r="F67" s="259"/>
      <c r="H67" s="227"/>
      <c r="I67" s="264"/>
    </row>
    <row r="68" spans="2:9" ht="14.5" hidden="1" thickTop="1" thickBot="1" x14ac:dyDescent="0.4">
      <c r="B68" s="266" t="str">
        <f>'BI - Data + Results'!B55</f>
        <v>PC</v>
      </c>
      <c r="C68" s="269"/>
      <c r="D68" s="227"/>
      <c r="H68" s="227"/>
      <c r="I68" s="264"/>
    </row>
    <row r="69" spans="2:9" ht="14.5" hidden="1" thickTop="1" thickBot="1" x14ac:dyDescent="0.4">
      <c r="B69" s="266" t="str">
        <f>'BI - Data + Results'!B56</f>
        <v>PC GF10%</v>
      </c>
      <c r="C69" s="269"/>
      <c r="H69" s="227"/>
      <c r="I69" s="264"/>
    </row>
    <row r="70" spans="2:9" ht="14.5" thickTop="1" thickBot="1" x14ac:dyDescent="0.4">
      <c r="B70" s="266" t="str">
        <f>'BI - Data + Results'!B57</f>
        <v>PE (biobased)</v>
      </c>
      <c r="C70" s="247"/>
      <c r="D70" s="233"/>
      <c r="E70" s="259"/>
      <c r="F70" s="259"/>
      <c r="H70" s="227"/>
      <c r="I70" s="264"/>
    </row>
    <row r="71" spans="2:9" ht="14.5" thickTop="1" thickBot="1" x14ac:dyDescent="0.4">
      <c r="B71" s="266" t="str">
        <f>'BI - Data + Results'!B58</f>
        <v>PE (fossil)</v>
      </c>
      <c r="C71" s="247"/>
      <c r="D71" s="233"/>
      <c r="E71" s="259"/>
      <c r="F71" s="259"/>
      <c r="H71" s="227"/>
      <c r="I71" s="264"/>
    </row>
    <row r="72" spans="2:9" ht="14.5" thickTop="1" thickBot="1" x14ac:dyDescent="0.4">
      <c r="B72" s="266" t="str">
        <f>'BI - Data + Results'!B59</f>
        <v>PET</v>
      </c>
      <c r="C72" s="247"/>
      <c r="D72" s="233"/>
      <c r="E72" s="259"/>
      <c r="F72" s="259"/>
      <c r="H72" s="227"/>
      <c r="I72" s="264"/>
    </row>
    <row r="73" spans="2:9" ht="14.5" thickTop="1" thickBot="1" x14ac:dyDescent="0.4">
      <c r="B73" s="266" t="str">
        <f>'BI - Data + Results'!B60</f>
        <v>Pigment</v>
      </c>
      <c r="C73" s="247"/>
      <c r="D73" s="259"/>
      <c r="E73" s="259"/>
      <c r="F73" s="259"/>
      <c r="H73" s="227"/>
      <c r="I73" s="264"/>
    </row>
    <row r="74" spans="2:9" ht="14.5" hidden="1" thickTop="1" thickBot="1" x14ac:dyDescent="0.4">
      <c r="B74" s="266" t="str">
        <f>'BI - Data + Results'!B61</f>
        <v>Plasticiser for concrete</v>
      </c>
      <c r="C74" s="269"/>
      <c r="H74" s="227"/>
      <c r="I74" s="264"/>
    </row>
    <row r="75" spans="2:9" ht="14.5" thickTop="1" thickBot="1" x14ac:dyDescent="0.4">
      <c r="B75" s="266" t="str">
        <f>'BI - Data + Results'!B62</f>
        <v>Polyester</v>
      </c>
      <c r="C75" s="247"/>
      <c r="D75" s="233"/>
      <c r="E75" s="259"/>
      <c r="F75" s="259"/>
      <c r="H75" s="227"/>
      <c r="I75" s="264"/>
    </row>
    <row r="76" spans="2:9" ht="14.5" hidden="1" thickTop="1" thickBot="1" x14ac:dyDescent="0.4">
      <c r="B76" s="266" t="str">
        <f>'BI - Data + Results'!B63</f>
        <v>Polystyrene</v>
      </c>
      <c r="C76" s="269"/>
      <c r="D76" s="227"/>
      <c r="H76" s="227"/>
      <c r="I76" s="264"/>
    </row>
    <row r="77" spans="2:9" ht="14.5" hidden="1" thickTop="1" thickBot="1" x14ac:dyDescent="0.4">
      <c r="B77" s="266" t="str">
        <f>'BI - Data + Results'!B64</f>
        <v>Porcelain/ceramics</v>
      </c>
      <c r="C77" s="269"/>
      <c r="D77" s="227"/>
      <c r="H77" s="227"/>
      <c r="I77" s="264"/>
    </row>
    <row r="78" spans="2:9" ht="14.5" thickTop="1" thickBot="1" x14ac:dyDescent="0.4">
      <c r="B78" s="266" t="str">
        <f>'BI - Data + Results'!B65</f>
        <v>PP</v>
      </c>
      <c r="C78" s="247"/>
      <c r="D78" s="233"/>
      <c r="E78" s="259"/>
      <c r="F78" s="259"/>
      <c r="H78" s="227"/>
      <c r="I78" s="264"/>
    </row>
    <row r="79" spans="2:9" ht="14.5" thickTop="1" thickBot="1" x14ac:dyDescent="0.4">
      <c r="B79" s="266" t="str">
        <f>'BI - Data + Results'!B66</f>
        <v>PP (semicon)</v>
      </c>
      <c r="C79" s="247"/>
      <c r="D79" s="233"/>
      <c r="E79" s="259"/>
      <c r="F79" s="259"/>
      <c r="H79" s="227"/>
      <c r="I79" s="264"/>
    </row>
    <row r="80" spans="2:9" ht="14.5" hidden="1" thickTop="1" thickBot="1" x14ac:dyDescent="0.4">
      <c r="B80" s="266" t="str">
        <f>'BI - Data + Results'!B67</f>
        <v>Pressboard</v>
      </c>
      <c r="C80" s="269"/>
      <c r="H80" s="227"/>
      <c r="I80" s="264"/>
    </row>
    <row r="81" spans="2:9" ht="14.5" thickTop="1" thickBot="1" x14ac:dyDescent="0.4">
      <c r="B81" s="266" t="str">
        <f>'BI - Data + Results'!B68</f>
        <v>PVC</v>
      </c>
      <c r="C81" s="247"/>
      <c r="D81" s="233"/>
      <c r="E81" s="259"/>
      <c r="F81" s="259"/>
      <c r="H81" s="227"/>
      <c r="I81" s="264"/>
    </row>
    <row r="82" spans="2:9" ht="14.5" thickTop="1" thickBot="1" x14ac:dyDescent="0.4">
      <c r="B82" s="266" t="str">
        <f>'BI - Data + Results'!B69</f>
        <v>PVC (biobased)</v>
      </c>
      <c r="C82" s="247"/>
      <c r="D82" s="233"/>
      <c r="E82" s="259"/>
      <c r="F82" s="259"/>
      <c r="H82" s="227"/>
      <c r="I82" s="264"/>
    </row>
    <row r="83" spans="2:9" ht="14.5" thickTop="1" thickBot="1" x14ac:dyDescent="0.4">
      <c r="B83" s="266" t="str">
        <f>'BI - Data + Results'!B70</f>
        <v>Rubber (not crosslinked)</v>
      </c>
      <c r="C83" s="247"/>
      <c r="D83" s="233"/>
      <c r="E83" s="259"/>
      <c r="F83" s="259"/>
      <c r="H83" s="227"/>
      <c r="I83" s="264"/>
    </row>
    <row r="84" spans="2:9" ht="14.5" hidden="1" thickTop="1" thickBot="1" x14ac:dyDescent="0.4">
      <c r="B84" s="266" t="str">
        <f>'BI - Data + Results'!B71</f>
        <v>Sand for concrete</v>
      </c>
      <c r="C84" s="269"/>
      <c r="D84" s="227"/>
      <c r="H84" s="227"/>
      <c r="I84" s="264"/>
    </row>
    <row r="85" spans="2:9" ht="14.5" hidden="1" thickTop="1" thickBot="1" x14ac:dyDescent="0.4">
      <c r="B85" s="266" t="str">
        <f>'BI - Data + Results'!B72</f>
        <v>Silicone insulation</v>
      </c>
      <c r="C85" s="269"/>
      <c r="H85" s="227"/>
      <c r="I85" s="264"/>
    </row>
    <row r="86" spans="2:9" ht="14.5" hidden="1" thickTop="1" thickBot="1" x14ac:dyDescent="0.4">
      <c r="B86" s="266" t="str">
        <f>'BI - Data + Results'!B73</f>
        <v>Silver</v>
      </c>
      <c r="C86" s="269"/>
      <c r="D86" s="227"/>
      <c r="H86" s="227"/>
      <c r="I86" s="264"/>
    </row>
    <row r="87" spans="2:9" ht="14.5" thickTop="1" thickBot="1" x14ac:dyDescent="0.4">
      <c r="B87" s="266" t="str">
        <f>'BI - Data + Results'!B74</f>
        <v>Steel</v>
      </c>
      <c r="C87" s="247"/>
      <c r="D87" s="233"/>
      <c r="E87" s="259"/>
      <c r="F87" s="259"/>
      <c r="H87" s="227"/>
      <c r="I87" s="264"/>
    </row>
    <row r="88" spans="2:9" ht="14.5" thickTop="1" thickBot="1" x14ac:dyDescent="0.4">
      <c r="B88" s="266" t="str">
        <f>'BI - Data + Results'!B75</f>
        <v>Steel (carbon steel)</v>
      </c>
      <c r="C88" s="247"/>
      <c r="D88" s="233"/>
      <c r="E88" s="259"/>
      <c r="F88" s="259"/>
      <c r="H88" s="227"/>
      <c r="I88" s="264"/>
    </row>
    <row r="89" spans="2:9" ht="14.5" hidden="1" thickTop="1" thickBot="1" x14ac:dyDescent="0.4">
      <c r="B89" s="266" t="str">
        <f>'BI - Data + Results'!B76</f>
        <v>Steel (grain oriented electrical steel)</v>
      </c>
      <c r="C89" s="269"/>
      <c r="D89" s="227"/>
      <c r="H89" s="227"/>
      <c r="I89" s="264"/>
    </row>
    <row r="90" spans="2:9" ht="14.5" thickTop="1" thickBot="1" x14ac:dyDescent="0.4">
      <c r="B90" s="266" t="str">
        <f>'BI - Data + Results'!B77</f>
        <v>Steel (low-CO2, DRI hydrogen, with EPD)</v>
      </c>
      <c r="C90" s="247"/>
      <c r="D90" s="259"/>
      <c r="E90" s="259"/>
      <c r="F90" s="259"/>
      <c r="H90" s="227"/>
      <c r="I90" s="264"/>
    </row>
    <row r="91" spans="2:9" ht="14.5" thickTop="1" thickBot="1" x14ac:dyDescent="0.4">
      <c r="B91" s="266" t="str">
        <f>'BI - Data + Results'!B78</f>
        <v>Steel (medium-CO2, DRI natural gas, with EPD)</v>
      </c>
      <c r="C91" s="247"/>
      <c r="D91" s="259"/>
      <c r="E91" s="259"/>
      <c r="F91" s="259"/>
      <c r="H91" s="227"/>
      <c r="I91" s="264"/>
    </row>
    <row r="92" spans="2:9" ht="14.5" hidden="1" thickTop="1" thickBot="1" x14ac:dyDescent="0.4">
      <c r="B92" s="266" t="str">
        <f>'BI - Data + Results'!B79</f>
        <v>Steel (stainless steel)</v>
      </c>
      <c r="C92" s="269"/>
      <c r="D92" s="227"/>
      <c r="H92" s="227"/>
      <c r="I92" s="264"/>
    </row>
    <row r="93" spans="2:9" ht="14.5" hidden="1" thickTop="1" thickBot="1" x14ac:dyDescent="0.4">
      <c r="B93" s="266" t="str">
        <f>'BI - Data + Results'!B80</f>
        <v>Steel (zinc plated)</v>
      </c>
      <c r="C93" s="269"/>
      <c r="D93" s="227"/>
      <c r="H93" s="227"/>
      <c r="I93" s="264"/>
    </row>
    <row r="94" spans="2:9" ht="14.5" thickTop="1" thickBot="1" x14ac:dyDescent="0.4">
      <c r="B94" s="266" t="str">
        <f>'BI - Data + Results'!B81</f>
        <v>Tantalum</v>
      </c>
      <c r="C94" s="247"/>
      <c r="D94" s="233"/>
      <c r="E94" s="259"/>
      <c r="F94" s="259"/>
      <c r="H94" s="227"/>
      <c r="I94" s="264"/>
    </row>
    <row r="95" spans="2:9" ht="14.5" thickTop="1" thickBot="1" x14ac:dyDescent="0.4">
      <c r="B95" s="266" t="str">
        <f>'BI - Data + Results'!B82</f>
        <v>Tin</v>
      </c>
      <c r="C95" s="247"/>
      <c r="D95" s="233"/>
      <c r="E95" s="259"/>
      <c r="F95" s="259"/>
      <c r="H95" s="227"/>
      <c r="I95" s="264"/>
    </row>
    <row r="96" spans="2:9" ht="14.5" thickTop="1" thickBot="1" x14ac:dyDescent="0.4">
      <c r="B96" s="266" t="str">
        <f>'BI - Data + Results'!B83</f>
        <v>Tungsten</v>
      </c>
      <c r="C96" s="247"/>
      <c r="D96" s="233"/>
      <c r="E96" s="259"/>
      <c r="F96" s="259"/>
      <c r="H96" s="227"/>
      <c r="I96" s="264"/>
    </row>
    <row r="97" spans="2:10" ht="14.5" hidden="1" thickTop="1" thickBot="1" x14ac:dyDescent="0.4">
      <c r="B97" s="266" t="str">
        <f>'BI - Data + Results'!B84</f>
        <v>Water (for concrete)</v>
      </c>
      <c r="C97" s="269"/>
      <c r="H97" s="227"/>
      <c r="I97" s="264"/>
    </row>
    <row r="98" spans="2:10" ht="14.5" thickTop="1" thickBot="1" x14ac:dyDescent="0.4">
      <c r="B98" s="266" t="str">
        <f>'BI - Data + Results'!B85</f>
        <v>Water blocking tapes</v>
      </c>
      <c r="C98" s="247"/>
      <c r="D98" s="259"/>
      <c r="E98" s="259"/>
      <c r="F98" s="259"/>
      <c r="H98" s="227"/>
      <c r="I98" s="264"/>
    </row>
    <row r="99" spans="2:10" ht="14.5" hidden="1" thickTop="1" thickBot="1" x14ac:dyDescent="0.4">
      <c r="B99" s="266" t="str">
        <f>'BI - Data + Results'!B86</f>
        <v>Wood A quality</v>
      </c>
      <c r="C99" s="269"/>
      <c r="H99" s="227"/>
      <c r="I99" s="264"/>
    </row>
    <row r="100" spans="2:10" ht="14.5" hidden="1" thickTop="1" thickBot="1" x14ac:dyDescent="0.4">
      <c r="B100" s="266" t="str">
        <f>'BI - Data + Results'!B87</f>
        <v>Wood B quality</v>
      </c>
      <c r="C100" s="269"/>
      <c r="H100" s="227"/>
      <c r="I100" s="264"/>
    </row>
    <row r="101" spans="2:10" ht="14.5" thickTop="1" thickBot="1" x14ac:dyDescent="0.4">
      <c r="B101" s="266" t="str">
        <f>'BI - Data + Results'!B88</f>
        <v>XLPE (biobased)</v>
      </c>
      <c r="C101" s="247"/>
      <c r="D101" s="233"/>
      <c r="E101" s="259"/>
      <c r="F101" s="259"/>
      <c r="H101" s="227"/>
      <c r="I101" s="264"/>
    </row>
    <row r="102" spans="2:10" ht="14.5" thickTop="1" thickBot="1" x14ac:dyDescent="0.4">
      <c r="B102" s="266" t="str">
        <f>'BI - Data + Results'!B89</f>
        <v>XLPE insulation (natural)</v>
      </c>
      <c r="C102" s="247"/>
      <c r="D102" s="233"/>
      <c r="E102" s="259"/>
      <c r="F102" s="259"/>
      <c r="H102" s="227"/>
      <c r="I102" s="264"/>
    </row>
    <row r="103" spans="2:10" ht="14.5" thickTop="1" thickBot="1" x14ac:dyDescent="0.4">
      <c r="B103" s="266" t="str">
        <f>'BI - Data + Results'!B90</f>
        <v>XLPE Semiconductive (black with carbon)</v>
      </c>
      <c r="C103" s="247"/>
      <c r="D103" s="233"/>
      <c r="E103" s="259"/>
      <c r="F103" s="259"/>
      <c r="H103" s="227"/>
      <c r="I103" s="264"/>
    </row>
    <row r="104" spans="2:10" ht="14.5" thickTop="1" thickBot="1" x14ac:dyDescent="0.4">
      <c r="B104" s="266" t="str">
        <f>'BI - Data + Results'!B91</f>
        <v>Zinc</v>
      </c>
      <c r="C104" s="247"/>
      <c r="D104" s="259"/>
      <c r="E104" s="259"/>
      <c r="F104" s="259"/>
      <c r="H104" s="227"/>
      <c r="I104" s="264"/>
    </row>
    <row r="105" spans="2:10" ht="14.5" hidden="1" thickTop="1" thickBot="1" x14ac:dyDescent="0.4">
      <c r="B105" s="266" t="str">
        <f>'BI - Data + Results'!B92</f>
        <v>ZZ - Additional space for future materials001</v>
      </c>
      <c r="C105" s="269"/>
      <c r="D105" s="227"/>
      <c r="H105" s="227"/>
      <c r="I105" s="264"/>
    </row>
    <row r="106" spans="2:10" ht="14.5" hidden="1" thickTop="1" thickBot="1" x14ac:dyDescent="0.4">
      <c r="B106" s="266" t="str">
        <f>'BI - Data + Results'!B93</f>
        <v>ZZ - Additional space for future materials002</v>
      </c>
      <c r="C106" s="269"/>
      <c r="D106" s="227"/>
      <c r="H106" s="227"/>
      <c r="I106" s="264"/>
    </row>
    <row r="107" spans="2:10" ht="14.5" hidden="1" thickTop="1" thickBot="1" x14ac:dyDescent="0.4">
      <c r="B107" s="266" t="str">
        <f>'BI - Data + Results'!B94</f>
        <v>ZZ - Additional space for future materials003</v>
      </c>
      <c r="C107" s="269"/>
      <c r="D107" s="227"/>
      <c r="H107" s="227"/>
      <c r="I107" s="264"/>
    </row>
    <row r="108" spans="2:10" ht="28" thickTop="1" thickBot="1" x14ac:dyDescent="0.4">
      <c r="B108" s="267" t="s">
        <v>141</v>
      </c>
      <c r="C108" s="249">
        <f>C18-SUM(C25:C107)</f>
        <v>0</v>
      </c>
      <c r="D108" s="223">
        <v>0</v>
      </c>
      <c r="H108" s="223">
        <v>0</v>
      </c>
      <c r="I108" s="224" t="s">
        <v>142</v>
      </c>
      <c r="J108" s="31"/>
    </row>
    <row r="109" spans="2:10" ht="78" customHeight="1" thickTop="1" x14ac:dyDescent="0.35">
      <c r="B109" s="293" t="s">
        <v>533</v>
      </c>
      <c r="C109" s="293"/>
      <c r="D109" s="293"/>
      <c r="E109" s="293"/>
      <c r="F109" s="293"/>
    </row>
    <row r="110" spans="2:10" hidden="1" x14ac:dyDescent="0.35">
      <c r="C110" s="8"/>
      <c r="E110" s="8"/>
      <c r="F110" s="8"/>
      <c r="H110" s="7"/>
    </row>
    <row r="111" spans="2:10" hidden="1" x14ac:dyDescent="0.35">
      <c r="B111" s="38" t="s">
        <v>143</v>
      </c>
      <c r="H111" s="7"/>
    </row>
    <row r="112" spans="2:10" hidden="1" x14ac:dyDescent="0.35">
      <c r="B112" s="27" t="s">
        <v>144</v>
      </c>
      <c r="C112" s="247"/>
      <c r="D112" s="3" t="str">
        <f>"kWh/" &amp; BI_ref_functional_unit</f>
        <v>kWh/m</v>
      </c>
      <c r="H112" s="7"/>
    </row>
    <row r="113" spans="2:8" hidden="1" x14ac:dyDescent="0.35">
      <c r="B113" s="27" t="s">
        <v>145</v>
      </c>
      <c r="C113" s="247"/>
      <c r="D113" s="3" t="str">
        <f>"kWh/" &amp; BI_ref_functional_unit</f>
        <v>kWh/m</v>
      </c>
      <c r="H113" s="7"/>
    </row>
    <row r="114" spans="2:8" hidden="1" x14ac:dyDescent="0.35">
      <c r="B114" s="27" t="s">
        <v>146</v>
      </c>
      <c r="C114" s="247"/>
      <c r="D114" s="3" t="str">
        <f>"MJ/" &amp; BI_ref_functional_unit</f>
        <v>MJ/m</v>
      </c>
      <c r="H114" s="7"/>
    </row>
    <row r="115" spans="2:8" hidden="1" x14ac:dyDescent="0.35">
      <c r="B115" s="27" t="s">
        <v>147</v>
      </c>
      <c r="C115" s="247"/>
      <c r="D115" s="3" t="str">
        <f>"MJ/" &amp; BI_ref_functional_unit</f>
        <v>MJ/m</v>
      </c>
      <c r="H115" s="7"/>
    </row>
    <row r="116" spans="2:8" x14ac:dyDescent="0.35"/>
    <row r="117" spans="2:8" x14ac:dyDescent="0.35">
      <c r="B117" s="4" t="s">
        <v>148</v>
      </c>
    </row>
    <row r="118" spans="2:8" x14ac:dyDescent="0.35">
      <c r="B118" s="27" t="s">
        <v>149</v>
      </c>
      <c r="C118" s="247"/>
      <c r="D118" s="1" t="s">
        <v>150</v>
      </c>
    </row>
    <row r="119" spans="2:8" x14ac:dyDescent="0.35">
      <c r="B119" s="27" t="s">
        <v>151</v>
      </c>
      <c r="C119" s="247"/>
      <c r="D119" s="1" t="s">
        <v>150</v>
      </c>
    </row>
    <row r="120" spans="2:8" x14ac:dyDescent="0.35">
      <c r="B120" s="27" t="s">
        <v>152</v>
      </c>
      <c r="C120" s="247"/>
      <c r="D120" s="1" t="s">
        <v>150</v>
      </c>
    </row>
    <row r="121" spans="2:8" x14ac:dyDescent="0.35">
      <c r="B121" s="28" t="s">
        <v>153</v>
      </c>
      <c r="C121" s="247"/>
      <c r="D121" s="1" t="s">
        <v>150</v>
      </c>
    </row>
    <row r="122" spans="2:8" x14ac:dyDescent="0.35">
      <c r="B122" s="28" t="s">
        <v>154</v>
      </c>
      <c r="C122" s="247"/>
      <c r="D122" s="1" t="s">
        <v>150</v>
      </c>
    </row>
    <row r="123" spans="2:8" x14ac:dyDescent="0.35">
      <c r="B123" s="28" t="s">
        <v>155</v>
      </c>
      <c r="C123" s="247"/>
      <c r="D123" s="1" t="s">
        <v>150</v>
      </c>
    </row>
    <row r="124" spans="2:8" x14ac:dyDescent="0.35">
      <c r="B124" s="28" t="s">
        <v>156</v>
      </c>
      <c r="C124" s="247"/>
      <c r="D124" s="1" t="s">
        <v>150</v>
      </c>
    </row>
    <row r="125" spans="2:8" x14ac:dyDescent="0.35">
      <c r="B125" s="28" t="s">
        <v>157</v>
      </c>
      <c r="C125" s="247"/>
      <c r="D125" s="1" t="s">
        <v>150</v>
      </c>
    </row>
    <row r="126" spans="2:8" hidden="1" x14ac:dyDescent="0.35">
      <c r="H126" s="9"/>
    </row>
    <row r="127" spans="2:8" hidden="1" x14ac:dyDescent="0.35">
      <c r="B127" s="4" t="str">
        <f>"Energy loss (" &amp; BI_ref_assetname_other_asset &amp; ")"</f>
        <v>Energy loss (Other asset)</v>
      </c>
      <c r="H127" s="9"/>
    </row>
    <row r="128" spans="2:8" hidden="1" x14ac:dyDescent="0.35">
      <c r="B128" s="27" t="s">
        <v>158</v>
      </c>
      <c r="C128" s="247"/>
      <c r="D128" s="3" t="str">
        <f>"kWh/" &amp; BI_ref_functional_unit &amp; " per year"</f>
        <v>kWh/m per year</v>
      </c>
      <c r="H128" s="9"/>
    </row>
    <row r="129" spans="2:8" hidden="1" x14ac:dyDescent="0.35">
      <c r="B129" s="27" t="s">
        <v>159</v>
      </c>
      <c r="C129" s="247"/>
      <c r="D129" s="5" t="str">
        <f>"Nm3/" &amp; BI_ref_functional_unit &amp; " per year"</f>
        <v>Nm3/m per year</v>
      </c>
      <c r="H129" s="9"/>
    </row>
    <row r="130" spans="2:8" hidden="1" x14ac:dyDescent="0.35">
      <c r="H130" s="9"/>
    </row>
    <row r="131" spans="2:8" hidden="1" x14ac:dyDescent="0.35">
      <c r="B131" s="4" t="str">
        <f>"Energy loss (" &amp; BI_ref_assetname_gas_tube &amp; ")"</f>
        <v>Energy loss (Pipeline)</v>
      </c>
      <c r="H131" s="9"/>
    </row>
    <row r="132" spans="2:8" hidden="1" x14ac:dyDescent="0.35">
      <c r="B132" s="27" t="s">
        <v>159</v>
      </c>
      <c r="C132" s="247"/>
      <c r="D132" s="5" t="str">
        <f>"Nm3/" &amp; BI_ref_functional_unit &amp; " per year"</f>
        <v>Nm3/m per year</v>
      </c>
      <c r="H132" s="9"/>
    </row>
    <row r="133" spans="2:8" hidden="1" x14ac:dyDescent="0.35">
      <c r="B133" s="27" t="s">
        <v>160</v>
      </c>
      <c r="C133" s="5"/>
      <c r="D133" s="5"/>
      <c r="H133" s="9"/>
    </row>
    <row r="134" spans="2:8" hidden="1" x14ac:dyDescent="0.35">
      <c r="H134" s="9"/>
    </row>
    <row r="135" spans="2:8" hidden="1" x14ac:dyDescent="0.35">
      <c r="B135" s="4" t="str">
        <f>"Energy loss (" &amp; BI_ref_assetname_transformer &amp; ")"</f>
        <v>Energy loss (Transformer)</v>
      </c>
      <c r="H135" s="9"/>
    </row>
    <row r="136" spans="2:8" hidden="1" x14ac:dyDescent="0.35">
      <c r="B136" s="27" t="s">
        <v>108</v>
      </c>
      <c r="C136" s="251" t="str">
        <f>'BI - References'!E37</f>
        <v/>
      </c>
      <c r="D136" s="1" t="s">
        <v>88</v>
      </c>
      <c r="H136" s="9"/>
    </row>
    <row r="137" spans="2:8" hidden="1" x14ac:dyDescent="0.35">
      <c r="B137" s="27" t="s">
        <v>109</v>
      </c>
      <c r="C137" s="251" t="str">
        <f>'BI - References'!E38</f>
        <v/>
      </c>
      <c r="D137" s="1" t="s">
        <v>88</v>
      </c>
      <c r="H137" s="9"/>
    </row>
    <row r="138" spans="2:8" hidden="1" x14ac:dyDescent="0.35">
      <c r="B138" s="27" t="s">
        <v>97</v>
      </c>
      <c r="C138" s="222" t="str">
        <f>'BI - References'!E39</f>
        <v/>
      </c>
      <c r="H138" s="9"/>
    </row>
    <row r="139" spans="2:8" hidden="1" x14ac:dyDescent="0.35">
      <c r="B139" s="27" t="s">
        <v>110</v>
      </c>
      <c r="C139" s="250" t="str">
        <f>'BI - References'!E40</f>
        <v/>
      </c>
      <c r="D139" s="1" t="s">
        <v>111</v>
      </c>
      <c r="H139" s="9"/>
    </row>
    <row r="140" spans="2:8" hidden="1" x14ac:dyDescent="0.35">
      <c r="B140" s="29" t="s">
        <v>161</v>
      </c>
      <c r="C140" s="252"/>
      <c r="D140" s="3" t="str">
        <f>"kW"</f>
        <v>kW</v>
      </c>
      <c r="H140" s="9"/>
    </row>
    <row r="141" spans="2:8" hidden="1" x14ac:dyDescent="0.35">
      <c r="B141" s="27" t="s">
        <v>162</v>
      </c>
      <c r="C141" s="252"/>
      <c r="D141" s="3" t="str">
        <f>"kW"</f>
        <v>kW</v>
      </c>
      <c r="H141" s="9"/>
    </row>
    <row r="142" spans="2:8" hidden="1" x14ac:dyDescent="0.35">
      <c r="B142" s="295" t="s">
        <v>163</v>
      </c>
      <c r="C142" s="295"/>
      <c r="D142" s="295"/>
      <c r="E142" s="295"/>
      <c r="H142" s="9"/>
    </row>
    <row r="143" spans="2:8" hidden="1" x14ac:dyDescent="0.35">
      <c r="B143" s="4"/>
      <c r="H143" s="9"/>
    </row>
    <row r="144" spans="2:8" hidden="1" x14ac:dyDescent="0.35">
      <c r="B144" s="4" t="str">
        <f>"Energy loss (" &amp; BI_ref_assetname_transformer_substation &amp; ")"</f>
        <v>Energy loss (Transformer substation)</v>
      </c>
      <c r="H144" s="9"/>
    </row>
    <row r="145" spans="2:8" hidden="1" x14ac:dyDescent="0.35">
      <c r="B145" s="27" t="s">
        <v>164</v>
      </c>
      <c r="H145" s="9"/>
    </row>
    <row r="146" spans="2:8" hidden="1" x14ac:dyDescent="0.35">
      <c r="H146" s="9"/>
    </row>
    <row r="147" spans="2:8" ht="45" hidden="1" customHeight="1" x14ac:dyDescent="0.35">
      <c r="B147" s="282" t="str">
        <f>"Energy loss (" &amp; BI_ref_assetname_electricity_cable &amp; ") 
Energy loss is calculated using IEC 60287-1-1. Please refer 
to the manual for clarification and prescribed assumptions."</f>
        <v>Energy loss (Electricity cable) 
Energy loss is calculated using IEC 60287-1-1. Please refer 
to the manual for clarification and prescribed assumptions.</v>
      </c>
      <c r="C147" s="282"/>
      <c r="D147" s="282"/>
      <c r="H147" s="9"/>
    </row>
    <row r="148" spans="2:8" hidden="1" x14ac:dyDescent="0.35">
      <c r="B148" s="27" t="s">
        <v>87</v>
      </c>
      <c r="C148" s="253">
        <f>'BI - References'!E11</f>
        <v>0</v>
      </c>
      <c r="D148" s="1" t="s">
        <v>88</v>
      </c>
      <c r="H148" s="9"/>
    </row>
    <row r="149" spans="2:8" hidden="1" x14ac:dyDescent="0.35">
      <c r="B149" s="27" t="s">
        <v>89</v>
      </c>
      <c r="H149" s="9"/>
    </row>
    <row r="150" spans="2:8" hidden="1" x14ac:dyDescent="0.35">
      <c r="B150" s="27" t="s">
        <v>97</v>
      </c>
      <c r="C150" s="99">
        <f>'BI - References'!E13</f>
        <v>1</v>
      </c>
      <c r="H150" s="9"/>
    </row>
    <row r="151" spans="2:8" hidden="1" x14ac:dyDescent="0.35">
      <c r="B151" s="27" t="s">
        <v>91</v>
      </c>
      <c r="C151" s="254">
        <f>'BI - References'!E14</f>
        <v>0</v>
      </c>
      <c r="D151" s="1" t="s">
        <v>92</v>
      </c>
      <c r="H151" s="9"/>
    </row>
    <row r="152" spans="2:8" hidden="1" x14ac:dyDescent="0.35">
      <c r="B152" s="27" t="s">
        <v>165</v>
      </c>
      <c r="C152" s="252"/>
      <c r="D152" s="1" t="str">
        <f>"Ω/" &amp; BI_ref_functional_unit</f>
        <v>Ω/m</v>
      </c>
      <c r="H152" s="9"/>
    </row>
    <row r="153" spans="2:8" hidden="1" x14ac:dyDescent="0.35">
      <c r="B153" s="27" t="s">
        <v>166</v>
      </c>
      <c r="C153" s="252"/>
      <c r="H153" s="9"/>
    </row>
    <row r="154" spans="2:8" ht="31.4" hidden="1" customHeight="1" x14ac:dyDescent="0.45">
      <c r="B154" s="294" t="s">
        <v>174</v>
      </c>
      <c r="C154" s="294"/>
      <c r="D154" s="294"/>
      <c r="E154" s="294"/>
      <c r="H154" s="9"/>
    </row>
    <row r="155" spans="2:8" hidden="1" x14ac:dyDescent="0.35">
      <c r="H155" s="9"/>
    </row>
    <row r="156" spans="2:8" hidden="1" x14ac:dyDescent="0.35">
      <c r="B156" s="4" t="str">
        <f>"Energy loss (" &amp; BI_ref_assetname_switch_gear &amp; ")"</f>
        <v>Energy loss (Switchgear)</v>
      </c>
      <c r="H156" s="9"/>
    </row>
    <row r="157" spans="2:8" hidden="1" x14ac:dyDescent="0.35">
      <c r="B157" s="27" t="s">
        <v>94</v>
      </c>
      <c r="C157" s="253" t="str">
        <f>'BI - References'!E17</f>
        <v/>
      </c>
      <c r="D157" s="1" t="s">
        <v>88</v>
      </c>
      <c r="H157" s="9"/>
    </row>
    <row r="158" spans="2:8" hidden="1" x14ac:dyDescent="0.35">
      <c r="B158" s="27" t="s">
        <v>95</v>
      </c>
      <c r="C158" s="151" t="str">
        <f>'BI - References'!E18</f>
        <v/>
      </c>
      <c r="D158" s="1" t="s">
        <v>96</v>
      </c>
      <c r="H158" s="9"/>
    </row>
    <row r="159" spans="2:8" hidden="1" x14ac:dyDescent="0.35">
      <c r="B159" s="27" t="s">
        <v>97</v>
      </c>
      <c r="C159" s="99" t="str">
        <f>'BI - References'!E19</f>
        <v/>
      </c>
      <c r="H159" s="9"/>
    </row>
    <row r="160" spans="2:8" hidden="1" x14ac:dyDescent="0.35">
      <c r="B160" s="27" t="s">
        <v>98</v>
      </c>
      <c r="C160" s="99" t="str">
        <f>'BI - References'!E20</f>
        <v/>
      </c>
      <c r="H160" s="9"/>
    </row>
    <row r="161" spans="2:8" hidden="1" x14ac:dyDescent="0.35">
      <c r="H161" s="9"/>
    </row>
    <row r="162" spans="2:8" ht="27" hidden="1" x14ac:dyDescent="0.35">
      <c r="C162" s="37" t="s">
        <v>100</v>
      </c>
      <c r="D162" s="37" t="s">
        <v>168</v>
      </c>
      <c r="H162" s="9"/>
    </row>
    <row r="163" spans="2:8" hidden="1" x14ac:dyDescent="0.35">
      <c r="B163" s="34" t="str">
        <f>"Functionality 1" &amp; IF('BI - References'!E23="","", ": " &amp; 'BI - References'!E23)</f>
        <v>Functionality 1</v>
      </c>
      <c r="C163" s="254" t="str">
        <f>'BI - References'!E30</f>
        <v/>
      </c>
      <c r="D163" s="252"/>
      <c r="H163" s="9"/>
    </row>
    <row r="164" spans="2:8" hidden="1" x14ac:dyDescent="0.35">
      <c r="B164" s="34" t="str">
        <f>"Functionality 2" &amp; IF('BI - References'!E24="","", ": " &amp; 'BI - References'!E24)</f>
        <v>Functionality 2</v>
      </c>
      <c r="C164" s="254" t="str">
        <f>'BI - References'!E31</f>
        <v/>
      </c>
      <c r="D164" s="252"/>
      <c r="H164" s="9"/>
    </row>
    <row r="165" spans="2:8" hidden="1" x14ac:dyDescent="0.35">
      <c r="B165" s="34" t="str">
        <f>"Functionality 3" &amp; IF('BI - References'!E25="","", ": " &amp; 'BI - References'!E25)</f>
        <v>Functionality 3</v>
      </c>
      <c r="C165" s="254" t="str">
        <f>'BI - References'!E32</f>
        <v/>
      </c>
      <c r="D165" s="252"/>
      <c r="H165" s="9"/>
    </row>
    <row r="166" spans="2:8" hidden="1" x14ac:dyDescent="0.35">
      <c r="B166" s="34" t="str">
        <f>"Functionality 4" &amp; IF('BI - References'!E26="","", ": " &amp; 'BI - References'!E26)</f>
        <v>Functionality 4</v>
      </c>
      <c r="C166" s="254" t="str">
        <f>'BI - References'!E33</f>
        <v/>
      </c>
      <c r="D166" s="252"/>
      <c r="H166" s="9"/>
    </row>
    <row r="167" spans="2:8" hidden="1" x14ac:dyDescent="0.35">
      <c r="B167" s="34" t="str">
        <f>"Functionality 5" &amp; IF('BI - References'!E27="","", ": " &amp; 'BI - References'!E27)</f>
        <v>Functionality 5</v>
      </c>
      <c r="C167" s="254" t="str">
        <f>'BI - References'!E34</f>
        <v/>
      </c>
      <c r="D167" s="252"/>
      <c r="H167" s="9"/>
    </row>
    <row r="168" spans="2:8" hidden="1" x14ac:dyDescent="0.35">
      <c r="B168" s="34" t="str">
        <f>"Functionality 6" &amp; IF('BI - References'!E28="","", ": " &amp; 'BI - References'!E28)</f>
        <v>Functionality 6</v>
      </c>
      <c r="C168" s="254" t="str">
        <f>'BI - References'!E35</f>
        <v/>
      </c>
      <c r="D168" s="252"/>
      <c r="H168" s="9"/>
    </row>
    <row r="169" spans="2:8" hidden="1" x14ac:dyDescent="0.35">
      <c r="H169" s="9"/>
    </row>
    <row r="170" spans="2:8" hidden="1" x14ac:dyDescent="0.35">
      <c r="B170" s="4" t="str">
        <f>"Emission of insulating/switch gas (" &amp; BI_ref_assetname_switch_gear &amp; ")"</f>
        <v>Emission of insulating/switch gas (Switchgear)</v>
      </c>
      <c r="H170" s="9"/>
    </row>
    <row r="171" spans="2:8" ht="15.5" hidden="1" x14ac:dyDescent="0.35">
      <c r="B171" s="27" t="s">
        <v>169</v>
      </c>
      <c r="C171" s="252"/>
      <c r="D171" s="1" t="s">
        <v>170</v>
      </c>
      <c r="H171" s="9"/>
    </row>
    <row r="172" spans="2:8" ht="27.5" hidden="1" thickBot="1" x14ac:dyDescent="0.4">
      <c r="B172" s="65" t="s">
        <v>171</v>
      </c>
      <c r="C172" s="252"/>
      <c r="D172" s="66" t="s">
        <v>170</v>
      </c>
      <c r="E172" s="283"/>
      <c r="F172" s="283"/>
      <c r="G172" s="283"/>
      <c r="H172" s="9"/>
    </row>
    <row r="173" spans="2:8" ht="14.5" hidden="1" thickTop="1" thickBot="1" x14ac:dyDescent="0.4">
      <c r="B173" s="65" t="s">
        <v>536</v>
      </c>
      <c r="C173" s="82"/>
      <c r="D173" s="66"/>
      <c r="E173" s="6"/>
      <c r="F173" s="6"/>
      <c r="G173" s="6"/>
      <c r="H173" s="9"/>
    </row>
    <row r="174" spans="2:8" ht="27.5" hidden="1" thickTop="1" x14ac:dyDescent="0.35">
      <c r="B174" s="256" t="s">
        <v>539</v>
      </c>
      <c r="C174" s="252"/>
      <c r="D174" s="1" t="s">
        <v>530</v>
      </c>
      <c r="H174" s="9"/>
    </row>
    <row r="175" spans="2:8" ht="27" hidden="1" x14ac:dyDescent="0.35">
      <c r="B175" s="256" t="s">
        <v>540</v>
      </c>
      <c r="C175" s="252"/>
      <c r="D175" s="1" t="s">
        <v>530</v>
      </c>
      <c r="E175" s="67"/>
      <c r="H175" s="9"/>
    </row>
    <row r="176" spans="2:8" ht="15.5" hidden="1" x14ac:dyDescent="0.35">
      <c r="B176" s="27" t="s">
        <v>172</v>
      </c>
      <c r="C176" s="255"/>
      <c r="D176" s="1" t="s">
        <v>173</v>
      </c>
      <c r="H176" s="9"/>
    </row>
    <row r="177" spans="1:8" hidden="1" x14ac:dyDescent="0.35">
      <c r="B177" s="27" t="s">
        <v>557</v>
      </c>
      <c r="C177" s="252">
        <f>C171*C176*IF(D177="g",1000,1)</f>
        <v>0</v>
      </c>
      <c r="D177" s="1" t="str">
        <f>IF(D18="g/unit","g","kg")</f>
        <v>g</v>
      </c>
      <c r="H177" s="9"/>
    </row>
    <row r="178" spans="1:8" x14ac:dyDescent="0.35"/>
    <row r="179" spans="1:8" x14ac:dyDescent="0.35">
      <c r="A179" s="71"/>
      <c r="B179" s="71"/>
      <c r="C179" s="71"/>
      <c r="D179" s="71"/>
      <c r="E179" s="71"/>
      <c r="F179" s="71"/>
      <c r="G179" s="71"/>
    </row>
    <row r="180" spans="1:8" x14ac:dyDescent="0.35">
      <c r="A180" s="71"/>
      <c r="B180" s="71"/>
      <c r="C180" s="71"/>
      <c r="D180" s="71"/>
      <c r="E180" s="71"/>
      <c r="F180" s="71"/>
      <c r="G180" s="71"/>
    </row>
    <row r="181" spans="1:8" x14ac:dyDescent="0.35">
      <c r="A181" s="71"/>
      <c r="B181" s="71"/>
      <c r="C181" s="71"/>
      <c r="D181" s="71"/>
      <c r="E181" s="71"/>
      <c r="F181" s="71"/>
      <c r="G181" s="71"/>
    </row>
  </sheetData>
  <sheetProtection algorithmName="SHA-512" hashValue="mMFyOYUaCgiK1i1BaQgKBVq1ydfXo6EObhe+oFfLWEZ85Rnb7H4A0HCn4heMX1ahCFqz2yqP3/qatBmEqkHOeA==" saltValue="afb/o4CMr5PvIhj+wuyVKQ==" spinCount="100000" sheet="1" objects="1" scenarios="1" selectLockedCells="1"/>
  <dataConsolidate/>
  <mergeCells count="14">
    <mergeCell ref="C13:D13"/>
    <mergeCell ref="C14:D14"/>
    <mergeCell ref="C15:D15"/>
    <mergeCell ref="E172:G172"/>
    <mergeCell ref="A1:G3"/>
    <mergeCell ref="C6:D6"/>
    <mergeCell ref="C7:D7"/>
    <mergeCell ref="C8:D8"/>
    <mergeCell ref="C9:D9"/>
    <mergeCell ref="C10:D10"/>
    <mergeCell ref="B147:D147"/>
    <mergeCell ref="B154:E154"/>
    <mergeCell ref="B142:E142"/>
    <mergeCell ref="B109:F109"/>
  </mergeCells>
  <conditionalFormatting sqref="C22">
    <cfRule type="expression" dxfId="103" priority="7">
      <formula>$C$21&lt;&gt;"yes"</formula>
    </cfRule>
  </conditionalFormatting>
  <conditionalFormatting sqref="D108 H108:I108">
    <cfRule type="expression" dxfId="102" priority="5">
      <formula>$C$108&lt;0</formula>
    </cfRule>
  </conditionalFormatting>
  <conditionalFormatting sqref="C108">
    <cfRule type="expression" dxfId="101" priority="4">
      <formula>$C$108&lt;0</formula>
    </cfRule>
  </conditionalFormatting>
  <conditionalFormatting sqref="C174">
    <cfRule type="expression" dxfId="100" priority="2">
      <formula>$C$174="N/A"</formula>
    </cfRule>
  </conditionalFormatting>
  <conditionalFormatting sqref="C175">
    <cfRule type="expression" dxfId="99" priority="1">
      <formula>$C$175="N/A"</formula>
    </cfRule>
  </conditionalFormatting>
  <dataValidations count="11">
    <dataValidation operator="greaterThanOrEqual" allowBlank="1" showInputMessage="1" showErrorMessage="1" error="Cell should be greater than or equal to 0" sqref="C136:C139 C163:C168 C157:C160 C52 C150:C151 C148" xr:uid="{00000000-0002-0000-0600-000000000000}"/>
    <dataValidation type="whole" operator="greaterThanOrEqual" showInputMessage="1" showErrorMessage="1" sqref="C108" xr:uid="{00000000-0002-0000-0600-000001000000}">
      <formula1>1</formula1>
    </dataValidation>
    <dataValidation type="list" showInputMessage="1" showErrorMessage="1" sqref="I25:I108" xr:uid="{00000000-0002-0000-0600-000002000000}">
      <formula1>dd_rec_down</formula1>
    </dataValidation>
    <dataValidation type="decimal" operator="greaterThanOrEqual" allowBlank="1" showInputMessage="1" showErrorMessage="1" error="Cell should be greater than or equal to 0" sqref="C16:C18 D163:D168 C112:C115 C140:C141 C132:C133 C118:C125 C152:C153 C128:C129 C176:C177 C174 C171:C172 C25:C51 C53:C107" xr:uid="{00000000-0002-0000-0600-000004000000}">
      <formula1>0</formula1>
    </dataValidation>
    <dataValidation type="custom" operator="greaterThanOrEqual" showInputMessage="1" showErrorMessage="1" error="Cell can only be changed if &quot;yes&quot; is selected." sqref="C22" xr:uid="{00000000-0002-0000-0600-000006000000}">
      <formula1>C21="yes"</formula1>
    </dataValidation>
    <dataValidation type="list" showInputMessage="1" showErrorMessage="1" sqref="C10:D10" xr:uid="{00000000-0002-0000-0600-000007000000}">
      <formula1>dd_filled_in_by</formula1>
    </dataValidation>
    <dataValidation type="list" showInputMessage="1" showErrorMessage="1" sqref="C21" xr:uid="{00000000-0002-0000-0600-000008000000}">
      <formula1>dd_yes_no</formula1>
    </dataValidation>
    <dataValidation type="decimal" allowBlank="1" showInputMessage="1" showErrorMessage="1" error="Cell should be between 0-100%" sqref="H25:H107 D59:D67 D55:D57 D25:D53 D69:D107" xr:uid="{00000000-0002-0000-0600-00000A000000}">
      <formula1>0</formula1>
      <formula2>1</formula2>
    </dataValidation>
    <dataValidation type="list" allowBlank="1" showInputMessage="1" showErrorMessage="1" sqref="D18" xr:uid="{DDA7A628-0D8A-41A3-9416-F7949DFBDFF0}">
      <formula1>"g/unit,kg/unit"</formula1>
    </dataValidation>
    <dataValidation type="custom" operator="greaterThanOrEqual" allowBlank="1" showInputMessage="1" showErrorMessage="1" error="Cell should be greater than or equal to 0" sqref="C175" xr:uid="{867A683C-7138-4429-9983-B6FEABA459B2}">
      <formula1>OR(AND(ISNUMBER(C175),C175&gt;=0),C175="unknown")</formula1>
    </dataValidation>
    <dataValidation type="list" operator="greaterThanOrEqual" allowBlank="1" showInputMessage="1" showErrorMessage="1" error="Cell should be greater than or equal to 0" sqref="C173" xr:uid="{DE84EFF2-A348-4482-97AD-287C5E4262DA}">
      <formula1>dd_switchgas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Button 1">
              <controlPr defaultSize="0" print="0" autoFill="0" autoPict="0" macro="[0]!click_btn_reset_asset2">
                <anchor>
                  <from>
                    <xdr:col>1</xdr:col>
                    <xdr:colOff>31750</xdr:colOff>
                    <xdr:row>0</xdr:row>
                    <xdr:rowOff>152400</xdr:rowOff>
                  </from>
                  <to>
                    <xdr:col>1</xdr:col>
                    <xdr:colOff>984250</xdr:colOff>
                    <xdr:row>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3">
    <tabColor rgb="FF92D050"/>
    <pageSetUpPr autoPageBreaks="0"/>
  </sheetPr>
  <dimension ref="A1:XFC181"/>
  <sheetViews>
    <sheetView showRowColHeaders="0" zoomScaleNormal="100" workbookViewId="0">
      <selection activeCell="C6" sqref="C6:D6"/>
    </sheetView>
  </sheetViews>
  <sheetFormatPr defaultColWidth="0" defaultRowHeight="13.5" zeroHeight="1" x14ac:dyDescent="0.35"/>
  <cols>
    <col min="1" max="1" width="2.09765625" style="1" customWidth="1"/>
    <col min="2" max="2" width="45.09765625" style="1" customWidth="1"/>
    <col min="3" max="6" width="13.59765625" style="1" customWidth="1"/>
    <col min="7" max="7" width="10" style="1" customWidth="1"/>
    <col min="8" max="9" width="13.59765625" style="1" hidden="1"/>
    <col min="10" max="10" width="9.09765625" style="1" hidden="1"/>
    <col min="11" max="11" width="10.59765625" style="1" hidden="1"/>
    <col min="12" max="12" width="11" style="1" hidden="1"/>
    <col min="13" max="13" width="10.296875" style="1" hidden="1"/>
    <col min="14" max="14" width="9.09765625" style="1" hidden="1"/>
    <col min="15" max="15" width="10" style="1" hidden="1"/>
    <col min="16" max="16383" width="9.09765625" style="1" hidden="1"/>
    <col min="16384" max="16384" width="4.8984375" style="1" hidden="1"/>
  </cols>
  <sheetData>
    <row r="1" spans="1:8" x14ac:dyDescent="0.35">
      <c r="A1" s="286" t="str">
        <f>"Datasheet 3 - " &amp; BI_ref_asset_and_subasset</f>
        <v>Datasheet 3 - Electricity cable (other)</v>
      </c>
      <c r="B1" s="286"/>
      <c r="C1" s="286"/>
      <c r="D1" s="286"/>
      <c r="E1" s="286"/>
      <c r="F1" s="286"/>
      <c r="G1" s="286"/>
    </row>
    <row r="2" spans="1:8" x14ac:dyDescent="0.35">
      <c r="A2" s="286"/>
      <c r="B2" s="286"/>
      <c r="C2" s="286"/>
      <c r="D2" s="286"/>
      <c r="E2" s="286"/>
      <c r="F2" s="286"/>
      <c r="G2" s="286"/>
      <c r="H2" s="9"/>
    </row>
    <row r="3" spans="1:8" x14ac:dyDescent="0.35">
      <c r="A3" s="286"/>
      <c r="B3" s="286"/>
      <c r="C3" s="286"/>
      <c r="D3" s="286"/>
      <c r="E3" s="286"/>
      <c r="F3" s="286"/>
      <c r="G3" s="286"/>
      <c r="H3" s="9"/>
    </row>
    <row r="4" spans="1:8" hidden="1" x14ac:dyDescent="0.35">
      <c r="H4" s="7"/>
    </row>
    <row r="5" spans="1:8" hidden="1" x14ac:dyDescent="0.35">
      <c r="B5" s="4" t="s">
        <v>129</v>
      </c>
      <c r="H5" s="7"/>
    </row>
    <row r="6" spans="1:8" hidden="1" x14ac:dyDescent="0.35">
      <c r="B6" s="27" t="s">
        <v>68</v>
      </c>
      <c r="C6" s="284"/>
      <c r="D6" s="285"/>
      <c r="H6" s="7"/>
    </row>
    <row r="7" spans="1:8" hidden="1" x14ac:dyDescent="0.35">
      <c r="B7" s="27" t="s">
        <v>69</v>
      </c>
      <c r="C7" s="284"/>
      <c r="D7" s="285"/>
      <c r="H7" s="7"/>
    </row>
    <row r="8" spans="1:8" hidden="1" x14ac:dyDescent="0.35">
      <c r="B8" s="28" t="s">
        <v>63</v>
      </c>
      <c r="C8" s="284"/>
      <c r="D8" s="285"/>
      <c r="H8" s="7"/>
    </row>
    <row r="9" spans="1:8" ht="14" hidden="1" thickBot="1" x14ac:dyDescent="0.4">
      <c r="B9" s="28" t="s">
        <v>64</v>
      </c>
      <c r="C9" s="287"/>
      <c r="D9" s="288"/>
      <c r="H9" s="7"/>
    </row>
    <row r="10" spans="1:8" ht="14.5" hidden="1" thickTop="1" thickBot="1" x14ac:dyDescent="0.4">
      <c r="B10" s="27" t="s">
        <v>130</v>
      </c>
      <c r="C10" s="289"/>
      <c r="D10" s="290"/>
      <c r="H10" s="7"/>
    </row>
    <row r="11" spans="1:8" x14ac:dyDescent="0.35"/>
    <row r="12" spans="1:8" x14ac:dyDescent="0.35">
      <c r="B12" s="4" t="s">
        <v>131</v>
      </c>
    </row>
    <row r="13" spans="1:8" x14ac:dyDescent="0.35">
      <c r="B13" s="27" t="s">
        <v>66</v>
      </c>
      <c r="C13" s="273" t="str">
        <f>BI_ref_asset</f>
        <v>Electricity cable</v>
      </c>
      <c r="D13" s="275"/>
    </row>
    <row r="14" spans="1:8" x14ac:dyDescent="0.35">
      <c r="B14" s="27" t="s">
        <v>67</v>
      </c>
      <c r="C14" s="291" t="str">
        <f>BI_ref_subasset</f>
        <v>other</v>
      </c>
      <c r="D14" s="292"/>
    </row>
    <row r="15" spans="1:8" x14ac:dyDescent="0.35">
      <c r="B15" s="27" t="s">
        <v>132</v>
      </c>
      <c r="C15" s="284"/>
      <c r="D15" s="285"/>
      <c r="E15" s="6"/>
    </row>
    <row r="16" spans="1:8" hidden="1" x14ac:dyDescent="0.35">
      <c r="B16" s="27" t="s">
        <v>126</v>
      </c>
      <c r="C16" s="228"/>
      <c r="D16" s="3" t="str">
        <f xml:space="preserve"> "€/" &amp; BI_ref_functional_unit</f>
        <v>€/m</v>
      </c>
      <c r="H16" s="7"/>
    </row>
    <row r="17" spans="2:9" ht="14" thickBot="1" x14ac:dyDescent="0.4">
      <c r="B17" s="27" t="s">
        <v>133</v>
      </c>
      <c r="C17" s="248"/>
      <c r="D17" s="1" t="s">
        <v>115</v>
      </c>
    </row>
    <row r="18" spans="2:9" ht="14.5" thickTop="1" thickBot="1" x14ac:dyDescent="0.4">
      <c r="B18" s="27" t="s">
        <v>134</v>
      </c>
      <c r="C18" s="247"/>
      <c r="D18" s="82" t="s">
        <v>559</v>
      </c>
      <c r="H18" s="9"/>
    </row>
    <row r="19" spans="2:9" ht="14" thickTop="1" x14ac:dyDescent="0.35">
      <c r="H19" s="9"/>
    </row>
    <row r="20" spans="2:9" ht="14" thickBot="1" x14ac:dyDescent="0.4">
      <c r="B20" s="4" t="s">
        <v>135</v>
      </c>
    </row>
    <row r="21" spans="2:9" ht="14.5" thickTop="1" thickBot="1" x14ac:dyDescent="0.4">
      <c r="B21" s="28" t="s">
        <v>136</v>
      </c>
      <c r="C21" s="82"/>
    </row>
    <row r="22" spans="2:9" ht="14" thickTop="1" x14ac:dyDescent="0.35">
      <c r="B22" s="30" t="s">
        <v>137</v>
      </c>
      <c r="C22" s="84"/>
      <c r="H22" s="9"/>
    </row>
    <row r="23" spans="2:9" x14ac:dyDescent="0.35">
      <c r="B23" s="34"/>
      <c r="H23" s="9"/>
    </row>
    <row r="24" spans="2:9" ht="27.5" thickBot="1" x14ac:dyDescent="0.4">
      <c r="B24" s="38" t="str">
        <f xml:space="preserve"> "Materials (per " &amp; BI_ref_functional_unit &amp; ")"</f>
        <v>Materials (per m)</v>
      </c>
      <c r="C24" s="268" t="str">
        <f>"Weight ("&amp; LEFT(D18,LEN(D18))&amp; ")"</f>
        <v>Weight (kg/unit)</v>
      </c>
      <c r="D24" s="19" t="s">
        <v>138</v>
      </c>
      <c r="H24" s="20" t="s">
        <v>139</v>
      </c>
      <c r="I24" s="20" t="s">
        <v>140</v>
      </c>
    </row>
    <row r="25" spans="2:9" ht="14.5" hidden="1" thickTop="1" thickBot="1" x14ac:dyDescent="0.4">
      <c r="B25" s="266" t="str">
        <f>'BI - Data + Results'!B12</f>
        <v>ABS</v>
      </c>
      <c r="C25" s="269"/>
      <c r="D25" s="227"/>
      <c r="H25" s="227"/>
      <c r="I25" s="264"/>
    </row>
    <row r="26" spans="2:9" ht="14.5" thickTop="1" thickBot="1" x14ac:dyDescent="0.4">
      <c r="B26" s="266" t="str">
        <f>'BI - Data + Results'!B13</f>
        <v>Aluminium (alloys)</v>
      </c>
      <c r="C26" s="247"/>
      <c r="D26" s="233"/>
      <c r="E26" s="259"/>
      <c r="F26" s="259"/>
      <c r="H26" s="227"/>
      <c r="I26" s="264"/>
    </row>
    <row r="27" spans="2:9" ht="14.5" thickTop="1" thickBot="1" x14ac:dyDescent="0.4">
      <c r="B27" s="266" t="str">
        <f>'BI - Data + Results'!B14</f>
        <v>Aluminium (electronic purity)</v>
      </c>
      <c r="C27" s="247"/>
      <c r="D27" s="233"/>
      <c r="E27" s="259"/>
      <c r="F27" s="259"/>
      <c r="H27" s="227"/>
      <c r="I27" s="264"/>
    </row>
    <row r="28" spans="2:9" ht="14.5" thickTop="1" thickBot="1" x14ac:dyDescent="0.4">
      <c r="B28" s="266" t="str">
        <f>'BI - Data + Results'!B15</f>
        <v>Aluminium (low-CO2, with EPD)</v>
      </c>
      <c r="C28" s="247"/>
      <c r="D28" s="259"/>
      <c r="E28" s="259"/>
      <c r="F28" s="259"/>
      <c r="H28" s="227"/>
      <c r="I28" s="264"/>
    </row>
    <row r="29" spans="2:9" ht="14.5" hidden="1" thickTop="1" thickBot="1" x14ac:dyDescent="0.4">
      <c r="B29" s="266" t="str">
        <f>'BI - Data + Results'!B16</f>
        <v>Brass</v>
      </c>
      <c r="C29" s="269"/>
      <c r="D29" s="227"/>
      <c r="H29" s="227"/>
      <c r="I29" s="264"/>
    </row>
    <row r="30" spans="2:9" ht="14.5" hidden="1" thickTop="1" thickBot="1" x14ac:dyDescent="0.4">
      <c r="B30" s="266" t="str">
        <f>'BI - Data + Results'!B17</f>
        <v>Bronze</v>
      </c>
      <c r="C30" s="269"/>
      <c r="D30" s="227"/>
      <c r="H30" s="227"/>
      <c r="I30" s="264"/>
    </row>
    <row r="31" spans="2:9" ht="14.5" hidden="1" thickTop="1" thickBot="1" x14ac:dyDescent="0.4">
      <c r="B31" s="266" t="str">
        <f>'BI - Data + Results'!B18</f>
        <v>Cement (CEM I)</v>
      </c>
      <c r="C31" s="269"/>
      <c r="D31" s="227"/>
      <c r="H31" s="227"/>
      <c r="I31" s="264"/>
    </row>
    <row r="32" spans="2:9" ht="14.5" hidden="1" thickTop="1" thickBot="1" x14ac:dyDescent="0.4">
      <c r="B32" s="266" t="str">
        <f>'BI - Data + Results'!B19</f>
        <v>Cement (CEM II)</v>
      </c>
      <c r="C32" s="269"/>
      <c r="D32" s="227"/>
      <c r="H32" s="227"/>
      <c r="I32" s="264"/>
    </row>
    <row r="33" spans="2:9" ht="14.5" hidden="1" thickTop="1" thickBot="1" x14ac:dyDescent="0.4">
      <c r="B33" s="266" t="str">
        <f>'BI - Data + Results'!B20</f>
        <v>Cement (CEM III/A)</v>
      </c>
      <c r="C33" s="269"/>
      <c r="D33" s="227"/>
      <c r="H33" s="227"/>
      <c r="I33" s="264"/>
    </row>
    <row r="34" spans="2:9" ht="14.5" hidden="1" thickTop="1" thickBot="1" x14ac:dyDescent="0.4">
      <c r="B34" s="266" t="str">
        <f>'BI - Data + Results'!B21</f>
        <v>Cement (CEM III/B)</v>
      </c>
      <c r="C34" s="269"/>
      <c r="D34" s="227"/>
      <c r="H34" s="227"/>
      <c r="I34" s="264"/>
    </row>
    <row r="35" spans="2:9" ht="14.5" hidden="1" thickTop="1" thickBot="1" x14ac:dyDescent="0.4">
      <c r="B35" s="266" t="str">
        <f>'BI - Data + Results'!B22</f>
        <v>Cement (other)</v>
      </c>
      <c r="C35" s="269"/>
      <c r="D35" s="227"/>
      <c r="H35" s="227"/>
      <c r="I35" s="264"/>
    </row>
    <row r="36" spans="2:9" ht="14.5" hidden="1" thickTop="1" thickBot="1" x14ac:dyDescent="0.4">
      <c r="B36" s="266" t="str">
        <f>'BI - Data + Results'!B23</f>
        <v>Circuit board</v>
      </c>
      <c r="C36" s="269"/>
      <c r="H36" s="227"/>
      <c r="I36" s="264"/>
    </row>
    <row r="37" spans="2:9" ht="14.5" hidden="1" thickTop="1" thickBot="1" x14ac:dyDescent="0.4">
      <c r="B37" s="266" t="str">
        <f>'BI - Data + Results'!B24</f>
        <v>Clay expanded</v>
      </c>
      <c r="C37" s="269"/>
      <c r="H37" s="227"/>
      <c r="I37" s="264"/>
    </row>
    <row r="38" spans="2:9" ht="14.5" thickTop="1" thickBot="1" x14ac:dyDescent="0.4">
      <c r="B38" s="266" t="str">
        <f>'BI - Data + Results'!B25</f>
        <v>Copper (electronic purity)</v>
      </c>
      <c r="C38" s="247"/>
      <c r="D38" s="233"/>
      <c r="E38" s="259"/>
      <c r="F38" s="259"/>
      <c r="H38" s="227"/>
      <c r="I38" s="264"/>
    </row>
    <row r="39" spans="2:9" ht="14.5" thickTop="1" thickBot="1" x14ac:dyDescent="0.4">
      <c r="B39" s="266" t="str">
        <f>'BI - Data + Results'!B26</f>
        <v>Copper (low CO2, with EPD)</v>
      </c>
      <c r="C39" s="247"/>
      <c r="D39" s="259"/>
      <c r="E39" s="259"/>
      <c r="F39" s="259"/>
      <c r="H39" s="227"/>
      <c r="I39" s="264"/>
    </row>
    <row r="40" spans="2:9" ht="14.5" thickTop="1" thickBot="1" x14ac:dyDescent="0.4">
      <c r="B40" s="266" t="str">
        <f>'BI - Data + Results'!B27</f>
        <v>Copper (mechanical purity)</v>
      </c>
      <c r="C40" s="247"/>
      <c r="D40" s="234"/>
      <c r="E40" s="259"/>
      <c r="F40" s="259"/>
      <c r="H40" s="227"/>
      <c r="I40" s="264"/>
    </row>
    <row r="41" spans="2:9" ht="14.5" thickTop="1" thickBot="1" x14ac:dyDescent="0.4">
      <c r="B41" s="266" t="str">
        <f>'BI - Data + Results'!B28</f>
        <v>Copper (tinned)</v>
      </c>
      <c r="C41" s="247"/>
      <c r="D41" s="234"/>
      <c r="E41" s="259"/>
      <c r="F41" s="259"/>
      <c r="H41" s="227"/>
      <c r="I41" s="264"/>
    </row>
    <row r="42" spans="2:9" ht="14.5" hidden="1" thickTop="1" thickBot="1" x14ac:dyDescent="0.4">
      <c r="B42" s="266" t="str">
        <f>'BI - Data + Results'!B29</f>
        <v>Cork</v>
      </c>
      <c r="C42" s="269"/>
      <c r="H42" s="227"/>
      <c r="I42" s="264"/>
    </row>
    <row r="43" spans="2:9" ht="14.5" hidden="1" thickTop="1" thickBot="1" x14ac:dyDescent="0.4">
      <c r="B43" s="266" t="str">
        <f>'BI - Data + Results'!B30</f>
        <v>Crushed limestone</v>
      </c>
      <c r="C43" s="269"/>
      <c r="D43" s="270"/>
      <c r="H43" s="227"/>
      <c r="I43" s="264"/>
    </row>
    <row r="44" spans="2:9" ht="14.5" hidden="1" thickTop="1" thickBot="1" x14ac:dyDescent="0.4">
      <c r="B44" s="266" t="str">
        <f>'BI - Data + Results'!B31</f>
        <v>Epoxy resin</v>
      </c>
      <c r="C44" s="269"/>
      <c r="D44" s="270"/>
      <c r="H44" s="227"/>
      <c r="I44" s="264"/>
    </row>
    <row r="45" spans="2:9" ht="14.5" thickTop="1" thickBot="1" x14ac:dyDescent="0.4">
      <c r="B45" s="266" t="str">
        <f>'BI - Data + Results'!B32</f>
        <v>Fibreglass (optics)</v>
      </c>
      <c r="C45" s="247"/>
      <c r="D45" s="259"/>
      <c r="E45" s="259"/>
      <c r="F45" s="259"/>
      <c r="H45" s="227"/>
      <c r="I45" s="264"/>
    </row>
    <row r="46" spans="2:9" ht="14.5" thickTop="1" thickBot="1" x14ac:dyDescent="0.4">
      <c r="B46" s="266" t="str">
        <f>'BI - Data + Results'!B33</f>
        <v>Glass-fibre reinforced plastic</v>
      </c>
      <c r="C46" s="247"/>
      <c r="D46" s="259"/>
      <c r="E46" s="259"/>
      <c r="F46" s="259"/>
      <c r="H46" s="227"/>
      <c r="I46" s="264"/>
    </row>
    <row r="47" spans="2:9" ht="14.5" thickTop="1" thickBot="1" x14ac:dyDescent="0.4">
      <c r="B47" s="266" t="str">
        <f>'BI - Data + Results'!B34</f>
        <v>Glue</v>
      </c>
      <c r="C47" s="247"/>
      <c r="D47" s="259"/>
      <c r="E47" s="259"/>
      <c r="F47" s="259"/>
      <c r="H47" s="227"/>
      <c r="I47" s="264"/>
    </row>
    <row r="48" spans="2:9" ht="14.5" hidden="1" thickTop="1" thickBot="1" x14ac:dyDescent="0.4">
      <c r="B48" s="266" t="str">
        <f>'BI - Data + Results'!B35</f>
        <v>Gold</v>
      </c>
      <c r="C48" s="269"/>
      <c r="D48" s="227"/>
      <c r="H48" s="227"/>
      <c r="I48" s="264"/>
    </row>
    <row r="49" spans="2:9" ht="14.5" hidden="1" thickTop="1" thickBot="1" x14ac:dyDescent="0.4">
      <c r="B49" s="266" t="str">
        <f>'BI - Data + Results'!B36</f>
        <v>Grit (stone for concrete)</v>
      </c>
      <c r="C49" s="269"/>
      <c r="D49" s="227"/>
      <c r="H49" s="227"/>
      <c r="I49" s="264"/>
    </row>
    <row r="50" spans="2:9" ht="14.5" thickTop="1" thickBot="1" x14ac:dyDescent="0.4">
      <c r="B50" s="266" t="str">
        <f>'BI - Data + Results'!B37</f>
        <v>HDPE</v>
      </c>
      <c r="C50" s="247"/>
      <c r="D50" s="233"/>
      <c r="E50" s="259"/>
      <c r="F50" s="259"/>
      <c r="H50" s="227"/>
      <c r="I50" s="264"/>
    </row>
    <row r="51" spans="2:9" ht="14.5" thickTop="1" thickBot="1" x14ac:dyDescent="0.4">
      <c r="B51" s="266" t="str">
        <f>'BI - Data + Results'!B38</f>
        <v>Ink</v>
      </c>
      <c r="C51" s="247"/>
      <c r="D51" s="259"/>
      <c r="E51" s="259"/>
      <c r="F51" s="259"/>
      <c r="H51" s="227"/>
      <c r="I51" s="264"/>
    </row>
    <row r="52" spans="2:9" ht="14.5" hidden="1" thickTop="1" thickBot="1" x14ac:dyDescent="0.4">
      <c r="B52" s="266" t="str">
        <f>'BI - Data + Results'!B39</f>
        <v>Insulating/ switch gas SF6</v>
      </c>
      <c r="C52" s="253">
        <f>C177</f>
        <v>0</v>
      </c>
      <c r="E52" s="271" t="s">
        <v>558</v>
      </c>
      <c r="H52" s="227"/>
      <c r="I52" s="264"/>
    </row>
    <row r="53" spans="2:9" ht="14.5" thickTop="1" thickBot="1" x14ac:dyDescent="0.4">
      <c r="B53" s="266" t="str">
        <f>'BI - Data + Results'!B40</f>
        <v>Iron</v>
      </c>
      <c r="C53" s="247"/>
      <c r="D53" s="233"/>
      <c r="E53" s="259"/>
      <c r="F53" s="259"/>
      <c r="H53" s="227"/>
      <c r="I53" s="264"/>
    </row>
    <row r="54" spans="2:9" ht="14.5" thickTop="1" thickBot="1" x14ac:dyDescent="0.4">
      <c r="B54" s="266" t="str">
        <f>'BI - Data + Results'!B41</f>
        <v>LDPE</v>
      </c>
      <c r="C54" s="247"/>
      <c r="D54" s="259"/>
      <c r="E54" s="259"/>
      <c r="F54" s="259"/>
      <c r="H54" s="227"/>
      <c r="I54" s="264"/>
    </row>
    <row r="55" spans="2:9" ht="14.5" thickTop="1" thickBot="1" x14ac:dyDescent="0.4">
      <c r="B55" s="266" t="str">
        <f>'BI - Data + Results'!B42</f>
        <v>Lead</v>
      </c>
      <c r="C55" s="247"/>
      <c r="D55" s="233"/>
      <c r="E55" s="259"/>
      <c r="F55" s="259"/>
      <c r="H55" s="227"/>
      <c r="I55" s="264"/>
    </row>
    <row r="56" spans="2:9" ht="14.5" thickTop="1" thickBot="1" x14ac:dyDescent="0.4">
      <c r="B56" s="266" t="str">
        <f>'BI - Data + Results'!B43</f>
        <v>LSZH</v>
      </c>
      <c r="C56" s="247"/>
      <c r="D56" s="259"/>
      <c r="E56" s="259"/>
      <c r="F56" s="259"/>
      <c r="H56" s="227"/>
      <c r="I56" s="264"/>
    </row>
    <row r="57" spans="2:9" ht="14.5" thickTop="1" thickBot="1" x14ac:dyDescent="0.4">
      <c r="B57" s="266" t="str">
        <f>'BI - Data + Results'!B44</f>
        <v>MDPE</v>
      </c>
      <c r="C57" s="247"/>
      <c r="D57" s="233"/>
      <c r="E57" s="259"/>
      <c r="F57" s="259"/>
      <c r="H57" s="227"/>
      <c r="I57" s="264"/>
    </row>
    <row r="58" spans="2:9" ht="14.5" thickTop="1" thickBot="1" x14ac:dyDescent="0.4">
      <c r="B58" s="266" t="str">
        <f>'BI - Data + Results'!B45</f>
        <v>Nickel</v>
      </c>
      <c r="C58" s="247"/>
      <c r="D58" s="233"/>
      <c r="E58" s="259"/>
      <c r="F58" s="259"/>
      <c r="H58" s="227"/>
      <c r="I58" s="264"/>
    </row>
    <row r="59" spans="2:9" ht="14.5" thickTop="1" thickBot="1" x14ac:dyDescent="0.4">
      <c r="B59" s="266" t="str">
        <f>'BI - Data + Results'!B46</f>
        <v>Nylon (PA)</v>
      </c>
      <c r="C59" s="247"/>
      <c r="E59" s="259"/>
      <c r="F59" s="259"/>
      <c r="H59" s="227"/>
      <c r="I59" s="264"/>
    </row>
    <row r="60" spans="2:9" ht="14.5" hidden="1" thickTop="1" thickBot="1" x14ac:dyDescent="0.4">
      <c r="B60" s="266" t="str">
        <f>'BI - Data + Results'!B47</f>
        <v>Oil (Biobased Ester)</v>
      </c>
      <c r="C60" s="269"/>
      <c r="H60" s="227"/>
      <c r="I60" s="264"/>
    </row>
    <row r="61" spans="2:9" ht="14.5" thickTop="1" thickBot="1" x14ac:dyDescent="0.4">
      <c r="B61" s="266" t="str">
        <f>'BI - Data + Results'!B48</f>
        <v>Oil (lubrication)</v>
      </c>
      <c r="C61" s="247"/>
      <c r="D61" s="259"/>
      <c r="E61" s="259"/>
      <c r="F61" s="259"/>
      <c r="H61" s="227"/>
      <c r="I61" s="264"/>
    </row>
    <row r="62" spans="2:9" ht="14.5" hidden="1" thickTop="1" thickBot="1" x14ac:dyDescent="0.4">
      <c r="B62" s="266" t="str">
        <f>'BI - Data + Results'!B49</f>
        <v>Oil (Standard Mineral)</v>
      </c>
      <c r="C62" s="269"/>
      <c r="H62" s="227"/>
      <c r="I62" s="264"/>
    </row>
    <row r="63" spans="2:9" ht="14.5" hidden="1" thickTop="1" thickBot="1" x14ac:dyDescent="0.4">
      <c r="B63" s="266" t="str">
        <f>'BI - Data + Results'!B50</f>
        <v>PA6 (Nylon 6)</v>
      </c>
      <c r="C63" s="269"/>
      <c r="D63" s="227"/>
      <c r="H63" s="227"/>
      <c r="I63" s="264"/>
    </row>
    <row r="64" spans="2:9" ht="14.5" hidden="1" thickTop="1" thickBot="1" x14ac:dyDescent="0.4">
      <c r="B64" s="266" t="str">
        <f>'BI - Data + Results'!B51</f>
        <v>PA6.6 (nylon 6.6)</v>
      </c>
      <c r="C64" s="269"/>
      <c r="D64" s="227"/>
      <c r="H64" s="227"/>
      <c r="I64" s="264"/>
    </row>
    <row r="65" spans="2:9" ht="14.5" hidden="1" thickTop="1" thickBot="1" x14ac:dyDescent="0.4">
      <c r="B65" s="266" t="str">
        <f>'BI - Data + Results'!B52</f>
        <v>Paint</v>
      </c>
      <c r="C65" s="269"/>
      <c r="H65" s="227"/>
      <c r="I65" s="264"/>
    </row>
    <row r="66" spans="2:9" ht="14.5" thickTop="1" thickBot="1" x14ac:dyDescent="0.4">
      <c r="B66" s="266" t="str">
        <f>'BI - Data + Results'!B53</f>
        <v>Paper</v>
      </c>
      <c r="C66" s="247"/>
      <c r="D66" s="259"/>
      <c r="E66" s="259"/>
      <c r="F66" s="259"/>
      <c r="H66" s="227"/>
      <c r="I66" s="264"/>
    </row>
    <row r="67" spans="2:9" ht="14.5" thickTop="1" thickBot="1" x14ac:dyDescent="0.4">
      <c r="B67" s="266" t="str">
        <f>'BI - Data + Results'!B54</f>
        <v>PBT</v>
      </c>
      <c r="C67" s="247"/>
      <c r="D67" s="259"/>
      <c r="E67" s="259"/>
      <c r="F67" s="259"/>
      <c r="H67" s="227"/>
      <c r="I67" s="264"/>
    </row>
    <row r="68" spans="2:9" ht="14.5" hidden="1" thickTop="1" thickBot="1" x14ac:dyDescent="0.4">
      <c r="B68" s="266" t="str">
        <f>'BI - Data + Results'!B55</f>
        <v>PC</v>
      </c>
      <c r="C68" s="269"/>
      <c r="D68" s="227"/>
      <c r="H68" s="227"/>
      <c r="I68" s="264"/>
    </row>
    <row r="69" spans="2:9" ht="14.5" hidden="1" thickTop="1" thickBot="1" x14ac:dyDescent="0.4">
      <c r="B69" s="266" t="str">
        <f>'BI - Data + Results'!B56</f>
        <v>PC GF10%</v>
      </c>
      <c r="C69" s="269"/>
      <c r="H69" s="227"/>
      <c r="I69" s="264"/>
    </row>
    <row r="70" spans="2:9" ht="14.5" thickTop="1" thickBot="1" x14ac:dyDescent="0.4">
      <c r="B70" s="266" t="str">
        <f>'BI - Data + Results'!B57</f>
        <v>PE (biobased)</v>
      </c>
      <c r="C70" s="247"/>
      <c r="D70" s="233"/>
      <c r="E70" s="259"/>
      <c r="F70" s="259"/>
      <c r="H70" s="227"/>
      <c r="I70" s="264"/>
    </row>
    <row r="71" spans="2:9" ht="14.5" thickTop="1" thickBot="1" x14ac:dyDescent="0.4">
      <c r="B71" s="266" t="str">
        <f>'BI - Data + Results'!B58</f>
        <v>PE (fossil)</v>
      </c>
      <c r="C71" s="247"/>
      <c r="D71" s="233"/>
      <c r="E71" s="259"/>
      <c r="F71" s="259"/>
      <c r="H71" s="227"/>
      <c r="I71" s="264"/>
    </row>
    <row r="72" spans="2:9" ht="14.5" thickTop="1" thickBot="1" x14ac:dyDescent="0.4">
      <c r="B72" s="266" t="str">
        <f>'BI - Data + Results'!B59</f>
        <v>PET</v>
      </c>
      <c r="C72" s="247"/>
      <c r="D72" s="233"/>
      <c r="E72" s="259"/>
      <c r="F72" s="259"/>
      <c r="H72" s="227"/>
      <c r="I72" s="264"/>
    </row>
    <row r="73" spans="2:9" ht="14.5" thickTop="1" thickBot="1" x14ac:dyDescent="0.4">
      <c r="B73" s="266" t="str">
        <f>'BI - Data + Results'!B60</f>
        <v>Pigment</v>
      </c>
      <c r="C73" s="247"/>
      <c r="D73" s="259"/>
      <c r="E73" s="259"/>
      <c r="F73" s="259"/>
      <c r="H73" s="227"/>
      <c r="I73" s="264"/>
    </row>
    <row r="74" spans="2:9" ht="14.5" hidden="1" thickTop="1" thickBot="1" x14ac:dyDescent="0.4">
      <c r="B74" s="266" t="str">
        <f>'BI - Data + Results'!B61</f>
        <v>Plasticiser for concrete</v>
      </c>
      <c r="C74" s="269"/>
      <c r="H74" s="227"/>
      <c r="I74" s="264"/>
    </row>
    <row r="75" spans="2:9" ht="14.5" thickTop="1" thickBot="1" x14ac:dyDescent="0.4">
      <c r="B75" s="266" t="str">
        <f>'BI - Data + Results'!B62</f>
        <v>Polyester</v>
      </c>
      <c r="C75" s="247"/>
      <c r="D75" s="233"/>
      <c r="E75" s="259"/>
      <c r="F75" s="259"/>
      <c r="H75" s="227"/>
      <c r="I75" s="264"/>
    </row>
    <row r="76" spans="2:9" ht="14.5" hidden="1" thickTop="1" thickBot="1" x14ac:dyDescent="0.4">
      <c r="B76" s="266" t="str">
        <f>'BI - Data + Results'!B63</f>
        <v>Polystyrene</v>
      </c>
      <c r="C76" s="269"/>
      <c r="D76" s="227"/>
      <c r="H76" s="227"/>
      <c r="I76" s="264"/>
    </row>
    <row r="77" spans="2:9" ht="14.5" hidden="1" thickTop="1" thickBot="1" x14ac:dyDescent="0.4">
      <c r="B77" s="266" t="str">
        <f>'BI - Data + Results'!B64</f>
        <v>Porcelain/ceramics</v>
      </c>
      <c r="C77" s="269"/>
      <c r="D77" s="227"/>
      <c r="H77" s="227"/>
      <c r="I77" s="264"/>
    </row>
    <row r="78" spans="2:9" ht="14.5" thickTop="1" thickBot="1" x14ac:dyDescent="0.4">
      <c r="B78" s="266" t="str">
        <f>'BI - Data + Results'!B65</f>
        <v>PP</v>
      </c>
      <c r="C78" s="247"/>
      <c r="D78" s="233"/>
      <c r="E78" s="259"/>
      <c r="F78" s="259"/>
      <c r="H78" s="227"/>
      <c r="I78" s="264"/>
    </row>
    <row r="79" spans="2:9" ht="14.5" thickTop="1" thickBot="1" x14ac:dyDescent="0.4">
      <c r="B79" s="266" t="str">
        <f>'BI - Data + Results'!B66</f>
        <v>PP (semicon)</v>
      </c>
      <c r="C79" s="247"/>
      <c r="D79" s="233"/>
      <c r="E79" s="259"/>
      <c r="F79" s="259"/>
      <c r="H79" s="227"/>
      <c r="I79" s="264"/>
    </row>
    <row r="80" spans="2:9" ht="14.5" hidden="1" thickTop="1" thickBot="1" x14ac:dyDescent="0.4">
      <c r="B80" s="266" t="str">
        <f>'BI - Data + Results'!B67</f>
        <v>Pressboard</v>
      </c>
      <c r="C80" s="269"/>
      <c r="H80" s="227"/>
      <c r="I80" s="264"/>
    </row>
    <row r="81" spans="2:9" ht="14.5" thickTop="1" thickBot="1" x14ac:dyDescent="0.4">
      <c r="B81" s="266" t="str">
        <f>'BI - Data + Results'!B68</f>
        <v>PVC</v>
      </c>
      <c r="C81" s="247"/>
      <c r="D81" s="233"/>
      <c r="E81" s="259"/>
      <c r="F81" s="259"/>
      <c r="H81" s="227"/>
      <c r="I81" s="264"/>
    </row>
    <row r="82" spans="2:9" ht="14.5" thickTop="1" thickBot="1" x14ac:dyDescent="0.4">
      <c r="B82" s="266" t="str">
        <f>'BI - Data + Results'!B69</f>
        <v>PVC (biobased)</v>
      </c>
      <c r="C82" s="247"/>
      <c r="D82" s="233"/>
      <c r="E82" s="259"/>
      <c r="F82" s="259"/>
      <c r="H82" s="227"/>
      <c r="I82" s="264"/>
    </row>
    <row r="83" spans="2:9" ht="14.5" thickTop="1" thickBot="1" x14ac:dyDescent="0.4">
      <c r="B83" s="266" t="str">
        <f>'BI - Data + Results'!B70</f>
        <v>Rubber (not crosslinked)</v>
      </c>
      <c r="C83" s="247"/>
      <c r="D83" s="233"/>
      <c r="E83" s="259"/>
      <c r="F83" s="259"/>
      <c r="H83" s="227"/>
      <c r="I83" s="264"/>
    </row>
    <row r="84" spans="2:9" ht="14.5" hidden="1" thickTop="1" thickBot="1" x14ac:dyDescent="0.4">
      <c r="B84" s="266" t="str">
        <f>'BI - Data + Results'!B71</f>
        <v>Sand for concrete</v>
      </c>
      <c r="C84" s="269"/>
      <c r="D84" s="227"/>
      <c r="H84" s="227"/>
      <c r="I84" s="264"/>
    </row>
    <row r="85" spans="2:9" ht="14.5" hidden="1" thickTop="1" thickBot="1" x14ac:dyDescent="0.4">
      <c r="B85" s="266" t="str">
        <f>'BI - Data + Results'!B72</f>
        <v>Silicone insulation</v>
      </c>
      <c r="C85" s="269"/>
      <c r="H85" s="227"/>
      <c r="I85" s="264"/>
    </row>
    <row r="86" spans="2:9" ht="14.5" hidden="1" thickTop="1" thickBot="1" x14ac:dyDescent="0.4">
      <c r="B86" s="266" t="str">
        <f>'BI - Data + Results'!B73</f>
        <v>Silver</v>
      </c>
      <c r="C86" s="269"/>
      <c r="D86" s="227"/>
      <c r="H86" s="227"/>
      <c r="I86" s="264"/>
    </row>
    <row r="87" spans="2:9" ht="14.5" thickTop="1" thickBot="1" x14ac:dyDescent="0.4">
      <c r="B87" s="266" t="str">
        <f>'BI - Data + Results'!B74</f>
        <v>Steel</v>
      </c>
      <c r="C87" s="247"/>
      <c r="D87" s="233"/>
      <c r="E87" s="259"/>
      <c r="F87" s="259"/>
      <c r="H87" s="227"/>
      <c r="I87" s="264"/>
    </row>
    <row r="88" spans="2:9" ht="14.5" thickTop="1" thickBot="1" x14ac:dyDescent="0.4">
      <c r="B88" s="266" t="str">
        <f>'BI - Data + Results'!B75</f>
        <v>Steel (carbon steel)</v>
      </c>
      <c r="C88" s="247"/>
      <c r="D88" s="233"/>
      <c r="E88" s="259"/>
      <c r="F88" s="259"/>
      <c r="H88" s="227"/>
      <c r="I88" s="264"/>
    </row>
    <row r="89" spans="2:9" ht="14.5" hidden="1" thickTop="1" thickBot="1" x14ac:dyDescent="0.4">
      <c r="B89" s="266" t="str">
        <f>'BI - Data + Results'!B76</f>
        <v>Steel (grain oriented electrical steel)</v>
      </c>
      <c r="C89" s="269"/>
      <c r="D89" s="227"/>
      <c r="H89" s="227"/>
      <c r="I89" s="264"/>
    </row>
    <row r="90" spans="2:9" ht="14.5" thickTop="1" thickBot="1" x14ac:dyDescent="0.4">
      <c r="B90" s="266" t="str">
        <f>'BI - Data + Results'!B77</f>
        <v>Steel (low-CO2, DRI hydrogen, with EPD)</v>
      </c>
      <c r="C90" s="247"/>
      <c r="D90" s="259"/>
      <c r="E90" s="259"/>
      <c r="F90" s="259"/>
      <c r="H90" s="227"/>
      <c r="I90" s="264"/>
    </row>
    <row r="91" spans="2:9" ht="14.5" thickTop="1" thickBot="1" x14ac:dyDescent="0.4">
      <c r="B91" s="266" t="str">
        <f>'BI - Data + Results'!B78</f>
        <v>Steel (medium-CO2, DRI natural gas, with EPD)</v>
      </c>
      <c r="C91" s="247"/>
      <c r="D91" s="259"/>
      <c r="E91" s="259"/>
      <c r="F91" s="259"/>
      <c r="H91" s="227"/>
      <c r="I91" s="264"/>
    </row>
    <row r="92" spans="2:9" ht="14.5" hidden="1" thickTop="1" thickBot="1" x14ac:dyDescent="0.4">
      <c r="B92" s="266" t="str">
        <f>'BI - Data + Results'!B79</f>
        <v>Steel (stainless steel)</v>
      </c>
      <c r="C92" s="269"/>
      <c r="D92" s="227"/>
      <c r="H92" s="227"/>
      <c r="I92" s="264"/>
    </row>
    <row r="93" spans="2:9" ht="14.5" hidden="1" thickTop="1" thickBot="1" x14ac:dyDescent="0.4">
      <c r="B93" s="266" t="str">
        <f>'BI - Data + Results'!B80</f>
        <v>Steel (zinc plated)</v>
      </c>
      <c r="C93" s="269"/>
      <c r="D93" s="227"/>
      <c r="H93" s="227"/>
      <c r="I93" s="264"/>
    </row>
    <row r="94" spans="2:9" ht="14.5" thickTop="1" thickBot="1" x14ac:dyDescent="0.4">
      <c r="B94" s="266" t="str">
        <f>'BI - Data + Results'!B81</f>
        <v>Tantalum</v>
      </c>
      <c r="C94" s="247"/>
      <c r="D94" s="233"/>
      <c r="E94" s="259"/>
      <c r="F94" s="259"/>
      <c r="H94" s="227"/>
      <c r="I94" s="264"/>
    </row>
    <row r="95" spans="2:9" ht="14.5" thickTop="1" thickBot="1" x14ac:dyDescent="0.4">
      <c r="B95" s="266" t="str">
        <f>'BI - Data + Results'!B82</f>
        <v>Tin</v>
      </c>
      <c r="C95" s="247"/>
      <c r="D95" s="233"/>
      <c r="E95" s="259"/>
      <c r="F95" s="259"/>
      <c r="H95" s="227"/>
      <c r="I95" s="264"/>
    </row>
    <row r="96" spans="2:9" ht="14.5" thickTop="1" thickBot="1" x14ac:dyDescent="0.4">
      <c r="B96" s="266" t="str">
        <f>'BI - Data + Results'!B83</f>
        <v>Tungsten</v>
      </c>
      <c r="C96" s="247"/>
      <c r="D96" s="233"/>
      <c r="E96" s="259"/>
      <c r="F96" s="259"/>
      <c r="H96" s="227"/>
      <c r="I96" s="264"/>
    </row>
    <row r="97" spans="2:9" ht="14.5" hidden="1" thickTop="1" thickBot="1" x14ac:dyDescent="0.4">
      <c r="B97" s="266" t="str">
        <f>'BI - Data + Results'!B84</f>
        <v>Water (for concrete)</v>
      </c>
      <c r="C97" s="269"/>
      <c r="H97" s="227"/>
      <c r="I97" s="264"/>
    </row>
    <row r="98" spans="2:9" ht="14.5" thickTop="1" thickBot="1" x14ac:dyDescent="0.4">
      <c r="B98" s="266" t="str">
        <f>'BI - Data + Results'!B85</f>
        <v>Water blocking tapes</v>
      </c>
      <c r="C98" s="247"/>
      <c r="D98" s="259"/>
      <c r="E98" s="259"/>
      <c r="F98" s="259"/>
      <c r="H98" s="227"/>
      <c r="I98" s="264"/>
    </row>
    <row r="99" spans="2:9" ht="14.5" hidden="1" thickTop="1" thickBot="1" x14ac:dyDescent="0.4">
      <c r="B99" s="266" t="str">
        <f>'BI - Data + Results'!B86</f>
        <v>Wood A quality</v>
      </c>
      <c r="C99" s="269"/>
      <c r="H99" s="227"/>
      <c r="I99" s="264"/>
    </row>
    <row r="100" spans="2:9" ht="14.5" hidden="1" thickTop="1" thickBot="1" x14ac:dyDescent="0.4">
      <c r="B100" s="266" t="str">
        <f>'BI - Data + Results'!B87</f>
        <v>Wood B quality</v>
      </c>
      <c r="C100" s="269"/>
      <c r="H100" s="227"/>
      <c r="I100" s="264"/>
    </row>
    <row r="101" spans="2:9" ht="14.5" thickTop="1" thickBot="1" x14ac:dyDescent="0.4">
      <c r="B101" s="266" t="str">
        <f>'BI - Data + Results'!B88</f>
        <v>XLPE (biobased)</v>
      </c>
      <c r="C101" s="247"/>
      <c r="D101" s="233"/>
      <c r="E101" s="259"/>
      <c r="F101" s="259"/>
      <c r="H101" s="227"/>
      <c r="I101" s="264"/>
    </row>
    <row r="102" spans="2:9" ht="14.5" thickTop="1" thickBot="1" x14ac:dyDescent="0.4">
      <c r="B102" s="266" t="str">
        <f>'BI - Data + Results'!B89</f>
        <v>XLPE insulation (natural)</v>
      </c>
      <c r="C102" s="247"/>
      <c r="D102" s="233"/>
      <c r="E102" s="259"/>
      <c r="F102" s="259"/>
      <c r="H102" s="227"/>
      <c r="I102" s="264"/>
    </row>
    <row r="103" spans="2:9" ht="14.5" thickTop="1" thickBot="1" x14ac:dyDescent="0.4">
      <c r="B103" s="266" t="str">
        <f>'BI - Data + Results'!B90</f>
        <v>XLPE Semiconductive (black with carbon)</v>
      </c>
      <c r="C103" s="247"/>
      <c r="D103" s="233"/>
      <c r="E103" s="259"/>
      <c r="F103" s="259"/>
      <c r="H103" s="227"/>
      <c r="I103" s="264"/>
    </row>
    <row r="104" spans="2:9" ht="14.5" thickTop="1" thickBot="1" x14ac:dyDescent="0.4">
      <c r="B104" s="266" t="str">
        <f>'BI - Data + Results'!B91</f>
        <v>Zinc</v>
      </c>
      <c r="C104" s="247"/>
      <c r="D104" s="259"/>
      <c r="E104" s="259"/>
      <c r="F104" s="259"/>
      <c r="H104" s="227"/>
      <c r="I104" s="264"/>
    </row>
    <row r="105" spans="2:9" ht="14.5" hidden="1" thickTop="1" thickBot="1" x14ac:dyDescent="0.4">
      <c r="B105" s="266" t="str">
        <f>'BI - Data + Results'!B92</f>
        <v>ZZ - Additional space for future materials001</v>
      </c>
      <c r="C105" s="269"/>
      <c r="D105" s="227"/>
      <c r="H105" s="227"/>
      <c r="I105" s="264"/>
    </row>
    <row r="106" spans="2:9" ht="14.5" hidden="1" thickTop="1" thickBot="1" x14ac:dyDescent="0.4">
      <c r="B106" s="266" t="str">
        <f>'BI - Data + Results'!B93</f>
        <v>ZZ - Additional space for future materials002</v>
      </c>
      <c r="C106" s="269"/>
      <c r="D106" s="227"/>
      <c r="H106" s="227"/>
      <c r="I106" s="264"/>
    </row>
    <row r="107" spans="2:9" ht="14.5" hidden="1" thickTop="1" thickBot="1" x14ac:dyDescent="0.4">
      <c r="B107" s="266" t="str">
        <f>'BI - Data + Results'!B94</f>
        <v>ZZ - Additional space for future materials003</v>
      </c>
      <c r="C107" s="269"/>
      <c r="D107" s="227"/>
      <c r="H107" s="227"/>
      <c r="I107" s="264"/>
    </row>
    <row r="108" spans="2:9" ht="28" thickTop="1" thickBot="1" x14ac:dyDescent="0.4">
      <c r="B108" s="267" t="s">
        <v>141</v>
      </c>
      <c r="C108" s="249">
        <f>C18-SUM(C25:C107)</f>
        <v>0</v>
      </c>
      <c r="D108" s="223">
        <v>0</v>
      </c>
      <c r="H108" s="223">
        <v>0</v>
      </c>
      <c r="I108" s="224" t="s">
        <v>142</v>
      </c>
    </row>
    <row r="109" spans="2:9" ht="78" customHeight="1" thickTop="1" x14ac:dyDescent="0.35">
      <c r="B109" s="293" t="s">
        <v>533</v>
      </c>
      <c r="C109" s="293"/>
      <c r="D109" s="293"/>
      <c r="E109" s="293"/>
      <c r="F109" s="293"/>
    </row>
    <row r="110" spans="2:9" hidden="1" x14ac:dyDescent="0.35">
      <c r="C110" s="8"/>
      <c r="E110" s="8"/>
      <c r="F110" s="8"/>
      <c r="H110" s="7"/>
    </row>
    <row r="111" spans="2:9" hidden="1" x14ac:dyDescent="0.35">
      <c r="B111" s="38" t="s">
        <v>143</v>
      </c>
      <c r="H111" s="7"/>
    </row>
    <row r="112" spans="2:9" hidden="1" x14ac:dyDescent="0.35">
      <c r="B112" s="27" t="s">
        <v>144</v>
      </c>
      <c r="C112" s="247"/>
      <c r="D112" s="3" t="str">
        <f>"kWh/" &amp; BI_ref_functional_unit</f>
        <v>kWh/m</v>
      </c>
      <c r="H112" s="7"/>
    </row>
    <row r="113" spans="2:8" hidden="1" x14ac:dyDescent="0.35">
      <c r="B113" s="27" t="s">
        <v>145</v>
      </c>
      <c r="C113" s="247"/>
      <c r="D113" s="3" t="str">
        <f>"kWh/" &amp; BI_ref_functional_unit</f>
        <v>kWh/m</v>
      </c>
      <c r="H113" s="7"/>
    </row>
    <row r="114" spans="2:8" hidden="1" x14ac:dyDescent="0.35">
      <c r="B114" s="27" t="s">
        <v>146</v>
      </c>
      <c r="C114" s="247"/>
      <c r="D114" s="3" t="str">
        <f>"MJ/" &amp; BI_ref_functional_unit</f>
        <v>MJ/m</v>
      </c>
      <c r="H114" s="7"/>
    </row>
    <row r="115" spans="2:8" hidden="1" x14ac:dyDescent="0.35">
      <c r="B115" s="27" t="s">
        <v>147</v>
      </c>
      <c r="C115" s="247"/>
      <c r="D115" s="3" t="str">
        <f>"MJ/" &amp; BI_ref_functional_unit</f>
        <v>MJ/m</v>
      </c>
      <c r="H115" s="7"/>
    </row>
    <row r="116" spans="2:8" x14ac:dyDescent="0.35"/>
    <row r="117" spans="2:8" x14ac:dyDescent="0.35">
      <c r="B117" s="4" t="s">
        <v>148</v>
      </c>
    </row>
    <row r="118" spans="2:8" x14ac:dyDescent="0.35">
      <c r="B118" s="27" t="s">
        <v>149</v>
      </c>
      <c r="C118" s="247"/>
      <c r="D118" s="1" t="s">
        <v>150</v>
      </c>
    </row>
    <row r="119" spans="2:8" x14ac:dyDescent="0.35">
      <c r="B119" s="27" t="s">
        <v>151</v>
      </c>
      <c r="C119" s="247"/>
      <c r="D119" s="1" t="s">
        <v>150</v>
      </c>
    </row>
    <row r="120" spans="2:8" x14ac:dyDescent="0.35">
      <c r="B120" s="27" t="s">
        <v>152</v>
      </c>
      <c r="C120" s="247"/>
      <c r="D120" s="1" t="s">
        <v>150</v>
      </c>
    </row>
    <row r="121" spans="2:8" x14ac:dyDescent="0.35">
      <c r="B121" s="28" t="s">
        <v>153</v>
      </c>
      <c r="C121" s="247"/>
      <c r="D121" s="1" t="s">
        <v>150</v>
      </c>
    </row>
    <row r="122" spans="2:8" x14ac:dyDescent="0.35">
      <c r="B122" s="28" t="s">
        <v>154</v>
      </c>
      <c r="C122" s="247"/>
      <c r="D122" s="1" t="s">
        <v>150</v>
      </c>
    </row>
    <row r="123" spans="2:8" x14ac:dyDescent="0.35">
      <c r="B123" s="28" t="s">
        <v>155</v>
      </c>
      <c r="C123" s="247"/>
      <c r="D123" s="1" t="s">
        <v>150</v>
      </c>
    </row>
    <row r="124" spans="2:8" x14ac:dyDescent="0.35">
      <c r="B124" s="28" t="s">
        <v>156</v>
      </c>
      <c r="C124" s="247"/>
      <c r="D124" s="1" t="s">
        <v>150</v>
      </c>
    </row>
    <row r="125" spans="2:8" x14ac:dyDescent="0.35">
      <c r="B125" s="28" t="s">
        <v>157</v>
      </c>
      <c r="C125" s="247"/>
      <c r="D125" s="1" t="s">
        <v>150</v>
      </c>
    </row>
    <row r="126" spans="2:8" hidden="1" x14ac:dyDescent="0.35">
      <c r="H126" s="9"/>
    </row>
    <row r="127" spans="2:8" hidden="1" x14ac:dyDescent="0.35">
      <c r="B127" s="4" t="str">
        <f>"Energy loss (" &amp; BI_ref_assetname_other_asset &amp; ")"</f>
        <v>Energy loss (Other asset)</v>
      </c>
      <c r="H127" s="9"/>
    </row>
    <row r="128" spans="2:8" hidden="1" x14ac:dyDescent="0.35">
      <c r="B128" s="27" t="s">
        <v>158</v>
      </c>
      <c r="C128" s="247"/>
      <c r="D128" s="3" t="str">
        <f>"kWh/" &amp; BI_ref_functional_unit &amp; " per year"</f>
        <v>kWh/m per year</v>
      </c>
      <c r="H128" s="9"/>
    </row>
    <row r="129" spans="2:8" hidden="1" x14ac:dyDescent="0.35">
      <c r="B129" s="27" t="s">
        <v>159</v>
      </c>
      <c r="C129" s="247"/>
      <c r="D129" s="5" t="str">
        <f>"Nm3/" &amp; BI_ref_functional_unit &amp; " per year"</f>
        <v>Nm3/m per year</v>
      </c>
      <c r="H129" s="9"/>
    </row>
    <row r="130" spans="2:8" hidden="1" x14ac:dyDescent="0.35">
      <c r="H130" s="9"/>
    </row>
    <row r="131" spans="2:8" hidden="1" x14ac:dyDescent="0.35">
      <c r="B131" s="4" t="str">
        <f>"Energy loss (" &amp; BI_ref_assetname_gas_tube &amp; ")"</f>
        <v>Energy loss (Pipeline)</v>
      </c>
      <c r="H131" s="9"/>
    </row>
    <row r="132" spans="2:8" hidden="1" x14ac:dyDescent="0.35">
      <c r="B132" s="27" t="s">
        <v>159</v>
      </c>
      <c r="C132" s="247"/>
      <c r="D132" s="5" t="str">
        <f>"Nm3/" &amp; BI_ref_functional_unit &amp; " per year"</f>
        <v>Nm3/m per year</v>
      </c>
      <c r="H132" s="9"/>
    </row>
    <row r="133" spans="2:8" hidden="1" x14ac:dyDescent="0.35">
      <c r="B133" s="27" t="s">
        <v>160</v>
      </c>
      <c r="C133" s="5"/>
      <c r="D133" s="5"/>
      <c r="H133" s="9"/>
    </row>
    <row r="134" spans="2:8" hidden="1" x14ac:dyDescent="0.35">
      <c r="H134" s="9"/>
    </row>
    <row r="135" spans="2:8" hidden="1" x14ac:dyDescent="0.35">
      <c r="B135" s="4" t="str">
        <f>"Energy loss (" &amp; BI_ref_assetname_transformer &amp; ")"</f>
        <v>Energy loss (Transformer)</v>
      </c>
      <c r="H135" s="9"/>
    </row>
    <row r="136" spans="2:8" hidden="1" x14ac:dyDescent="0.35">
      <c r="B136" s="27" t="s">
        <v>108</v>
      </c>
      <c r="C136" s="251" t="str">
        <f>'BI - References'!E37</f>
        <v/>
      </c>
      <c r="D136" s="1" t="s">
        <v>88</v>
      </c>
      <c r="H136" s="9"/>
    </row>
    <row r="137" spans="2:8" hidden="1" x14ac:dyDescent="0.35">
      <c r="B137" s="27" t="s">
        <v>109</v>
      </c>
      <c r="C137" s="251" t="str">
        <f>'BI - References'!E38</f>
        <v/>
      </c>
      <c r="D137" s="1" t="s">
        <v>88</v>
      </c>
      <c r="H137" s="9"/>
    </row>
    <row r="138" spans="2:8" hidden="1" x14ac:dyDescent="0.35">
      <c r="B138" s="27" t="s">
        <v>97</v>
      </c>
      <c r="C138" s="222" t="str">
        <f>'BI - References'!E39</f>
        <v/>
      </c>
      <c r="H138" s="9"/>
    </row>
    <row r="139" spans="2:8" hidden="1" x14ac:dyDescent="0.35">
      <c r="B139" s="27" t="s">
        <v>110</v>
      </c>
      <c r="C139" s="250" t="str">
        <f>'BI - References'!E40</f>
        <v/>
      </c>
      <c r="D139" s="1" t="s">
        <v>111</v>
      </c>
      <c r="H139" s="9"/>
    </row>
    <row r="140" spans="2:8" hidden="1" x14ac:dyDescent="0.35">
      <c r="B140" s="29" t="s">
        <v>161</v>
      </c>
      <c r="C140" s="252"/>
      <c r="D140" s="3" t="str">
        <f>"kW"</f>
        <v>kW</v>
      </c>
      <c r="H140" s="9"/>
    </row>
    <row r="141" spans="2:8" hidden="1" x14ac:dyDescent="0.35">
      <c r="B141" s="27" t="s">
        <v>162</v>
      </c>
      <c r="C141" s="252"/>
      <c r="D141" s="3" t="str">
        <f>"kW"</f>
        <v>kW</v>
      </c>
      <c r="H141" s="9"/>
    </row>
    <row r="142" spans="2:8" hidden="1" x14ac:dyDescent="0.35">
      <c r="B142" s="295" t="s">
        <v>163</v>
      </c>
      <c r="C142" s="295"/>
      <c r="D142" s="295"/>
      <c r="E142" s="295"/>
      <c r="H142" s="9"/>
    </row>
    <row r="143" spans="2:8" hidden="1" x14ac:dyDescent="0.35">
      <c r="B143" s="4"/>
      <c r="H143" s="9"/>
    </row>
    <row r="144" spans="2:8" hidden="1" x14ac:dyDescent="0.35">
      <c r="B144" s="4" t="str">
        <f>"Energy loss (" &amp; BI_ref_assetname_transformer_substation &amp; ")"</f>
        <v>Energy loss (Transformer substation)</v>
      </c>
      <c r="H144" s="9"/>
    </row>
    <row r="145" spans="2:8" hidden="1" x14ac:dyDescent="0.35">
      <c r="B145" s="27" t="s">
        <v>164</v>
      </c>
      <c r="H145" s="9"/>
    </row>
    <row r="146" spans="2:8" hidden="1" x14ac:dyDescent="0.35">
      <c r="H146" s="9"/>
    </row>
    <row r="147" spans="2:8" ht="45" hidden="1" customHeight="1" x14ac:dyDescent="0.35">
      <c r="B147" s="282" t="str">
        <f>"Energy loss (" &amp; BI_ref_assetname_electricity_cable &amp; ") 
Energy loss is calculated using IEC 60287-1-1. Please refer 
to the manual for clarification and prescribed assumptions."</f>
        <v>Energy loss (Electricity cable) 
Energy loss is calculated using IEC 60287-1-1. Please refer 
to the manual for clarification and prescribed assumptions.</v>
      </c>
      <c r="C147" s="282"/>
      <c r="D147" s="282"/>
      <c r="H147" s="9"/>
    </row>
    <row r="148" spans="2:8" hidden="1" x14ac:dyDescent="0.35">
      <c r="B148" s="27" t="s">
        <v>87</v>
      </c>
      <c r="C148" s="253">
        <f>'BI - References'!E11</f>
        <v>0</v>
      </c>
      <c r="D148" s="1" t="s">
        <v>88</v>
      </c>
      <c r="H148" s="9"/>
    </row>
    <row r="149" spans="2:8" hidden="1" x14ac:dyDescent="0.35">
      <c r="B149" s="27" t="s">
        <v>89</v>
      </c>
      <c r="H149" s="9"/>
    </row>
    <row r="150" spans="2:8" hidden="1" x14ac:dyDescent="0.35">
      <c r="B150" s="27" t="s">
        <v>97</v>
      </c>
      <c r="C150" s="99">
        <f>'BI - References'!E13</f>
        <v>1</v>
      </c>
      <c r="H150" s="9"/>
    </row>
    <row r="151" spans="2:8" hidden="1" x14ac:dyDescent="0.35">
      <c r="B151" s="27" t="s">
        <v>91</v>
      </c>
      <c r="C151" s="254">
        <f>'BI - References'!E14</f>
        <v>0</v>
      </c>
      <c r="D151" s="1" t="s">
        <v>92</v>
      </c>
      <c r="H151" s="9"/>
    </row>
    <row r="152" spans="2:8" hidden="1" x14ac:dyDescent="0.35">
      <c r="B152" s="27" t="s">
        <v>165</v>
      </c>
      <c r="C152" s="252"/>
      <c r="D152" s="1" t="str">
        <f>"Ω/" &amp; BI_ref_functional_unit</f>
        <v>Ω/m</v>
      </c>
      <c r="H152" s="9"/>
    </row>
    <row r="153" spans="2:8" hidden="1" x14ac:dyDescent="0.35">
      <c r="B153" s="27" t="s">
        <v>166</v>
      </c>
      <c r="C153" s="252"/>
      <c r="H153" s="9"/>
    </row>
    <row r="154" spans="2:8" ht="30.65" hidden="1" customHeight="1" x14ac:dyDescent="0.45">
      <c r="B154" s="294" t="s">
        <v>167</v>
      </c>
      <c r="C154" s="294"/>
      <c r="D154" s="294"/>
      <c r="E154" s="294"/>
      <c r="H154" s="9"/>
    </row>
    <row r="155" spans="2:8" hidden="1" x14ac:dyDescent="0.35">
      <c r="H155" s="9"/>
    </row>
    <row r="156" spans="2:8" hidden="1" x14ac:dyDescent="0.35">
      <c r="B156" s="4" t="str">
        <f>"Energy loss (" &amp; BI_ref_assetname_switch_gear &amp; ")"</f>
        <v>Energy loss (Switchgear)</v>
      </c>
      <c r="H156" s="9"/>
    </row>
    <row r="157" spans="2:8" hidden="1" x14ac:dyDescent="0.35">
      <c r="B157" s="27" t="s">
        <v>94</v>
      </c>
      <c r="C157" s="253" t="str">
        <f>'BI - References'!E17</f>
        <v/>
      </c>
      <c r="D157" s="1" t="s">
        <v>88</v>
      </c>
      <c r="H157" s="9"/>
    </row>
    <row r="158" spans="2:8" hidden="1" x14ac:dyDescent="0.35">
      <c r="B158" s="27" t="s">
        <v>95</v>
      </c>
      <c r="C158" s="151" t="str">
        <f>'BI - References'!E18</f>
        <v/>
      </c>
      <c r="D158" s="1" t="s">
        <v>96</v>
      </c>
      <c r="H158" s="9"/>
    </row>
    <row r="159" spans="2:8" hidden="1" x14ac:dyDescent="0.35">
      <c r="B159" s="27" t="s">
        <v>97</v>
      </c>
      <c r="C159" s="99" t="str">
        <f>'BI - References'!E19</f>
        <v/>
      </c>
      <c r="H159" s="9"/>
    </row>
    <row r="160" spans="2:8" hidden="1" x14ac:dyDescent="0.35">
      <c r="B160" s="27" t="s">
        <v>98</v>
      </c>
      <c r="C160" s="99" t="str">
        <f>'BI - References'!E20</f>
        <v/>
      </c>
      <c r="H160" s="9"/>
    </row>
    <row r="161" spans="2:8" hidden="1" x14ac:dyDescent="0.35">
      <c r="H161" s="9"/>
    </row>
    <row r="162" spans="2:8" ht="27" hidden="1" x14ac:dyDescent="0.35">
      <c r="C162" s="37" t="s">
        <v>100</v>
      </c>
      <c r="D162" s="37" t="s">
        <v>168</v>
      </c>
      <c r="H162" s="9"/>
    </row>
    <row r="163" spans="2:8" hidden="1" x14ac:dyDescent="0.35">
      <c r="B163" s="34" t="str">
        <f>"Functionality 1" &amp; IF('BI - References'!E23="","", ": " &amp; 'BI - References'!E23)</f>
        <v>Functionality 1</v>
      </c>
      <c r="C163" s="254" t="str">
        <f>'BI - References'!E30</f>
        <v/>
      </c>
      <c r="D163" s="252"/>
      <c r="H163" s="9"/>
    </row>
    <row r="164" spans="2:8" hidden="1" x14ac:dyDescent="0.35">
      <c r="B164" s="34" t="str">
        <f>"Functionality 2" &amp; IF('BI - References'!E24="","", ": " &amp; 'BI - References'!E24)</f>
        <v>Functionality 2</v>
      </c>
      <c r="C164" s="254" t="str">
        <f>'BI - References'!E31</f>
        <v/>
      </c>
      <c r="D164" s="252"/>
      <c r="H164" s="9"/>
    </row>
    <row r="165" spans="2:8" hidden="1" x14ac:dyDescent="0.35">
      <c r="B165" s="34" t="str">
        <f>"Functionality 3" &amp; IF('BI - References'!E25="","", ": " &amp; 'BI - References'!E25)</f>
        <v>Functionality 3</v>
      </c>
      <c r="C165" s="254" t="str">
        <f>'BI - References'!E32</f>
        <v/>
      </c>
      <c r="D165" s="252"/>
      <c r="H165" s="9"/>
    </row>
    <row r="166" spans="2:8" hidden="1" x14ac:dyDescent="0.35">
      <c r="B166" s="34" t="str">
        <f>"Functionality 4" &amp; IF('BI - References'!E26="","", ": " &amp; 'BI - References'!E26)</f>
        <v>Functionality 4</v>
      </c>
      <c r="C166" s="254" t="str">
        <f>'BI - References'!E33</f>
        <v/>
      </c>
      <c r="D166" s="252"/>
      <c r="H166" s="9"/>
    </row>
    <row r="167" spans="2:8" hidden="1" x14ac:dyDescent="0.35">
      <c r="B167" s="34" t="str">
        <f>"Functionality 5" &amp; IF('BI - References'!E27="","", ": " &amp; 'BI - References'!E27)</f>
        <v>Functionality 5</v>
      </c>
      <c r="C167" s="254" t="str">
        <f>'BI - References'!E34</f>
        <v/>
      </c>
      <c r="D167" s="252"/>
      <c r="H167" s="9"/>
    </row>
    <row r="168" spans="2:8" hidden="1" x14ac:dyDescent="0.35">
      <c r="B168" s="34" t="str">
        <f>"Functionality 6" &amp; IF('BI - References'!E28="","", ": " &amp; 'BI - References'!E28)</f>
        <v>Functionality 6</v>
      </c>
      <c r="C168" s="254" t="str">
        <f>'BI - References'!E35</f>
        <v/>
      </c>
      <c r="D168" s="252"/>
      <c r="H168" s="9"/>
    </row>
    <row r="169" spans="2:8" hidden="1" x14ac:dyDescent="0.35">
      <c r="H169" s="9"/>
    </row>
    <row r="170" spans="2:8" hidden="1" x14ac:dyDescent="0.35">
      <c r="B170" s="4" t="str">
        <f>"Emission of insulating/switch gas (" &amp; BI_ref_assetname_switch_gear &amp; ")"</f>
        <v>Emission of insulating/switch gas (Switchgear)</v>
      </c>
      <c r="H170" s="9"/>
    </row>
    <row r="171" spans="2:8" ht="15.5" hidden="1" x14ac:dyDescent="0.35">
      <c r="B171" s="27" t="s">
        <v>169</v>
      </c>
      <c r="C171" s="252"/>
      <c r="D171" s="1" t="s">
        <v>170</v>
      </c>
      <c r="H171" s="9"/>
    </row>
    <row r="172" spans="2:8" ht="27.5" hidden="1" thickBot="1" x14ac:dyDescent="0.4">
      <c r="B172" s="65" t="s">
        <v>171</v>
      </c>
      <c r="C172" s="252"/>
      <c r="D172" s="66" t="s">
        <v>170</v>
      </c>
      <c r="E172" s="283"/>
      <c r="F172" s="283"/>
      <c r="G172" s="283"/>
      <c r="H172" s="9"/>
    </row>
    <row r="173" spans="2:8" ht="14.5" hidden="1" thickTop="1" thickBot="1" x14ac:dyDescent="0.4">
      <c r="B173" s="65" t="s">
        <v>536</v>
      </c>
      <c r="C173" s="82"/>
      <c r="D173" s="66"/>
      <c r="E173" s="6"/>
      <c r="F173" s="6"/>
      <c r="G173" s="6"/>
      <c r="H173" s="9"/>
    </row>
    <row r="174" spans="2:8" ht="27.5" hidden="1" thickTop="1" x14ac:dyDescent="0.35">
      <c r="B174" s="256" t="s">
        <v>539</v>
      </c>
      <c r="C174" s="252"/>
      <c r="D174" s="1" t="s">
        <v>530</v>
      </c>
      <c r="H174" s="9"/>
    </row>
    <row r="175" spans="2:8" ht="27" hidden="1" x14ac:dyDescent="0.35">
      <c r="B175" s="256" t="s">
        <v>540</v>
      </c>
      <c r="C175" s="252"/>
      <c r="D175" s="1" t="s">
        <v>530</v>
      </c>
      <c r="E175" s="67"/>
      <c r="H175" s="9"/>
    </row>
    <row r="176" spans="2:8" ht="15.5" hidden="1" x14ac:dyDescent="0.35">
      <c r="B176" s="27" t="s">
        <v>172</v>
      </c>
      <c r="C176" s="255"/>
      <c r="D176" s="1" t="s">
        <v>173</v>
      </c>
      <c r="H176" s="9"/>
    </row>
    <row r="177" spans="1:8" hidden="1" x14ac:dyDescent="0.35">
      <c r="B177" s="27" t="s">
        <v>557</v>
      </c>
      <c r="C177" s="252">
        <f>C171*C176*IF(D177="g",1000,1)</f>
        <v>0</v>
      </c>
      <c r="D177" s="1" t="str">
        <f>IF(D18="g/unit","g","kg")</f>
        <v>kg</v>
      </c>
      <c r="H177" s="9"/>
    </row>
    <row r="178" spans="1:8" x14ac:dyDescent="0.35"/>
    <row r="179" spans="1:8" x14ac:dyDescent="0.35">
      <c r="A179" s="71"/>
      <c r="B179" s="71"/>
      <c r="C179" s="71"/>
      <c r="D179" s="71"/>
      <c r="E179" s="71"/>
      <c r="F179" s="71"/>
      <c r="G179" s="71"/>
    </row>
    <row r="180" spans="1:8" x14ac:dyDescent="0.35">
      <c r="A180" s="71"/>
      <c r="B180" s="71"/>
      <c r="C180" s="71"/>
      <c r="D180" s="71"/>
      <c r="E180" s="71"/>
      <c r="F180" s="71"/>
      <c r="G180" s="71"/>
    </row>
    <row r="181" spans="1:8" x14ac:dyDescent="0.35">
      <c r="A181" s="71"/>
      <c r="B181" s="71"/>
      <c r="C181" s="71"/>
      <c r="D181" s="71"/>
      <c r="E181" s="71"/>
      <c r="F181" s="71"/>
      <c r="G181" s="71"/>
    </row>
  </sheetData>
  <sheetProtection algorithmName="SHA-512" hashValue="4/jKPkpA000O0SH8qKzPtLesIkwq2irrepIjDMTxeiKJ9BoyLHZ1U41wkkDSe9VqD2fRXlaSazGZ9OShdUym+w==" saltValue="oPLwBr5g5qkzhGk4IvmkMA==" spinCount="100000" sheet="1" objects="1" scenarios="1" selectLockedCells="1"/>
  <dataConsolidate/>
  <mergeCells count="14">
    <mergeCell ref="C13:D13"/>
    <mergeCell ref="C14:D14"/>
    <mergeCell ref="C15:D15"/>
    <mergeCell ref="E172:G172"/>
    <mergeCell ref="A1:G3"/>
    <mergeCell ref="C6:D6"/>
    <mergeCell ref="C7:D7"/>
    <mergeCell ref="C8:D8"/>
    <mergeCell ref="C9:D9"/>
    <mergeCell ref="C10:D10"/>
    <mergeCell ref="B147:D147"/>
    <mergeCell ref="B154:E154"/>
    <mergeCell ref="B142:E142"/>
    <mergeCell ref="B109:F109"/>
  </mergeCells>
  <conditionalFormatting sqref="C22">
    <cfRule type="expression" dxfId="98" priority="5">
      <formula>$C$21&lt;&gt;"yes"</formula>
    </cfRule>
  </conditionalFormatting>
  <conditionalFormatting sqref="C108:D108 H108:I108">
    <cfRule type="expression" dxfId="97" priority="3">
      <formula>$C$108&lt;0</formula>
    </cfRule>
  </conditionalFormatting>
  <conditionalFormatting sqref="C174">
    <cfRule type="expression" dxfId="96" priority="2">
      <formula>$C$174="N/A"</formula>
    </cfRule>
  </conditionalFormatting>
  <conditionalFormatting sqref="C175">
    <cfRule type="expression" dxfId="95" priority="1">
      <formula>$C$175="N/A"</formula>
    </cfRule>
  </conditionalFormatting>
  <dataValidations disablePrompts="1" count="11">
    <dataValidation type="decimal" allowBlank="1" showInputMessage="1" showErrorMessage="1" error="Cell should be between 0-100%" sqref="H25:H107 D59:D67 D55:D57 D25:D53 D69:D107" xr:uid="{00000000-0002-0000-0700-000000000000}">
      <formula1>0</formula1>
      <formula2>1</formula2>
    </dataValidation>
    <dataValidation type="list" showInputMessage="1" showErrorMessage="1" sqref="C21" xr:uid="{00000000-0002-0000-0700-000002000000}">
      <formula1>dd_yes_no</formula1>
    </dataValidation>
    <dataValidation type="list" showInputMessage="1" showErrorMessage="1" sqref="C10:D10" xr:uid="{00000000-0002-0000-0700-000003000000}">
      <formula1>dd_filled_in_by</formula1>
    </dataValidation>
    <dataValidation type="custom" operator="greaterThanOrEqual" showInputMessage="1" showErrorMessage="1" error="Cell can only be changed if &quot;yes&quot; is selected." sqref="C22" xr:uid="{00000000-0002-0000-0700-000004000000}">
      <formula1>C21="yes"</formula1>
    </dataValidation>
    <dataValidation type="decimal" operator="greaterThanOrEqual" allowBlank="1" showInputMessage="1" showErrorMessage="1" error="Cell should be greater than or equal to 0" sqref="C16:C18 D163:D168 C112:C115 C140:C141 C132:C133 C118:C125 C152:C153 C128:C129 C176:C177 C174 C171:C172 C25:C51 C53:C107" xr:uid="{00000000-0002-0000-0700-000006000000}">
      <formula1>0</formula1>
    </dataValidation>
    <dataValidation type="list" showInputMessage="1" showErrorMessage="1" sqref="I25:I108" xr:uid="{00000000-0002-0000-0700-000008000000}">
      <formula1>dd_rec_down</formula1>
    </dataValidation>
    <dataValidation type="whole" operator="greaterThanOrEqual" showInputMessage="1" showErrorMessage="1" sqref="C108" xr:uid="{00000000-0002-0000-0700-000009000000}">
      <formula1>1</formula1>
    </dataValidation>
    <dataValidation operator="greaterThanOrEqual" allowBlank="1" showInputMessage="1" showErrorMessage="1" error="Cell should be greater than or equal to 0" sqref="C136:C139 C163:C168 C157:C160 C52 C150:C151 C148" xr:uid="{00000000-0002-0000-0700-00000A000000}"/>
    <dataValidation type="list" allowBlank="1" showInputMessage="1" showErrorMessage="1" sqref="D18" xr:uid="{DF38050B-F631-4260-9F21-42A2090CC43D}">
      <formula1>"g/unit,kg/unit"</formula1>
    </dataValidation>
    <dataValidation type="custom" operator="greaterThanOrEqual" allowBlank="1" showInputMessage="1" showErrorMessage="1" error="Cell should be greater than or equal to 0" sqref="C175" xr:uid="{70D1C0E9-0B46-4CD1-8780-A44D096F469A}">
      <formula1>OR(AND(ISNUMBER(C175),C175&gt;=0),C175="unknown")</formula1>
    </dataValidation>
    <dataValidation type="list" operator="greaterThanOrEqual" allowBlank="1" showInputMessage="1" showErrorMessage="1" error="Cell should be greater than or equal to 0" sqref="C173" xr:uid="{27AA8320-BFB7-49A5-BF1C-88BBBC456D48}">
      <formula1>dd_switchgas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Button 1">
              <controlPr defaultSize="0" print="0" autoFill="0" autoPict="0" macro="[0]!click_btn_reset_asset3">
                <anchor>
                  <from>
                    <xdr:col>1</xdr:col>
                    <xdr:colOff>31750</xdr:colOff>
                    <xdr:row>0</xdr:row>
                    <xdr:rowOff>152400</xdr:rowOff>
                  </from>
                  <to>
                    <xdr:col>1</xdr:col>
                    <xdr:colOff>984250</xdr:colOff>
                    <xdr:row>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">
    <tabColor rgb="FFFFC000"/>
    <pageSetUpPr autoPageBreaks="0"/>
  </sheetPr>
  <dimension ref="A1:XFC60"/>
  <sheetViews>
    <sheetView showRowColHeaders="0" topLeftCell="A30" zoomScaleNormal="100" workbookViewId="0">
      <selection activeCell="D56" sqref="D56"/>
    </sheetView>
  </sheetViews>
  <sheetFormatPr defaultColWidth="0" defaultRowHeight="13.5" zeroHeight="1" x14ac:dyDescent="0.35"/>
  <cols>
    <col min="1" max="1" width="2.09765625" style="1" customWidth="1"/>
    <col min="2" max="2" width="29.3984375" style="1" customWidth="1"/>
    <col min="3" max="5" width="17.8984375" style="1" customWidth="1"/>
    <col min="6" max="7" width="17.8984375" style="1" hidden="1" customWidth="1"/>
    <col min="8" max="8" width="17.8984375" style="1" customWidth="1"/>
    <col min="9" max="9" width="2" style="1" customWidth="1"/>
    <col min="10" max="10" width="13.09765625" style="1" hidden="1"/>
    <col min="11" max="20" width="9.09765625" style="1" hidden="1"/>
    <col min="21" max="16383" width="9.09765625" hidden="1"/>
    <col min="16384" max="16384" width="2.09765625" hidden="1"/>
  </cols>
  <sheetData>
    <row r="1" spans="1:16" ht="15" customHeight="1" x14ac:dyDescent="0.35">
      <c r="A1" s="85"/>
      <c r="B1" s="85"/>
      <c r="C1" s="85"/>
      <c r="D1" s="85"/>
      <c r="E1" s="85"/>
      <c r="F1" s="85"/>
      <c r="G1" s="85"/>
      <c r="H1" s="85"/>
      <c r="I1" s="85"/>
    </row>
    <row r="2" spans="1:16" ht="27" customHeight="1" x14ac:dyDescent="0.35">
      <c r="A2" s="86" t="str">
        <f>"Results - " &amp; BI_ref_asset_and_subasset</f>
        <v>Results - Electricity cable (other)</v>
      </c>
      <c r="B2" s="86"/>
      <c r="C2" s="86"/>
      <c r="D2" s="86"/>
      <c r="E2" s="86"/>
      <c r="F2" s="86"/>
      <c r="G2" s="86"/>
      <c r="H2" s="86"/>
      <c r="I2" s="86"/>
    </row>
    <row r="3" spans="1:16" ht="15" customHeight="1" x14ac:dyDescent="0.35">
      <c r="A3" s="85"/>
      <c r="B3" s="85"/>
      <c r="C3" s="85"/>
      <c r="D3" s="85"/>
      <c r="E3" s="85"/>
      <c r="F3" s="85"/>
      <c r="G3" s="85"/>
      <c r="H3" s="85"/>
      <c r="I3" s="85"/>
    </row>
    <row r="4" spans="1:16" x14ac:dyDescent="0.35">
      <c r="L4" s="9"/>
    </row>
    <row r="5" spans="1:16" x14ac:dyDescent="0.35">
      <c r="B5" s="38" t="str">
        <f>"Climate change impact per year ("&amp;BI_Ref_g_kg&amp;" CO2-eq/" &amp; BI_ref_functional_unit &amp; " per year)"</f>
        <v>Climate change impact per year (kg CO2-eq/m per year)</v>
      </c>
      <c r="C5" s="2"/>
      <c r="J5" s="9"/>
    </row>
    <row r="6" spans="1:16" ht="33.75" customHeight="1" x14ac:dyDescent="0.35">
      <c r="C6" s="216" t="s">
        <v>175</v>
      </c>
      <c r="D6" s="216" t="str">
        <f>'BI - Data + Results'!D$247</f>
        <v>Asset 1: 20cm kabelafdekband</v>
      </c>
      <c r="E6" s="216" t="str">
        <f>'BI - Data + Results'!E$247</f>
        <v xml:space="preserve">Asset 2: 40cm kabelafdekband </v>
      </c>
      <c r="F6" s="216" t="str">
        <f>'BI - Data + Results'!F$247</f>
        <v>Asset 3</v>
      </c>
      <c r="J6" s="9"/>
      <c r="L6" s="9"/>
    </row>
    <row r="7" spans="1:16" x14ac:dyDescent="0.35">
      <c r="B7" s="12" t="s">
        <v>176</v>
      </c>
      <c r="C7" s="240" t="s">
        <v>177</v>
      </c>
      <c r="D7" s="265">
        <f>'BI - Data + Results'!D248</f>
        <v>0</v>
      </c>
      <c r="E7" s="241">
        <f>'BI - Data + Results'!E248</f>
        <v>0</v>
      </c>
      <c r="F7" s="241" t="str">
        <f>'BI - Data + Results'!F248</f>
        <v/>
      </c>
      <c r="L7" s="9"/>
    </row>
    <row r="8" spans="1:16" hidden="1" x14ac:dyDescent="0.35">
      <c r="B8" s="12" t="s">
        <v>178</v>
      </c>
      <c r="C8" s="240" t="s">
        <v>177</v>
      </c>
      <c r="D8" s="241" t="str">
        <f>'BI - Data + Results'!D249</f>
        <v>-</v>
      </c>
      <c r="E8" s="241" t="str">
        <f>'BI - Data + Results'!E249</f>
        <v>-</v>
      </c>
      <c r="F8" s="241" t="str">
        <f>'BI - Data + Results'!F249</f>
        <v>-</v>
      </c>
      <c r="J8" s="7" t="s">
        <v>128</v>
      </c>
      <c r="K8" s="9"/>
      <c r="L8" s="9"/>
    </row>
    <row r="9" spans="1:16" x14ac:dyDescent="0.35">
      <c r="B9" s="12" t="s">
        <v>179</v>
      </c>
      <c r="C9" s="240" t="s">
        <v>177</v>
      </c>
      <c r="D9" s="241" t="str">
        <f>'BI - Data + Results'!D250</f>
        <v/>
      </c>
      <c r="E9" s="241" t="str">
        <f>'BI - Data + Results'!E250</f>
        <v/>
      </c>
      <c r="F9" s="241" t="str">
        <f>'BI - Data + Results'!F250</f>
        <v/>
      </c>
    </row>
    <row r="10" spans="1:16" x14ac:dyDescent="0.35">
      <c r="B10" s="12" t="s">
        <v>180</v>
      </c>
      <c r="C10" s="240" t="s">
        <v>177</v>
      </c>
      <c r="D10" s="241" t="str">
        <f>'BI - Data + Results'!D251</f>
        <v>-</v>
      </c>
      <c r="E10" s="241" t="str">
        <f>'BI - Data + Results'!E251</f>
        <v>-</v>
      </c>
      <c r="F10" s="241" t="str">
        <f>'BI - Data + Results'!F251</f>
        <v>-</v>
      </c>
    </row>
    <row r="11" spans="1:16" hidden="1" x14ac:dyDescent="0.35">
      <c r="B11" s="12" t="s">
        <v>181</v>
      </c>
      <c r="C11" s="240" t="s">
        <v>177</v>
      </c>
      <c r="D11" s="241">
        <f>'BI - Data + Results'!D252</f>
        <v>0</v>
      </c>
      <c r="E11" s="241">
        <f>'BI - Data + Results'!E252</f>
        <v>0</v>
      </c>
      <c r="F11" s="241" t="str">
        <f>'BI - Data + Results'!F252</f>
        <v/>
      </c>
      <c r="J11" s="10"/>
    </row>
    <row r="12" spans="1:16" x14ac:dyDescent="0.35">
      <c r="B12" s="17" t="s">
        <v>182</v>
      </c>
      <c r="C12" s="242" t="str">
        <f>IF(BI_ref_baseline_GWP_per_year="","-",BI_ref_baseline_GWP_per_year)</f>
        <v>-</v>
      </c>
      <c r="D12" s="242">
        <f>'BI - Data + Results'!D253</f>
        <v>0</v>
      </c>
      <c r="E12" s="242">
        <f>'BI - Data + Results'!E253</f>
        <v>0</v>
      </c>
      <c r="F12" s="242" t="str">
        <f>'BI - Data + Results'!F253</f>
        <v/>
      </c>
      <c r="J12" s="9"/>
      <c r="P12" s="3"/>
    </row>
    <row r="13" spans="1:16" x14ac:dyDescent="0.35">
      <c r="J13" s="9"/>
      <c r="P13" s="3"/>
    </row>
    <row r="14" spans="1:16" x14ac:dyDescent="0.35">
      <c r="B14" s="12" t="s">
        <v>175</v>
      </c>
      <c r="C14" s="32" t="str">
        <f>C12</f>
        <v>-</v>
      </c>
      <c r="D14" s="47" t="s">
        <v>177</v>
      </c>
      <c r="E14" s="47" t="s">
        <v>177</v>
      </c>
      <c r="F14" s="47" t="s">
        <v>177</v>
      </c>
    </row>
    <row r="15" spans="1:16" x14ac:dyDescent="0.35">
      <c r="B15" s="18"/>
      <c r="C15" s="18"/>
      <c r="D15" s="18"/>
      <c r="E15" s="18"/>
    </row>
    <row r="16" spans="1:16" x14ac:dyDescent="0.35">
      <c r="B16" s="18"/>
      <c r="C16" s="18"/>
      <c r="D16" s="18"/>
      <c r="E16" s="18"/>
      <c r="J16" s="9"/>
    </row>
    <row r="17" spans="2:19" x14ac:dyDescent="0.35">
      <c r="J17" s="9"/>
    </row>
    <row r="18" spans="2:19" x14ac:dyDescent="0.35"/>
    <row r="19" spans="2:19" x14ac:dyDescent="0.35"/>
    <row r="20" spans="2:19" x14ac:dyDescent="0.35"/>
    <row r="21" spans="2:19" x14ac:dyDescent="0.35"/>
    <row r="22" spans="2:19" x14ac:dyDescent="0.35"/>
    <row r="23" spans="2:19" x14ac:dyDescent="0.35"/>
    <row r="24" spans="2:19" x14ac:dyDescent="0.35"/>
    <row r="25" spans="2:19" x14ac:dyDescent="0.35"/>
    <row r="26" spans="2:19" x14ac:dyDescent="0.35"/>
    <row r="27" spans="2:19" x14ac:dyDescent="0.35">
      <c r="O27" s="4"/>
      <c r="P27" s="4"/>
      <c r="Q27" s="4"/>
      <c r="R27" s="4"/>
      <c r="S27" s="4"/>
    </row>
    <row r="28" spans="2:19" x14ac:dyDescent="0.35">
      <c r="O28" s="4"/>
      <c r="P28" s="4"/>
      <c r="Q28" s="4"/>
      <c r="R28" s="4"/>
      <c r="S28" s="4"/>
    </row>
    <row r="29" spans="2:19" x14ac:dyDescent="0.35">
      <c r="O29" s="4"/>
      <c r="P29" s="4"/>
      <c r="Q29" s="4"/>
      <c r="R29" s="4"/>
      <c r="S29" s="4"/>
    </row>
    <row r="30" spans="2:19" x14ac:dyDescent="0.35">
      <c r="O30" s="4"/>
      <c r="P30" s="4"/>
      <c r="Q30" s="4"/>
      <c r="R30" s="4"/>
      <c r="S30" s="4"/>
    </row>
    <row r="31" spans="2:19" x14ac:dyDescent="0.35">
      <c r="O31" s="4"/>
      <c r="P31" s="4"/>
      <c r="Q31" s="4"/>
      <c r="R31" s="4"/>
      <c r="S31" s="4"/>
    </row>
    <row r="32" spans="2:19" x14ac:dyDescent="0.35">
      <c r="B32" s="4" t="s">
        <v>183</v>
      </c>
      <c r="O32" s="4"/>
      <c r="P32" s="4"/>
      <c r="Q32" s="4"/>
      <c r="R32" s="4"/>
      <c r="S32" s="4"/>
    </row>
    <row r="33" spans="2:19" ht="33.75" customHeight="1" x14ac:dyDescent="0.35">
      <c r="C33" s="216" t="s">
        <v>175</v>
      </c>
      <c r="D33" s="216" t="str">
        <f>'BI - Data + Results'!D$247</f>
        <v>Asset 1: 20cm kabelafdekband</v>
      </c>
      <c r="E33" s="216" t="str">
        <f>'BI - Data + Results'!E$247</f>
        <v xml:space="preserve">Asset 2: 40cm kabelafdekband </v>
      </c>
      <c r="F33" s="216" t="str">
        <f>'BI - Data + Results'!F$247</f>
        <v>Asset 3</v>
      </c>
      <c r="O33" s="4"/>
      <c r="P33" s="4"/>
      <c r="Q33" s="4"/>
      <c r="R33" s="4"/>
      <c r="S33" s="4"/>
    </row>
    <row r="34" spans="2:19" x14ac:dyDescent="0.35">
      <c r="B34" s="11" t="s">
        <v>114</v>
      </c>
      <c r="C34" s="246" t="str">
        <f>'BI - Data + Results'!C257</f>
        <v>-</v>
      </c>
      <c r="D34" s="246">
        <f>'BI - Data + Results'!D257</f>
        <v>40</v>
      </c>
      <c r="E34" s="246">
        <f>'BI - Data + Results'!E257</f>
        <v>40</v>
      </c>
      <c r="F34" s="246" t="str">
        <f>'BI - Data + Results'!F257</f>
        <v/>
      </c>
      <c r="O34" s="4"/>
      <c r="P34" s="4"/>
      <c r="Q34" s="4"/>
      <c r="R34" s="4"/>
      <c r="S34" s="4"/>
    </row>
    <row r="35" spans="2:19" x14ac:dyDescent="0.35">
      <c r="C35" s="243"/>
      <c r="D35" s="243"/>
      <c r="E35" s="243"/>
      <c r="F35" s="243"/>
      <c r="O35" s="4"/>
      <c r="P35" s="4"/>
      <c r="Q35" s="4"/>
      <c r="R35" s="4"/>
      <c r="S35" s="4"/>
    </row>
    <row r="36" spans="2:19" x14ac:dyDescent="0.35">
      <c r="B36" s="38" t="str">
        <f>"Climate change impact total ("&amp;BI_Ref_g_kg&amp;" CO2-eq/" &amp; BI_ref_functional_unit &amp; ")"</f>
        <v>Climate change impact total (kg CO2-eq/m)</v>
      </c>
      <c r="C36" s="244"/>
      <c r="D36" s="243"/>
      <c r="E36" s="243"/>
      <c r="F36" s="243"/>
      <c r="O36" s="4"/>
      <c r="P36" s="4"/>
      <c r="Q36" s="4"/>
      <c r="R36" s="4"/>
      <c r="S36" s="4"/>
    </row>
    <row r="37" spans="2:19" ht="33.75" customHeight="1" x14ac:dyDescent="0.35">
      <c r="C37" s="245" t="s">
        <v>175</v>
      </c>
      <c r="D37" s="245" t="str">
        <f>'BI - Data + Results'!D$247</f>
        <v>Asset 1: 20cm kabelafdekband</v>
      </c>
      <c r="E37" s="245" t="str">
        <f>'BI - Data + Results'!E$247</f>
        <v xml:space="preserve">Asset 2: 40cm kabelafdekband </v>
      </c>
      <c r="F37" s="245" t="str">
        <f>'BI - Data + Results'!F$247</f>
        <v>Asset 3</v>
      </c>
      <c r="O37" s="4"/>
      <c r="P37" s="4"/>
      <c r="Q37" s="4"/>
      <c r="R37" s="4"/>
      <c r="S37" s="4"/>
    </row>
    <row r="38" spans="2:19" x14ac:dyDescent="0.35">
      <c r="B38" s="12" t="str">
        <f>B7</f>
        <v>Material production</v>
      </c>
      <c r="C38" s="241" t="str">
        <f>'BI - Data + Results'!C261</f>
        <v>-</v>
      </c>
      <c r="D38" s="241">
        <f>'BI - Data + Results'!D261</f>
        <v>0</v>
      </c>
      <c r="E38" s="241">
        <f>'BI - Data + Results'!E261</f>
        <v>0</v>
      </c>
      <c r="F38" s="241">
        <f>'BI - Data + Results'!F261</f>
        <v>0</v>
      </c>
      <c r="O38" s="4"/>
      <c r="P38" s="4"/>
      <c r="Q38" s="4"/>
      <c r="R38" s="4"/>
      <c r="S38" s="4"/>
    </row>
    <row r="39" spans="2:19" hidden="1" x14ac:dyDescent="0.35">
      <c r="B39" s="12" t="str">
        <f>B8</f>
        <v>Energy usage (final assembly)</v>
      </c>
      <c r="C39" s="240" t="str">
        <f>'BI - Data + Results'!C262</f>
        <v>-</v>
      </c>
      <c r="D39" s="240" t="str">
        <f>'BI - Data + Results'!D262</f>
        <v>-</v>
      </c>
      <c r="E39" s="240" t="str">
        <f>'BI - Data + Results'!E262</f>
        <v>-</v>
      </c>
      <c r="F39" s="240" t="str">
        <f>'BI - Data + Results'!F262</f>
        <v>-</v>
      </c>
      <c r="J39" s="7" t="s">
        <v>128</v>
      </c>
      <c r="O39" s="4"/>
      <c r="P39" s="4"/>
      <c r="Q39" s="4"/>
      <c r="R39" s="4"/>
      <c r="S39" s="4"/>
    </row>
    <row r="40" spans="2:19" x14ac:dyDescent="0.35">
      <c r="B40" s="12" t="str">
        <f>B9</f>
        <v>Transport</v>
      </c>
      <c r="C40" s="240" t="str">
        <f>'BI - Data + Results'!C263</f>
        <v>-</v>
      </c>
      <c r="D40" s="241" t="str">
        <f>'BI - Data + Results'!D263</f>
        <v/>
      </c>
      <c r="E40" s="241" t="str">
        <f>'BI - Data + Results'!E263</f>
        <v/>
      </c>
      <c r="F40" s="241" t="str">
        <f>'BI - Data + Results'!F263</f>
        <v/>
      </c>
      <c r="O40" s="4"/>
      <c r="P40" s="4"/>
      <c r="Q40" s="4"/>
      <c r="R40" s="4"/>
      <c r="S40" s="4"/>
    </row>
    <row r="41" spans="2:19" x14ac:dyDescent="0.35">
      <c r="B41" s="12" t="str">
        <f>B10</f>
        <v>Usage (electricity/gas loss)</v>
      </c>
      <c r="C41" s="240" t="str">
        <f>'BI - Data + Results'!C264</f>
        <v>-</v>
      </c>
      <c r="D41" s="241">
        <f>'BI - Data + Results'!D264</f>
        <v>0</v>
      </c>
      <c r="E41" s="241">
        <f>'BI - Data + Results'!E264</f>
        <v>0</v>
      </c>
      <c r="F41" s="241" t="str">
        <f>'BI - Data + Results'!F264</f>
        <v/>
      </c>
    </row>
    <row r="42" spans="2:19" hidden="1" x14ac:dyDescent="0.35">
      <c r="B42" s="12" t="str">
        <f>B11</f>
        <v>End-of-life</v>
      </c>
      <c r="C42" s="240" t="str">
        <f>'BI - Data + Results'!C265</f>
        <v>-</v>
      </c>
      <c r="D42" s="241">
        <f>'BI - Data + Results'!D265</f>
        <v>0</v>
      </c>
      <c r="E42" s="241">
        <f>'BI - Data + Results'!E265</f>
        <v>0</v>
      </c>
      <c r="F42" s="241">
        <f>'BI - Data + Results'!F265</f>
        <v>0</v>
      </c>
    </row>
    <row r="43" spans="2:19" x14ac:dyDescent="0.35">
      <c r="B43" s="17" t="s">
        <v>182</v>
      </c>
      <c r="C43" s="242" t="str">
        <f>'BI - Data + Results'!C266</f>
        <v>-</v>
      </c>
      <c r="D43" s="242">
        <f>'BI - Data + Results'!D266</f>
        <v>0</v>
      </c>
      <c r="E43" s="242">
        <f>'BI - Data + Results'!E266</f>
        <v>0</v>
      </c>
      <c r="F43" s="242">
        <f>'BI - Data + Results'!F266</f>
        <v>0</v>
      </c>
    </row>
    <row r="44" spans="2:19" x14ac:dyDescent="0.35"/>
    <row r="45" spans="2:19" x14ac:dyDescent="0.35">
      <c r="B45" s="4" t="s">
        <v>184</v>
      </c>
      <c r="C45" s="6"/>
    </row>
    <row r="46" spans="2:19" ht="33.75" customHeight="1" x14ac:dyDescent="0.35">
      <c r="C46" s="216" t="s">
        <v>175</v>
      </c>
      <c r="D46" s="216" t="str">
        <f>'BI - Data + Results'!D$247</f>
        <v>Asset 1: 20cm kabelafdekband</v>
      </c>
      <c r="E46" s="216" t="str">
        <f>'BI - Data + Results'!E$247</f>
        <v xml:space="preserve">Asset 2: 40cm kabelafdekband </v>
      </c>
      <c r="F46" s="216" t="str">
        <f>'BI - Data + Results'!F$247</f>
        <v>Asset 3</v>
      </c>
    </row>
    <row r="47" spans="2:19" x14ac:dyDescent="0.35">
      <c r="B47" s="11" t="s">
        <v>113</v>
      </c>
      <c r="C47" s="13" t="str">
        <f>'BI - Data + Results'!C270</f>
        <v>-</v>
      </c>
      <c r="D47" s="13" t="str">
        <f>'BI - Data + Results'!D270</f>
        <v/>
      </c>
      <c r="E47" s="13" t="str">
        <f>'BI - Data + Results'!E270</f>
        <v/>
      </c>
      <c r="F47" s="13" t="str">
        <f>'BI - Data + Results'!F270</f>
        <v/>
      </c>
    </row>
    <row r="48" spans="2:19" x14ac:dyDescent="0.35">
      <c r="J48" s="7" t="s">
        <v>128</v>
      </c>
    </row>
    <row r="49" spans="1:11" x14ac:dyDescent="0.35">
      <c r="B49" s="4" t="s">
        <v>185</v>
      </c>
      <c r="C49" s="6"/>
      <c r="D49" s="6"/>
      <c r="J49" s="7" t="s">
        <v>128</v>
      </c>
    </row>
    <row r="50" spans="1:11" ht="33.75" customHeight="1" x14ac:dyDescent="0.35">
      <c r="C50" s="216" t="s">
        <v>175</v>
      </c>
      <c r="D50" s="216" t="str">
        <f>'BI - Data + Results'!D$247</f>
        <v>Asset 1: 20cm kabelafdekband</v>
      </c>
      <c r="E50" s="216" t="str">
        <f>'BI - Data + Results'!E$247</f>
        <v xml:space="preserve">Asset 2: 40cm kabelafdekband </v>
      </c>
      <c r="F50" s="216" t="str">
        <f>'BI - Data + Results'!F$247</f>
        <v>Asset 3</v>
      </c>
      <c r="J50" s="7" t="s">
        <v>128</v>
      </c>
    </row>
    <row r="51" spans="1:11" x14ac:dyDescent="0.35">
      <c r="B51" s="11" t="s">
        <v>186</v>
      </c>
      <c r="C51" s="14" t="str">
        <f>'BI - Data + Results'!C242</f>
        <v>-</v>
      </c>
      <c r="D51" s="14" t="str">
        <f>'BI - Data + Results'!D242</f>
        <v>-</v>
      </c>
      <c r="E51" s="14" t="str">
        <f>'BI - Data + Results'!E242</f>
        <v>-</v>
      </c>
      <c r="F51" s="14" t="str">
        <f>'BI - Data + Results'!F242</f>
        <v>-</v>
      </c>
      <c r="J51" s="7" t="s">
        <v>128</v>
      </c>
      <c r="K51" s="9"/>
    </row>
    <row r="52" spans="1:11" x14ac:dyDescent="0.35">
      <c r="K52" s="9"/>
    </row>
    <row r="53" spans="1:11" x14ac:dyDescent="0.35">
      <c r="B53" s="38" t="str">
        <f xml:space="preserve">  "Environmental cost per year (€/" &amp; BI_ref_functional_unit &amp; " per year) with environmental price of €" &amp; BI_ref_environmental_price &amp; " per tonne CO2-eq"</f>
        <v>Environmental cost per year (€/m per year) with environmental price of € per tonne CO2-eq</v>
      </c>
      <c r="C53" s="3"/>
      <c r="D53" s="3"/>
      <c r="E53" s="3"/>
      <c r="F53" s="3"/>
      <c r="K53" s="9"/>
    </row>
    <row r="54" spans="1:11" ht="33.75" customHeight="1" x14ac:dyDescent="0.35">
      <c r="B54" s="3"/>
      <c r="C54" s="217" t="s">
        <v>175</v>
      </c>
      <c r="D54" s="217" t="str">
        <f>'BI - Data + Results'!D$247</f>
        <v>Asset 1: 20cm kabelafdekband</v>
      </c>
      <c r="E54" s="217" t="str">
        <f>'BI - Data + Results'!E$247</f>
        <v xml:space="preserve">Asset 2: 40cm kabelafdekband </v>
      </c>
      <c r="F54" s="217" t="str">
        <f>'BI - Data + Results'!F$247</f>
        <v>Asset 3</v>
      </c>
      <c r="K54" s="9"/>
    </row>
    <row r="55" spans="1:11" x14ac:dyDescent="0.35">
      <c r="B55" s="12" t="s">
        <v>187</v>
      </c>
      <c r="C55" s="214" t="str">
        <f>'BI - Data + Results'!C286</f>
        <v>-</v>
      </c>
      <c r="D55" s="214" t="str">
        <f>'BI - Data + Results'!D286</f>
        <v>-</v>
      </c>
      <c r="E55" s="214" t="str">
        <f>'BI - Data + Results'!E286</f>
        <v>-</v>
      </c>
      <c r="F55" s="214" t="str">
        <f>'BI - Data + Results'!F286</f>
        <v>-</v>
      </c>
      <c r="K55" s="9"/>
    </row>
    <row r="56" spans="1:11" x14ac:dyDescent="0.35">
      <c r="K56" s="9"/>
    </row>
    <row r="57" spans="1:11" x14ac:dyDescent="0.35">
      <c r="K57" s="9"/>
    </row>
    <row r="58" spans="1:11" x14ac:dyDescent="0.35">
      <c r="A58" s="71"/>
      <c r="B58" s="71"/>
      <c r="C58" s="71"/>
      <c r="D58" s="71"/>
      <c r="E58" s="71"/>
      <c r="F58" s="71"/>
      <c r="G58" s="71"/>
      <c r="H58" s="71"/>
      <c r="I58" s="71"/>
    </row>
    <row r="59" spans="1:11" x14ac:dyDescent="0.35">
      <c r="A59" s="71"/>
      <c r="B59" s="71"/>
      <c r="C59" s="71"/>
      <c r="D59" s="71"/>
      <c r="E59" s="71"/>
      <c r="F59" s="71"/>
      <c r="G59" s="71"/>
      <c r="H59" s="71"/>
      <c r="I59" s="71"/>
    </row>
    <row r="60" spans="1:11" x14ac:dyDescent="0.35">
      <c r="A60" s="71"/>
      <c r="B60" s="71"/>
      <c r="C60" s="71"/>
      <c r="D60" s="71"/>
      <c r="E60" s="71"/>
      <c r="F60" s="71"/>
      <c r="G60" s="71"/>
      <c r="H60" s="71"/>
      <c r="I60" s="71"/>
    </row>
  </sheetData>
  <sheetProtection algorithmName="SHA-512" hashValue="tVfPJwpHVNR8g+IshNJTWTHogBqTVS/63GaHVe5nO+ZvwTsGLb5InpO+MFzuZOLMoA/qeN5fnlCAxz47ngwl1A==" saltValue="9epk99oV0G1fckDPRfMQHA==" spinCount="100000" sheet="1" objects="1" scenarios="1" selectLockedCells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1" r:id="rId4" name="Button 11">
              <controlPr defaultSize="0" print="0" autoFill="0" autoPict="0" macro="[0]!btn_save_as_pdf">
                <anchor>
                  <from>
                    <xdr:col>1</xdr:col>
                    <xdr:colOff>0</xdr:colOff>
                    <xdr:row>0</xdr:row>
                    <xdr:rowOff>76200</xdr:rowOff>
                  </from>
                  <to>
                    <xdr:col>1</xdr:col>
                    <xdr:colOff>946150</xdr:colOff>
                    <xdr:row>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5" name="Button 12">
              <controlPr defaultSize="0" print="0" autoFill="0" autoPict="0" macro="[0]!btn_save_as_excel">
                <anchor>
                  <from>
                    <xdr:col>1</xdr:col>
                    <xdr:colOff>0</xdr:colOff>
                    <xdr:row>1</xdr:row>
                    <xdr:rowOff>222250</xdr:rowOff>
                  </from>
                  <to>
                    <xdr:col>1</xdr:col>
                    <xdr:colOff>946150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F8F99C8AB914D8B043500156F2957" ma:contentTypeVersion="3" ma:contentTypeDescription="Een nieuw document maken." ma:contentTypeScope="" ma:versionID="a8e61470f694ab969c735d09477a5c50">
  <xsd:schema xmlns:xsd="http://www.w3.org/2001/XMLSchema" xmlns:xs="http://www.w3.org/2001/XMLSchema" xmlns:p="http://schemas.microsoft.com/office/2006/metadata/properties" xmlns:ns2="ff598679-e103-4d71-848c-dc45d26f528c" targetNamespace="http://schemas.microsoft.com/office/2006/metadata/properties" ma:root="true" ma:fieldsID="23c93143ae749dae33cc250472b5d26f" ns2:_="">
    <xsd:import namespace="ff598679-e103-4d71-848c-dc45d26f5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98679-e103-4d71-848c-dc45d26f5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76C24F-401C-467D-BA78-7A2327B21C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7D059-AC8B-4C17-9178-E24EB0AAD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98679-e103-4d71-848c-dc45d26f5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491641-FC54-44E5-A767-5D3C274DB368}">
  <ds:schemaRefs>
    <ds:schemaRef ds:uri="ff598679-e103-4d71-848c-dc45d26f528c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100</vt:i4>
      </vt:variant>
    </vt:vector>
  </HeadingPairs>
  <TitlesOfParts>
    <vt:vector size="105" baseType="lpstr">
      <vt:lpstr>Introduction</vt:lpstr>
      <vt:lpstr>Start - Tender</vt:lpstr>
      <vt:lpstr>Asset #1</vt:lpstr>
      <vt:lpstr>Asset #2</vt:lpstr>
      <vt:lpstr>Results</vt:lpstr>
      <vt:lpstr>'Asset #1'!asset_based_on_passport</vt:lpstr>
      <vt:lpstr>'Asset #2'!asset_based_on_passport</vt:lpstr>
      <vt:lpstr>'Asset #3'!asset_based_on_passport</vt:lpstr>
      <vt:lpstr>'Asset #1'!asset_dependent_GWP_switch_gas1</vt:lpstr>
      <vt:lpstr>'Asset #2'!asset_dependent_GWP_switch_gas1</vt:lpstr>
      <vt:lpstr>'Asset #3'!asset_dependent_GWP_switch_gas1</vt:lpstr>
      <vt:lpstr>'Asset #1'!asset_dependent_GWP_switch_gas2</vt:lpstr>
      <vt:lpstr>'Asset #2'!asset_dependent_GWP_switch_gas2</vt:lpstr>
      <vt:lpstr>'Asset #3'!asset_dependent_GWP_switch_gas2</vt:lpstr>
      <vt:lpstr>'Asset #1'!asset_start_date_passport</vt:lpstr>
      <vt:lpstr>'Asset #2'!asset_start_date_passport</vt:lpstr>
      <vt:lpstr>'Asset #3'!asset_start_date_passport</vt:lpstr>
      <vt:lpstr>'Asset #1'!asset_type_switch_gas</vt:lpstr>
      <vt:lpstr>'Asset #2'!asset_type_switch_gas</vt:lpstr>
      <vt:lpstr>'Asset #3'!asset_type_switch_gas</vt:lpstr>
      <vt:lpstr>'Asset #1'!asset_weight_other_material</vt:lpstr>
      <vt:lpstr>'Asset #2'!asset_weight_other_material</vt:lpstr>
      <vt:lpstr>'Asset #3'!asset_weight_other_material</vt:lpstr>
      <vt:lpstr>BI_ref_assembly_energy_tender</vt:lpstr>
      <vt:lpstr>BI_ref_asset</vt:lpstr>
      <vt:lpstr>BI_ref_asset_and_subasset</vt:lpstr>
      <vt:lpstr>BI_ref_assetname_electricity_cable</vt:lpstr>
      <vt:lpstr>BI_ref_assetname_gas_tube</vt:lpstr>
      <vt:lpstr>BI_ref_assetname_other_asset</vt:lpstr>
      <vt:lpstr>BI_ref_assetname_switch_gear</vt:lpstr>
      <vt:lpstr>BI_ref_assetname_transformer</vt:lpstr>
      <vt:lpstr>BI_ref_assetname_transformer_substation</vt:lpstr>
      <vt:lpstr>BI_ref_baseline_circ</vt:lpstr>
      <vt:lpstr>BI_ref_baseline_conflict</vt:lpstr>
      <vt:lpstr>BI_ref_baseline_GWP_per_year</vt:lpstr>
      <vt:lpstr>BI_ref_baseline_GWP_total</vt:lpstr>
      <vt:lpstr>BI_ref_baseline_lifetime</vt:lpstr>
      <vt:lpstr>BI_ref_baseline_price</vt:lpstr>
      <vt:lpstr>BI_ref_environmental_price</vt:lpstr>
      <vt:lpstr>BI_ref_functional_unit</vt:lpstr>
      <vt:lpstr>BI_Ref_g_kg</vt:lpstr>
      <vt:lpstr>BI_ref_goalname_insight</vt:lpstr>
      <vt:lpstr>BI_ref_goalname_tender</vt:lpstr>
      <vt:lpstr>BI_ref_losses</vt:lpstr>
      <vt:lpstr>BI_ref_losses_switchgear</vt:lpstr>
      <vt:lpstr>BI_ref_losses_transformer</vt:lpstr>
      <vt:lpstr>BI_REF_multiplier_kg_g</vt:lpstr>
      <vt:lpstr>BI_ref_number</vt:lpstr>
      <vt:lpstr>BI_ref_number_of_functionalities</vt:lpstr>
      <vt:lpstr>BI_ref_selected_goal</vt:lpstr>
      <vt:lpstr>BI_ref_subasset</vt:lpstr>
      <vt:lpstr>dd_asset_insight</vt:lpstr>
      <vt:lpstr>dd_asset_tender</vt:lpstr>
      <vt:lpstr>dd_empty</vt:lpstr>
      <vt:lpstr>dd_eol</vt:lpstr>
      <vt:lpstr>dd_filled_in_by</vt:lpstr>
      <vt:lpstr>dd_funtional_unit</vt:lpstr>
      <vt:lpstr>dd_legend_demo_dropdown</vt:lpstr>
      <vt:lpstr>dd_materials_used_in_asset</vt:lpstr>
      <vt:lpstr>dd_network_operator</vt:lpstr>
      <vt:lpstr>dd_number</vt:lpstr>
      <vt:lpstr>dd_number_of_fields</vt:lpstr>
      <vt:lpstr>dd_number_of_phases</vt:lpstr>
      <vt:lpstr>dd_rec_down</vt:lpstr>
      <vt:lpstr>dd_subasset_cable</vt:lpstr>
      <vt:lpstr>dd_subasset_gas_tube</vt:lpstr>
      <vt:lpstr>dd_subasset_generic</vt:lpstr>
      <vt:lpstr>dd_subasset_switch_gear</vt:lpstr>
      <vt:lpstr>dd_subasset_transformer</vt:lpstr>
      <vt:lpstr>dd_subasset_transformer_substation</vt:lpstr>
      <vt:lpstr>dd_switchgas</vt:lpstr>
      <vt:lpstr>dd_yes_no</vt:lpstr>
      <vt:lpstr>'Asset #1'!last_visible_cell</vt:lpstr>
      <vt:lpstr>'Asset #2'!last_visible_cell</vt:lpstr>
      <vt:lpstr>'Asset #3'!last_visible_cell</vt:lpstr>
      <vt:lpstr>Goal!last_visible_cell</vt:lpstr>
      <vt:lpstr>Introduction!last_visible_cell</vt:lpstr>
      <vt:lpstr>Results!last_visible_cell</vt:lpstr>
      <vt:lpstr>'Start - Insight'!last_visible_cell</vt:lpstr>
      <vt:lpstr>'Start - Prepare tender'!last_visible_cell</vt:lpstr>
      <vt:lpstr>'Start - Tender'!last_visible_cell</vt:lpstr>
      <vt:lpstr>start_insight_asset</vt:lpstr>
      <vt:lpstr>start_insight_baseline_circ</vt:lpstr>
      <vt:lpstr>start_insight_baseline_GWP</vt:lpstr>
      <vt:lpstr>start_insight_baseline_lifetime</vt:lpstr>
      <vt:lpstr>start_insight_baseline_price</vt:lpstr>
      <vt:lpstr>start_insight_energy_losses</vt:lpstr>
      <vt:lpstr>start_insight_energy_losses_switchgear</vt:lpstr>
      <vt:lpstr>start_insight_energy_losses_transformer</vt:lpstr>
      <vt:lpstr>start_insight_number</vt:lpstr>
      <vt:lpstr>start_insight_number_of_functionalities</vt:lpstr>
      <vt:lpstr>start_insight_subasset</vt:lpstr>
      <vt:lpstr>start_prepare_asset</vt:lpstr>
      <vt:lpstr>start_prepare_baseline_circ</vt:lpstr>
      <vt:lpstr>start_prepare_baseline_GWP</vt:lpstr>
      <vt:lpstr>start_prepare_baseline_lifetime</vt:lpstr>
      <vt:lpstr>start_prepare_energy</vt:lpstr>
      <vt:lpstr>start_prepare_energy_losses</vt:lpstr>
      <vt:lpstr>start_prepare_energy_losses_switchgear</vt:lpstr>
      <vt:lpstr>start_prepare_energy_losses_transformer</vt:lpstr>
      <vt:lpstr>start_prepare_network_operator_contact</vt:lpstr>
      <vt:lpstr>start_prepare_network_operator_name</vt:lpstr>
      <vt:lpstr>start_prepare_number_functionalities</vt:lpstr>
      <vt:lpstr>start_prepare_subasset</vt:lpstr>
      <vt:lpstr>start_tender_number</vt:lpstr>
    </vt:vector>
  </TitlesOfParts>
  <Manager/>
  <Company>CE Delft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 Beeftink</dc:creator>
  <cp:keywords/>
  <dc:description>Sjabloonversie 2.1, 6 juli 2018_x000d_
Ontwikkeling sjabloon en macro's:_x000d_
www.JoulesUnlimited.com</dc:description>
  <cp:lastModifiedBy>Elbers, Christel</cp:lastModifiedBy>
  <cp:revision/>
  <dcterms:created xsi:type="dcterms:W3CDTF">2017-07-07T07:42:55Z</dcterms:created>
  <dcterms:modified xsi:type="dcterms:W3CDTF">2026-06-23T12:44:08Z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0x01010024EF8F99C8AB914D8B043500156F2957</vt:lpwstr>
  </property>
  <property fmtid="{D5CDD505-2E9C-101B-9397-08002B2CF9AE}" pid="3" name="Sector">
    <vt:lpwstr/>
  </property>
  <property fmtid="{D5CDD505-2E9C-101B-9397-08002B2CF9AE}" pid="4" name="TaxKeyword">
    <vt:lpwstr/>
  </property>
  <property fmtid="{D5CDD505-2E9C-101B-9397-08002B2CF9AE}" pid="5" name="Thema">
    <vt:lpwstr/>
  </property>
  <property fmtid="{D5CDD505-2E9C-101B-9397-08002B2CF9AE}" pid="6" name="SureECM_ProjectFase">
    <vt:lpwstr/>
  </property>
  <property fmtid="{D5CDD505-2E9C-101B-9397-08002B2CF9AE}" pid="7" name="Projectsite status">
    <vt:lpwstr>Actief</vt:lpwstr>
  </property>
  <property fmtid="{D5CDD505-2E9C-101B-9397-08002B2CF9AE}" pid="8" name="Klant">
    <vt:lpwstr>Stedin, Dirk Bijl de Vroe</vt:lpwstr>
  </property>
  <property fmtid="{D5CDD505-2E9C-101B-9397-08002B2CF9AE}" pid="9" name="MediaServiceImageTags">
    <vt:lpwstr/>
  </property>
</Properties>
</file>