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denboer\Documents\"/>
    </mc:Choice>
  </mc:AlternateContent>
  <xr:revisionPtr revIDLastSave="0" documentId="8_{84B7728B-5591-4AF2-A040-2CEE7CCC0A35}" xr6:coauthVersionLast="47" xr6:coauthVersionMax="47" xr10:uidLastSave="{00000000-0000-0000-0000-000000000000}"/>
  <bookViews>
    <workbookView xWindow="-28920" yWindow="-810" windowWidth="29040" windowHeight="15720" tabRatio="946" activeTab="9"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froepprijs" sheetId="5" r:id="rId8"/>
    <sheet name="9-Vloeronderhoud" sheetId="39" r:id="rId9"/>
    <sheet name="10-Machinekosten" sheetId="40" r:id="rId10"/>
  </sheets>
  <externalReferences>
    <externalReference r:id="rId11"/>
    <externalReference r:id="rId12"/>
    <externalReference r:id="rId13"/>
    <externalReference r:id="rId14"/>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localSheetId="8" hidden="1">'[3]#REF'!#REF!</definedName>
    <definedName name="_Fill" hidden="1">'[2]#REF'!#REF!</definedName>
    <definedName name="_filll" hidden="1">'[4]#REF'!#REF!</definedName>
    <definedName name="_xlnm._FilterDatabase" localSheetId="1" hidden="1">'2-Kosten per locatie'!$A$14:$J$26</definedName>
    <definedName name="_xlnm._FilterDatabase" localSheetId="3" hidden="1">'4-Basis ruimtestaat'!$B$9:$X$243</definedName>
    <definedName name="_xlnm._FilterDatabase" localSheetId="8" hidden="1">'9-Vloeronderhoud'!$A$12:$AA$43</definedName>
    <definedName name="_Hlk39130726" localSheetId="0">'1-Uitgangspunten'!$A$16</definedName>
    <definedName name="_Key1" localSheetId="1" hidden="1">'[2]#REF'!#REF!</definedName>
    <definedName name="_Key1" localSheetId="8" hidden="1">'[3]#REF'!#REF!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'[3]#REF'!#REF!</definedName>
    <definedName name="_xlnm.Print_Area" localSheetId="1">'2-Kosten per locatie'!$A$3:$AB$25</definedName>
    <definedName name="_xlnm.Print_Area" localSheetId="3">'4-Basis ruimtestaat'!$B$3:$X$260</definedName>
    <definedName name="_xlnm.Print_Area" localSheetId="4">'5-Premies en opslagen'!$A$3:$E$55</definedName>
    <definedName name="_xlnm.Print_Area" localSheetId="5">'6-Opbouw uurtarief productie'!$A$1:$R$65</definedName>
    <definedName name="_xlnm.Print_Area" localSheetId="7">'8-Afroepprijs'!$A$3:$F$64</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7">'8-Afroepprijs'!$6:$10</definedName>
    <definedName name="_xlnm.Print_Titles" localSheetId="8">'9-Vloeronderhoud'!$12:$12</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'[2]#REF'!#REF!</definedName>
    <definedName name="einde" localSheetId="1">'2-Kosten per locatie'!einde</definedName>
    <definedName name="einde">'2-Kosten per locatie'!einde</definedName>
    <definedName name="fghf" hidden="1">'[2]#REF'!#REF!</definedName>
    <definedName name="Gan_R" localSheetId="1">'2-Kosten per locatie'!Gan_R</definedName>
    <definedName name="Gan_R">'2-Kosten per locatie'!Gan_R</definedName>
    <definedName name="gs" hidden="1">'[2]#REF'!#REF!</definedName>
    <definedName name="han" localSheetId="1" hidden="1">'[2]#REF'!#REF!</definedName>
    <definedName name="han" localSheetId="8" hidden="1">'[3]#REF'!#REF!</definedName>
    <definedName name="han" hidden="1">'[2]#REF'!#REF!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'[2]#REF'!#REF!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5" i="2" l="1"/>
  <c r="Q175" i="2"/>
  <c r="R175" i="2"/>
  <c r="O175" i="2" s="1"/>
  <c r="S175" i="2"/>
  <c r="T175" i="2"/>
  <c r="U175" i="2"/>
  <c r="P176" i="2"/>
  <c r="Q176" i="2"/>
  <c r="R176" i="2"/>
  <c r="O176" i="2" s="1"/>
  <c r="S176" i="2"/>
  <c r="T176" i="2"/>
  <c r="U176" i="2"/>
  <c r="P177" i="2"/>
  <c r="Q177" i="2"/>
  <c r="R177" i="2"/>
  <c r="O177" i="2" s="1"/>
  <c r="S177" i="2"/>
  <c r="T177" i="2"/>
  <c r="U177" i="2"/>
  <c r="P178" i="2"/>
  <c r="Q178" i="2"/>
  <c r="R178" i="2"/>
  <c r="O178" i="2" s="1"/>
  <c r="S178" i="2"/>
  <c r="T178" i="2"/>
  <c r="U178" i="2"/>
  <c r="P179" i="2"/>
  <c r="Q179" i="2"/>
  <c r="R179" i="2"/>
  <c r="O179" i="2" s="1"/>
  <c r="S179" i="2"/>
  <c r="T179" i="2"/>
  <c r="U179" i="2"/>
  <c r="P180" i="2"/>
  <c r="Q180" i="2"/>
  <c r="R180" i="2"/>
  <c r="O180" i="2" s="1"/>
  <c r="S180" i="2"/>
  <c r="T180" i="2"/>
  <c r="U180" i="2"/>
  <c r="P181" i="2"/>
  <c r="Q181" i="2"/>
  <c r="R181" i="2"/>
  <c r="O181" i="2" s="1"/>
  <c r="S181" i="2"/>
  <c r="T181" i="2"/>
  <c r="U181" i="2"/>
  <c r="P182" i="2"/>
  <c r="Q182" i="2"/>
  <c r="R182" i="2"/>
  <c r="O182" i="2" s="1"/>
  <c r="S182" i="2"/>
  <c r="T182" i="2"/>
  <c r="U182" i="2"/>
  <c r="P183" i="2"/>
  <c r="R183" i="2"/>
  <c r="S183" i="2"/>
  <c r="U183" i="2"/>
  <c r="P184" i="2"/>
  <c r="R184" i="2"/>
  <c r="S184" i="2"/>
  <c r="U184" i="2"/>
  <c r="P185" i="2"/>
  <c r="Q185" i="2"/>
  <c r="R185" i="2"/>
  <c r="O185" i="2" s="1"/>
  <c r="S185" i="2"/>
  <c r="T185" i="2"/>
  <c r="U185" i="2"/>
  <c r="P186" i="2"/>
  <c r="R186" i="2"/>
  <c r="S186" i="2"/>
  <c r="U186" i="2"/>
  <c r="P187" i="2"/>
  <c r="Q187" i="2"/>
  <c r="R187" i="2"/>
  <c r="O187" i="2" s="1"/>
  <c r="S187" i="2"/>
  <c r="T187" i="2"/>
  <c r="U187" i="2"/>
  <c r="P188" i="2"/>
  <c r="Q188" i="2"/>
  <c r="R188" i="2"/>
  <c r="O188" i="2" s="1"/>
  <c r="S188" i="2"/>
  <c r="T188" i="2"/>
  <c r="U188" i="2"/>
  <c r="P189" i="2"/>
  <c r="Q189" i="2"/>
  <c r="R189" i="2"/>
  <c r="O189" i="2" s="1"/>
  <c r="S189" i="2"/>
  <c r="T189" i="2"/>
  <c r="U189" i="2"/>
  <c r="P190" i="2"/>
  <c r="Q190" i="2"/>
  <c r="R190" i="2"/>
  <c r="O190" i="2" s="1"/>
  <c r="S190" i="2"/>
  <c r="T190" i="2"/>
  <c r="U190" i="2"/>
  <c r="P191" i="2"/>
  <c r="Q191" i="2"/>
  <c r="R191" i="2"/>
  <c r="O191" i="2" s="1"/>
  <c r="S191" i="2"/>
  <c r="T191" i="2"/>
  <c r="U191" i="2"/>
  <c r="P192" i="2"/>
  <c r="Q192" i="2"/>
  <c r="R192" i="2"/>
  <c r="O192" i="2" s="1"/>
  <c r="S192" i="2"/>
  <c r="T192" i="2"/>
  <c r="U192" i="2"/>
  <c r="P193" i="2"/>
  <c r="Q193" i="2"/>
  <c r="R193" i="2"/>
  <c r="O193" i="2" s="1"/>
  <c r="S193" i="2"/>
  <c r="T193" i="2"/>
  <c r="U193" i="2"/>
  <c r="P194" i="2"/>
  <c r="R194" i="2"/>
  <c r="O194" i="2" s="1"/>
  <c r="S194" i="2"/>
  <c r="U194" i="2"/>
  <c r="O195" i="2"/>
  <c r="P195" i="2"/>
  <c r="Q195" i="2"/>
  <c r="R195" i="2"/>
  <c r="S195" i="2"/>
  <c r="T195" i="2"/>
  <c r="U195" i="2"/>
  <c r="P196" i="2"/>
  <c r="Q196" i="2"/>
  <c r="R196" i="2"/>
  <c r="O196" i="2" s="1"/>
  <c r="S196" i="2"/>
  <c r="T196" i="2"/>
  <c r="U196" i="2"/>
  <c r="P197" i="2"/>
  <c r="Q197" i="2"/>
  <c r="R197" i="2"/>
  <c r="O197" i="2" s="1"/>
  <c r="S197" i="2"/>
  <c r="T197" i="2"/>
  <c r="U197" i="2"/>
  <c r="P198" i="2"/>
  <c r="Q198" i="2"/>
  <c r="R198" i="2"/>
  <c r="O198" i="2" s="1"/>
  <c r="S198" i="2"/>
  <c r="T198" i="2"/>
  <c r="U198" i="2"/>
  <c r="P199" i="2"/>
  <c r="Q199" i="2"/>
  <c r="R199" i="2"/>
  <c r="O199" i="2" s="1"/>
  <c r="S199" i="2"/>
  <c r="T199" i="2"/>
  <c r="U199" i="2"/>
  <c r="P200" i="2"/>
  <c r="Q200" i="2"/>
  <c r="R200" i="2"/>
  <c r="O200" i="2" s="1"/>
  <c r="S200" i="2"/>
  <c r="T200" i="2"/>
  <c r="U200" i="2"/>
  <c r="P201" i="2"/>
  <c r="R201" i="2"/>
  <c r="O201" i="2" s="1"/>
  <c r="S201" i="2"/>
  <c r="U201" i="2"/>
  <c r="P202" i="2"/>
  <c r="Q202" i="2"/>
  <c r="R202" i="2"/>
  <c r="O202" i="2" s="1"/>
  <c r="S202" i="2"/>
  <c r="T202" i="2"/>
  <c r="U202" i="2"/>
  <c r="P203" i="2"/>
  <c r="Q203" i="2"/>
  <c r="R203" i="2"/>
  <c r="O203" i="2" s="1"/>
  <c r="S203" i="2"/>
  <c r="T203" i="2"/>
  <c r="U203" i="2"/>
  <c r="P204" i="2"/>
  <c r="Q204" i="2"/>
  <c r="R204" i="2"/>
  <c r="O204" i="2" s="1"/>
  <c r="S204" i="2"/>
  <c r="T204" i="2"/>
  <c r="U204" i="2"/>
  <c r="P205" i="2"/>
  <c r="Q205" i="2"/>
  <c r="R205" i="2"/>
  <c r="O205" i="2" s="1"/>
  <c r="S205" i="2"/>
  <c r="T205" i="2"/>
  <c r="U205" i="2"/>
  <c r="P206" i="2"/>
  <c r="Q206" i="2"/>
  <c r="R206" i="2"/>
  <c r="O206" i="2" s="1"/>
  <c r="S206" i="2"/>
  <c r="T206" i="2"/>
  <c r="U206" i="2"/>
  <c r="P207" i="2"/>
  <c r="Q207" i="2"/>
  <c r="R207" i="2"/>
  <c r="O207" i="2" s="1"/>
  <c r="S207" i="2"/>
  <c r="T207" i="2"/>
  <c r="U207" i="2"/>
  <c r="P208" i="2"/>
  <c r="Q208" i="2"/>
  <c r="R208" i="2"/>
  <c r="O208" i="2" s="1"/>
  <c r="S208" i="2"/>
  <c r="T208" i="2"/>
  <c r="U208" i="2"/>
  <c r="P209" i="2"/>
  <c r="Q209" i="2"/>
  <c r="R209" i="2"/>
  <c r="O209" i="2" s="1"/>
  <c r="S209" i="2"/>
  <c r="T209" i="2"/>
  <c r="U209" i="2"/>
  <c r="P210" i="2"/>
  <c r="Q210" i="2"/>
  <c r="R210" i="2"/>
  <c r="O210" i="2" s="1"/>
  <c r="S210" i="2"/>
  <c r="T210" i="2"/>
  <c r="U210" i="2"/>
  <c r="P211" i="2"/>
  <c r="Q211" i="2"/>
  <c r="R211" i="2"/>
  <c r="O211" i="2" s="1"/>
  <c r="S211" i="2"/>
  <c r="T211" i="2"/>
  <c r="U211" i="2"/>
  <c r="P212" i="2"/>
  <c r="Q212" i="2"/>
  <c r="R212" i="2"/>
  <c r="O212" i="2" s="1"/>
  <c r="S212" i="2"/>
  <c r="T212" i="2"/>
  <c r="U212" i="2"/>
  <c r="P213" i="2"/>
  <c r="Q213" i="2"/>
  <c r="R213" i="2"/>
  <c r="O213" i="2" s="1"/>
  <c r="S213" i="2"/>
  <c r="T213" i="2"/>
  <c r="U213" i="2"/>
  <c r="P214" i="2"/>
  <c r="Q214" i="2"/>
  <c r="R214" i="2"/>
  <c r="O214" i="2" s="1"/>
  <c r="S214" i="2"/>
  <c r="T214" i="2"/>
  <c r="U214" i="2"/>
  <c r="P215" i="2"/>
  <c r="Q215" i="2"/>
  <c r="R215" i="2"/>
  <c r="O215" i="2" s="1"/>
  <c r="S215" i="2"/>
  <c r="T215" i="2"/>
  <c r="U215" i="2"/>
  <c r="P216" i="2"/>
  <c r="Q216" i="2"/>
  <c r="R216" i="2"/>
  <c r="O216" i="2" s="1"/>
  <c r="S216" i="2"/>
  <c r="T216" i="2"/>
  <c r="U216" i="2"/>
  <c r="P217" i="2"/>
  <c r="Q217" i="2"/>
  <c r="R217" i="2"/>
  <c r="O217" i="2" s="1"/>
  <c r="S217" i="2"/>
  <c r="T217" i="2"/>
  <c r="U217" i="2"/>
  <c r="P218" i="2"/>
  <c r="Q218" i="2"/>
  <c r="R218" i="2"/>
  <c r="O218" i="2" s="1"/>
  <c r="S218" i="2"/>
  <c r="T218" i="2"/>
  <c r="U218" i="2"/>
  <c r="P219" i="2"/>
  <c r="Q219" i="2"/>
  <c r="R219" i="2"/>
  <c r="O219" i="2" s="1"/>
  <c r="S219" i="2"/>
  <c r="T219" i="2"/>
  <c r="U219" i="2"/>
  <c r="X219" i="2"/>
  <c r="P220" i="2"/>
  <c r="Q220" i="2"/>
  <c r="R220" i="2"/>
  <c r="O220" i="2" s="1"/>
  <c r="S220" i="2"/>
  <c r="T220" i="2"/>
  <c r="U220" i="2"/>
  <c r="P221" i="2"/>
  <c r="Q221" i="2"/>
  <c r="R221" i="2"/>
  <c r="O221" i="2" s="1"/>
  <c r="S221" i="2"/>
  <c r="T221" i="2"/>
  <c r="U221" i="2"/>
  <c r="P222" i="2"/>
  <c r="Q222" i="2"/>
  <c r="R222" i="2"/>
  <c r="O222" i="2" s="1"/>
  <c r="S222" i="2"/>
  <c r="T222" i="2"/>
  <c r="U222" i="2"/>
  <c r="P223" i="2"/>
  <c r="Q223" i="2"/>
  <c r="R223" i="2"/>
  <c r="O223" i="2" s="1"/>
  <c r="S223" i="2"/>
  <c r="T223" i="2"/>
  <c r="U223" i="2"/>
  <c r="P224" i="2"/>
  <c r="Q224" i="2"/>
  <c r="R224" i="2"/>
  <c r="O224" i="2" s="1"/>
  <c r="S224" i="2"/>
  <c r="T224" i="2"/>
  <c r="U224" i="2"/>
  <c r="P225" i="2"/>
  <c r="Q225" i="2"/>
  <c r="R225" i="2"/>
  <c r="O225" i="2" s="1"/>
  <c r="S225" i="2"/>
  <c r="T225" i="2"/>
  <c r="U225" i="2"/>
  <c r="P226" i="2"/>
  <c r="Q226" i="2"/>
  <c r="R226" i="2"/>
  <c r="O226" i="2" s="1"/>
  <c r="S226" i="2"/>
  <c r="T226" i="2"/>
  <c r="U226" i="2"/>
  <c r="P227" i="2"/>
  <c r="Q227" i="2"/>
  <c r="R227" i="2"/>
  <c r="O227" i="2" s="1"/>
  <c r="S227" i="2"/>
  <c r="T227" i="2"/>
  <c r="U227" i="2"/>
  <c r="P228" i="2"/>
  <c r="Q228" i="2"/>
  <c r="R228" i="2"/>
  <c r="O228" i="2" s="1"/>
  <c r="S228" i="2"/>
  <c r="T228" i="2"/>
  <c r="U228" i="2"/>
  <c r="P229" i="2"/>
  <c r="Q229" i="2"/>
  <c r="R229" i="2"/>
  <c r="O229" i="2" s="1"/>
  <c r="S229" i="2"/>
  <c r="T229" i="2"/>
  <c r="U229" i="2"/>
  <c r="P230" i="2"/>
  <c r="Q230" i="2"/>
  <c r="R230" i="2"/>
  <c r="O230" i="2" s="1"/>
  <c r="S230" i="2"/>
  <c r="T230" i="2"/>
  <c r="U230" i="2"/>
  <c r="P231" i="2"/>
  <c r="Q231" i="2"/>
  <c r="R231" i="2"/>
  <c r="O231" i="2" s="1"/>
  <c r="S231" i="2"/>
  <c r="T231" i="2"/>
  <c r="U231" i="2"/>
  <c r="P232" i="2"/>
  <c r="Q232" i="2"/>
  <c r="R232" i="2"/>
  <c r="O232" i="2" s="1"/>
  <c r="S232" i="2"/>
  <c r="T232" i="2"/>
  <c r="U232" i="2"/>
  <c r="P233" i="2"/>
  <c r="Q233" i="2"/>
  <c r="R233" i="2"/>
  <c r="O233" i="2" s="1"/>
  <c r="S233" i="2"/>
  <c r="T233" i="2"/>
  <c r="U233" i="2"/>
  <c r="X233" i="2"/>
  <c r="P234" i="2"/>
  <c r="Q234" i="2"/>
  <c r="R234" i="2"/>
  <c r="O234" i="2" s="1"/>
  <c r="S234" i="2"/>
  <c r="T234" i="2"/>
  <c r="U234" i="2"/>
  <c r="P235" i="2"/>
  <c r="Q235" i="2"/>
  <c r="R235" i="2"/>
  <c r="O235" i="2" s="1"/>
  <c r="S235" i="2"/>
  <c r="T235" i="2"/>
  <c r="U235" i="2"/>
  <c r="X235" i="2"/>
  <c r="P236" i="2"/>
  <c r="Q236" i="2"/>
  <c r="R236" i="2"/>
  <c r="O236" i="2" s="1"/>
  <c r="S236" i="2"/>
  <c r="T236" i="2"/>
  <c r="U236" i="2"/>
  <c r="P237" i="2"/>
  <c r="Q237" i="2"/>
  <c r="R237" i="2"/>
  <c r="O237" i="2" s="1"/>
  <c r="S237" i="2"/>
  <c r="T237" i="2"/>
  <c r="U237" i="2"/>
  <c r="P238" i="2"/>
  <c r="Q238" i="2"/>
  <c r="R238" i="2"/>
  <c r="O238" i="2" s="1"/>
  <c r="S238" i="2"/>
  <c r="T238" i="2"/>
  <c r="U238" i="2"/>
  <c r="P239" i="2"/>
  <c r="Q239" i="2"/>
  <c r="R239" i="2"/>
  <c r="O239" i="2" s="1"/>
  <c r="S239" i="2"/>
  <c r="T239" i="2"/>
  <c r="U239" i="2"/>
  <c r="X239" i="2"/>
  <c r="P240" i="2"/>
  <c r="Q240" i="2"/>
  <c r="R240" i="2"/>
  <c r="O240" i="2" s="1"/>
  <c r="S240" i="2"/>
  <c r="T240" i="2"/>
  <c r="U240" i="2"/>
  <c r="P241" i="2"/>
  <c r="Q241" i="2"/>
  <c r="R241" i="2"/>
  <c r="O241" i="2" s="1"/>
  <c r="S241" i="2"/>
  <c r="T241" i="2"/>
  <c r="U241" i="2"/>
  <c r="X241" i="2"/>
  <c r="P242" i="2"/>
  <c r="Q242" i="2"/>
  <c r="R242" i="2"/>
  <c r="O242" i="2" s="1"/>
  <c r="S242" i="2"/>
  <c r="T242" i="2"/>
  <c r="U242" i="2"/>
  <c r="P243" i="2"/>
  <c r="R243" i="2"/>
  <c r="O243" i="2" s="1"/>
  <c r="S243" i="2"/>
  <c r="U243" i="2"/>
  <c r="K171" i="2"/>
  <c r="K172" i="2"/>
  <c r="K173" i="2"/>
  <c r="K174" i="2"/>
  <c r="K175" i="2"/>
  <c r="X175" i="2" s="1"/>
  <c r="K176" i="2"/>
  <c r="X176" i="2" s="1"/>
  <c r="K177" i="2"/>
  <c r="X177" i="2" s="1"/>
  <c r="K178" i="2"/>
  <c r="X178" i="2" s="1"/>
  <c r="K179" i="2"/>
  <c r="X179" i="2" s="1"/>
  <c r="K180" i="2"/>
  <c r="X180" i="2" s="1"/>
  <c r="K181" i="2"/>
  <c r="X181" i="2" s="1"/>
  <c r="K182" i="2"/>
  <c r="X182" i="2" s="1"/>
  <c r="K183" i="2"/>
  <c r="X183" i="2" s="1"/>
  <c r="K184" i="2"/>
  <c r="X184" i="2" s="1"/>
  <c r="K185" i="2"/>
  <c r="X185" i="2" s="1"/>
  <c r="K186" i="2"/>
  <c r="X186" i="2" s="1"/>
  <c r="K187" i="2"/>
  <c r="X187" i="2" s="1"/>
  <c r="K188" i="2"/>
  <c r="X188" i="2" s="1"/>
  <c r="K189" i="2"/>
  <c r="X189" i="2" s="1"/>
  <c r="K190" i="2"/>
  <c r="X190" i="2" s="1"/>
  <c r="K191" i="2"/>
  <c r="X191" i="2" s="1"/>
  <c r="K192" i="2"/>
  <c r="X192" i="2" s="1"/>
  <c r="K193" i="2"/>
  <c r="X193" i="2" s="1"/>
  <c r="K194" i="2"/>
  <c r="X194" i="2" s="1"/>
  <c r="K195" i="2"/>
  <c r="X195" i="2" s="1"/>
  <c r="K196" i="2"/>
  <c r="X196" i="2" s="1"/>
  <c r="K197" i="2"/>
  <c r="X197" i="2" s="1"/>
  <c r="K198" i="2"/>
  <c r="X198" i="2" s="1"/>
  <c r="K199" i="2"/>
  <c r="X199" i="2" s="1"/>
  <c r="K200" i="2"/>
  <c r="X200" i="2" s="1"/>
  <c r="K201" i="2"/>
  <c r="X201" i="2" s="1"/>
  <c r="K202" i="2"/>
  <c r="X202" i="2" s="1"/>
  <c r="K203" i="2"/>
  <c r="X203" i="2" s="1"/>
  <c r="K204" i="2"/>
  <c r="X204" i="2" s="1"/>
  <c r="K205" i="2"/>
  <c r="X205" i="2" s="1"/>
  <c r="K206" i="2"/>
  <c r="X206" i="2" s="1"/>
  <c r="K207" i="2"/>
  <c r="X207" i="2" s="1"/>
  <c r="K208" i="2"/>
  <c r="X208" i="2" s="1"/>
  <c r="K209" i="2"/>
  <c r="X209" i="2" s="1"/>
  <c r="K210" i="2"/>
  <c r="X210" i="2" s="1"/>
  <c r="K211" i="2"/>
  <c r="X211" i="2" s="1"/>
  <c r="K212" i="2"/>
  <c r="X212" i="2" s="1"/>
  <c r="K213" i="2"/>
  <c r="X213" i="2" s="1"/>
  <c r="K214" i="2"/>
  <c r="X214" i="2" s="1"/>
  <c r="K215" i="2"/>
  <c r="X215" i="2" s="1"/>
  <c r="K216" i="2"/>
  <c r="X216" i="2" s="1"/>
  <c r="K217" i="2"/>
  <c r="X217" i="2" s="1"/>
  <c r="K218" i="2"/>
  <c r="X218" i="2" s="1"/>
  <c r="K219" i="2"/>
  <c r="K220" i="2"/>
  <c r="X220" i="2" s="1"/>
  <c r="K221" i="2"/>
  <c r="X221" i="2" s="1"/>
  <c r="K222" i="2"/>
  <c r="X222" i="2" s="1"/>
  <c r="K223" i="2"/>
  <c r="X223" i="2" s="1"/>
  <c r="K224" i="2"/>
  <c r="X224" i="2" s="1"/>
  <c r="K225" i="2"/>
  <c r="X225" i="2" s="1"/>
  <c r="K226" i="2"/>
  <c r="X226" i="2" s="1"/>
  <c r="K227" i="2"/>
  <c r="X227" i="2" s="1"/>
  <c r="K228" i="2"/>
  <c r="X228" i="2" s="1"/>
  <c r="K229" i="2"/>
  <c r="X229" i="2" s="1"/>
  <c r="K230" i="2"/>
  <c r="X230" i="2" s="1"/>
  <c r="K231" i="2"/>
  <c r="X231" i="2" s="1"/>
  <c r="K232" i="2"/>
  <c r="X232" i="2" s="1"/>
  <c r="K233" i="2"/>
  <c r="K234" i="2"/>
  <c r="X234" i="2" s="1"/>
  <c r="K235" i="2"/>
  <c r="K236" i="2"/>
  <c r="X236" i="2" s="1"/>
  <c r="K237" i="2"/>
  <c r="X237" i="2" s="1"/>
  <c r="K238" i="2"/>
  <c r="X238" i="2" s="1"/>
  <c r="K239" i="2"/>
  <c r="K240" i="2"/>
  <c r="X240" i="2" s="1"/>
  <c r="K241" i="2"/>
  <c r="K242" i="2"/>
  <c r="X242" i="2" s="1"/>
  <c r="K243" i="2"/>
  <c r="X243" i="2" s="1"/>
  <c r="A33" i="37"/>
  <c r="F40" i="39"/>
  <c r="F41" i="39"/>
  <c r="F23" i="39"/>
  <c r="F24" i="39"/>
  <c r="F25" i="39"/>
  <c r="F26" i="39"/>
  <c r="F27" i="39"/>
  <c r="F28" i="39"/>
  <c r="F29" i="39"/>
  <c r="F30" i="39"/>
  <c r="F31" i="39"/>
  <c r="F32" i="39"/>
  <c r="F33" i="39"/>
  <c r="F34" i="39"/>
  <c r="F35" i="39"/>
  <c r="F36" i="39"/>
  <c r="F37" i="39"/>
  <c r="F38" i="39"/>
  <c r="F39" i="39"/>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0" i="2"/>
  <c r="T8" i="2"/>
  <c r="T186" i="2" l="1"/>
  <c r="Q186" i="2" s="1"/>
  <c r="T184" i="2"/>
  <c r="Q184" i="2" s="1"/>
  <c r="T183" i="2"/>
  <c r="Q183" i="2" s="1"/>
  <c r="T243" i="2"/>
  <c r="Q243" i="2" s="1"/>
  <c r="O184" i="2"/>
  <c r="O186" i="2"/>
  <c r="O183" i="2"/>
  <c r="T201" i="2"/>
  <c r="Q201" i="2" s="1"/>
  <c r="T194" i="2"/>
  <c r="Q194" i="2" s="1"/>
  <c r="B4" i="37"/>
  <c r="O27" i="2" l="1"/>
  <c r="P27" i="2"/>
  <c r="Q27" i="2"/>
  <c r="P28" i="2"/>
  <c r="Q28" i="2"/>
  <c r="P29" i="2"/>
  <c r="Q29" i="2"/>
  <c r="P30" i="2"/>
  <c r="Q30" i="2"/>
  <c r="P31" i="2"/>
  <c r="Q31" i="2"/>
  <c r="P32" i="2"/>
  <c r="Q32" i="2"/>
  <c r="P33" i="2"/>
  <c r="Q33" i="2"/>
  <c r="P34" i="2"/>
  <c r="Q34" i="2"/>
  <c r="P35" i="2"/>
  <c r="Q35" i="2"/>
  <c r="P36" i="2"/>
  <c r="Q36" i="2"/>
  <c r="P37" i="2"/>
  <c r="Q37" i="2"/>
  <c r="P38" i="2"/>
  <c r="Q38" i="2"/>
  <c r="P39" i="2"/>
  <c r="Q39" i="2"/>
  <c r="P40" i="2"/>
  <c r="Q40" i="2"/>
  <c r="P41" i="2"/>
  <c r="Q41" i="2"/>
  <c r="P42" i="2"/>
  <c r="Q42" i="2"/>
  <c r="P43" i="2"/>
  <c r="Q43" i="2"/>
  <c r="P44" i="2"/>
  <c r="Q44" i="2"/>
  <c r="P45" i="2"/>
  <c r="Q45" i="2"/>
  <c r="P46" i="2"/>
  <c r="Q46" i="2"/>
  <c r="P47" i="2"/>
  <c r="Q47" i="2"/>
  <c r="P48" i="2"/>
  <c r="Q48" i="2"/>
  <c r="Q49" i="2"/>
  <c r="P50" i="2"/>
  <c r="Q50" i="2"/>
  <c r="Q51" i="2"/>
  <c r="Q52" i="2"/>
  <c r="Q53" i="2"/>
  <c r="Q54" i="2"/>
  <c r="P55" i="2"/>
  <c r="Q55" i="2"/>
  <c r="P56" i="2"/>
  <c r="Q56" i="2"/>
  <c r="P57" i="2"/>
  <c r="Q57" i="2"/>
  <c r="P58" i="2"/>
  <c r="Q58" i="2"/>
  <c r="P59" i="2"/>
  <c r="Q59" i="2"/>
  <c r="P60" i="2"/>
  <c r="Q60" i="2"/>
  <c r="P61" i="2"/>
  <c r="Q61" i="2"/>
  <c r="P62" i="2"/>
  <c r="Q62" i="2"/>
  <c r="P63" i="2"/>
  <c r="Q63" i="2"/>
  <c r="P64" i="2"/>
  <c r="Q64" i="2"/>
  <c r="P65" i="2"/>
  <c r="Q65" i="2"/>
  <c r="P66" i="2"/>
  <c r="Q66" i="2"/>
  <c r="P67" i="2"/>
  <c r="Q67" i="2"/>
  <c r="P68" i="2"/>
  <c r="Q68" i="2"/>
  <c r="P69" i="2"/>
  <c r="Q69" i="2"/>
  <c r="P70" i="2"/>
  <c r="Q70" i="2"/>
  <c r="P71" i="2"/>
  <c r="Q71" i="2"/>
  <c r="P72" i="2"/>
  <c r="Q72" i="2"/>
  <c r="P73" i="2"/>
  <c r="Q73" i="2"/>
  <c r="P74" i="2"/>
  <c r="Q74" i="2"/>
  <c r="P75" i="2"/>
  <c r="Q75" i="2"/>
  <c r="P76" i="2"/>
  <c r="Q76" i="2"/>
  <c r="P77" i="2"/>
  <c r="Q77" i="2"/>
  <c r="P78" i="2"/>
  <c r="Q78" i="2"/>
  <c r="P79" i="2"/>
  <c r="Q79" i="2"/>
  <c r="P80" i="2"/>
  <c r="Q80" i="2"/>
  <c r="P81" i="2"/>
  <c r="Q81" i="2"/>
  <c r="P82" i="2"/>
  <c r="Q82" i="2"/>
  <c r="P83" i="2"/>
  <c r="Q83" i="2"/>
  <c r="P84" i="2"/>
  <c r="Q84" i="2"/>
  <c r="P85" i="2"/>
  <c r="Q85" i="2"/>
  <c r="P86" i="2"/>
  <c r="Q86" i="2"/>
  <c r="P87" i="2"/>
  <c r="Q87" i="2"/>
  <c r="P88" i="2"/>
  <c r="Q88" i="2"/>
  <c r="P89" i="2"/>
  <c r="Q89" i="2"/>
  <c r="P90" i="2"/>
  <c r="Q90" i="2"/>
  <c r="P91" i="2"/>
  <c r="Q91" i="2"/>
  <c r="P92" i="2"/>
  <c r="Q92" i="2"/>
  <c r="P93" i="2"/>
  <c r="Q93" i="2"/>
  <c r="P94" i="2"/>
  <c r="Q94" i="2"/>
  <c r="P95" i="2"/>
  <c r="Q95" i="2"/>
  <c r="P96" i="2"/>
  <c r="Q96" i="2"/>
  <c r="P97" i="2"/>
  <c r="Q97" i="2"/>
  <c r="P98" i="2"/>
  <c r="Q98" i="2"/>
  <c r="P99" i="2"/>
  <c r="Q99" i="2"/>
  <c r="P100" i="2"/>
  <c r="Q100" i="2"/>
  <c r="P101" i="2"/>
  <c r="Q101" i="2"/>
  <c r="P102" i="2"/>
  <c r="Q102" i="2"/>
  <c r="P103" i="2"/>
  <c r="Q103" i="2"/>
  <c r="P104" i="2"/>
  <c r="Q104" i="2"/>
  <c r="P105" i="2"/>
  <c r="Q105" i="2"/>
  <c r="P106" i="2"/>
  <c r="Q106" i="2"/>
  <c r="P107" i="2"/>
  <c r="Q107" i="2"/>
  <c r="P108" i="2"/>
  <c r="Q108" i="2"/>
  <c r="P109" i="2"/>
  <c r="Q109" i="2"/>
  <c r="P110" i="2"/>
  <c r="Q110" i="2"/>
  <c r="P111" i="2"/>
  <c r="Q111" i="2"/>
  <c r="Q112" i="2"/>
  <c r="Q113" i="2"/>
  <c r="Q114" i="2"/>
  <c r="Q115" i="2"/>
  <c r="Q116" i="2"/>
  <c r="Q117" i="2"/>
  <c r="P118" i="2"/>
  <c r="Q118" i="2"/>
  <c r="P119" i="2"/>
  <c r="Q119" i="2"/>
  <c r="P120" i="2"/>
  <c r="Q120" i="2"/>
  <c r="P121" i="2"/>
  <c r="Q121" i="2"/>
  <c r="P122" i="2"/>
  <c r="Q122" i="2"/>
  <c r="P123" i="2"/>
  <c r="Q123" i="2"/>
  <c r="P124" i="2"/>
  <c r="Q124" i="2"/>
  <c r="P125" i="2"/>
  <c r="Q125" i="2"/>
  <c r="P126" i="2"/>
  <c r="Q126" i="2"/>
  <c r="P127" i="2"/>
  <c r="Q127" i="2"/>
  <c r="Q128" i="2"/>
  <c r="Q129" i="2"/>
  <c r="Q130" i="2"/>
  <c r="Q131" i="2"/>
  <c r="P132" i="2"/>
  <c r="Q132" i="2"/>
  <c r="P133" i="2"/>
  <c r="Q133" i="2"/>
  <c r="P134" i="2"/>
  <c r="Q134" i="2"/>
  <c r="Q135" i="2"/>
  <c r="Q136" i="2"/>
  <c r="Q137" i="2"/>
  <c r="P138" i="2"/>
  <c r="Q138" i="2"/>
  <c r="P139" i="2"/>
  <c r="Q139" i="2"/>
  <c r="P140" i="2"/>
  <c r="Q140" i="2"/>
  <c r="P141" i="2"/>
  <c r="Q141" i="2"/>
  <c r="P142" i="2"/>
  <c r="Q142" i="2"/>
  <c r="P143" i="2"/>
  <c r="Q143" i="2"/>
  <c r="P144" i="2"/>
  <c r="Q144" i="2"/>
  <c r="P145" i="2"/>
  <c r="Q145" i="2"/>
  <c r="P146" i="2"/>
  <c r="Q146" i="2"/>
  <c r="P147" i="2"/>
  <c r="Q147" i="2"/>
  <c r="P148" i="2"/>
  <c r="Q148" i="2"/>
  <c r="P149" i="2"/>
  <c r="Q149" i="2"/>
  <c r="P150" i="2"/>
  <c r="Q150" i="2"/>
  <c r="O151" i="2"/>
  <c r="P151" i="2"/>
  <c r="Q151" i="2"/>
  <c r="O152" i="2"/>
  <c r="P152" i="2"/>
  <c r="Q152" i="2"/>
  <c r="P153" i="2"/>
  <c r="Q153" i="2"/>
  <c r="O154" i="2"/>
  <c r="P154" i="2"/>
  <c r="Q154" i="2"/>
  <c r="P155" i="2"/>
  <c r="Q155" i="2"/>
  <c r="P156" i="2"/>
  <c r="Q156" i="2"/>
  <c r="P157" i="2"/>
  <c r="Q157" i="2"/>
  <c r="P158" i="2"/>
  <c r="Q158" i="2"/>
  <c r="P159" i="2"/>
  <c r="Q159" i="2"/>
  <c r="P160" i="2"/>
  <c r="Q160" i="2"/>
  <c r="O161" i="2"/>
  <c r="P161" i="2"/>
  <c r="Q161" i="2"/>
  <c r="P162" i="2"/>
  <c r="Q162" i="2"/>
  <c r="P163" i="2"/>
  <c r="Q163" i="2"/>
  <c r="P164" i="2"/>
  <c r="Q164" i="2"/>
  <c r="O165" i="2"/>
  <c r="P165" i="2"/>
  <c r="Q165" i="2"/>
  <c r="O166" i="2"/>
  <c r="P166" i="2"/>
  <c r="Q166" i="2"/>
  <c r="O167" i="2"/>
  <c r="P167" i="2"/>
  <c r="Q167" i="2"/>
  <c r="O168" i="2"/>
  <c r="P168" i="2"/>
  <c r="Q168" i="2"/>
  <c r="P169" i="2"/>
  <c r="Q169" i="2"/>
  <c r="P170" i="2"/>
  <c r="Q170" i="2"/>
  <c r="O171" i="2"/>
  <c r="P171" i="2"/>
  <c r="Q171" i="2"/>
  <c r="O172" i="2"/>
  <c r="P172" i="2"/>
  <c r="Q172" i="2"/>
  <c r="O173" i="2"/>
  <c r="P173" i="2"/>
  <c r="Q173" i="2"/>
  <c r="O174" i="2"/>
  <c r="P174" i="2"/>
  <c r="Q174" i="2"/>
  <c r="N40" i="18" l="1"/>
  <c r="N39" i="18"/>
  <c r="L39" i="18"/>
  <c r="L38" i="18"/>
  <c r="J38" i="18"/>
  <c r="J37" i="18"/>
  <c r="N36" i="18"/>
  <c r="N35" i="18"/>
  <c r="L35" i="18"/>
  <c r="L34" i="18"/>
  <c r="K34" i="18"/>
  <c r="J34" i="18"/>
  <c r="I34" i="18"/>
  <c r="M34" i="18"/>
  <c r="N34" i="18"/>
  <c r="I35" i="18"/>
  <c r="J35" i="18"/>
  <c r="K35" i="18"/>
  <c r="M35" i="18"/>
  <c r="I36" i="18"/>
  <c r="J36" i="18"/>
  <c r="K36" i="18"/>
  <c r="L36" i="18"/>
  <c r="M36" i="18"/>
  <c r="I37" i="18"/>
  <c r="K37" i="18"/>
  <c r="L37" i="18"/>
  <c r="M37" i="18"/>
  <c r="N37" i="18"/>
  <c r="I38" i="18"/>
  <c r="K38" i="18"/>
  <c r="M38" i="18"/>
  <c r="N38" i="18"/>
  <c r="I39" i="18"/>
  <c r="J39" i="18"/>
  <c r="K39" i="18"/>
  <c r="M39" i="18"/>
  <c r="I40" i="18"/>
  <c r="J40" i="18"/>
  <c r="K40" i="18"/>
  <c r="L40" i="18"/>
  <c r="M40" i="18"/>
  <c r="K27" i="2" l="1"/>
  <c r="X27" i="2" s="1"/>
  <c r="K28" i="2"/>
  <c r="X28" i="2" s="1"/>
  <c r="K29" i="2"/>
  <c r="X29" i="2" s="1"/>
  <c r="K30" i="2"/>
  <c r="X30" i="2" s="1"/>
  <c r="K31" i="2"/>
  <c r="X31" i="2" s="1"/>
  <c r="K32" i="2"/>
  <c r="X32" i="2" s="1"/>
  <c r="K33" i="2"/>
  <c r="X33" i="2" s="1"/>
  <c r="K34" i="2"/>
  <c r="X34" i="2" s="1"/>
  <c r="K35" i="2"/>
  <c r="X35" i="2" s="1"/>
  <c r="K36" i="2"/>
  <c r="X36" i="2" s="1"/>
  <c r="K37" i="2"/>
  <c r="X37" i="2" s="1"/>
  <c r="K38" i="2"/>
  <c r="X38" i="2" s="1"/>
  <c r="K39" i="2"/>
  <c r="X39" i="2" s="1"/>
  <c r="K40" i="2"/>
  <c r="X40" i="2" s="1"/>
  <c r="K41" i="2"/>
  <c r="X41" i="2" s="1"/>
  <c r="K42" i="2"/>
  <c r="X42" i="2" s="1"/>
  <c r="K43" i="2"/>
  <c r="X43" i="2" s="1"/>
  <c r="K44" i="2"/>
  <c r="X44" i="2" s="1"/>
  <c r="K45" i="2"/>
  <c r="X45" i="2" s="1"/>
  <c r="K46" i="2"/>
  <c r="X46" i="2" s="1"/>
  <c r="K47" i="2"/>
  <c r="X47" i="2" s="1"/>
  <c r="K48" i="2"/>
  <c r="X48" i="2" s="1"/>
  <c r="K49" i="2"/>
  <c r="X49" i="2" s="1"/>
  <c r="K50" i="2"/>
  <c r="X50" i="2" s="1"/>
  <c r="K51" i="2"/>
  <c r="X51" i="2" s="1"/>
  <c r="K52" i="2"/>
  <c r="X52" i="2" s="1"/>
  <c r="K53" i="2"/>
  <c r="X53" i="2" s="1"/>
  <c r="K54" i="2"/>
  <c r="X54" i="2" s="1"/>
  <c r="K55" i="2"/>
  <c r="X55" i="2" s="1"/>
  <c r="K56" i="2"/>
  <c r="X56" i="2" s="1"/>
  <c r="K57" i="2"/>
  <c r="X57" i="2" s="1"/>
  <c r="K58" i="2"/>
  <c r="X58" i="2" s="1"/>
  <c r="K59" i="2"/>
  <c r="X59" i="2" s="1"/>
  <c r="K60" i="2"/>
  <c r="X60" i="2" s="1"/>
  <c r="K61" i="2"/>
  <c r="X61" i="2" s="1"/>
  <c r="K62" i="2"/>
  <c r="X62" i="2" s="1"/>
  <c r="K63" i="2"/>
  <c r="X63" i="2" s="1"/>
  <c r="K64" i="2"/>
  <c r="X64" i="2" s="1"/>
  <c r="K65" i="2"/>
  <c r="X65" i="2" s="1"/>
  <c r="K66" i="2"/>
  <c r="X66" i="2" s="1"/>
  <c r="K67" i="2"/>
  <c r="X67" i="2" s="1"/>
  <c r="K68" i="2"/>
  <c r="X68" i="2" s="1"/>
  <c r="K69" i="2"/>
  <c r="X69" i="2" s="1"/>
  <c r="K70" i="2"/>
  <c r="X70" i="2" s="1"/>
  <c r="K71" i="2"/>
  <c r="X71" i="2" s="1"/>
  <c r="K72" i="2"/>
  <c r="X72" i="2" s="1"/>
  <c r="K73" i="2"/>
  <c r="X73" i="2" s="1"/>
  <c r="K74" i="2"/>
  <c r="X74" i="2" s="1"/>
  <c r="K75" i="2"/>
  <c r="X75" i="2" s="1"/>
  <c r="K76" i="2"/>
  <c r="X76" i="2" s="1"/>
  <c r="K77" i="2"/>
  <c r="X77" i="2" s="1"/>
  <c r="K78" i="2"/>
  <c r="X78" i="2" s="1"/>
  <c r="K79" i="2"/>
  <c r="X79" i="2" s="1"/>
  <c r="K80" i="2"/>
  <c r="X80" i="2" s="1"/>
  <c r="K81" i="2"/>
  <c r="X81" i="2" s="1"/>
  <c r="K82" i="2"/>
  <c r="X82" i="2" s="1"/>
  <c r="K83" i="2"/>
  <c r="X83" i="2" s="1"/>
  <c r="K84" i="2"/>
  <c r="X84" i="2" s="1"/>
  <c r="K85" i="2"/>
  <c r="X85" i="2" s="1"/>
  <c r="K86" i="2"/>
  <c r="X86" i="2" s="1"/>
  <c r="K87" i="2"/>
  <c r="X87" i="2" s="1"/>
  <c r="K88" i="2"/>
  <c r="X88" i="2" s="1"/>
  <c r="K89" i="2"/>
  <c r="X89" i="2" s="1"/>
  <c r="K90" i="2"/>
  <c r="X90" i="2" s="1"/>
  <c r="K91" i="2"/>
  <c r="X91" i="2" s="1"/>
  <c r="K92" i="2"/>
  <c r="X92" i="2" s="1"/>
  <c r="K93" i="2"/>
  <c r="X93" i="2" s="1"/>
  <c r="K94" i="2"/>
  <c r="X94" i="2" s="1"/>
  <c r="K95" i="2"/>
  <c r="X95" i="2" s="1"/>
  <c r="K96" i="2"/>
  <c r="X96" i="2" s="1"/>
  <c r="K97" i="2"/>
  <c r="X97" i="2" s="1"/>
  <c r="K98" i="2"/>
  <c r="X98" i="2" s="1"/>
  <c r="K99" i="2"/>
  <c r="X99" i="2" s="1"/>
  <c r="K100" i="2"/>
  <c r="X100" i="2" s="1"/>
  <c r="K101" i="2"/>
  <c r="X101" i="2" s="1"/>
  <c r="K102" i="2"/>
  <c r="X102" i="2" s="1"/>
  <c r="K103" i="2"/>
  <c r="X103" i="2" s="1"/>
  <c r="K104" i="2"/>
  <c r="X104" i="2" s="1"/>
  <c r="K105" i="2"/>
  <c r="X105" i="2" s="1"/>
  <c r="K106" i="2"/>
  <c r="X106" i="2" s="1"/>
  <c r="K107" i="2"/>
  <c r="X107" i="2" s="1"/>
  <c r="K108" i="2"/>
  <c r="X108" i="2" s="1"/>
  <c r="K109" i="2"/>
  <c r="X109" i="2" s="1"/>
  <c r="K110" i="2"/>
  <c r="X110" i="2" s="1"/>
  <c r="K111" i="2"/>
  <c r="X111" i="2" s="1"/>
  <c r="K112" i="2"/>
  <c r="X112" i="2" s="1"/>
  <c r="K113" i="2"/>
  <c r="X113" i="2" s="1"/>
  <c r="K114" i="2"/>
  <c r="X114" i="2" s="1"/>
  <c r="K115" i="2"/>
  <c r="X115" i="2" s="1"/>
  <c r="K116" i="2"/>
  <c r="X116" i="2" s="1"/>
  <c r="K117" i="2"/>
  <c r="X117" i="2" s="1"/>
  <c r="K118" i="2"/>
  <c r="X118" i="2" s="1"/>
  <c r="K119" i="2"/>
  <c r="X119" i="2" s="1"/>
  <c r="K120" i="2"/>
  <c r="X120" i="2" s="1"/>
  <c r="K121" i="2"/>
  <c r="X121" i="2" s="1"/>
  <c r="K122" i="2"/>
  <c r="X122" i="2" s="1"/>
  <c r="K123" i="2"/>
  <c r="X123" i="2" s="1"/>
  <c r="K124" i="2"/>
  <c r="X124" i="2" s="1"/>
  <c r="K125" i="2"/>
  <c r="X125" i="2" s="1"/>
  <c r="K126" i="2"/>
  <c r="X126" i="2" s="1"/>
  <c r="K127" i="2"/>
  <c r="X127" i="2" s="1"/>
  <c r="K128" i="2"/>
  <c r="X128" i="2" s="1"/>
  <c r="K129" i="2"/>
  <c r="X129" i="2" s="1"/>
  <c r="K130" i="2"/>
  <c r="X130" i="2" s="1"/>
  <c r="K131" i="2"/>
  <c r="X131" i="2" s="1"/>
  <c r="K132" i="2"/>
  <c r="X132" i="2" s="1"/>
  <c r="K133" i="2"/>
  <c r="X133" i="2" s="1"/>
  <c r="K134" i="2"/>
  <c r="X134" i="2" s="1"/>
  <c r="K135" i="2"/>
  <c r="X135" i="2" s="1"/>
  <c r="K136" i="2"/>
  <c r="X136" i="2" s="1"/>
  <c r="K137" i="2"/>
  <c r="X137" i="2" s="1"/>
  <c r="K138" i="2"/>
  <c r="X138" i="2" s="1"/>
  <c r="K139" i="2"/>
  <c r="X139" i="2" s="1"/>
  <c r="K140" i="2"/>
  <c r="X140" i="2" s="1"/>
  <c r="K141" i="2"/>
  <c r="X141" i="2" s="1"/>
  <c r="K142" i="2"/>
  <c r="X142" i="2" s="1"/>
  <c r="K143" i="2"/>
  <c r="X143" i="2" s="1"/>
  <c r="K144" i="2"/>
  <c r="X144" i="2" s="1"/>
  <c r="K145" i="2"/>
  <c r="X145" i="2" s="1"/>
  <c r="K146" i="2"/>
  <c r="X146" i="2" s="1"/>
  <c r="K147" i="2"/>
  <c r="X147" i="2" s="1"/>
  <c r="K148" i="2"/>
  <c r="X148" i="2" s="1"/>
  <c r="K149" i="2"/>
  <c r="X149" i="2" s="1"/>
  <c r="K150" i="2"/>
  <c r="X150" i="2" s="1"/>
  <c r="K151" i="2"/>
  <c r="X151" i="2" s="1"/>
  <c r="K152" i="2"/>
  <c r="X152" i="2" s="1"/>
  <c r="K153" i="2"/>
  <c r="X153" i="2" s="1"/>
  <c r="K154" i="2"/>
  <c r="X154" i="2" s="1"/>
  <c r="K155" i="2"/>
  <c r="X155" i="2" s="1"/>
  <c r="K156" i="2"/>
  <c r="X156" i="2" s="1"/>
  <c r="K157" i="2"/>
  <c r="X157" i="2" s="1"/>
  <c r="K158" i="2"/>
  <c r="X158" i="2" s="1"/>
  <c r="K159" i="2"/>
  <c r="X159" i="2" s="1"/>
  <c r="K160" i="2"/>
  <c r="X160" i="2" s="1"/>
  <c r="K161" i="2"/>
  <c r="X161" i="2" s="1"/>
  <c r="K162" i="2"/>
  <c r="X162" i="2" s="1"/>
  <c r="K163" i="2"/>
  <c r="X163" i="2" s="1"/>
  <c r="K164" i="2"/>
  <c r="X164" i="2" s="1"/>
  <c r="K165" i="2"/>
  <c r="X165" i="2" s="1"/>
  <c r="K166" i="2"/>
  <c r="X166" i="2" s="1"/>
  <c r="K167" i="2"/>
  <c r="X167" i="2" s="1"/>
  <c r="K168" i="2"/>
  <c r="X168" i="2" s="1"/>
  <c r="K169" i="2"/>
  <c r="X169" i="2" s="1"/>
  <c r="K170" i="2"/>
  <c r="X170" i="2" s="1"/>
  <c r="X171" i="2"/>
  <c r="X172" i="2"/>
  <c r="X173" i="2"/>
  <c r="X174" i="2"/>
  <c r="R27" i="2"/>
  <c r="S27" i="2"/>
  <c r="S28" i="2"/>
  <c r="S29" i="2"/>
  <c r="S30" i="2"/>
  <c r="S31" i="2"/>
  <c r="S32" i="2"/>
  <c r="S33" i="2"/>
  <c r="S34" i="2"/>
  <c r="S35" i="2"/>
  <c r="S36" i="2"/>
  <c r="S37" i="2"/>
  <c r="S38" i="2"/>
  <c r="S39" i="2"/>
  <c r="S40" i="2"/>
  <c r="S41" i="2"/>
  <c r="S42" i="2"/>
  <c r="S43" i="2"/>
  <c r="S44" i="2"/>
  <c r="S45" i="2"/>
  <c r="S46" i="2"/>
  <c r="S47" i="2"/>
  <c r="S48" i="2"/>
  <c r="S50"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8" i="2"/>
  <c r="S119" i="2"/>
  <c r="S120" i="2"/>
  <c r="S121" i="2"/>
  <c r="S122" i="2"/>
  <c r="S123" i="2"/>
  <c r="S124" i="2"/>
  <c r="S125" i="2"/>
  <c r="S126" i="2"/>
  <c r="S127" i="2"/>
  <c r="S132" i="2"/>
  <c r="S133" i="2"/>
  <c r="S134" i="2"/>
  <c r="S138" i="2"/>
  <c r="S139" i="2"/>
  <c r="S140" i="2"/>
  <c r="S141" i="2"/>
  <c r="S142" i="2"/>
  <c r="S143" i="2"/>
  <c r="S144" i="2"/>
  <c r="S145" i="2"/>
  <c r="S146" i="2"/>
  <c r="S147" i="2"/>
  <c r="S148" i="2"/>
  <c r="S149" i="2"/>
  <c r="S150" i="2"/>
  <c r="R151" i="2"/>
  <c r="S151" i="2"/>
  <c r="R152" i="2"/>
  <c r="S152" i="2"/>
  <c r="S153" i="2"/>
  <c r="R154" i="2"/>
  <c r="S154" i="2"/>
  <c r="S155" i="2"/>
  <c r="S156" i="2"/>
  <c r="S157" i="2"/>
  <c r="S158" i="2"/>
  <c r="S159" i="2"/>
  <c r="S160" i="2"/>
  <c r="R161" i="2"/>
  <c r="S161" i="2"/>
  <c r="S162" i="2"/>
  <c r="S163" i="2"/>
  <c r="S164" i="2"/>
  <c r="R165" i="2"/>
  <c r="S165" i="2"/>
  <c r="R166" i="2"/>
  <c r="S166" i="2"/>
  <c r="R167" i="2"/>
  <c r="S167" i="2"/>
  <c r="R168" i="2"/>
  <c r="S168" i="2"/>
  <c r="S169" i="2"/>
  <c r="S170" i="2"/>
  <c r="R171" i="2"/>
  <c r="S171" i="2"/>
  <c r="R172" i="2"/>
  <c r="S172" i="2"/>
  <c r="R173" i="2"/>
  <c r="S173" i="2"/>
  <c r="R174" i="2"/>
  <c r="S174" i="2"/>
  <c r="B3" i="41" l="1"/>
  <c r="B1" i="41" l="1"/>
  <c r="B2" i="41"/>
  <c r="K52" i="38" l="1"/>
  <c r="K60" i="38" l="1"/>
  <c r="K59" i="38"/>
  <c r="K58" i="38"/>
  <c r="K57" i="38"/>
  <c r="K56" i="38"/>
  <c r="K55" i="38"/>
  <c r="K54" i="38"/>
  <c r="K53" i="38"/>
  <c r="K51" i="38"/>
  <c r="K50" i="38"/>
  <c r="F17" i="39"/>
  <c r="F18" i="39"/>
  <c r="F19" i="39"/>
  <c r="F20" i="39"/>
  <c r="F21" i="39"/>
  <c r="F22" i="39"/>
  <c r="E14" i="40"/>
  <c r="E15" i="40"/>
  <c r="E16" i="40"/>
  <c r="E17" i="40"/>
  <c r="E18" i="40"/>
  <c r="E19" i="40"/>
  <c r="E20" i="40"/>
  <c r="E21" i="40"/>
  <c r="E22" i="40"/>
  <c r="E23" i="40"/>
  <c r="E24" i="40"/>
  <c r="E25" i="40"/>
  <c r="E26" i="40"/>
  <c r="E27" i="40"/>
  <c r="E28" i="40"/>
  <c r="E13" i="40"/>
  <c r="B5" i="40"/>
  <c r="B6" i="40"/>
  <c r="B7" i="40"/>
  <c r="B8" i="40"/>
  <c r="B3" i="40"/>
  <c r="A4" i="40"/>
  <c r="A5" i="40"/>
  <c r="A6" i="40"/>
  <c r="A7" i="40"/>
  <c r="A8" i="40"/>
  <c r="A3" i="40"/>
  <c r="P30" i="40" l="1"/>
  <c r="L28" i="40"/>
  <c r="K28" i="40"/>
  <c r="J28" i="40"/>
  <c r="I28" i="40"/>
  <c r="F28" i="40"/>
  <c r="L27" i="40"/>
  <c r="K27" i="40"/>
  <c r="J27" i="40"/>
  <c r="I27" i="40"/>
  <c r="F27" i="40"/>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F16" i="40"/>
  <c r="I16" i="40" s="1"/>
  <c r="L15" i="40"/>
  <c r="K15" i="40"/>
  <c r="J15" i="40"/>
  <c r="F15" i="40"/>
  <c r="I15" i="40" s="1"/>
  <c r="L14" i="40"/>
  <c r="K14" i="40"/>
  <c r="J14" i="40"/>
  <c r="F14" i="40"/>
  <c r="I14" i="40" s="1"/>
  <c r="L13" i="40"/>
  <c r="K13" i="40"/>
  <c r="J13" i="40"/>
  <c r="F13" i="40"/>
  <c r="I13" i="40" s="1"/>
  <c r="B4" i="40"/>
  <c r="N27" i="40" l="1"/>
  <c r="Q27" i="40" s="1"/>
  <c r="N14" i="40"/>
  <c r="Q14" i="40" s="1"/>
  <c r="N19" i="40"/>
  <c r="Q19" i="40" s="1"/>
  <c r="N28" i="40"/>
  <c r="Q28" i="40" s="1"/>
  <c r="N17" i="40"/>
  <c r="Q17" i="40" s="1"/>
  <c r="N25" i="40"/>
  <c r="Q25" i="40" s="1"/>
  <c r="N15" i="40"/>
  <c r="Q15" i="40" s="1"/>
  <c r="N16" i="40"/>
  <c r="Q16" i="40" s="1"/>
  <c r="N22" i="40"/>
  <c r="Q22" i="40" s="1"/>
  <c r="N18" i="40"/>
  <c r="Q18" i="40" s="1"/>
  <c r="N20" i="40"/>
  <c r="Q20" i="40" s="1"/>
  <c r="N26" i="40"/>
  <c r="Q26" i="40" s="1"/>
  <c r="N24" i="40"/>
  <c r="Q24" i="40" s="1"/>
  <c r="N23" i="40"/>
  <c r="Q23" i="40" s="1"/>
  <c r="N21" i="40"/>
  <c r="Q21" i="40" s="1"/>
  <c r="N13" i="40"/>
  <c r="Q13" i="40" s="1"/>
  <c r="Q30" i="40" l="1"/>
  <c r="K37" i="37" s="1"/>
  <c r="B5" i="39"/>
  <c r="B6" i="39"/>
  <c r="B7" i="39"/>
  <c r="B8" i="39"/>
  <c r="B4" i="39"/>
  <c r="B3" i="39"/>
  <c r="A4" i="39"/>
  <c r="A5" i="39"/>
  <c r="A6" i="39"/>
  <c r="A7" i="39"/>
  <c r="A8" i="39"/>
  <c r="A3" i="39"/>
  <c r="J33" i="37" s="1"/>
  <c r="F15" i="39"/>
  <c r="F16" i="39"/>
  <c r="F14" i="39"/>
  <c r="F13" i="39"/>
  <c r="B5" i="5"/>
  <c r="B6" i="5"/>
  <c r="B7" i="5"/>
  <c r="B8" i="5"/>
  <c r="B3" i="5"/>
  <c r="A4" i="5"/>
  <c r="A5" i="5"/>
  <c r="A6" i="5"/>
  <c r="A7" i="5"/>
  <c r="A8" i="5"/>
  <c r="A3" i="5"/>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K11" i="2"/>
  <c r="X11" i="2" s="1"/>
  <c r="K12" i="2"/>
  <c r="X12" i="2" s="1"/>
  <c r="K13" i="2"/>
  <c r="X13" i="2" s="1"/>
  <c r="K14" i="2"/>
  <c r="X14" i="2" s="1"/>
  <c r="K15" i="2"/>
  <c r="X15" i="2" s="1"/>
  <c r="K16" i="2"/>
  <c r="X16" i="2" s="1"/>
  <c r="K17" i="2"/>
  <c r="X17" i="2" s="1"/>
  <c r="K18" i="2"/>
  <c r="X18" i="2" s="1"/>
  <c r="K19" i="2"/>
  <c r="X19" i="2" s="1"/>
  <c r="K20" i="2"/>
  <c r="X20" i="2" s="1"/>
  <c r="K21" i="2"/>
  <c r="X21" i="2" s="1"/>
  <c r="K22" i="2"/>
  <c r="X22" i="2" s="1"/>
  <c r="K23" i="2"/>
  <c r="X23" i="2" s="1"/>
  <c r="K24" i="2"/>
  <c r="X24" i="2" s="1"/>
  <c r="K25" i="2"/>
  <c r="X25" i="2" s="1"/>
  <c r="K26" i="2"/>
  <c r="X26" i="2" s="1"/>
  <c r="K10" i="2"/>
  <c r="X10" i="2" s="1"/>
  <c r="B6" i="28"/>
  <c r="B5" i="28"/>
  <c r="B3" i="28"/>
  <c r="A4" i="28"/>
  <c r="A5" i="28"/>
  <c r="A6" i="28"/>
  <c r="A3" i="28"/>
  <c r="B7" i="2"/>
  <c r="B6" i="2"/>
  <c r="B5" i="2"/>
  <c r="B4" i="2"/>
  <c r="B3" i="2"/>
  <c r="C7" i="2"/>
  <c r="C6" i="2"/>
  <c r="C5" i="2"/>
  <c r="C3" i="2"/>
  <c r="K55" i="18"/>
  <c r="K56" i="18"/>
  <c r="K57" i="18"/>
  <c r="K58" i="18"/>
  <c r="K59" i="18"/>
  <c r="K60" i="18"/>
  <c r="K61" i="18"/>
  <c r="K54" i="18"/>
  <c r="K52" i="18"/>
  <c r="K51" i="18"/>
  <c r="I20" i="37" l="1"/>
  <c r="F20" i="37"/>
  <c r="B20" i="37"/>
  <c r="D20" i="37"/>
  <c r="E20" i="37"/>
  <c r="H20" i="37"/>
  <c r="G20" i="37"/>
  <c r="U11" i="2"/>
  <c r="U19" i="2"/>
  <c r="U27" i="2"/>
  <c r="U35" i="2"/>
  <c r="U43" i="2"/>
  <c r="U51" i="2"/>
  <c r="U59" i="2"/>
  <c r="U67" i="2"/>
  <c r="U75" i="2"/>
  <c r="U83" i="2"/>
  <c r="U91" i="2"/>
  <c r="U99" i="2"/>
  <c r="U107" i="2"/>
  <c r="U115" i="2"/>
  <c r="U123" i="2"/>
  <c r="U131" i="2"/>
  <c r="U139" i="2"/>
  <c r="U147" i="2"/>
  <c r="U155" i="2"/>
  <c r="U163" i="2"/>
  <c r="U171" i="2"/>
  <c r="U10" i="2"/>
  <c r="U92" i="2"/>
  <c r="U116" i="2"/>
  <c r="U140" i="2"/>
  <c r="U156" i="2"/>
  <c r="U56" i="2"/>
  <c r="U88" i="2"/>
  <c r="U136" i="2"/>
  <c r="U160" i="2"/>
  <c r="U12" i="2"/>
  <c r="U20" i="2"/>
  <c r="U28" i="2"/>
  <c r="U36" i="2"/>
  <c r="U44" i="2"/>
  <c r="U52" i="2"/>
  <c r="U60" i="2"/>
  <c r="U68" i="2"/>
  <c r="U76" i="2"/>
  <c r="U84" i="2"/>
  <c r="U100" i="2"/>
  <c r="U108" i="2"/>
  <c r="U124" i="2"/>
  <c r="U148" i="2"/>
  <c r="U164" i="2"/>
  <c r="U64" i="2"/>
  <c r="U104" i="2"/>
  <c r="U13" i="2"/>
  <c r="U21" i="2"/>
  <c r="U29" i="2"/>
  <c r="U37" i="2"/>
  <c r="U45" i="2"/>
  <c r="U53" i="2"/>
  <c r="U61" i="2"/>
  <c r="U69" i="2"/>
  <c r="U77" i="2"/>
  <c r="U85" i="2"/>
  <c r="U93" i="2"/>
  <c r="U101" i="2"/>
  <c r="U109" i="2"/>
  <c r="U117" i="2"/>
  <c r="U125" i="2"/>
  <c r="U133" i="2"/>
  <c r="U141" i="2"/>
  <c r="U149" i="2"/>
  <c r="U157" i="2"/>
  <c r="U165" i="2"/>
  <c r="U173" i="2"/>
  <c r="U63" i="2"/>
  <c r="U95" i="2"/>
  <c r="U119" i="2"/>
  <c r="U143" i="2"/>
  <c r="U159" i="2"/>
  <c r="U24" i="2"/>
  <c r="U80" i="2"/>
  <c r="U128" i="2"/>
  <c r="U152" i="2"/>
  <c r="U14" i="2"/>
  <c r="U22" i="2"/>
  <c r="U30" i="2"/>
  <c r="U38" i="2"/>
  <c r="U46" i="2"/>
  <c r="U54" i="2"/>
  <c r="U62" i="2"/>
  <c r="U70" i="2"/>
  <c r="U78" i="2"/>
  <c r="U86" i="2"/>
  <c r="U94" i="2"/>
  <c r="U102" i="2"/>
  <c r="U110" i="2"/>
  <c r="U118" i="2"/>
  <c r="U126" i="2"/>
  <c r="U134" i="2"/>
  <c r="U142" i="2"/>
  <c r="U150" i="2"/>
  <c r="U158" i="2"/>
  <c r="U166" i="2"/>
  <c r="U174" i="2"/>
  <c r="U71" i="2"/>
  <c r="U103" i="2"/>
  <c r="U127" i="2"/>
  <c r="U151" i="2"/>
  <c r="U32" i="2"/>
  <c r="U72" i="2"/>
  <c r="U120" i="2"/>
  <c r="U15" i="2"/>
  <c r="U23" i="2"/>
  <c r="U31" i="2"/>
  <c r="U39" i="2"/>
  <c r="U47" i="2"/>
  <c r="U55" i="2"/>
  <c r="U79" i="2"/>
  <c r="U87" i="2"/>
  <c r="U111" i="2"/>
  <c r="U135" i="2"/>
  <c r="U167" i="2"/>
  <c r="U40" i="2"/>
  <c r="U112" i="2"/>
  <c r="U168" i="2"/>
  <c r="U16" i="2"/>
  <c r="U17" i="2"/>
  <c r="U25" i="2"/>
  <c r="U33" i="2"/>
  <c r="U41" i="2"/>
  <c r="U49" i="2"/>
  <c r="U57" i="2"/>
  <c r="U65" i="2"/>
  <c r="U73" i="2"/>
  <c r="U81" i="2"/>
  <c r="U89" i="2"/>
  <c r="U97" i="2"/>
  <c r="U105" i="2"/>
  <c r="U113" i="2"/>
  <c r="U121" i="2"/>
  <c r="U129" i="2"/>
  <c r="U137" i="2"/>
  <c r="U145" i="2"/>
  <c r="U153" i="2"/>
  <c r="U161" i="2"/>
  <c r="U169" i="2"/>
  <c r="U18" i="2"/>
  <c r="U26" i="2"/>
  <c r="U34" i="2"/>
  <c r="U42" i="2"/>
  <c r="U50" i="2"/>
  <c r="U58" i="2"/>
  <c r="U66" i="2"/>
  <c r="U74" i="2"/>
  <c r="U82" i="2"/>
  <c r="U90" i="2"/>
  <c r="U98" i="2"/>
  <c r="U106" i="2"/>
  <c r="U114" i="2"/>
  <c r="U122" i="2"/>
  <c r="U130" i="2"/>
  <c r="U138" i="2"/>
  <c r="U146" i="2"/>
  <c r="U154" i="2"/>
  <c r="U162" i="2"/>
  <c r="U170" i="2"/>
  <c r="U132" i="2"/>
  <c r="U172" i="2"/>
  <c r="U48" i="2"/>
  <c r="U96" i="2"/>
  <c r="U144" i="2"/>
  <c r="B19" i="37"/>
  <c r="E36" i="39"/>
  <c r="G36" i="39" s="1"/>
  <c r="I36" i="39" s="1"/>
  <c r="E30" i="39"/>
  <c r="G30" i="39" s="1"/>
  <c r="I30" i="39" s="1"/>
  <c r="B21" i="37"/>
  <c r="E37" i="39"/>
  <c r="G37" i="39" s="1"/>
  <c r="I37" i="39" s="1"/>
  <c r="E40" i="39"/>
  <c r="G40" i="39" s="1"/>
  <c r="I40" i="39" s="1"/>
  <c r="B23" i="37"/>
  <c r="E39" i="39"/>
  <c r="G39" i="39" s="1"/>
  <c r="I39" i="39" s="1"/>
  <c r="E23" i="39"/>
  <c r="G23" i="39" s="1"/>
  <c r="I23" i="39" s="1"/>
  <c r="E29" i="39"/>
  <c r="G29" i="39" s="1"/>
  <c r="I29" i="39" s="1"/>
  <c r="B22" i="37"/>
  <c r="B15" i="37"/>
  <c r="E26" i="39"/>
  <c r="G26" i="39" s="1"/>
  <c r="I26" i="39" s="1"/>
  <c r="E24" i="39"/>
  <c r="G24" i="39" s="1"/>
  <c r="I24" i="39" s="1"/>
  <c r="E35" i="39"/>
  <c r="G35" i="39" s="1"/>
  <c r="I35" i="39" s="1"/>
  <c r="E41" i="39"/>
  <c r="G41" i="39" s="1"/>
  <c r="I41" i="39" s="1"/>
  <c r="B16" i="37"/>
  <c r="E33" i="39"/>
  <c r="G33" i="39" s="1"/>
  <c r="I33" i="39" s="1"/>
  <c r="E27" i="39"/>
  <c r="G27" i="39" s="1"/>
  <c r="I27" i="39" s="1"/>
  <c r="E25" i="39"/>
  <c r="G25" i="39" s="1"/>
  <c r="I25" i="39" s="1"/>
  <c r="B18" i="37"/>
  <c r="E32" i="39"/>
  <c r="G32" i="39" s="1"/>
  <c r="I32" i="39" s="1"/>
  <c r="B17" i="37"/>
  <c r="E34" i="39"/>
  <c r="G34" i="39" s="1"/>
  <c r="I34" i="39" s="1"/>
  <c r="E28" i="39"/>
  <c r="G28" i="39" s="1"/>
  <c r="I28" i="39" s="1"/>
  <c r="E31" i="39"/>
  <c r="G31" i="39" s="1"/>
  <c r="I31" i="39" s="1"/>
  <c r="E38" i="39"/>
  <c r="G38" i="39" s="1"/>
  <c r="I38" i="39" s="1"/>
  <c r="E13" i="39"/>
  <c r="E20" i="39"/>
  <c r="G20" i="39" s="1"/>
  <c r="I20" i="39" s="1"/>
  <c r="E21" i="39"/>
  <c r="G21" i="39" s="1"/>
  <c r="I21" i="39" s="1"/>
  <c r="E14" i="39"/>
  <c r="G14" i="39" s="1"/>
  <c r="I14" i="39" s="1"/>
  <c r="E22" i="39"/>
  <c r="G22" i="39" s="1"/>
  <c r="I22" i="39" s="1"/>
  <c r="E15" i="39"/>
  <c r="G15" i="39" s="1"/>
  <c r="I15" i="39" s="1"/>
  <c r="E16" i="39"/>
  <c r="G16" i="39" s="1"/>
  <c r="I16" i="39" s="1"/>
  <c r="E17" i="39"/>
  <c r="G17" i="39" s="1"/>
  <c r="I17" i="39" s="1"/>
  <c r="E18" i="39"/>
  <c r="G18" i="39" s="1"/>
  <c r="I18" i="39" s="1"/>
  <c r="E19" i="39"/>
  <c r="G19" i="39" s="1"/>
  <c r="I19" i="39" s="1"/>
  <c r="R10" i="2"/>
  <c r="O10" i="2" s="1"/>
  <c r="R11" i="2"/>
  <c r="O11" i="2" s="1"/>
  <c r="R19" i="2"/>
  <c r="O19" i="2" s="1"/>
  <c r="R29" i="2"/>
  <c r="O29" i="2" s="1"/>
  <c r="R31" i="2"/>
  <c r="O31" i="2" s="1"/>
  <c r="R33" i="2"/>
  <c r="O33" i="2" s="1"/>
  <c r="R35" i="2"/>
  <c r="O35" i="2" s="1"/>
  <c r="R68" i="2"/>
  <c r="O68" i="2" s="1"/>
  <c r="R73" i="2"/>
  <c r="O73" i="2" s="1"/>
  <c r="R75" i="2"/>
  <c r="O75" i="2" s="1"/>
  <c r="R104" i="2"/>
  <c r="O104" i="2" s="1"/>
  <c r="R106" i="2"/>
  <c r="O106" i="2" s="1"/>
  <c r="R111" i="2"/>
  <c r="O111" i="2" s="1"/>
  <c r="R113" i="2"/>
  <c r="O113" i="2" s="1"/>
  <c r="R121" i="2"/>
  <c r="O121" i="2" s="1"/>
  <c r="R123" i="2"/>
  <c r="O123" i="2" s="1"/>
  <c r="R134" i="2"/>
  <c r="O134" i="2" s="1"/>
  <c r="R140" i="2"/>
  <c r="O140" i="2" s="1"/>
  <c r="R145" i="2"/>
  <c r="O145" i="2" s="1"/>
  <c r="R147" i="2"/>
  <c r="O147" i="2" s="1"/>
  <c r="R14" i="2"/>
  <c r="O14" i="2" s="1"/>
  <c r="R22" i="2"/>
  <c r="O22" i="2" s="1"/>
  <c r="R37" i="2"/>
  <c r="O37" i="2" s="1"/>
  <c r="R39" i="2"/>
  <c r="O39" i="2" s="1"/>
  <c r="R41" i="2"/>
  <c r="O41" i="2" s="1"/>
  <c r="R43" i="2"/>
  <c r="O43" i="2" s="1"/>
  <c r="R51" i="2"/>
  <c r="O51" i="2" s="1"/>
  <c r="R53" i="2"/>
  <c r="O53" i="2" s="1"/>
  <c r="R61" i="2"/>
  <c r="O61" i="2" s="1"/>
  <c r="R80" i="2"/>
  <c r="O80" i="2" s="1"/>
  <c r="R82" i="2"/>
  <c r="O82" i="2" s="1"/>
  <c r="R87" i="2"/>
  <c r="O87" i="2" s="1"/>
  <c r="R94" i="2"/>
  <c r="O94" i="2" s="1"/>
  <c r="R101" i="2"/>
  <c r="O101" i="2" s="1"/>
  <c r="R108" i="2"/>
  <c r="O108" i="2" s="1"/>
  <c r="R128" i="2"/>
  <c r="O128" i="2" s="1"/>
  <c r="R136" i="2"/>
  <c r="O136" i="2" s="1"/>
  <c r="R159" i="2"/>
  <c r="O159" i="2" s="1"/>
  <c r="R17" i="2"/>
  <c r="O17" i="2" s="1"/>
  <c r="R25" i="2"/>
  <c r="O25" i="2" s="1"/>
  <c r="R45" i="2"/>
  <c r="O45" i="2" s="1"/>
  <c r="R47" i="2"/>
  <c r="O47" i="2" s="1"/>
  <c r="R49" i="2"/>
  <c r="O49" i="2" s="1"/>
  <c r="R70" i="2"/>
  <c r="O70" i="2" s="1"/>
  <c r="R77" i="2"/>
  <c r="O77" i="2" s="1"/>
  <c r="R84" i="2"/>
  <c r="O84" i="2" s="1"/>
  <c r="R89" i="2"/>
  <c r="O89" i="2" s="1"/>
  <c r="R91" i="2"/>
  <c r="O91" i="2" s="1"/>
  <c r="R116" i="2"/>
  <c r="O116" i="2" s="1"/>
  <c r="R118" i="2"/>
  <c r="O118" i="2" s="1"/>
  <c r="R125" i="2"/>
  <c r="O125" i="2" s="1"/>
  <c r="R131" i="2"/>
  <c r="O131" i="2" s="1"/>
  <c r="R142" i="2"/>
  <c r="O142" i="2" s="1"/>
  <c r="R149" i="2"/>
  <c r="O149" i="2" s="1"/>
  <c r="R156" i="2"/>
  <c r="O156" i="2" s="1"/>
  <c r="R163" i="2"/>
  <c r="O163" i="2" s="1"/>
  <c r="R12" i="2"/>
  <c r="O12" i="2" s="1"/>
  <c r="R20" i="2"/>
  <c r="O20" i="2" s="1"/>
  <c r="R56" i="2"/>
  <c r="O56" i="2" s="1"/>
  <c r="R58" i="2"/>
  <c r="O58" i="2" s="1"/>
  <c r="R63" i="2"/>
  <c r="O63" i="2" s="1"/>
  <c r="R65" i="2"/>
  <c r="O65" i="2" s="1"/>
  <c r="R67" i="2"/>
  <c r="O67" i="2" s="1"/>
  <c r="R96" i="2"/>
  <c r="O96" i="2" s="1"/>
  <c r="R98" i="2"/>
  <c r="O98" i="2" s="1"/>
  <c r="R103" i="2"/>
  <c r="O103" i="2" s="1"/>
  <c r="R110" i="2"/>
  <c r="O110" i="2" s="1"/>
  <c r="R114" i="2"/>
  <c r="O114" i="2" s="1"/>
  <c r="R133" i="2"/>
  <c r="O133" i="2" s="1"/>
  <c r="R139" i="2"/>
  <c r="O139" i="2" s="1"/>
  <c r="R170" i="2"/>
  <c r="O170" i="2" s="1"/>
  <c r="R15" i="2"/>
  <c r="O15" i="2" s="1"/>
  <c r="R23" i="2"/>
  <c r="O23" i="2" s="1"/>
  <c r="R28" i="2"/>
  <c r="O28" i="2" s="1"/>
  <c r="R30" i="2"/>
  <c r="O30" i="2" s="1"/>
  <c r="R32" i="2"/>
  <c r="O32" i="2" s="1"/>
  <c r="R34" i="2"/>
  <c r="O34" i="2" s="1"/>
  <c r="R54" i="2"/>
  <c r="O54" i="2" s="1"/>
  <c r="R60" i="2"/>
  <c r="O60" i="2" s="1"/>
  <c r="R72" i="2"/>
  <c r="O72" i="2" s="1"/>
  <c r="R74" i="2"/>
  <c r="O74" i="2" s="1"/>
  <c r="R79" i="2"/>
  <c r="O79" i="2" s="1"/>
  <c r="R86" i="2"/>
  <c r="O86" i="2" s="1"/>
  <c r="R93" i="2"/>
  <c r="O93" i="2" s="1"/>
  <c r="R100" i="2"/>
  <c r="O100" i="2" s="1"/>
  <c r="R105" i="2"/>
  <c r="O105" i="2" s="1"/>
  <c r="R107" i="2"/>
  <c r="O107" i="2" s="1"/>
  <c r="R120" i="2"/>
  <c r="O120" i="2" s="1"/>
  <c r="R122" i="2"/>
  <c r="O122" i="2" s="1"/>
  <c r="R127" i="2"/>
  <c r="O127" i="2" s="1"/>
  <c r="R129" i="2"/>
  <c r="O129" i="2" s="1"/>
  <c r="R137" i="2"/>
  <c r="O137" i="2" s="1"/>
  <c r="R144" i="2"/>
  <c r="O144" i="2" s="1"/>
  <c r="R146" i="2"/>
  <c r="O146" i="2" s="1"/>
  <c r="R158" i="2"/>
  <c r="O158" i="2" s="1"/>
  <c r="R13" i="2"/>
  <c r="O13" i="2" s="1"/>
  <c r="R21" i="2"/>
  <c r="O21" i="2" s="1"/>
  <c r="R44" i="2"/>
  <c r="O44" i="2" s="1"/>
  <c r="R46" i="2"/>
  <c r="O46" i="2" s="1"/>
  <c r="R48" i="2"/>
  <c r="O48" i="2" s="1"/>
  <c r="R62" i="2"/>
  <c r="O62" i="2" s="1"/>
  <c r="R88" i="2"/>
  <c r="O88" i="2" s="1"/>
  <c r="R90" i="2"/>
  <c r="O90" i="2" s="1"/>
  <c r="R95" i="2"/>
  <c r="O95" i="2" s="1"/>
  <c r="R102" i="2"/>
  <c r="O102" i="2" s="1"/>
  <c r="R109" i="2"/>
  <c r="O109" i="2" s="1"/>
  <c r="R115" i="2"/>
  <c r="O115" i="2" s="1"/>
  <c r="R117" i="2"/>
  <c r="O117" i="2" s="1"/>
  <c r="R132" i="2"/>
  <c r="O132" i="2" s="1"/>
  <c r="R160" i="2"/>
  <c r="O160" i="2" s="1"/>
  <c r="R162" i="2"/>
  <c r="O162" i="2" s="1"/>
  <c r="R16" i="2"/>
  <c r="O16" i="2" s="1"/>
  <c r="R24" i="2"/>
  <c r="O24" i="2" s="1"/>
  <c r="R55" i="2"/>
  <c r="O55" i="2" s="1"/>
  <c r="R57" i="2"/>
  <c r="O57" i="2" s="1"/>
  <c r="R59" i="2"/>
  <c r="O59" i="2" s="1"/>
  <c r="R64" i="2"/>
  <c r="O64" i="2" s="1"/>
  <c r="R66" i="2"/>
  <c r="O66" i="2" s="1"/>
  <c r="R71" i="2"/>
  <c r="O71" i="2" s="1"/>
  <c r="R78" i="2"/>
  <c r="O78" i="2" s="1"/>
  <c r="R85" i="2"/>
  <c r="O85" i="2" s="1"/>
  <c r="R92" i="2"/>
  <c r="O92" i="2" s="1"/>
  <c r="R97" i="2"/>
  <c r="O97" i="2" s="1"/>
  <c r="R99" i="2"/>
  <c r="O99" i="2" s="1"/>
  <c r="R119" i="2"/>
  <c r="O119" i="2" s="1"/>
  <c r="R126" i="2"/>
  <c r="O126" i="2" s="1"/>
  <c r="R130" i="2"/>
  <c r="O130" i="2" s="1"/>
  <c r="R138" i="2"/>
  <c r="O138" i="2" s="1"/>
  <c r="R143" i="2"/>
  <c r="O143" i="2" s="1"/>
  <c r="R150" i="2"/>
  <c r="O150" i="2" s="1"/>
  <c r="R157" i="2"/>
  <c r="O157" i="2" s="1"/>
  <c r="R164" i="2"/>
  <c r="O164" i="2" s="1"/>
  <c r="R169" i="2"/>
  <c r="O169" i="2" s="1"/>
  <c r="R52" i="2"/>
  <c r="O52" i="2" s="1"/>
  <c r="R112" i="2"/>
  <c r="O112" i="2" s="1"/>
  <c r="R148" i="2"/>
  <c r="O148" i="2" s="1"/>
  <c r="R36" i="2"/>
  <c r="O36" i="2" s="1"/>
  <c r="R76" i="2"/>
  <c r="O76" i="2" s="1"/>
  <c r="R155" i="2"/>
  <c r="O155" i="2" s="1"/>
  <c r="R18" i="2"/>
  <c r="O18" i="2" s="1"/>
  <c r="R42" i="2"/>
  <c r="O42" i="2" s="1"/>
  <c r="R135" i="2"/>
  <c r="O135" i="2" s="1"/>
  <c r="R141" i="2"/>
  <c r="O141" i="2" s="1"/>
  <c r="R50" i="2"/>
  <c r="O50" i="2" s="1"/>
  <c r="R153" i="2"/>
  <c r="O153" i="2" s="1"/>
  <c r="R38" i="2"/>
  <c r="O38" i="2" s="1"/>
  <c r="R69" i="2"/>
  <c r="O69" i="2" s="1"/>
  <c r="R81" i="2"/>
  <c r="O81" i="2" s="1"/>
  <c r="R26" i="2"/>
  <c r="O26" i="2" s="1"/>
  <c r="R40" i="2"/>
  <c r="O40" i="2" s="1"/>
  <c r="R83" i="2"/>
  <c r="O83" i="2" s="1"/>
  <c r="R124" i="2"/>
  <c r="O124" i="2" s="1"/>
  <c r="D15" i="37"/>
  <c r="G24" i="37"/>
  <c r="H24" i="37"/>
  <c r="I24" i="37"/>
  <c r="H21" i="37"/>
  <c r="I21" i="37"/>
  <c r="I23" i="37"/>
  <c r="H19" i="37"/>
  <c r="I19" i="37"/>
  <c r="H18" i="37"/>
  <c r="H23" i="37"/>
  <c r="I18" i="37"/>
  <c r="D19" i="37"/>
  <c r="E19" i="37"/>
  <c r="E18" i="37"/>
  <c r="F19" i="37"/>
  <c r="D24" i="37"/>
  <c r="F24" i="37"/>
  <c r="E23" i="37"/>
  <c r="B24" i="37"/>
  <c r="E22" i="37"/>
  <c r="E24" i="37"/>
  <c r="D22" i="37"/>
  <c r="D18" i="37"/>
  <c r="F18" i="37"/>
  <c r="F21" i="37"/>
  <c r="D21" i="37"/>
  <c r="F22" i="37"/>
  <c r="E21" i="37"/>
  <c r="D23" i="37"/>
  <c r="F23" i="37"/>
  <c r="F17" i="37"/>
  <c r="E15" i="37"/>
  <c r="E17" i="37"/>
  <c r="F15" i="37"/>
  <c r="F16" i="37"/>
  <c r="E16" i="37"/>
  <c r="D16" i="37"/>
  <c r="D17" i="37"/>
  <c r="N20" i="37" l="1"/>
  <c r="L20" i="37"/>
  <c r="O20" i="37"/>
  <c r="M20" i="37"/>
  <c r="J20" i="37"/>
  <c r="G21" i="37"/>
  <c r="J21" i="37" s="1"/>
  <c r="E43" i="39"/>
  <c r="G13" i="39"/>
  <c r="I13" i="39" s="1"/>
  <c r="I43" i="39" s="1"/>
  <c r="G19" i="37"/>
  <c r="M19" i="37" s="1"/>
  <c r="G23" i="37"/>
  <c r="M23" i="37" s="1"/>
  <c r="G18" i="37"/>
  <c r="J18" i="37" s="1"/>
  <c r="G22" i="37"/>
  <c r="J22" i="37" s="1"/>
  <c r="G15" i="37"/>
  <c r="J15" i="37" s="1"/>
  <c r="M24" i="37"/>
  <c r="J24" i="37"/>
  <c r="N24" i="37"/>
  <c r="N21" i="37"/>
  <c r="N23" i="37"/>
  <c r="N19" i="37"/>
  <c r="O24" i="37"/>
  <c r="L24" i="37"/>
  <c r="N18" i="37"/>
  <c r="O19" i="37"/>
  <c r="L19" i="37"/>
  <c r="L23" i="37"/>
  <c r="O23" i="37"/>
  <c r="O18" i="37"/>
  <c r="L18" i="37"/>
  <c r="L21" i="37"/>
  <c r="O21" i="37"/>
  <c r="I30" i="38"/>
  <c r="I27" i="38"/>
  <c r="J27" i="38"/>
  <c r="K27" i="38"/>
  <c r="L27" i="38"/>
  <c r="M27" i="38"/>
  <c r="N27" i="38"/>
  <c r="I28" i="38"/>
  <c r="J28" i="38"/>
  <c r="K28" i="38"/>
  <c r="L28" i="38"/>
  <c r="M28" i="38"/>
  <c r="N28" i="38"/>
  <c r="I29" i="38"/>
  <c r="J29" i="38"/>
  <c r="K29" i="38"/>
  <c r="L29" i="38"/>
  <c r="M29" i="38"/>
  <c r="N29" i="38"/>
  <c r="M21" i="37" l="1"/>
  <c r="J19" i="37"/>
  <c r="M22" i="37"/>
  <c r="J23" i="37"/>
  <c r="M18" i="37"/>
  <c r="G17" i="37"/>
  <c r="G16" i="37"/>
  <c r="A29" i="37" l="1"/>
  <c r="A30" i="37"/>
  <c r="A31" i="37"/>
  <c r="A32" i="37"/>
  <c r="A34" i="37"/>
  <c r="A35" i="37"/>
  <c r="A36" i="37"/>
  <c r="A37" i="37"/>
  <c r="A28" i="37"/>
  <c r="J28" i="37" l="1"/>
  <c r="J30" i="37"/>
  <c r="J36" i="37"/>
  <c r="J35" i="37"/>
  <c r="J34" i="37"/>
  <c r="J32" i="37"/>
  <c r="J31" i="37"/>
  <c r="J29" i="37"/>
  <c r="J37" i="37"/>
  <c r="C16" i="17"/>
  <c r="J38" i="37" l="1"/>
  <c r="N30" i="38"/>
  <c r="M30" i="38"/>
  <c r="L30" i="38"/>
  <c r="K30" i="38"/>
  <c r="J30" i="38"/>
  <c r="J31" i="38" l="1"/>
  <c r="I31" i="38"/>
  <c r="M31" i="38"/>
  <c r="L31" i="38"/>
  <c r="I41" i="18"/>
  <c r="N41" i="18"/>
  <c r="M41" i="18"/>
  <c r="I25" i="28"/>
  <c r="I11" i="28"/>
  <c r="I12" i="28"/>
  <c r="I13" i="28"/>
  <c r="I14" i="28"/>
  <c r="I15" i="28"/>
  <c r="I16" i="28"/>
  <c r="I17" i="28"/>
  <c r="I18" i="28"/>
  <c r="I19" i="28"/>
  <c r="I20" i="28"/>
  <c r="I21" i="28"/>
  <c r="I22" i="28"/>
  <c r="I23" i="28"/>
  <c r="I10" i="28"/>
  <c r="N23" i="38"/>
  <c r="M23" i="38"/>
  <c r="L23" i="38"/>
  <c r="K23" i="38"/>
  <c r="J23" i="38"/>
  <c r="I23" i="38"/>
  <c r="B4" i="38"/>
  <c r="S8" i="2"/>
  <c r="B4" i="5"/>
  <c r="N29" i="18"/>
  <c r="M29" i="18"/>
  <c r="L29" i="18"/>
  <c r="K29" i="18"/>
  <c r="J29" i="18"/>
  <c r="I29" i="18"/>
  <c r="B4" i="28"/>
  <c r="C4" i="2"/>
  <c r="B4" i="18"/>
  <c r="B4" i="17"/>
  <c r="B41" i="17"/>
  <c r="B47" i="17" s="1"/>
  <c r="B51" i="17" s="1"/>
  <c r="B52" i="17"/>
  <c r="S135" i="2" l="1"/>
  <c r="P135" i="2" s="1"/>
  <c r="S116" i="2"/>
  <c r="P116" i="2" s="1"/>
  <c r="S51" i="2"/>
  <c r="P51" i="2" s="1"/>
  <c r="S136" i="2"/>
  <c r="P136" i="2" s="1"/>
  <c r="S114" i="2"/>
  <c r="P114" i="2" s="1"/>
  <c r="S49" i="2"/>
  <c r="P49" i="2" s="1"/>
  <c r="S130" i="2"/>
  <c r="P130" i="2" s="1"/>
  <c r="S115" i="2"/>
  <c r="P115" i="2" s="1"/>
  <c r="S128" i="2"/>
  <c r="P128" i="2" s="1"/>
  <c r="S113" i="2"/>
  <c r="P113" i="2" s="1"/>
  <c r="S131" i="2"/>
  <c r="P131" i="2" s="1"/>
  <c r="S112" i="2"/>
  <c r="P112" i="2" s="1"/>
  <c r="S129" i="2"/>
  <c r="P129" i="2" s="1"/>
  <c r="S53" i="2"/>
  <c r="P53" i="2" s="1"/>
  <c r="S117" i="2"/>
  <c r="P117" i="2" s="1"/>
  <c r="S52" i="2"/>
  <c r="P52" i="2" s="1"/>
  <c r="S137" i="2"/>
  <c r="P137" i="2" s="1"/>
  <c r="S54" i="2"/>
  <c r="P54" i="2" s="1"/>
  <c r="S15" i="2"/>
  <c r="P15" i="2" s="1"/>
  <c r="S26" i="2"/>
  <c r="P26" i="2" s="1"/>
  <c r="S24" i="2"/>
  <c r="P24" i="2" s="1"/>
  <c r="S14" i="2"/>
  <c r="P14" i="2" s="1"/>
  <c r="S20" i="2"/>
  <c r="P20" i="2" s="1"/>
  <c r="S23" i="2"/>
  <c r="P23" i="2" s="1"/>
  <c r="S13" i="2"/>
  <c r="P13" i="2" s="1"/>
  <c r="S16" i="2"/>
  <c r="P16" i="2" s="1"/>
  <c r="S22" i="2"/>
  <c r="P22" i="2" s="1"/>
  <c r="S21" i="2"/>
  <c r="P21" i="2" s="1"/>
  <c r="S25" i="2"/>
  <c r="P25" i="2" s="1"/>
  <c r="S18" i="2"/>
  <c r="P18" i="2" s="1"/>
  <c r="S17" i="2"/>
  <c r="P17" i="2" s="1"/>
  <c r="S19" i="2"/>
  <c r="P19" i="2" s="1"/>
  <c r="S12" i="2"/>
  <c r="P12" i="2" s="1"/>
  <c r="S11" i="2"/>
  <c r="P11" i="2" s="1"/>
  <c r="Q10" i="2"/>
  <c r="O29" i="18"/>
  <c r="B49" i="17"/>
  <c r="B50" i="17"/>
  <c r="I27" i="28"/>
  <c r="O23" i="38"/>
  <c r="K31" i="38"/>
  <c r="E12" i="38" s="1"/>
  <c r="J41" i="18"/>
  <c r="N31" i="38"/>
  <c r="L41" i="18"/>
  <c r="K41" i="18"/>
  <c r="S10" i="2"/>
  <c r="P10" i="2" s="1"/>
  <c r="H22" i="37" l="1"/>
  <c r="H16" i="37"/>
  <c r="Q18" i="2"/>
  <c r="Q22" i="2"/>
  <c r="Q26" i="2"/>
  <c r="Q20" i="2"/>
  <c r="Q13" i="2"/>
  <c r="Q15" i="2"/>
  <c r="Q11" i="2"/>
  <c r="Q16" i="2"/>
  <c r="Q14" i="2"/>
  <c r="Q24" i="2"/>
  <c r="Q17" i="2"/>
  <c r="Q21" i="2"/>
  <c r="Q25" i="2"/>
  <c r="Q23" i="2"/>
  <c r="Q12" i="2"/>
  <c r="Q19" i="2"/>
  <c r="H17" i="37"/>
  <c r="B25" i="37"/>
  <c r="E12" i="18"/>
  <c r="E14" i="18" s="1"/>
  <c r="B53" i="17"/>
  <c r="E14" i="38"/>
  <c r="N22" i="37" l="1"/>
  <c r="I22" i="37"/>
  <c r="L22" i="37" s="1"/>
  <c r="I16" i="37"/>
  <c r="L16" i="37" s="1"/>
  <c r="H15" i="37"/>
  <c r="I17" i="37"/>
  <c r="E16" i="38"/>
  <c r="K46" i="38" s="1"/>
  <c r="K45" i="38"/>
  <c r="J16" i="37"/>
  <c r="M15" i="37"/>
  <c r="M16" i="37"/>
  <c r="E17" i="18"/>
  <c r="K48" i="18" s="1"/>
  <c r="K46" i="18"/>
  <c r="G25" i="37"/>
  <c r="J17" i="37"/>
  <c r="M17" i="37"/>
  <c r="E17" i="38"/>
  <c r="E16" i="18"/>
  <c r="O22" i="37" l="1"/>
  <c r="E18" i="18"/>
  <c r="L17" i="37"/>
  <c r="I15" i="37"/>
  <c r="O16" i="37"/>
  <c r="K6" i="28"/>
  <c r="K53" i="18"/>
  <c r="O17" i="37"/>
  <c r="M25" i="37"/>
  <c r="E18" i="38"/>
  <c r="E20" i="38" s="1"/>
  <c r="K47" i="38"/>
  <c r="N15" i="37"/>
  <c r="N16" i="37"/>
  <c r="J25" i="37"/>
  <c r="N17" i="37"/>
  <c r="K47" i="18"/>
  <c r="H25" i="37"/>
  <c r="O15" i="37" l="1"/>
  <c r="O25" i="37" s="1"/>
  <c r="L15" i="37"/>
  <c r="L25" i="37" s="1"/>
  <c r="I25" i="37"/>
  <c r="K25" i="37"/>
  <c r="N25" i="37"/>
  <c r="E20" i="18"/>
  <c r="C29" i="17" l="1"/>
  <c r="C31" i="17" s="1"/>
  <c r="C34" i="17" s="1"/>
  <c r="C21" i="17" l="1"/>
  <c r="C24" i="17" s="1"/>
  <c r="E21" i="38" l="1"/>
  <c r="E21" i="18"/>
  <c r="K49" i="18" s="1"/>
  <c r="E22" i="18" l="1"/>
  <c r="E24" i="18" s="1"/>
  <c r="K50" i="18" s="1"/>
  <c r="K48" i="38"/>
  <c r="E22" i="38"/>
  <c r="E25" i="18"/>
  <c r="E32" i="18" s="1"/>
  <c r="E24" i="38" l="1"/>
  <c r="K49" i="38" s="1"/>
  <c r="E25" i="38"/>
  <c r="E31" i="38" s="1"/>
  <c r="E42" i="38" s="1"/>
  <c r="E43" i="18"/>
  <c r="E47" i="18" l="1"/>
  <c r="E46" i="38"/>
  <c r="F42" i="38" l="1"/>
  <c r="G33" i="37"/>
  <c r="F33" i="37"/>
  <c r="I33" i="37" s="1"/>
  <c r="C33" i="37"/>
  <c r="B33" i="37"/>
  <c r="E33" i="37" s="1"/>
  <c r="F44" i="38"/>
  <c r="K61" i="38"/>
  <c r="K63" i="38" s="1"/>
  <c r="F29" i="37"/>
  <c r="F35" i="37"/>
  <c r="F32" i="37"/>
  <c r="F39" i="38"/>
  <c r="F36" i="38"/>
  <c r="G35" i="37"/>
  <c r="F28" i="37"/>
  <c r="F33" i="38"/>
  <c r="G36" i="37"/>
  <c r="F40" i="38"/>
  <c r="G34" i="37"/>
  <c r="F35" i="38"/>
  <c r="F18" i="38"/>
  <c r="F34" i="38"/>
  <c r="G37" i="37"/>
  <c r="F31" i="37"/>
  <c r="F34" i="37"/>
  <c r="F38" i="38"/>
  <c r="G32" i="37"/>
  <c r="G30" i="37"/>
  <c r="G31" i="37"/>
  <c r="F37" i="37"/>
  <c r="G28" i="37"/>
  <c r="G29" i="37"/>
  <c r="F37" i="38"/>
  <c r="F36" i="37"/>
  <c r="F30" i="37"/>
  <c r="F22" i="38"/>
  <c r="F25" i="38"/>
  <c r="E48" i="38"/>
  <c r="K65" i="38" s="1"/>
  <c r="E52" i="38"/>
  <c r="E50" i="38"/>
  <c r="H33" i="37" s="1"/>
  <c r="F31" i="38"/>
  <c r="C28" i="37"/>
  <c r="F18" i="18"/>
  <c r="F38" i="18"/>
  <c r="C29" i="37"/>
  <c r="B28" i="37"/>
  <c r="F35" i="18"/>
  <c r="B31" i="37"/>
  <c r="F40" i="18"/>
  <c r="B37" i="37"/>
  <c r="B32" i="37"/>
  <c r="F37" i="18"/>
  <c r="B34" i="37"/>
  <c r="F36" i="18"/>
  <c r="B29" i="37"/>
  <c r="F34" i="18"/>
  <c r="C37" i="37"/>
  <c r="C34" i="37"/>
  <c r="C31" i="37"/>
  <c r="C35" i="37"/>
  <c r="C32" i="37"/>
  <c r="C30" i="37"/>
  <c r="B35" i="37"/>
  <c r="F41" i="18"/>
  <c r="B36" i="37"/>
  <c r="F39" i="18"/>
  <c r="C36" i="37"/>
  <c r="B30" i="37"/>
  <c r="F22" i="18"/>
  <c r="E53" i="18"/>
  <c r="E51" i="18"/>
  <c r="D33" i="37" s="1"/>
  <c r="E49" i="18"/>
  <c r="K66" i="18" s="1"/>
  <c r="F25" i="18"/>
  <c r="F32" i="18"/>
  <c r="F45" i="18"/>
  <c r="K62" i="18"/>
  <c r="K64" i="18" s="1"/>
  <c r="F43" i="18"/>
  <c r="L33" i="37" l="1"/>
  <c r="M33" i="37" s="1"/>
  <c r="F46" i="38"/>
  <c r="D38" i="37"/>
  <c r="D31" i="37"/>
  <c r="D37" i="37"/>
  <c r="D30" i="37"/>
  <c r="D35" i="37"/>
  <c r="D36" i="37"/>
  <c r="D28" i="37"/>
  <c r="D32" i="37"/>
  <c r="K68" i="18"/>
  <c r="D29" i="37"/>
  <c r="D34" i="37"/>
  <c r="C38" i="37"/>
  <c r="K70" i="18"/>
  <c r="F47" i="18"/>
  <c r="B38" i="37"/>
  <c r="K69" i="38"/>
  <c r="G38" i="37"/>
  <c r="H35" i="37"/>
  <c r="H32" i="37"/>
  <c r="H30" i="37"/>
  <c r="K67" i="38"/>
  <c r="H29" i="37"/>
  <c r="H34" i="37"/>
  <c r="H37" i="37"/>
  <c r="H31" i="37"/>
  <c r="H36" i="37"/>
  <c r="H28" i="37"/>
  <c r="F38" i="37"/>
  <c r="I35" i="37" l="1"/>
  <c r="I37" i="37"/>
  <c r="I34" i="37"/>
  <c r="I30" i="37"/>
  <c r="I36" i="37"/>
  <c r="I32" i="37"/>
  <c r="I31" i="37"/>
  <c r="I29" i="37"/>
  <c r="E36" i="37"/>
  <c r="E28" i="37"/>
  <c r="E31" i="37"/>
  <c r="E30" i="37"/>
  <c r="E34" i="37"/>
  <c r="E35" i="37"/>
  <c r="E37" i="37"/>
  <c r="E32" i="37"/>
  <c r="E29" i="37"/>
  <c r="H38" i="37"/>
  <c r="I28" i="37"/>
  <c r="K38" i="37"/>
  <c r="L30" i="37" l="1"/>
  <c r="M30" i="37" s="1"/>
  <c r="L35" i="37"/>
  <c r="M35" i="37" s="1"/>
  <c r="L32" i="37"/>
  <c r="M32" i="37" s="1"/>
  <c r="L37" i="37"/>
  <c r="M37" i="37" s="1"/>
  <c r="L34" i="37"/>
  <c r="M34" i="37" s="1"/>
  <c r="L31" i="37"/>
  <c r="M31" i="37" s="1"/>
  <c r="L28" i="37"/>
  <c r="L29" i="37"/>
  <c r="M29" i="37" s="1"/>
  <c r="L36" i="37"/>
  <c r="M36" i="37" s="1"/>
  <c r="I38" i="37"/>
  <c r="E38" i="37"/>
  <c r="L38" i="37" l="1"/>
  <c r="M28" i="37"/>
  <c r="M38" i="37" l="1"/>
  <c r="P1" i="37"/>
  <c r="P2" i="37" l="1"/>
  <c r="P3" i="37" s="1"/>
</calcChain>
</file>

<file path=xl/sharedStrings.xml><?xml version="1.0" encoding="utf-8"?>
<sst xmlns="http://schemas.openxmlformats.org/spreadsheetml/2006/main" count="2292" uniqueCount="346">
  <si>
    <t>Naam opdrachtgever</t>
  </si>
  <si>
    <t>Calculatie onderdeel</t>
  </si>
  <si>
    <t>Gebouw/plaats</t>
  </si>
  <si>
    <t>Referentie nummer</t>
  </si>
  <si>
    <t>Invoervelden</t>
  </si>
  <si>
    <t xml:space="preserve"> </t>
  </si>
  <si>
    <t>Minimale taakgrootte</t>
  </si>
  <si>
    <t>EINDTOTAAL KOSTEN PER JAAR  EXCLUSIEF BTW         INSCHRIJVINGSBEDRAG</t>
  </si>
  <si>
    <t>uur per dag</t>
  </si>
  <si>
    <t>Btw</t>
  </si>
  <si>
    <t>Gemeente Heemstede</t>
  </si>
  <si>
    <t>Totale kosten per jaar inclusief btw</t>
  </si>
  <si>
    <t>Toezicht percentage</t>
  </si>
  <si>
    <t>Heemstede e.o.</t>
  </si>
  <si>
    <t>per prod. Uur</t>
  </si>
  <si>
    <t>MAXIMALE BOVENGRENS PLAFONDBEDRAG INSCHRIJVINGSBEDRAG</t>
  </si>
  <si>
    <t>MAXIMALE ONDERGRENS INSCHRIJVINGSBEDRAG</t>
  </si>
  <si>
    <t>Naam dienstverlener</t>
  </si>
  <si>
    <t>Prijspeil</t>
  </si>
  <si>
    <t>SUPPLETIEKOSTEN OVERNAME PERSONEEL</t>
  </si>
  <si>
    <t>Versie</t>
  </si>
  <si>
    <t>Aanbesteding</t>
  </si>
  <si>
    <t xml:space="preserve">Dit is het maximale bedrag dat door de dienstverlener aan suppletiekosten in rekening wordt gebracht. Indien hier niets wordt </t>
  </si>
  <si>
    <t>ingevuld, betekent dit dat er geen suppletiekosten door de dienstverlener in rekening worden gebracht.</t>
  </si>
  <si>
    <t>PRODUCTIE UREN PER JAAR</t>
  </si>
  <si>
    <t>UREN OPSLAG MINIMALE TAAKGROOTTE PER JAAR</t>
  </si>
  <si>
    <t>TOEZICHTUREN PER JAAR</t>
  </si>
  <si>
    <t>Locatie</t>
  </si>
  <si>
    <t>Totaal m2</t>
  </si>
  <si>
    <t>Locatie factor</t>
  </si>
  <si>
    <t>Hoogste frequentie ma t/m vr</t>
  </si>
  <si>
    <t>Hoogste frequentie ma t/m vr naloop</t>
  </si>
  <si>
    <t>Hoogste frequentie za - zo</t>
  </si>
  <si>
    <t>Productie uren ma t/m vr</t>
  </si>
  <si>
    <t>Productie uren ma t/m vr naloop</t>
  </si>
  <si>
    <t>Productie uren za - zo</t>
  </si>
  <si>
    <t>Uren minimale taakgrootte ma t/m vrij</t>
  </si>
  <si>
    <t>Uren minimale taakgrootte ma t/m vrij naloop</t>
  </si>
  <si>
    <t>Uren minimale taakgrootte za - zo</t>
  </si>
  <si>
    <t>Toezicht uren per jaar ma t/m vr</t>
  </si>
  <si>
    <t>Toezicht uren per jaar ma t/m vr naloop</t>
  </si>
  <si>
    <t>Toezicht uren per jaar za - zo</t>
  </si>
  <si>
    <t>Begraafplaats, kantoor</t>
  </si>
  <si>
    <t>Begraafplaats, Kapel</t>
  </si>
  <si>
    <t>Bibliotheek</t>
  </si>
  <si>
    <t>Gymzaal Offenbach</t>
  </si>
  <si>
    <t>Gymzaal V.d. Waalslaan</t>
  </si>
  <si>
    <t>Havenhuisje</t>
  </si>
  <si>
    <t>Kinderboerderij</t>
  </si>
  <si>
    <t>Raadhuis</t>
  </si>
  <si>
    <t>Werf</t>
  </si>
  <si>
    <t>Algemeen</t>
  </si>
  <si>
    <t>Totaal</t>
  </si>
  <si>
    <t>Kosten productie per jaar ma t/m vr incl minimale taakgrootte</t>
  </si>
  <si>
    <t>Kosten productie per jaar ma t/m vr naloop incl minimale taakgrootte</t>
  </si>
  <si>
    <t>Kosten productie per jaar za - zo incl minimale taakgrootte</t>
  </si>
  <si>
    <t>Totale kosten productie per jaar</t>
  </si>
  <si>
    <t xml:space="preserve">Kosten toezicht per jaar ma t/m vr </t>
  </si>
  <si>
    <t>Kosten toezicht per jaar ma t/m vr naloop</t>
  </si>
  <si>
    <t>Kosten toezicht per jaar za - zo</t>
  </si>
  <si>
    <t>Totale kosten toezicht per jaar</t>
  </si>
  <si>
    <t>Kosten vloeronderhoud per jaar</t>
  </si>
  <si>
    <t>Kosten Machines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</si>
  <si>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</si>
  <si>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</si>
  <si>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</si>
  <si>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</si>
  <si>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</si>
  <si>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</si>
  <si>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</si>
  <si>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</si>
  <si>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</si>
  <si>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Weekend / feestdag opslag</t>
  </si>
  <si>
    <t>VSR Code</t>
  </si>
  <si>
    <t>Administratieve ruimten</t>
  </si>
  <si>
    <t>B</t>
  </si>
  <si>
    <t>Doucheruimten</t>
  </si>
  <si>
    <t>S</t>
  </si>
  <si>
    <t>Entree</t>
  </si>
  <si>
    <t>V</t>
  </si>
  <si>
    <t>Gang, hal</t>
  </si>
  <si>
    <t>Keuken, pantry</t>
  </si>
  <si>
    <t>Kleed- wasruimten</t>
  </si>
  <si>
    <t>Lift</t>
  </si>
  <si>
    <t>Opslagruimten</t>
  </si>
  <si>
    <t>Restauratieve ruimten</t>
  </si>
  <si>
    <t>Sanitaire ruimten</t>
  </si>
  <si>
    <t>Sportzaal</t>
  </si>
  <si>
    <t>Trappenhuis</t>
  </si>
  <si>
    <t>Vergaderruimten</t>
  </si>
  <si>
    <t>Niet in onderhoud</t>
  </si>
  <si>
    <t>Kolom voor matrix</t>
  </si>
  <si>
    <t>Frequentie verklaring</t>
  </si>
  <si>
    <t>Freq</t>
  </si>
  <si>
    <t>Kolom</t>
  </si>
  <si>
    <t>1 x per week (40 weken)</t>
  </si>
  <si>
    <t>1 x per week (52 weken)</t>
  </si>
  <si>
    <t>3 x per week (52 weken)</t>
  </si>
  <si>
    <t>5 x per week (40 weken)</t>
  </si>
  <si>
    <t>3 x per week april, mei, sept, okt
5 x per week jun, jul, aug</t>
  </si>
  <si>
    <t>5 x per week (52 weken)</t>
  </si>
  <si>
    <t>% van reguliere norm</t>
  </si>
  <si>
    <t>Gebouw</t>
  </si>
  <si>
    <t>Adres</t>
  </si>
  <si>
    <t>Verdieping</t>
  </si>
  <si>
    <t>Ruimte nummer</t>
  </si>
  <si>
    <t>Ruimteomschrijving opdrachtgever</t>
  </si>
  <si>
    <t>Ruimte categorie</t>
  </si>
  <si>
    <t>Vloer soort</t>
  </si>
  <si>
    <t>Vloercategorie</t>
  </si>
  <si>
    <t xml:space="preserve">M2 vloer </t>
  </si>
  <si>
    <t>Totaal frequentie</t>
  </si>
  <si>
    <t>Freq. ma-vr</t>
  </si>
  <si>
    <t>Freq. ma-vr naloop</t>
  </si>
  <si>
    <t xml:space="preserve">Freq zat - zon </t>
  </si>
  <si>
    <t>Uren p/j ma t/m vrij</t>
  </si>
  <si>
    <t>Uren p/j ma t/m vrij naloop</t>
  </si>
  <si>
    <t>Uren p/j zat - zon</t>
  </si>
  <si>
    <t>Norm ma t/m vr</t>
  </si>
  <si>
    <t>VSR code</t>
  </si>
  <si>
    <t>Bijzonderheden / opmerkingen</t>
  </si>
  <si>
    <t>M2 per jaar</t>
  </si>
  <si>
    <t>Raadhuisplein 1</t>
  </si>
  <si>
    <t>1e</t>
  </si>
  <si>
    <t>Kantoor</t>
  </si>
  <si>
    <t>Tapijt</t>
  </si>
  <si>
    <t>Zachte vloer</t>
  </si>
  <si>
    <t>Repro</t>
  </si>
  <si>
    <t>Gang</t>
  </si>
  <si>
    <t>Trap</t>
  </si>
  <si>
    <t>Hout</t>
  </si>
  <si>
    <t>Pantry</t>
  </si>
  <si>
    <t>Serviceruimte</t>
  </si>
  <si>
    <t>nio</t>
  </si>
  <si>
    <t>Linoleum</t>
  </si>
  <si>
    <t>Restaurant</t>
  </si>
  <si>
    <t>Keuken</t>
  </si>
  <si>
    <t>Steen</t>
  </si>
  <si>
    <t>Harde vloer zonder waslaag (overig)</t>
  </si>
  <si>
    <t>Toilet</t>
  </si>
  <si>
    <t>Harde vloer zonder waslaag (sanitair)</t>
  </si>
  <si>
    <t>Spoelkeuken</t>
  </si>
  <si>
    <t>Vergaderruimte</t>
  </si>
  <si>
    <t>BG</t>
  </si>
  <si>
    <t>Kelder</t>
  </si>
  <si>
    <t>Magazijn/archief</t>
  </si>
  <si>
    <t>Hal</t>
  </si>
  <si>
    <t>Hal/receptie</t>
  </si>
  <si>
    <t>Raadzaal</t>
  </si>
  <si>
    <t>Trouwzaal</t>
  </si>
  <si>
    <t>Magazijn</t>
  </si>
  <si>
    <t>Douche</t>
  </si>
  <si>
    <t>Cruquiusweg 49</t>
  </si>
  <si>
    <t>Beton</t>
  </si>
  <si>
    <t>Kantine</t>
  </si>
  <si>
    <t>Berging</t>
  </si>
  <si>
    <t>Kleedruimte</t>
  </si>
  <si>
    <t>PVC</t>
  </si>
  <si>
    <t>Julianaplein 1</t>
  </si>
  <si>
    <t>2e</t>
  </si>
  <si>
    <t>Offenbachlaan 1</t>
  </si>
  <si>
    <t>Wasruimte</t>
  </si>
  <si>
    <t>Sportvloer</t>
  </si>
  <si>
    <t xml:space="preserve">Sportzaal </t>
  </si>
  <si>
    <t>v.d. Waalslaan 33</t>
  </si>
  <si>
    <t xml:space="preserve">Burg. v. Rappartlaan 1 - 2104 WP </t>
  </si>
  <si>
    <t>Garderobe</t>
  </si>
  <si>
    <t>Herfstlaan 3, 2103AV</t>
  </si>
  <si>
    <t>Gietvloer</t>
  </si>
  <si>
    <t>Kapel</t>
  </si>
  <si>
    <t>Ontvangstkamer</t>
  </si>
  <si>
    <t xml:space="preserve">Hout </t>
  </si>
  <si>
    <t>Schaftruimte</t>
  </si>
  <si>
    <t>Openbaar toilet</t>
  </si>
  <si>
    <t xml:space="preserve">Havenstraat, 2102LP </t>
  </si>
  <si>
    <t>Openbaar sanitair (toilet &amp; douche)</t>
  </si>
  <si>
    <t>Kunststof/Plastic</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</si>
  <si>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</si>
  <si>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</si>
  <si>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</si>
  <si>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</si>
  <si>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</si>
  <si>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</si>
  <si>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</si>
  <si>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</si>
  <si>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</si>
  <si>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</si>
  <si>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</si>
  <si>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</si>
  <si>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</si>
  <si>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</si>
  <si>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</si>
  <si>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</si>
  <si>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</si>
  <si>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</si>
  <si>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</si>
  <si>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</si>
  <si>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</si>
  <si>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</si>
  <si>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</si>
  <si>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</si>
  <si>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</si>
  <si>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</si>
  <si>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</si>
  <si>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</si>
  <si>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</si>
  <si>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</si>
  <si>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</si>
  <si>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</si>
  <si>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</si>
  <si>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</si>
  <si>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</si>
  <si>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</si>
  <si>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Basisuurloon</t>
  </si>
  <si>
    <t>CAO gebonden kosten</t>
  </si>
  <si>
    <t>17 jaar en jonger</t>
  </si>
  <si>
    <t>Specialistentoeslag</t>
  </si>
  <si>
    <t>18 jaar</t>
  </si>
  <si>
    <t>Bruto uurloon</t>
  </si>
  <si>
    <t>19 jaar</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</si>
  <si>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</si>
  <si>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</si>
  <si>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</si>
  <si>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</si>
  <si>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</si>
  <si>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</si>
  <si>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</si>
  <si>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</si>
  <si>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</si>
  <si>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</si>
  <si>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</si>
  <si>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</si>
  <si>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</si>
  <si>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</si>
  <si>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</si>
  <si>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</si>
  <si>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</si>
  <si>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Machinekosten</t>
  </si>
  <si>
    <t>Totaal per loongroepen</t>
  </si>
  <si>
    <t>Overige cao-gerelateerde verplichtingen (zoals reiskosten)</t>
  </si>
  <si>
    <t>Totaal directe kosten</t>
  </si>
  <si>
    <t>Opbouw gemiddeld tarief</t>
  </si>
  <si>
    <t>Indirect toezicht</t>
  </si>
  <si>
    <t>Managementkosten</t>
  </si>
  <si>
    <t>P.Z. kosten</t>
  </si>
  <si>
    <t>Opleiding</t>
  </si>
  <si>
    <t>Administratiekosten</t>
  </si>
  <si>
    <t>Huisvestingskosten</t>
  </si>
  <si>
    <t>Reiskosten/autokosten</t>
  </si>
  <si>
    <t>Kosten verzuimbegeleiding en re-integratie</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</si>
  <si>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</si>
  <si>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</si>
  <si>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</si>
  <si>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</si>
  <si>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</si>
  <si>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</si>
  <si>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</si>
  <si>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Kosten verzuimbegeleiding</t>
  </si>
  <si>
    <t>Tariefopbouw toezicht</t>
  </si>
  <si>
    <t>Gemiddeld tarief  ma t/m vr</t>
  </si>
  <si>
    <t>Overige cao-gerelateerde verplichtingen</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</si>
  <si>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</si>
  <si>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</si>
  <si>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</si>
  <si>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</si>
  <si>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</si>
  <si>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</si>
  <si>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</si>
  <si>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</si>
  <si>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</si>
  <si>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</si>
  <si>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</si>
  <si>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</si>
  <si>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</si>
  <si>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</si>
  <si>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</si>
  <si>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</si>
  <si>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</si>
  <si>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</si>
  <si>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</si>
  <si>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</si>
  <si>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</si>
  <si>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</si>
  <si>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</si>
  <si>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</si>
  <si>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</si>
  <si>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</si>
  <si>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</si>
  <si>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</si>
  <si>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</si>
  <si>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</si>
  <si>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</si>
  <si>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</si>
  <si>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</si>
  <si>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</si>
  <si>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</si>
  <si>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</si>
  <si>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</si>
  <si>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</si>
  <si>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Maandag - Vrijdag</t>
  </si>
  <si>
    <t>Zaterdag - zondag (incl. 50% toeslag conform cao)</t>
  </si>
  <si>
    <t>Feestdagen (incl. 150% toeslag conform cao)</t>
  </si>
  <si>
    <t>Glazenwasserswerkzaamheden</t>
  </si>
  <si>
    <t>Ongedierte bestrijding</t>
  </si>
  <si>
    <t>Behandeling tegen bruine ratten</t>
  </si>
  <si>
    <t>Methode omschrijven.</t>
  </si>
  <si>
    <t>Behandeling tegen muizen</t>
  </si>
  <si>
    <t>………………………………</t>
  </si>
  <si>
    <t>Gladheid bestrijding</t>
  </si>
  <si>
    <t>Tijdstip van uitvoering</t>
  </si>
  <si>
    <t>tarief ma-vr (06.00-21.30 uur)</t>
  </si>
  <si>
    <t>tarief ma-vr nacht (21.30-06.00 uur)</t>
  </si>
  <si>
    <t>Opmerking:</t>
  </si>
  <si>
    <t>Alle prijzen inclusief materialen en middelen, voorrijkosten en overige bijkomende kosten.</t>
  </si>
  <si>
    <t>Mits anders aangegeven is de uitvoering op reguliere werktijden: maandag t/m vrijdag [06.00 en 21.30 uur]</t>
  </si>
  <si>
    <t>Handeling</t>
  </si>
  <si>
    <t>M² prijs (incl uit- en inruimen)</t>
  </si>
  <si>
    <t>Sprayen</t>
  </si>
  <si>
    <t>Top-coaten</t>
  </si>
  <si>
    <t>Schrobben</t>
  </si>
  <si>
    <t>Vloerafwerking</t>
  </si>
  <si>
    <t>Aantal m2</t>
  </si>
  <si>
    <r>
      <t>Kosten per m</t>
    </r>
    <r>
      <rPr>
        <b/>
        <vertAlign val="superscript"/>
        <sz val="10"/>
        <color theme="0"/>
        <rFont val="Arial Black"/>
        <family val="2"/>
      </rPr>
      <t>2</t>
    </r>
  </si>
  <si>
    <t>Kosten per beurt</t>
  </si>
  <si>
    <t>Frequentie per jaar</t>
  </si>
  <si>
    <t>Totaalkosten per jaar</t>
  </si>
  <si>
    <t>3</t>
  </si>
  <si>
    <t>1</t>
  </si>
  <si>
    <t>Divers</t>
  </si>
  <si>
    <t>52</t>
  </si>
  <si>
    <t>6</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</si>
  <si>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</si>
  <si>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</si>
  <si>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</si>
  <si>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</si>
  <si>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</si>
  <si>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</si>
  <si>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</si>
  <si>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</si>
  <si>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</si>
  <si>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</si>
  <si>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</si>
  <si>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</si>
  <si>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</si>
  <si>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</si>
  <si>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Uurlonen 1 januari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</si>
</sst>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48">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2"/>
      <color theme="0"/>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theme="2"/>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theme="2" tint="-9.9978637043366805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bottom style="thin">
        <color indexed="64"/>
      </bottom>
      <diagonal/>
    </border>
    <border>
      <left/>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37">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65" fillId="0" borderId="0" xfId="84" applyFont="1" applyAlignment="1">
      <alignment wrapText="1"/>
    </xf>
    <xf numFmtId="0" fontId="73" fillId="0" borderId="0" xfId="84"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9" applyFont="1"/>
    <xf numFmtId="167" fontId="82" fillId="0" borderId="0" xfId="8" applyFont="1"/>
    <xf numFmtId="2" fontId="80" fillId="0" borderId="0" xfId="89" applyNumberFormat="1" applyFont="1"/>
    <xf numFmtId="0" fontId="85" fillId="0" borderId="0" xfId="89" applyFont="1"/>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78" fillId="0" borderId="0" xfId="17" applyFont="1" applyAlignment="1">
      <alignment horizontal="center" vertical="center"/>
    </xf>
    <xf numFmtId="0" fontId="88" fillId="0" borderId="0" xfId="17" applyFont="1"/>
    <xf numFmtId="173" fontId="78" fillId="0" borderId="0" xfId="0" applyNumberFormat="1" applyFont="1"/>
    <xf numFmtId="0" fontId="78" fillId="2" borderId="0" xfId="17" applyFont="1" applyFill="1"/>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167" fontId="85" fillId="0" borderId="0" xfId="8" applyFont="1" applyFill="1" applyBorder="1" applyAlignment="1">
      <alignment horizontal="center"/>
    </xf>
    <xf numFmtId="2" fontId="85" fillId="0" borderId="0" xfId="8" applyNumberFormat="1" applyFont="1" applyFill="1" applyBorder="1" applyAlignment="1">
      <alignment horizontal="center"/>
    </xf>
    <xf numFmtId="2" fontId="78" fillId="0" borderId="0" xfId="0" applyNumberFormat="1" applyFont="1"/>
    <xf numFmtId="1" fontId="78" fillId="0" borderId="0" xfId="0" applyNumberFormat="1" applyFont="1" applyAlignment="1">
      <alignment horizontal="center"/>
    </xf>
    <xf numFmtId="0" fontId="78" fillId="0" borderId="0" xfId="8" applyNumberFormat="1" applyFont="1" applyFill="1" applyBorder="1" applyAlignment="1"/>
    <xf numFmtId="2" fontId="78" fillId="0" borderId="0" xfId="0" applyNumberFormat="1" applyFont="1" applyAlignment="1">
      <alignment horizontal="right"/>
    </xf>
    <xf numFmtId="1" fontId="82" fillId="0" borderId="0" xfId="0" applyNumberFormat="1" applyFont="1" applyAlignment="1">
      <alignment horizontal="center"/>
    </xf>
    <xf numFmtId="1" fontId="84" fillId="0" borderId="0" xfId="0" applyNumberFormat="1" applyFont="1" applyAlignment="1">
      <alignment horizontal="center"/>
    </xf>
    <xf numFmtId="43" fontId="85" fillId="0" borderId="0" xfId="8" applyNumberFormat="1" applyFont="1" applyFill="1" applyBorder="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78" fillId="0" borderId="2" xfId="0" applyFont="1" applyBorder="1"/>
    <xf numFmtId="0" fontId="89" fillId="0" borderId="0" xfId="13" applyFont="1" applyProtection="1">
      <protection hidden="1"/>
    </xf>
    <xf numFmtId="0" fontId="95" fillId="0" borderId="0" xfId="0" applyFont="1" applyAlignment="1">
      <alignment horizontal="left" indent="3"/>
    </xf>
    <xf numFmtId="0" fontId="95" fillId="0" borderId="0" xfId="0" applyFont="1"/>
    <xf numFmtId="0" fontId="95" fillId="0" borderId="0" xfId="0" applyFont="1" applyAlignment="1">
      <alignment horizontal="left" indent="1"/>
    </xf>
    <xf numFmtId="180" fontId="95" fillId="0" borderId="0" xfId="0" applyNumberFormat="1" applyFont="1"/>
    <xf numFmtId="179" fontId="95" fillId="0" borderId="0" xfId="0" applyNumberFormat="1" applyFont="1"/>
    <xf numFmtId="0" fontId="96" fillId="0" borderId="0" xfId="13" applyFont="1" applyAlignment="1" applyProtection="1">
      <alignment horizontal="center"/>
      <protection hidden="1"/>
    </xf>
    <xf numFmtId="0" fontId="96" fillId="0" borderId="0" xfId="13" applyFont="1" applyAlignment="1" applyProtection="1">
      <alignment horizontal="right"/>
      <protection hidden="1"/>
    </xf>
    <xf numFmtId="169" fontId="96" fillId="0" borderId="0" xfId="3" applyFont="1" applyFill="1" applyBorder="1" applyAlignment="1" applyProtection="1">
      <alignment horizontal="center"/>
      <protection hidden="1"/>
    </xf>
    <xf numFmtId="175" fontId="96" fillId="0" borderId="0" xfId="3" applyNumberFormat="1" applyFont="1" applyFill="1" applyBorder="1" applyAlignment="1" applyProtection="1">
      <alignment horizontal="center"/>
      <protection hidden="1"/>
    </xf>
    <xf numFmtId="2" fontId="76" fillId="0" borderId="0" xfId="0" applyNumberFormat="1" applyFont="1"/>
    <xf numFmtId="0" fontId="97" fillId="0" borderId="0" xfId="13" applyFont="1" applyAlignment="1" applyProtection="1">
      <alignment horizontal="right"/>
      <protection hidden="1"/>
    </xf>
    <xf numFmtId="0" fontId="98" fillId="0" borderId="0" xfId="0" applyFont="1" applyAlignment="1">
      <alignment horizontal="center" vertical="center"/>
    </xf>
    <xf numFmtId="175" fontId="98" fillId="0" borderId="0" xfId="0" applyNumberFormat="1" applyFont="1" applyAlignment="1">
      <alignment horizontal="center" vertical="center"/>
    </xf>
    <xf numFmtId="1" fontId="76" fillId="0" borderId="0" xfId="0" applyNumberFormat="1" applyFont="1" applyAlignment="1">
      <alignment horizontal="left"/>
    </xf>
    <xf numFmtId="2" fontId="97" fillId="0" borderId="0" xfId="13" applyNumberFormat="1" applyFont="1" applyAlignment="1" applyProtection="1">
      <alignment horizontal="right"/>
      <protection hidden="1"/>
    </xf>
    <xf numFmtId="2" fontId="99"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100" fillId="0" borderId="0" xfId="0" applyNumberFormat="1" applyFont="1" applyAlignment="1">
      <alignment horizontal="left"/>
    </xf>
    <xf numFmtId="2" fontId="99"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97" fillId="0" borderId="0" xfId="13" applyNumberFormat="1" applyFont="1" applyAlignment="1" applyProtection="1">
      <alignment horizontal="center"/>
      <protection hidden="1"/>
    </xf>
    <xf numFmtId="2" fontId="106" fillId="0" borderId="0" xfId="13" applyNumberFormat="1" applyFont="1" applyAlignment="1" applyProtection="1">
      <alignment horizontal="center"/>
      <protection hidden="1"/>
    </xf>
    <xf numFmtId="0" fontId="85" fillId="0" borderId="0" xfId="0" applyFont="1"/>
    <xf numFmtId="0" fontId="105" fillId="0" borderId="0" xfId="0" applyFont="1"/>
    <xf numFmtId="0" fontId="88" fillId="0" borderId="32" xfId="13" applyFont="1" applyBorder="1" applyProtection="1">
      <protection hidden="1"/>
    </xf>
    <xf numFmtId="10" fontId="103" fillId="0" borderId="2" xfId="13" applyNumberFormat="1" applyFont="1" applyBorder="1" applyAlignment="1" applyProtection="1">
      <alignment horizontal="right"/>
      <protection hidden="1"/>
    </xf>
    <xf numFmtId="175" fontId="104" fillId="0" borderId="6" xfId="16" applyNumberFormat="1" applyFont="1" applyFill="1" applyBorder="1" applyAlignment="1" applyProtection="1">
      <alignment horizontal="right"/>
      <protection hidden="1"/>
    </xf>
    <xf numFmtId="0" fontId="103" fillId="0" borderId="0" xfId="0" applyFont="1"/>
    <xf numFmtId="0" fontId="103" fillId="0" borderId="5" xfId="0" applyFont="1" applyBorder="1" applyAlignment="1">
      <alignment horizontal="right"/>
    </xf>
    <xf numFmtId="0" fontId="103" fillId="0" borderId="0" xfId="0" applyFont="1" applyAlignment="1">
      <alignment horizontal="right"/>
    </xf>
    <xf numFmtId="175" fontId="85" fillId="0" borderId="0" xfId="0" applyNumberFormat="1" applyFont="1"/>
    <xf numFmtId="0" fontId="85" fillId="0" borderId="0" xfId="0" applyFont="1" applyAlignment="1">
      <alignment horizontal="right"/>
    </xf>
    <xf numFmtId="2" fontId="75" fillId="0" borderId="0" xfId="63" applyNumberFormat="1" applyFont="1"/>
    <xf numFmtId="2" fontId="76" fillId="0" borderId="0" xfId="63" applyNumberFormat="1" applyFont="1"/>
    <xf numFmtId="0" fontId="105" fillId="0" borderId="0" xfId="10" applyFont="1"/>
    <xf numFmtId="179" fontId="105" fillId="0" borderId="0" xfId="10" applyNumberFormat="1" applyFont="1"/>
    <xf numFmtId="2" fontId="105"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100"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0" xfId="9" applyFont="1" applyAlignment="1" applyProtection="1">
      <alignment horizontal="center"/>
      <protection hidden="1"/>
    </xf>
    <xf numFmtId="0" fontId="78" fillId="0" borderId="0" xfId="9" applyFont="1" applyAlignment="1" applyProtection="1">
      <alignment horizontal="lef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10" fillId="0" borderId="0" xfId="3" applyNumberFormat="1" applyFont="1" applyFill="1" applyBorder="1" applyAlignment="1" applyProtection="1">
      <alignment horizontal="center"/>
      <protection hidden="1"/>
    </xf>
    <xf numFmtId="2" fontId="90" fillId="0" borderId="0" xfId="84" applyNumberFormat="1" applyFont="1"/>
    <xf numFmtId="169" fontId="110" fillId="0" borderId="0" xfId="3" applyFont="1" applyFill="1" applyBorder="1" applyAlignment="1" applyProtection="1">
      <alignment horizontal="center"/>
      <protection hidden="1"/>
    </xf>
    <xf numFmtId="173" fontId="110"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8" fillId="0" borderId="0" xfId="97" applyFont="1"/>
    <xf numFmtId="2" fontId="90" fillId="0" borderId="0" xfId="63" applyNumberFormat="1" applyFont="1"/>
    <xf numFmtId="196" fontId="111" fillId="0" borderId="0" xfId="63" applyNumberFormat="1" applyFont="1" applyAlignment="1">
      <alignment horizontal="left"/>
    </xf>
    <xf numFmtId="2" fontId="76" fillId="65" borderId="0" xfId="12" applyNumberFormat="1" applyFont="1" applyFill="1"/>
    <xf numFmtId="2" fontId="75" fillId="65" borderId="0" xfId="12" applyNumberFormat="1" applyFont="1" applyFill="1"/>
    <xf numFmtId="0" fontId="78" fillId="65" borderId="2" xfId="10" applyFont="1" applyFill="1" applyBorder="1"/>
    <xf numFmtId="0" fontId="113" fillId="0" borderId="0" xfId="0" applyFont="1" applyAlignment="1">
      <alignment horizontal="center" vertical="center"/>
    </xf>
    <xf numFmtId="0" fontId="117" fillId="0" borderId="0" xfId="17" applyFont="1"/>
    <xf numFmtId="2" fontId="118" fillId="0" borderId="0" xfId="0" applyNumberFormat="1" applyFont="1"/>
    <xf numFmtId="0" fontId="113" fillId="0" borderId="0" xfId="0" applyFont="1" applyAlignment="1">
      <alignment horizontal="center"/>
    </xf>
    <xf numFmtId="2" fontId="119" fillId="0" borderId="0" xfId="13" applyNumberFormat="1" applyFont="1" applyAlignment="1" applyProtection="1">
      <alignment vertical="center"/>
      <protection locked="0"/>
    </xf>
    <xf numFmtId="2" fontId="124" fillId="0" borderId="0" xfId="13" applyNumberFormat="1" applyFont="1" applyAlignment="1" applyProtection="1">
      <alignment horizontal="center" wrapText="1"/>
      <protection hidden="1"/>
    </xf>
    <xf numFmtId="0" fontId="113" fillId="0" borderId="0" xfId="0" applyFont="1" applyAlignment="1">
      <alignment horizontal="center" wrapText="1"/>
    </xf>
    <xf numFmtId="0" fontId="83" fillId="0" borderId="0" xfId="9" applyFont="1" applyAlignment="1" applyProtection="1">
      <alignment horizontal="left" vertical="center"/>
      <protection hidden="1"/>
    </xf>
    <xf numFmtId="0" fontId="113" fillId="0" borderId="0" xfId="84" applyFont="1"/>
    <xf numFmtId="0" fontId="131" fillId="0" borderId="0" xfId="63" applyFont="1"/>
    <xf numFmtId="178" fontId="131" fillId="0" borderId="2" xfId="6" applyNumberFormat="1" applyFont="1" applyFill="1" applyBorder="1" applyAlignment="1"/>
    <xf numFmtId="44" fontId="131" fillId="0" borderId="0" xfId="63" applyNumberFormat="1" applyFont="1"/>
    <xf numFmtId="0" fontId="35" fillId="0" borderId="0" xfId="0" applyFont="1"/>
    <xf numFmtId="0" fontId="35" fillId="0" borderId="0" xfId="0" applyFont="1" applyAlignment="1">
      <alignment horizontal="center"/>
    </xf>
    <xf numFmtId="2" fontId="129" fillId="0" borderId="0" xfId="0" applyNumberFormat="1" applyFont="1" applyAlignment="1">
      <alignment horizontal="center"/>
    </xf>
    <xf numFmtId="2" fontId="132" fillId="0" borderId="0" xfId="0" applyNumberFormat="1" applyFont="1" applyAlignment="1">
      <alignment horizontal="center"/>
    </xf>
    <xf numFmtId="2" fontId="137" fillId="0" borderId="0" xfId="12" applyNumberFormat="1" applyFont="1" applyAlignment="1">
      <alignment horizontal="center"/>
    </xf>
    <xf numFmtId="174" fontId="35" fillId="0" borderId="0" xfId="0" applyNumberFormat="1" applyFont="1" applyAlignment="1">
      <alignment horizontal="center"/>
    </xf>
    <xf numFmtId="14" fontId="133" fillId="0" borderId="0" xfId="12" applyNumberFormat="1" applyFont="1" applyAlignment="1">
      <alignment horizontal="left"/>
    </xf>
    <xf numFmtId="179" fontId="138"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175" fontId="139" fillId="0" borderId="5" xfId="0" applyNumberFormat="1" applyFont="1" applyBorder="1" applyAlignment="1">
      <alignment horizontal="center" vertical="center"/>
    </xf>
    <xf numFmtId="175" fontId="134" fillId="0" borderId="5" xfId="0" applyNumberFormat="1" applyFont="1" applyBorder="1" applyAlignment="1">
      <alignment horizontal="center" vertical="center"/>
    </xf>
    <xf numFmtId="175" fontId="142" fillId="0" borderId="5" xfId="0" applyNumberFormat="1" applyFont="1" applyBorder="1" applyAlignment="1">
      <alignment horizontal="center" vertical="center"/>
    </xf>
    <xf numFmtId="175" fontId="35" fillId="0" borderId="5" xfId="0" applyNumberFormat="1" applyFont="1" applyBorder="1"/>
    <xf numFmtId="179" fontId="129"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34" fillId="0" borderId="0" xfId="0" applyNumberFormat="1" applyFont="1"/>
    <xf numFmtId="0" fontId="134" fillId="0" borderId="0" xfId="0" applyFont="1"/>
    <xf numFmtId="14" fontId="133" fillId="0" borderId="0" xfId="0" applyNumberFormat="1" applyFont="1" applyAlignment="1">
      <alignment horizontal="left"/>
    </xf>
    <xf numFmtId="14" fontId="133" fillId="0" borderId="0" xfId="63" applyNumberFormat="1" applyFont="1" applyAlignment="1">
      <alignment horizontal="left"/>
    </xf>
    <xf numFmtId="0" fontId="35" fillId="0" borderId="0" xfId="103" applyFont="1"/>
    <xf numFmtId="14" fontId="146" fillId="0" borderId="0" xfId="63" applyNumberFormat="1" applyFont="1" applyAlignment="1">
      <alignment horizontal="left"/>
    </xf>
    <xf numFmtId="0" fontId="138" fillId="0" borderId="0" xfId="62" applyFont="1" applyAlignment="1" applyProtection="1">
      <alignment horizontal="left" textRotation="90"/>
      <protection hidden="1"/>
    </xf>
    <xf numFmtId="0" fontId="35" fillId="0" borderId="0" xfId="84" applyFont="1"/>
    <xf numFmtId="0" fontId="147" fillId="0" borderId="0" xfId="62" applyFont="1" applyAlignment="1" applyProtection="1">
      <alignment horizontal="left" textRotation="90"/>
      <protection hidden="1"/>
    </xf>
    <xf numFmtId="0" fontId="7" fillId="0" borderId="0" xfId="0" applyFont="1"/>
    <xf numFmtId="9" fontId="78" fillId="0" borderId="0" xfId="0" applyNumberFormat="1" applyFont="1"/>
    <xf numFmtId="166" fontId="78" fillId="0" borderId="0" xfId="18" applyFont="1"/>
    <xf numFmtId="9" fontId="78" fillId="0" borderId="0" xfId="16" applyFont="1"/>
    <xf numFmtId="44" fontId="78" fillId="0" borderId="0" xfId="0" applyNumberFormat="1" applyFont="1"/>
    <xf numFmtId="173" fontId="81" fillId="0" borderId="0" xfId="8" applyNumberFormat="1" applyFont="1" applyAlignment="1">
      <alignment horizontal="left"/>
    </xf>
    <xf numFmtId="173" fontId="81" fillId="0" borderId="0" xfId="8" applyNumberFormat="1" applyFont="1" applyAlignment="1">
      <alignment horizontal="left" vertical="top"/>
    </xf>
    <xf numFmtId="49" fontId="78" fillId="0" borderId="0" xfId="0" applyNumberFormat="1" applyFont="1"/>
    <xf numFmtId="0" fontId="91" fillId="0" borderId="0" xfId="13" applyFont="1" applyProtection="1">
      <protection hidden="1"/>
    </xf>
    <xf numFmtId="175" fontId="78" fillId="0" borderId="0" xfId="0" applyNumberFormat="1" applyFont="1"/>
    <xf numFmtId="9" fontId="129" fillId="0" borderId="0" xfId="0" applyNumberFormat="1" applyFont="1" applyAlignment="1">
      <alignment horizontal="center"/>
    </xf>
    <xf numFmtId="44" fontId="78" fillId="0" borderId="0" xfId="89" applyNumberFormat="1" applyFont="1"/>
    <xf numFmtId="175" fontId="91" fillId="0" borderId="0" xfId="3" applyNumberFormat="1" applyFont="1" applyFill="1" applyBorder="1" applyAlignment="1" applyProtection="1">
      <alignment horizontal="center"/>
      <protection hidden="1"/>
    </xf>
    <xf numFmtId="0" fontId="79" fillId="64" borderId="0" xfId="0" applyFont="1" applyFill="1"/>
    <xf numFmtId="1" fontId="80" fillId="0" borderId="0" xfId="61" applyNumberFormat="1" applyFont="1" applyAlignment="1">
      <alignment horizontal="center"/>
    </xf>
    <xf numFmtId="49" fontId="77" fillId="66" borderId="1" xfId="62" applyNumberFormat="1" applyFont="1" applyFill="1" applyBorder="1" applyAlignment="1" applyProtection="1">
      <alignment horizontal="left" vertical="top"/>
      <protection hidden="1"/>
    </xf>
    <xf numFmtId="173" fontId="79" fillId="64" borderId="34" xfId="8" applyNumberFormat="1" applyFont="1" applyFill="1" applyBorder="1" applyAlignment="1">
      <alignment horizontal="left"/>
    </xf>
    <xf numFmtId="167" fontId="79" fillId="64" borderId="35" xfId="8" applyFont="1" applyFill="1" applyBorder="1"/>
    <xf numFmtId="49" fontId="81" fillId="0" borderId="34" xfId="63" applyNumberFormat="1" applyFont="1" applyBorder="1" applyAlignment="1">
      <alignment vertical="top"/>
    </xf>
    <xf numFmtId="0" fontId="78" fillId="0" borderId="36" xfId="63" applyFont="1" applyBorder="1"/>
    <xf numFmtId="49" fontId="80" fillId="0" borderId="36" xfId="63" applyNumberFormat="1" applyFont="1" applyBorder="1"/>
    <xf numFmtId="166" fontId="130" fillId="2" borderId="35" xfId="18" applyFont="1" applyFill="1" applyBorder="1" applyAlignment="1"/>
    <xf numFmtId="167" fontId="35" fillId="65" borderId="1" xfId="8" applyFont="1" applyFill="1" applyBorder="1" applyAlignment="1">
      <alignment horizontal="left"/>
    </xf>
    <xf numFmtId="167" fontId="78" fillId="0" borderId="35" xfId="8" applyFont="1" applyBorder="1"/>
    <xf numFmtId="9" fontId="35" fillId="65" borderId="1" xfId="16" applyFont="1" applyFill="1" applyBorder="1" applyAlignment="1">
      <alignment horizontal="center"/>
    </xf>
    <xf numFmtId="49" fontId="79" fillId="64" borderId="34" xfId="63" applyNumberFormat="1" applyFont="1" applyFill="1" applyBorder="1"/>
    <xf numFmtId="0" fontId="79" fillId="64" borderId="36" xfId="63" applyFont="1" applyFill="1" applyBorder="1"/>
    <xf numFmtId="44" fontId="128" fillId="64" borderId="35" xfId="63" applyNumberFormat="1" applyFont="1" applyFill="1" applyBorder="1"/>
    <xf numFmtId="180" fontId="77" fillId="66" borderId="1" xfId="18" applyNumberFormat="1" applyFont="1" applyFill="1" applyBorder="1" applyAlignment="1" applyProtection="1">
      <alignment horizontal="left" vertical="top"/>
      <protection hidden="1"/>
    </xf>
    <xf numFmtId="2" fontId="79" fillId="64" borderId="1" xfId="89" applyNumberFormat="1" applyFont="1" applyFill="1" applyBorder="1" applyAlignment="1">
      <alignment vertical="top" wrapText="1"/>
    </xf>
    <xf numFmtId="173" fontId="79" fillId="64" borderId="1" xfId="8" applyNumberFormat="1" applyFont="1" applyFill="1" applyBorder="1" applyAlignment="1">
      <alignment vertical="top" wrapText="1"/>
    </xf>
    <xf numFmtId="173" fontId="79" fillId="64" borderId="1" xfId="8" applyNumberFormat="1" applyFont="1" applyFill="1" applyBorder="1" applyAlignment="1">
      <alignment horizontal="center" vertical="top" wrapText="1"/>
    </xf>
    <xf numFmtId="167" fontId="79" fillId="64" borderId="1" xfId="8" applyFont="1" applyFill="1" applyBorder="1" applyAlignment="1">
      <alignment horizontal="center" vertical="top" wrapText="1"/>
    </xf>
    <xf numFmtId="2" fontId="78" fillId="0" borderId="1" xfId="0" applyNumberFormat="1" applyFont="1" applyBorder="1"/>
    <xf numFmtId="3" fontId="35" fillId="2" borderId="1" xfId="8" applyNumberFormat="1" applyFont="1" applyFill="1" applyBorder="1" applyAlignment="1">
      <alignment horizontal="center"/>
    </xf>
    <xf numFmtId="2" fontId="35" fillId="65" borderId="1" xfId="8" applyNumberFormat="1" applyFont="1" applyFill="1" applyBorder="1" applyAlignment="1">
      <alignment horizontal="center"/>
    </xf>
    <xf numFmtId="1" fontId="129" fillId="2" borderId="1" xfId="8" applyNumberFormat="1" applyFont="1" applyFill="1" applyBorder="1" applyAlignment="1">
      <alignment horizontal="center"/>
    </xf>
    <xf numFmtId="4" fontId="35" fillId="2" borderId="1" xfId="8" applyNumberFormat="1" applyFont="1" applyFill="1" applyBorder="1" applyAlignment="1">
      <alignment horizontal="center"/>
    </xf>
    <xf numFmtId="2" fontId="78" fillId="0" borderId="1" xfId="89" applyNumberFormat="1" applyFont="1" applyBorder="1"/>
    <xf numFmtId="4" fontId="35" fillId="0" borderId="1" xfId="8" applyNumberFormat="1" applyFont="1" applyFill="1" applyBorder="1" applyAlignment="1">
      <alignment horizontal="center"/>
    </xf>
    <xf numFmtId="0" fontId="84" fillId="0" borderId="1" xfId="0" applyFont="1" applyBorder="1"/>
    <xf numFmtId="0" fontId="80" fillId="0" borderId="1" xfId="89" applyFont="1" applyBorder="1"/>
    <xf numFmtId="3" fontId="129" fillId="2" borderId="1" xfId="8" applyNumberFormat="1" applyFont="1" applyFill="1" applyBorder="1" applyAlignment="1">
      <alignment horizontal="center"/>
    </xf>
    <xf numFmtId="173" fontId="129" fillId="2" borderId="1" xfId="8" applyNumberFormat="1" applyFont="1" applyFill="1" applyBorder="1"/>
    <xf numFmtId="167" fontId="129" fillId="2" borderId="1" xfId="8" applyFont="1" applyFill="1" applyBorder="1"/>
    <xf numFmtId="4" fontId="129" fillId="2" borderId="1" xfId="8" applyNumberFormat="1" applyFont="1" applyFill="1" applyBorder="1" applyAlignment="1">
      <alignment horizontal="center"/>
    </xf>
    <xf numFmtId="2" fontId="79" fillId="64" borderId="37" xfId="89" applyNumberFormat="1" applyFont="1" applyFill="1" applyBorder="1" applyAlignment="1">
      <alignment vertical="top" wrapText="1"/>
    </xf>
    <xf numFmtId="167" fontId="79" fillId="64" borderId="37" xfId="8" applyFont="1" applyFill="1" applyBorder="1" applyAlignment="1">
      <alignment horizontal="center" vertical="top" wrapText="1"/>
    </xf>
    <xf numFmtId="166" fontId="35" fillId="2" borderId="1" xfId="18" applyFont="1" applyFill="1" applyBorder="1" applyAlignment="1">
      <alignment horizontal="right"/>
    </xf>
    <xf numFmtId="167" fontId="35" fillId="2" borderId="1" xfId="8" applyFont="1" applyFill="1" applyBorder="1" applyAlignment="1">
      <alignment horizontal="center"/>
    </xf>
    <xf numFmtId="166" fontId="35" fillId="2" borderId="1" xfId="18" applyFont="1" applyFill="1" applyBorder="1" applyAlignment="1">
      <alignment horizontal="center"/>
    </xf>
    <xf numFmtId="166" fontId="35" fillId="0" borderId="1" xfId="89" applyNumberFormat="1" applyFont="1" applyBorder="1"/>
    <xf numFmtId="180" fontId="35" fillId="0" borderId="1" xfId="89" applyNumberFormat="1" applyFont="1" applyBorder="1"/>
    <xf numFmtId="166" fontId="129" fillId="2" borderId="1" xfId="18" applyFont="1" applyFill="1" applyBorder="1"/>
    <xf numFmtId="167" fontId="129" fillId="2" borderId="1" xfId="8" applyFont="1" applyFill="1" applyBorder="1" applyAlignment="1">
      <alignment horizontal="center"/>
    </xf>
    <xf numFmtId="166" fontId="129" fillId="2" borderId="1" xfId="18" applyFont="1" applyFill="1" applyBorder="1" applyAlignment="1">
      <alignment horizontal="center"/>
    </xf>
    <xf numFmtId="49" fontId="77" fillId="66" borderId="1" xfId="9" applyNumberFormat="1" applyFont="1" applyFill="1" applyBorder="1" applyAlignment="1" applyProtection="1">
      <alignment horizontal="left" vertical="top"/>
      <protection hidden="1"/>
    </xf>
    <xf numFmtId="1" fontId="112" fillId="0" borderId="34" xfId="0" applyNumberFormat="1" applyFont="1" applyBorder="1" applyAlignment="1">
      <alignment horizontal="left" vertical="center"/>
    </xf>
    <xf numFmtId="1" fontId="112" fillId="0" borderId="36" xfId="0" applyNumberFormat="1" applyFont="1" applyBorder="1" applyAlignment="1">
      <alignment horizontal="left" vertical="center"/>
    </xf>
    <xf numFmtId="1" fontId="136" fillId="0" borderId="36" xfId="0" applyNumberFormat="1" applyFont="1" applyBorder="1" applyAlignment="1">
      <alignment horizontal="center" vertical="center" wrapText="1"/>
    </xf>
    <xf numFmtId="1" fontId="112" fillId="0" borderId="35" xfId="0" applyNumberFormat="1" applyFont="1" applyBorder="1" applyAlignment="1">
      <alignment horizontal="center" vertical="center" wrapText="1"/>
    </xf>
    <xf numFmtId="2" fontId="114" fillId="64" borderId="1" xfId="0" applyNumberFormat="1" applyFont="1" applyFill="1" applyBorder="1" applyAlignment="1">
      <alignment horizontal="left" vertical="center" wrapText="1"/>
    </xf>
    <xf numFmtId="1" fontId="114" fillId="64" borderId="1" xfId="0" applyNumberFormat="1" applyFont="1" applyFill="1" applyBorder="1" applyAlignment="1">
      <alignment horizontal="center" vertical="center" wrapText="1"/>
    </xf>
    <xf numFmtId="9" fontId="127" fillId="65" borderId="1" xfId="61" applyNumberFormat="1" applyFont="1" applyFill="1" applyBorder="1" applyAlignment="1">
      <alignment horizontal="center" vertical="center"/>
    </xf>
    <xf numFmtId="0" fontId="114" fillId="64" borderId="1" xfId="0" applyFont="1" applyFill="1" applyBorder="1" applyAlignment="1">
      <alignment horizontal="left" vertical="center" wrapText="1"/>
    </xf>
    <xf numFmtId="2" fontId="114" fillId="64" borderId="1" xfId="0" applyNumberFormat="1" applyFont="1" applyFill="1" applyBorder="1" applyAlignment="1">
      <alignment horizontal="center" vertical="center" wrapText="1"/>
    </xf>
    <xf numFmtId="1" fontId="115" fillId="0" borderId="1" xfId="0" applyNumberFormat="1" applyFont="1" applyBorder="1" applyAlignment="1">
      <alignment horizontal="center" vertical="center" wrapText="1"/>
    </xf>
    <xf numFmtId="0" fontId="78" fillId="2" borderId="1" xfId="0" applyFont="1" applyFill="1" applyBorder="1" applyAlignment="1">
      <alignment vertical="center"/>
    </xf>
    <xf numFmtId="173" fontId="129" fillId="0" borderId="1" xfId="8" applyNumberFormat="1" applyFont="1" applyFill="1" applyBorder="1" applyAlignment="1">
      <alignment horizontal="center"/>
    </xf>
    <xf numFmtId="173" fontId="129" fillId="65" borderId="1" xfId="8" applyNumberFormat="1" applyFont="1" applyFill="1" applyBorder="1" applyAlignment="1">
      <alignment horizontal="center"/>
    </xf>
    <xf numFmtId="173" fontId="35" fillId="0" borderId="1" xfId="8" applyNumberFormat="1" applyFont="1" applyFill="1" applyBorder="1" applyAlignment="1">
      <alignment horizontal="center" vertical="center"/>
    </xf>
    <xf numFmtId="0" fontId="78" fillId="0" borderId="1" xfId="0" applyFont="1" applyBorder="1" applyAlignment="1">
      <alignment horizontal="center" vertical="center"/>
    </xf>
    <xf numFmtId="0" fontId="78" fillId="0" borderId="1" xfId="0" applyFont="1" applyBorder="1" applyAlignment="1">
      <alignment vertical="center"/>
    </xf>
    <xf numFmtId="0" fontId="78" fillId="0" borderId="1" xfId="0" applyFont="1" applyBorder="1"/>
    <xf numFmtId="49" fontId="35" fillId="0" borderId="1" xfId="0" applyNumberFormat="1" applyFont="1" applyBorder="1" applyAlignment="1">
      <alignment horizontal="center"/>
    </xf>
    <xf numFmtId="0" fontId="80" fillId="0" borderId="1" xfId="0" applyFont="1" applyBorder="1" applyAlignment="1">
      <alignment vertical="center"/>
    </xf>
    <xf numFmtId="0" fontId="129" fillId="0" borderId="1" xfId="0" applyFont="1" applyBorder="1"/>
    <xf numFmtId="173" fontId="129" fillId="0" borderId="1" xfId="8" applyNumberFormat="1" applyFont="1" applyFill="1" applyBorder="1" applyAlignment="1">
      <alignment horizontal="center" vertical="center"/>
    </xf>
    <xf numFmtId="0" fontId="80" fillId="0" borderId="1" xfId="0" applyFont="1" applyBorder="1" applyAlignment="1">
      <alignment horizontal="center" vertical="center"/>
    </xf>
    <xf numFmtId="1" fontId="114" fillId="64" borderId="1" xfId="0" applyNumberFormat="1" applyFont="1" applyFill="1" applyBorder="1" applyAlignment="1">
      <alignment horizontal="left"/>
    </xf>
    <xf numFmtId="1" fontId="114" fillId="64" borderId="1" xfId="0" applyNumberFormat="1" applyFont="1" applyFill="1" applyBorder="1" applyAlignment="1">
      <alignment horizontal="center"/>
    </xf>
    <xf numFmtId="0" fontId="79" fillId="64" borderId="1" xfId="0" applyFont="1" applyFill="1" applyBorder="1" applyAlignment="1">
      <alignment wrapText="1"/>
    </xf>
    <xf numFmtId="0" fontId="79" fillId="64" borderId="1" xfId="0" applyFont="1" applyFill="1" applyBorder="1"/>
    <xf numFmtId="1" fontId="78" fillId="0" borderId="1" xfId="61" applyNumberFormat="1" applyFont="1" applyBorder="1" applyAlignment="1">
      <alignment horizontal="center"/>
    </xf>
    <xf numFmtId="1" fontId="80" fillId="0" borderId="1" xfId="61" applyNumberFormat="1" applyFont="1" applyBorder="1" applyAlignment="1">
      <alignment horizontal="center"/>
    </xf>
    <xf numFmtId="1" fontId="88" fillId="0" borderId="1" xfId="61" applyNumberFormat="1" applyFont="1" applyBorder="1" applyAlignment="1">
      <alignment horizontal="center"/>
    </xf>
    <xf numFmtId="9" fontId="130" fillId="64" borderId="37" xfId="16" applyFont="1" applyFill="1" applyBorder="1" applyAlignment="1">
      <alignment horizontal="center" vertical="top" wrapText="1"/>
    </xf>
    <xf numFmtId="2" fontId="114" fillId="64" borderId="37" xfId="0" applyNumberFormat="1" applyFont="1" applyFill="1" applyBorder="1" applyAlignment="1">
      <alignment horizontal="left" vertical="top" wrapText="1"/>
    </xf>
    <xf numFmtId="0" fontId="114" fillId="64" borderId="37" xfId="0" applyFont="1" applyFill="1" applyBorder="1" applyAlignment="1">
      <alignment horizontal="left" vertical="top" wrapText="1"/>
    </xf>
    <xf numFmtId="182" fontId="114" fillId="64" borderId="37" xfId="8" applyNumberFormat="1" applyFont="1" applyFill="1" applyBorder="1" applyAlignment="1">
      <alignment horizontal="left" vertical="top" wrapText="1"/>
    </xf>
    <xf numFmtId="167" fontId="116" fillId="64" borderId="37" xfId="8" applyFont="1" applyFill="1" applyBorder="1" applyAlignment="1">
      <alignment horizontal="center" vertical="top" wrapText="1"/>
    </xf>
    <xf numFmtId="167" fontId="114" fillId="64" borderId="37" xfId="8" applyFont="1" applyFill="1" applyBorder="1" applyAlignment="1">
      <alignment horizontal="center" vertical="top" wrapText="1"/>
    </xf>
    <xf numFmtId="2" fontId="116" fillId="64" borderId="37" xfId="0" applyNumberFormat="1" applyFont="1" applyFill="1" applyBorder="1" applyAlignment="1">
      <alignment horizontal="center" vertical="top" wrapText="1"/>
    </xf>
    <xf numFmtId="49" fontId="78" fillId="0" borderId="1" xfId="0" applyNumberFormat="1" applyFont="1" applyBorder="1"/>
    <xf numFmtId="1" fontId="78" fillId="0" borderId="1" xfId="0" applyNumberFormat="1" applyFont="1" applyBorder="1" applyAlignment="1">
      <alignment horizontal="center"/>
    </xf>
    <xf numFmtId="174" fontId="35" fillId="0" borderId="1" xfId="0" applyNumberFormat="1" applyFont="1" applyBorder="1" applyAlignment="1">
      <alignment horizontal="center"/>
    </xf>
    <xf numFmtId="176" fontId="35" fillId="0" borderId="1" xfId="0" applyNumberFormat="1" applyFont="1" applyBorder="1" applyAlignment="1">
      <alignment horizontal="center"/>
    </xf>
    <xf numFmtId="1" fontId="131" fillId="0" borderId="1" xfId="0" applyNumberFormat="1" applyFont="1" applyBorder="1" applyAlignment="1">
      <alignment horizontal="center"/>
    </xf>
    <xf numFmtId="1" fontId="135" fillId="0" borderId="1" xfId="0" applyNumberFormat="1" applyFont="1" applyBorder="1" applyAlignment="1">
      <alignment horizontal="center"/>
    </xf>
    <xf numFmtId="43" fontId="134" fillId="0" borderId="1" xfId="8" applyNumberFormat="1" applyFont="1" applyFill="1" applyBorder="1" applyAlignment="1">
      <alignment horizontal="center"/>
    </xf>
    <xf numFmtId="1" fontId="134" fillId="0" borderId="1" xfId="8" applyNumberFormat="1" applyFont="1" applyFill="1" applyBorder="1" applyAlignment="1">
      <alignment horizontal="center"/>
    </xf>
    <xf numFmtId="2" fontId="85" fillId="0" borderId="1" xfId="8" applyNumberFormat="1" applyFont="1" applyFill="1" applyBorder="1" applyAlignment="1">
      <alignment horizontal="center"/>
    </xf>
    <xf numFmtId="173" fontId="134" fillId="0" borderId="1" xfId="8" applyNumberFormat="1" applyFont="1" applyFill="1" applyBorder="1" applyAlignment="1">
      <alignment horizontal="center"/>
    </xf>
    <xf numFmtId="0" fontId="80" fillId="65" borderId="1" xfId="13" applyFont="1" applyFill="1" applyBorder="1" applyProtection="1">
      <protection hidden="1"/>
    </xf>
    <xf numFmtId="2" fontId="120" fillId="64" borderId="34" xfId="13" applyNumberFormat="1" applyFont="1" applyFill="1" applyBorder="1" applyAlignment="1" applyProtection="1">
      <alignment horizontal="left" vertical="center"/>
      <protection hidden="1"/>
    </xf>
    <xf numFmtId="2" fontId="91" fillId="64" borderId="36" xfId="11" applyNumberFormat="1" applyFont="1" applyFill="1" applyBorder="1" applyProtection="1">
      <protection hidden="1"/>
    </xf>
    <xf numFmtId="2" fontId="91" fillId="64" borderId="35" xfId="11" applyNumberFormat="1" applyFont="1" applyFill="1" applyBorder="1" applyProtection="1">
      <protection hidden="1"/>
    </xf>
    <xf numFmtId="2" fontId="78" fillId="0" borderId="34" xfId="11" applyNumberFormat="1" applyFont="1" applyBorder="1" applyProtection="1">
      <protection hidden="1"/>
    </xf>
    <xf numFmtId="0" fontId="78" fillId="0" borderId="35" xfId="0" applyFont="1" applyBorder="1"/>
    <xf numFmtId="2" fontId="78" fillId="0" borderId="35" xfId="11" applyNumberFormat="1" applyFont="1" applyBorder="1" applyProtection="1">
      <protection hidden="1"/>
    </xf>
    <xf numFmtId="0" fontId="78" fillId="0" borderId="34" xfId="0" applyFont="1" applyBorder="1"/>
    <xf numFmtId="177" fontId="35" fillId="65" borderId="1" xfId="11" applyNumberFormat="1" applyFont="1" applyFill="1" applyBorder="1" applyAlignment="1" applyProtection="1">
      <alignment vertical="center"/>
      <protection hidden="1"/>
    </xf>
    <xf numFmtId="0" fontId="80" fillId="0" borderId="34" xfId="0" applyFont="1" applyBorder="1"/>
    <xf numFmtId="0" fontId="80" fillId="0" borderId="35" xfId="0" applyFont="1" applyBorder="1"/>
    <xf numFmtId="177" fontId="129" fillId="0" borderId="1" xfId="11" applyNumberFormat="1" applyFont="1" applyBorder="1" applyAlignment="1" applyProtection="1">
      <alignment vertical="center"/>
      <protection hidden="1"/>
    </xf>
    <xf numFmtId="0" fontId="78" fillId="0" borderId="35" xfId="0" applyFont="1" applyBorder="1" applyAlignment="1">
      <alignment horizontal="left"/>
    </xf>
    <xf numFmtId="10" fontId="129" fillId="0" borderId="35" xfId="0" applyNumberFormat="1" applyFont="1" applyBorder="1"/>
    <xf numFmtId="2" fontId="80" fillId="0" borderId="1" xfId="11" applyNumberFormat="1" applyFont="1" applyBorder="1" applyAlignment="1" applyProtection="1">
      <alignment horizontal="center"/>
      <protection hidden="1"/>
    </xf>
    <xf numFmtId="179" fontId="138" fillId="0" borderId="1" xfId="13" applyNumberFormat="1" applyFont="1" applyBorder="1" applyAlignment="1" applyProtection="1">
      <alignment horizontal="left" vertical="center"/>
      <protection hidden="1"/>
    </xf>
    <xf numFmtId="0" fontId="82" fillId="0" borderId="35" xfId="0" applyFont="1" applyBorder="1"/>
    <xf numFmtId="166" fontId="138" fillId="65" borderId="1" xfId="18" applyFont="1" applyFill="1" applyBorder="1" applyAlignment="1" applyProtection="1">
      <alignment horizontal="right" vertical="center"/>
      <protection hidden="1"/>
    </xf>
    <xf numFmtId="0" fontId="78" fillId="0" borderId="34" xfId="11" applyFont="1" applyBorder="1" applyAlignment="1" applyProtection="1">
      <alignment vertical="center"/>
      <protection hidden="1"/>
    </xf>
    <xf numFmtId="10" fontId="35" fillId="65" borderId="1" xfId="11" applyNumberFormat="1" applyFont="1" applyFill="1" applyBorder="1" applyAlignment="1" applyProtection="1">
      <alignment vertical="center"/>
      <protection hidden="1"/>
    </xf>
    <xf numFmtId="0" fontId="78" fillId="0" borderId="36" xfId="0" applyFont="1" applyBorder="1"/>
    <xf numFmtId="0" fontId="80" fillId="0" borderId="34" xfId="13" applyFont="1" applyBorder="1" applyAlignment="1" applyProtection="1">
      <alignment vertical="center"/>
      <protection hidden="1"/>
    </xf>
    <xf numFmtId="0" fontId="80" fillId="0" borderId="36" xfId="0" applyFont="1" applyBorder="1"/>
    <xf numFmtId="10" fontId="129" fillId="0" borderId="1" xfId="16" applyNumberFormat="1" applyFont="1" applyFill="1" applyBorder="1" applyAlignment="1"/>
    <xf numFmtId="0" fontId="120" fillId="64" borderId="34" xfId="13" applyFont="1" applyFill="1" applyBorder="1" applyAlignment="1" applyProtection="1">
      <alignment horizontal="left" vertical="center"/>
      <protection hidden="1"/>
    </xf>
    <xf numFmtId="0" fontId="121" fillId="64" borderId="36" xfId="13" applyFont="1" applyFill="1" applyBorder="1" applyAlignment="1" applyProtection="1">
      <alignment horizontal="left" vertical="center"/>
      <protection hidden="1"/>
    </xf>
    <xf numFmtId="9" fontId="122" fillId="64" borderId="35" xfId="13" applyNumberFormat="1" applyFont="1" applyFill="1" applyBorder="1" applyAlignment="1" applyProtection="1">
      <alignment vertical="center"/>
      <protection hidden="1"/>
    </xf>
    <xf numFmtId="0" fontId="114" fillId="64" borderId="1" xfId="13" applyFont="1" applyFill="1" applyBorder="1" applyAlignment="1" applyProtection="1">
      <alignment horizontal="left" vertical="center"/>
      <protection hidden="1"/>
    </xf>
    <xf numFmtId="0" fontId="88" fillId="0" borderId="1" xfId="13" applyFont="1" applyBorder="1" applyAlignment="1" applyProtection="1">
      <alignment horizontal="left" vertical="center"/>
      <protection hidden="1"/>
    </xf>
    <xf numFmtId="2" fontId="138" fillId="2" borderId="1" xfId="13" applyNumberFormat="1" applyFont="1" applyFill="1" applyBorder="1" applyAlignment="1" applyProtection="1">
      <alignment horizontal="right" vertical="center"/>
      <protection hidden="1"/>
    </xf>
    <xf numFmtId="0" fontId="80" fillId="0" borderId="1" xfId="13" applyFont="1" applyBorder="1" applyAlignment="1" applyProtection="1">
      <alignment vertical="center"/>
      <protection hidden="1"/>
    </xf>
    <xf numFmtId="2" fontId="129" fillId="0" borderId="1" xfId="13" applyNumberFormat="1" applyFont="1" applyBorder="1" applyAlignment="1" applyProtection="1">
      <alignment vertical="center"/>
      <protection hidden="1"/>
    </xf>
    <xf numFmtId="0" fontId="92" fillId="0" borderId="1" xfId="13" applyFont="1" applyBorder="1" applyAlignment="1" applyProtection="1">
      <alignment vertical="center"/>
      <protection hidden="1"/>
    </xf>
    <xf numFmtId="0" fontId="35" fillId="0" borderId="1" xfId="0" applyFont="1" applyBorder="1" applyAlignment="1">
      <alignment vertical="center"/>
    </xf>
    <xf numFmtId="2" fontId="138" fillId="65" borderId="1" xfId="13" applyNumberFormat="1" applyFont="1" applyFill="1" applyBorder="1" applyAlignment="1" applyProtection="1">
      <alignment horizontal="right" vertical="center"/>
      <protection hidden="1"/>
    </xf>
    <xf numFmtId="0" fontId="94" fillId="0" borderId="1" xfId="13" applyFont="1" applyBorder="1" applyAlignment="1" applyProtection="1">
      <alignment vertical="center"/>
      <protection hidden="1"/>
    </xf>
    <xf numFmtId="0" fontId="78" fillId="0" borderId="1" xfId="13" applyFont="1" applyBorder="1" applyAlignment="1" applyProtection="1">
      <alignment vertical="center"/>
      <protection hidden="1"/>
    </xf>
    <xf numFmtId="10" fontId="138" fillId="0" borderId="1" xfId="16" applyNumberFormat="1" applyFont="1" applyFill="1" applyBorder="1" applyAlignment="1" applyProtection="1">
      <alignment vertical="center"/>
      <protection hidden="1"/>
    </xf>
    <xf numFmtId="10" fontId="129" fillId="0" borderId="1" xfId="16" applyNumberFormat="1" applyFont="1" applyFill="1" applyBorder="1" applyAlignment="1" applyProtection="1">
      <alignment vertical="center"/>
      <protection hidden="1"/>
    </xf>
    <xf numFmtId="2" fontId="123" fillId="64" borderId="34" xfId="13" applyNumberFormat="1" applyFont="1" applyFill="1" applyBorder="1" applyAlignment="1" applyProtection="1">
      <alignment horizontal="left" vertical="center" wrapText="1"/>
      <protection hidden="1"/>
    </xf>
    <xf numFmtId="2" fontId="123" fillId="64" borderId="36" xfId="13" applyNumberFormat="1" applyFont="1" applyFill="1" applyBorder="1" applyAlignment="1" applyProtection="1">
      <alignment horizontal="center" wrapText="1"/>
      <protection hidden="1"/>
    </xf>
    <xf numFmtId="2" fontId="123" fillId="64" borderId="35" xfId="13" applyNumberFormat="1" applyFont="1" applyFill="1" applyBorder="1" applyAlignment="1" applyProtection="1">
      <alignment horizontal="right" wrapText="1"/>
      <protection hidden="1"/>
    </xf>
    <xf numFmtId="2" fontId="78" fillId="0" borderId="34" xfId="13" applyNumberFormat="1" applyFont="1" applyBorder="1" applyProtection="1">
      <protection hidden="1"/>
    </xf>
    <xf numFmtId="2" fontId="101" fillId="0" borderId="36" xfId="3" applyNumberFormat="1" applyFont="1" applyFill="1" applyBorder="1" applyAlignment="1" applyProtection="1">
      <alignment horizontal="center" vertical="center"/>
      <protection hidden="1"/>
    </xf>
    <xf numFmtId="2" fontId="101" fillId="0" borderId="35" xfId="3" applyNumberFormat="1" applyFont="1" applyFill="1" applyBorder="1" applyAlignment="1" applyProtection="1">
      <alignment horizontal="right" vertical="center"/>
      <protection hidden="1"/>
    </xf>
    <xf numFmtId="2" fontId="138" fillId="0" borderId="1" xfId="3" applyNumberFormat="1" applyFont="1" applyFill="1" applyBorder="1" applyAlignment="1" applyProtection="1">
      <protection hidden="1"/>
    </xf>
    <xf numFmtId="175" fontId="139" fillId="0" borderId="39" xfId="0" applyNumberFormat="1" applyFont="1" applyBorder="1" applyAlignment="1">
      <alignment horizontal="center" vertical="center"/>
    </xf>
    <xf numFmtId="1" fontId="129" fillId="0" borderId="1" xfId="13" applyNumberFormat="1" applyFont="1" applyBorder="1" applyAlignment="1" applyProtection="1">
      <alignment horizontal="center"/>
      <protection hidden="1"/>
    </xf>
    <xf numFmtId="2" fontId="102" fillId="0" borderId="36" xfId="3" applyNumberFormat="1" applyFont="1" applyFill="1" applyBorder="1" applyAlignment="1" applyProtection="1">
      <alignment horizontal="left" vertical="center"/>
      <protection hidden="1"/>
    </xf>
    <xf numFmtId="2" fontId="96" fillId="0" borderId="35" xfId="3" applyNumberFormat="1" applyFont="1" applyFill="1" applyBorder="1" applyAlignment="1" applyProtection="1">
      <alignment horizontal="right" vertical="center"/>
      <protection hidden="1"/>
    </xf>
    <xf numFmtId="166" fontId="138" fillId="35" borderId="1" xfId="18" applyFont="1" applyFill="1" applyBorder="1" applyAlignment="1" applyProtection="1">
      <protection locked="0"/>
    </xf>
    <xf numFmtId="10" fontId="103" fillId="0" borderId="35" xfId="16" applyNumberFormat="1" applyFont="1" applyFill="1" applyBorder="1" applyAlignment="1" applyProtection="1">
      <alignment horizontal="right"/>
      <protection hidden="1"/>
    </xf>
    <xf numFmtId="166" fontId="138" fillId="66" borderId="1" xfId="18" applyFont="1" applyFill="1" applyBorder="1" applyAlignment="1" applyProtection="1">
      <protection locked="0"/>
    </xf>
    <xf numFmtId="0" fontId="80" fillId="0" borderId="34" xfId="13" applyFont="1" applyBorder="1" applyProtection="1">
      <protection hidden="1"/>
    </xf>
    <xf numFmtId="0" fontId="105" fillId="0" borderId="36" xfId="13" applyFont="1" applyBorder="1" applyProtection="1">
      <protection hidden="1"/>
    </xf>
    <xf numFmtId="0" fontId="105" fillId="0" borderId="35" xfId="13" applyFont="1" applyBorder="1" applyAlignment="1" applyProtection="1">
      <alignment horizontal="right"/>
      <protection hidden="1"/>
    </xf>
    <xf numFmtId="179" fontId="129" fillId="0" borderId="1" xfId="3" applyNumberFormat="1" applyFont="1" applyFill="1" applyBorder="1" applyAlignment="1" applyProtection="1">
      <protection hidden="1"/>
    </xf>
    <xf numFmtId="0" fontId="78" fillId="0" borderId="34" xfId="13" applyFont="1" applyBorder="1" applyProtection="1">
      <protection hidden="1"/>
    </xf>
    <xf numFmtId="0" fontId="103" fillId="0" borderId="36" xfId="13" applyFont="1" applyBorder="1" applyAlignment="1" applyProtection="1">
      <alignment horizontal="right"/>
      <protection hidden="1"/>
    </xf>
    <xf numFmtId="0" fontId="103" fillId="0" borderId="35" xfId="13" applyFont="1" applyBorder="1" applyAlignment="1" applyProtection="1">
      <alignment horizontal="right"/>
      <protection hidden="1"/>
    </xf>
    <xf numFmtId="169" fontId="138" fillId="0" borderId="1" xfId="3" applyFont="1" applyFill="1" applyBorder="1" applyAlignment="1" applyProtection="1">
      <protection hidden="1"/>
    </xf>
    <xf numFmtId="0" fontId="88" fillId="0" borderId="34" xfId="13" applyFont="1" applyBorder="1" applyProtection="1">
      <protection hidden="1"/>
    </xf>
    <xf numFmtId="10" fontId="144" fillId="65" borderId="1" xfId="16" applyNumberFormat="1" applyFont="1" applyFill="1" applyBorder="1" applyAlignment="1" applyProtection="1">
      <alignment horizontal="right"/>
      <protection hidden="1"/>
    </xf>
    <xf numFmtId="166" fontId="138" fillId="0" borderId="1" xfId="18" applyFont="1" applyFill="1" applyBorder="1" applyAlignment="1" applyProtection="1">
      <protection locked="0"/>
    </xf>
    <xf numFmtId="169" fontId="138" fillId="0" borderId="1" xfId="3" applyFont="1" applyFill="1" applyBorder="1" applyAlignment="1" applyProtection="1">
      <protection locked="0"/>
    </xf>
    <xf numFmtId="0" fontId="104" fillId="0" borderId="36" xfId="13" applyFont="1" applyBorder="1" applyAlignment="1" applyProtection="1">
      <alignment horizontal="center"/>
      <protection hidden="1"/>
    </xf>
    <xf numFmtId="0" fontId="104" fillId="0" borderId="35" xfId="13" applyFont="1" applyBorder="1" applyAlignment="1" applyProtection="1">
      <alignment horizontal="right"/>
      <protection hidden="1"/>
    </xf>
    <xf numFmtId="175" fontId="140" fillId="0" borderId="1" xfId="16" applyNumberFormat="1" applyFont="1" applyFill="1" applyBorder="1" applyAlignment="1" applyProtection="1">
      <alignment horizontal="center"/>
      <protection hidden="1"/>
    </xf>
    <xf numFmtId="0" fontId="85" fillId="0" borderId="34" xfId="13" applyFont="1" applyBorder="1" applyProtection="1">
      <protection hidden="1"/>
    </xf>
    <xf numFmtId="10" fontId="103" fillId="0" borderId="36" xfId="13" applyNumberFormat="1" applyFont="1" applyBorder="1" applyAlignment="1" applyProtection="1">
      <alignment horizontal="right"/>
      <protection hidden="1"/>
    </xf>
    <xf numFmtId="166" fontId="141" fillId="2" borderId="1" xfId="18" applyFont="1" applyFill="1" applyBorder="1" applyAlignment="1" applyProtection="1">
      <alignment horizontal="right"/>
      <protection locked="0"/>
    </xf>
    <xf numFmtId="175" fontId="104" fillId="0" borderId="35" xfId="16" applyNumberFormat="1" applyFont="1" applyFill="1" applyBorder="1" applyAlignment="1" applyProtection="1">
      <alignment horizontal="right"/>
      <protection hidden="1"/>
    </xf>
    <xf numFmtId="0" fontId="107" fillId="0" borderId="36" xfId="13" applyFont="1" applyBorder="1" applyAlignment="1" applyProtection="1">
      <alignment horizontal="center"/>
      <protection hidden="1"/>
    </xf>
    <xf numFmtId="9" fontId="131" fillId="65" borderId="1" xfId="16" applyFont="1" applyFill="1" applyBorder="1" applyAlignment="1" applyProtection="1">
      <alignment horizontal="center"/>
      <protection hidden="1"/>
    </xf>
    <xf numFmtId="9" fontId="135" fillId="65" borderId="1" xfId="16" applyFont="1" applyFill="1" applyBorder="1" applyAlignment="1" applyProtection="1">
      <alignment horizontal="center"/>
      <protection hidden="1"/>
    </xf>
    <xf numFmtId="10" fontId="135" fillId="65" borderId="1" xfId="16" applyNumberFormat="1" applyFont="1" applyFill="1" applyBorder="1" applyAlignment="1" applyProtection="1">
      <alignment horizontal="center"/>
      <protection hidden="1"/>
    </xf>
    <xf numFmtId="169" fontId="104" fillId="0" borderId="36" xfId="13" applyNumberFormat="1" applyFont="1" applyBorder="1" applyAlignment="1" applyProtection="1">
      <alignment horizontal="center"/>
      <protection hidden="1"/>
    </xf>
    <xf numFmtId="165" fontId="104" fillId="0" borderId="36" xfId="13" applyNumberFormat="1" applyFont="1" applyBorder="1" applyAlignment="1" applyProtection="1">
      <alignment horizontal="center"/>
      <protection hidden="1"/>
    </xf>
    <xf numFmtId="0" fontId="80" fillId="0" borderId="1" xfId="0" applyFont="1" applyBorder="1"/>
    <xf numFmtId="9" fontId="129" fillId="0" borderId="1" xfId="0" applyNumberFormat="1" applyFont="1" applyBorder="1" applyAlignment="1">
      <alignment horizontal="center"/>
    </xf>
    <xf numFmtId="9" fontId="129" fillId="61" borderId="1" xfId="65" applyFont="1" applyFill="1" applyBorder="1" applyAlignment="1">
      <alignment horizontal="center"/>
    </xf>
    <xf numFmtId="0" fontId="78" fillId="65" borderId="34" xfId="13" applyFont="1" applyFill="1" applyBorder="1" applyProtection="1">
      <protection hidden="1"/>
    </xf>
    <xf numFmtId="0" fontId="104" fillId="65" borderId="36" xfId="13" applyFont="1" applyFill="1" applyBorder="1" applyAlignment="1" applyProtection="1">
      <alignment horizontal="center"/>
      <protection hidden="1"/>
    </xf>
    <xf numFmtId="0" fontId="104" fillId="65" borderId="35" xfId="13" applyFont="1" applyFill="1" applyBorder="1" applyAlignment="1" applyProtection="1">
      <alignment horizontal="right"/>
      <protection hidden="1"/>
    </xf>
    <xf numFmtId="1" fontId="80" fillId="0" borderId="1" xfId="13" applyNumberFormat="1" applyFont="1" applyBorder="1" applyAlignment="1" applyProtection="1">
      <alignment horizontal="center"/>
      <protection hidden="1"/>
    </xf>
    <xf numFmtId="167" fontId="104" fillId="0" borderId="35" xfId="8" applyFont="1" applyFill="1" applyBorder="1" applyAlignment="1" applyProtection="1">
      <alignment horizontal="right"/>
      <protection hidden="1"/>
    </xf>
    <xf numFmtId="166" fontId="35" fillId="0" borderId="34" xfId="18" applyFont="1" applyFill="1" applyBorder="1" applyAlignment="1" applyProtection="1">
      <protection hidden="1"/>
    </xf>
    <xf numFmtId="166" fontId="35" fillId="0" borderId="1" xfId="18" applyFont="1" applyFill="1" applyBorder="1" applyAlignment="1" applyProtection="1">
      <protection hidden="1"/>
    </xf>
    <xf numFmtId="10" fontId="104" fillId="0" borderId="35" xfId="16" applyNumberFormat="1" applyFont="1" applyFill="1" applyBorder="1" applyAlignment="1" applyProtection="1">
      <alignment horizontal="right"/>
      <protection hidden="1"/>
    </xf>
    <xf numFmtId="166" fontId="129" fillId="0" borderId="1" xfId="18" applyFont="1" applyBorder="1"/>
    <xf numFmtId="10" fontId="104" fillId="65" borderId="35" xfId="16" applyNumberFormat="1" applyFont="1" applyFill="1" applyBorder="1" applyAlignment="1" applyProtection="1">
      <alignment horizontal="right"/>
      <protection hidden="1"/>
    </xf>
    <xf numFmtId="2" fontId="123" fillId="64" borderId="1" xfId="3" applyNumberFormat="1" applyFont="1" applyFill="1" applyBorder="1" applyAlignment="1" applyProtection="1">
      <alignment vertical="center" wrapText="1"/>
      <protection hidden="1"/>
    </xf>
    <xf numFmtId="0" fontId="104" fillId="0" borderId="36" xfId="13" applyFont="1" applyBorder="1" applyProtection="1">
      <protection hidden="1"/>
    </xf>
    <xf numFmtId="0" fontId="108" fillId="0" borderId="34" xfId="13" applyFont="1" applyBorder="1" applyProtection="1">
      <protection hidden="1"/>
    </xf>
    <xf numFmtId="0" fontId="109" fillId="0" borderId="36" xfId="13" applyFont="1" applyBorder="1" applyProtection="1">
      <protection hidden="1"/>
    </xf>
    <xf numFmtId="0" fontId="109" fillId="0" borderId="35" xfId="13" applyFont="1" applyBorder="1" applyAlignment="1" applyProtection="1">
      <alignment horizontal="right"/>
      <protection hidden="1"/>
    </xf>
    <xf numFmtId="169" fontId="105" fillId="0" borderId="36" xfId="13" applyNumberFormat="1" applyFont="1" applyBorder="1" applyProtection="1">
      <protection hidden="1"/>
    </xf>
    <xf numFmtId="169" fontId="104" fillId="0" borderId="35" xfId="13" applyNumberFormat="1" applyFont="1" applyBorder="1" applyAlignment="1" applyProtection="1">
      <alignment horizontal="right"/>
      <protection hidden="1"/>
    </xf>
    <xf numFmtId="0" fontId="105" fillId="0" borderId="39" xfId="0" applyFont="1" applyBorder="1" applyAlignment="1">
      <alignment horizontal="right"/>
    </xf>
    <xf numFmtId="0" fontId="89" fillId="0" borderId="34" xfId="13" applyFont="1" applyBorder="1" applyProtection="1">
      <protection hidden="1"/>
    </xf>
    <xf numFmtId="169" fontId="103" fillId="0" borderId="36" xfId="13" applyNumberFormat="1" applyFont="1" applyBorder="1" applyProtection="1">
      <protection hidden="1"/>
    </xf>
    <xf numFmtId="169" fontId="103" fillId="0" borderId="35" xfId="13" applyNumberFormat="1" applyFont="1" applyBorder="1" applyAlignment="1" applyProtection="1">
      <alignment horizontal="right"/>
      <protection hidden="1"/>
    </xf>
    <xf numFmtId="179" fontId="143" fillId="0" borderId="1" xfId="5" applyNumberFormat="1" applyFont="1" applyFill="1" applyBorder="1" applyAlignment="1" applyProtection="1">
      <protection hidden="1"/>
    </xf>
    <xf numFmtId="2" fontId="121" fillId="64" borderId="34" xfId="13" applyNumberFormat="1" applyFont="1" applyFill="1" applyBorder="1" applyAlignment="1" applyProtection="1">
      <alignment horizontal="left" vertical="center" wrapText="1"/>
      <protection hidden="1"/>
    </xf>
    <xf numFmtId="2" fontId="88" fillId="0" borderId="1" xfId="3" applyNumberFormat="1" applyFont="1" applyFill="1" applyBorder="1" applyAlignment="1" applyProtection="1">
      <protection hidden="1"/>
    </xf>
    <xf numFmtId="175" fontId="87" fillId="0" borderId="39" xfId="0" applyNumberFormat="1" applyFont="1" applyBorder="1" applyAlignment="1">
      <alignment horizontal="center" vertical="center"/>
    </xf>
    <xf numFmtId="9" fontId="138" fillId="65" borderId="1" xfId="16" applyFont="1" applyFill="1" applyBorder="1" applyAlignment="1" applyProtection="1">
      <alignment horizontal="center"/>
      <protection hidden="1"/>
    </xf>
    <xf numFmtId="2" fontId="35" fillId="0" borderId="34" xfId="13" applyNumberFormat="1" applyFont="1" applyBorder="1" applyProtection="1">
      <protection hidden="1"/>
    </xf>
    <xf numFmtId="166" fontId="138" fillId="2" borderId="1" xfId="18" applyFont="1" applyFill="1" applyBorder="1" applyAlignment="1" applyProtection="1">
      <alignment horizontal="center"/>
      <protection hidden="1"/>
    </xf>
    <xf numFmtId="166" fontId="129" fillId="0" borderId="1" xfId="18" applyFont="1" applyBorder="1" applyAlignment="1">
      <alignment horizontal="center"/>
    </xf>
    <xf numFmtId="0" fontId="121" fillId="64" borderId="34" xfId="9" applyFont="1" applyFill="1" applyBorder="1" applyAlignment="1" applyProtection="1">
      <alignment horizontal="left" vertical="center"/>
      <protection hidden="1"/>
    </xf>
    <xf numFmtId="0" fontId="122" fillId="64" borderId="36" xfId="10" applyFont="1" applyFill="1" applyBorder="1"/>
    <xf numFmtId="0" fontId="125" fillId="64" borderId="36" xfId="10" applyFont="1" applyFill="1" applyBorder="1"/>
    <xf numFmtId="0" fontId="125" fillId="64" borderId="35" xfId="10" applyFont="1" applyFill="1" applyBorder="1"/>
    <xf numFmtId="0" fontId="78" fillId="0" borderId="34" xfId="9" applyFont="1" applyBorder="1" applyAlignment="1" applyProtection="1">
      <alignment horizontal="left"/>
      <protection hidden="1"/>
    </xf>
    <xf numFmtId="0" fontId="78" fillId="0" borderId="35" xfId="9" applyFont="1" applyBorder="1" applyAlignment="1" applyProtection="1">
      <alignment horizontal="left"/>
      <protection hidden="1"/>
    </xf>
    <xf numFmtId="0" fontId="78" fillId="0" borderId="1" xfId="9" applyFont="1" applyBorder="1" applyAlignment="1" applyProtection="1">
      <alignment horizontal="left"/>
      <protection hidden="1"/>
    </xf>
    <xf numFmtId="0" fontId="35" fillId="0" borderId="1" xfId="9" applyFont="1" applyBorder="1" applyAlignment="1" applyProtection="1">
      <alignment horizontal="center"/>
      <protection hidden="1"/>
    </xf>
    <xf numFmtId="0" fontId="35" fillId="0" borderId="1" xfId="0" applyFont="1" applyBorder="1" applyAlignment="1">
      <alignment horizontal="center"/>
    </xf>
    <xf numFmtId="0" fontId="78" fillId="0" borderId="1" xfId="10" applyFont="1" applyBorder="1"/>
    <xf numFmtId="179" fontId="145" fillId="65" borderId="1" xfId="10" applyNumberFormat="1" applyFont="1" applyFill="1" applyBorder="1"/>
    <xf numFmtId="0" fontId="78" fillId="65" borderId="1" xfId="10" applyFont="1" applyFill="1" applyBorder="1"/>
    <xf numFmtId="0" fontId="91" fillId="64" borderId="36" xfId="10" applyFont="1" applyFill="1" applyBorder="1"/>
    <xf numFmtId="0" fontId="91" fillId="64" borderId="35" xfId="10" applyFont="1" applyFill="1" applyBorder="1"/>
    <xf numFmtId="0" fontId="78" fillId="0" borderId="34" xfId="9" applyFont="1" applyBorder="1" applyAlignment="1" applyProtection="1">
      <alignment horizontal="left" vertical="top"/>
      <protection hidden="1"/>
    </xf>
    <xf numFmtId="0" fontId="78" fillId="0" borderId="36" xfId="9" applyFont="1" applyBorder="1" applyAlignment="1" applyProtection="1">
      <alignment horizontal="left" vertical="top"/>
      <protection hidden="1"/>
    </xf>
    <xf numFmtId="0" fontId="78" fillId="0" borderId="35" xfId="9" applyFont="1" applyBorder="1" applyAlignment="1" applyProtection="1">
      <alignment horizontal="center" vertical="top"/>
      <protection hidden="1"/>
    </xf>
    <xf numFmtId="0" fontId="78" fillId="0" borderId="1" xfId="9" applyFont="1" applyBorder="1" applyAlignment="1" applyProtection="1">
      <alignment horizontal="center"/>
      <protection hidden="1"/>
    </xf>
    <xf numFmtId="0" fontId="78" fillId="65" borderId="36" xfId="10" applyFont="1" applyFill="1" applyBorder="1"/>
    <xf numFmtId="0" fontId="78" fillId="65" borderId="34" xfId="10" applyFont="1" applyFill="1" applyBorder="1"/>
    <xf numFmtId="0" fontId="78" fillId="0" borderId="36" xfId="10" applyFont="1" applyBorder="1"/>
    <xf numFmtId="0" fontId="78" fillId="0" borderId="1" xfId="9" applyFont="1" applyBorder="1" applyAlignment="1" applyProtection="1">
      <alignment horizontal="left" vertical="center"/>
      <protection hidden="1"/>
    </xf>
    <xf numFmtId="0" fontId="78" fillId="0" borderId="34" xfId="9" applyFont="1" applyBorder="1" applyAlignment="1" applyProtection="1">
      <alignment horizontal="left" vertical="center"/>
      <protection hidden="1"/>
    </xf>
    <xf numFmtId="0" fontId="78" fillId="0" borderId="1" xfId="9" applyFont="1" applyBorder="1" applyAlignment="1" applyProtection="1">
      <alignment horizontal="left" wrapText="1"/>
      <protection hidden="1"/>
    </xf>
    <xf numFmtId="0" fontId="78" fillId="0" borderId="35" xfId="9" applyFont="1" applyBorder="1" applyAlignment="1" applyProtection="1">
      <alignment horizontal="left" wrapText="1"/>
      <protection hidden="1"/>
    </xf>
    <xf numFmtId="0" fontId="78" fillId="0" borderId="1" xfId="9" applyFont="1" applyBorder="1" applyAlignment="1" applyProtection="1">
      <alignment horizontal="right"/>
      <protection hidden="1"/>
    </xf>
    <xf numFmtId="0" fontId="121" fillId="64" borderId="34" xfId="9" applyFont="1" applyFill="1" applyBorder="1" applyAlignment="1" applyProtection="1">
      <alignment vertical="center"/>
      <protection hidden="1"/>
    </xf>
    <xf numFmtId="0" fontId="93" fillId="64" borderId="36" xfId="9" applyFont="1" applyFill="1" applyBorder="1" applyAlignment="1" applyProtection="1">
      <alignment vertical="center"/>
      <protection hidden="1"/>
    </xf>
    <xf numFmtId="0" fontId="78" fillId="0" borderId="1" xfId="9" applyFont="1" applyBorder="1" applyAlignment="1" applyProtection="1">
      <alignment horizontal="center" wrapText="1"/>
      <protection hidden="1"/>
    </xf>
    <xf numFmtId="2" fontId="78" fillId="65" borderId="1" xfId="12" applyNumberFormat="1" applyFont="1" applyFill="1" applyBorder="1"/>
    <xf numFmtId="173" fontId="114" fillId="64" borderId="37" xfId="8" applyNumberFormat="1" applyFont="1" applyFill="1" applyBorder="1" applyAlignment="1">
      <alignment vertical="top" wrapText="1"/>
    </xf>
    <xf numFmtId="0" fontId="78" fillId="0" borderId="1" xfId="103" applyFont="1" applyBorder="1" applyAlignment="1">
      <alignment vertical="top" wrapText="1"/>
    </xf>
    <xf numFmtId="44" fontId="35" fillId="66" borderId="1" xfId="66" applyFont="1" applyFill="1" applyBorder="1" applyAlignment="1" applyProtection="1">
      <protection locked="0"/>
    </xf>
    <xf numFmtId="0" fontId="78" fillId="0" borderId="1" xfId="103" applyFont="1" applyBorder="1" applyAlignment="1">
      <alignment vertical="top"/>
    </xf>
    <xf numFmtId="2" fontId="114" fillId="64" borderId="37" xfId="84" applyNumberFormat="1" applyFont="1" applyFill="1" applyBorder="1" applyAlignment="1">
      <alignment horizontal="left" vertical="top" wrapText="1"/>
    </xf>
    <xf numFmtId="2" fontId="114" fillId="64" borderId="37" xfId="84" applyNumberFormat="1" applyFont="1" applyFill="1" applyBorder="1" applyAlignment="1">
      <alignment vertical="top" wrapText="1"/>
    </xf>
    <xf numFmtId="0" fontId="78" fillId="0" borderId="1" xfId="84" applyFont="1" applyBorder="1"/>
    <xf numFmtId="3" fontId="35" fillId="0" borderId="1" xfId="8" applyNumberFormat="1" applyFont="1" applyFill="1" applyBorder="1" applyAlignment="1">
      <alignment horizontal="center" vertical="top" wrapText="1"/>
    </xf>
    <xf numFmtId="166" fontId="35" fillId="0" borderId="1" xfId="18" applyFont="1" applyBorder="1" applyAlignment="1">
      <alignment horizontal="center" vertical="top" wrapText="1"/>
    </xf>
    <xf numFmtId="44" fontId="35" fillId="0" borderId="1" xfId="66" applyFont="1" applyBorder="1" applyAlignment="1">
      <alignment vertical="top" wrapText="1"/>
    </xf>
    <xf numFmtId="49" fontId="35" fillId="0" borderId="1" xfId="103" applyNumberFormat="1" applyFont="1" applyBorder="1" applyAlignment="1">
      <alignment horizontal="center" vertical="top" wrapText="1"/>
    </xf>
    <xf numFmtId="0" fontId="78" fillId="2" borderId="1" xfId="84" applyFont="1" applyFill="1" applyBorder="1"/>
    <xf numFmtId="0" fontId="78" fillId="2" borderId="1" xfId="89" applyFont="1" applyFill="1" applyBorder="1"/>
    <xf numFmtId="0" fontId="80" fillId="2" borderId="34" xfId="84" applyFont="1" applyFill="1" applyBorder="1" applyAlignment="1">
      <alignment vertical="top" wrapText="1"/>
    </xf>
    <xf numFmtId="0" fontId="80" fillId="2" borderId="35" xfId="84" applyFont="1" applyFill="1" applyBorder="1" applyAlignment="1">
      <alignment vertical="top" wrapText="1"/>
    </xf>
    <xf numFmtId="0" fontId="80" fillId="2" borderId="36" xfId="84" applyFont="1" applyFill="1" applyBorder="1" applyAlignment="1">
      <alignment vertical="top" wrapText="1"/>
    </xf>
    <xf numFmtId="3" fontId="129" fillId="2" borderId="36" xfId="8" applyNumberFormat="1" applyFont="1" applyFill="1" applyBorder="1" applyAlignment="1">
      <alignment horizontal="center" vertical="top" wrapText="1"/>
    </xf>
    <xf numFmtId="2" fontId="129" fillId="2" borderId="35" xfId="84" applyNumberFormat="1" applyFont="1" applyFill="1" applyBorder="1" applyAlignment="1">
      <alignment vertical="top" wrapText="1"/>
    </xf>
    <xf numFmtId="180" fontId="129" fillId="2" borderId="34" xfId="84" applyNumberFormat="1" applyFont="1" applyFill="1" applyBorder="1" applyAlignment="1">
      <alignment vertical="top" wrapText="1"/>
    </xf>
    <xf numFmtId="2" fontId="129" fillId="2" borderId="36" xfId="84" applyNumberFormat="1" applyFont="1" applyFill="1" applyBorder="1" applyAlignment="1">
      <alignment vertical="top" wrapText="1"/>
    </xf>
    <xf numFmtId="180" fontId="129" fillId="2" borderId="35" xfId="84" applyNumberFormat="1" applyFont="1" applyFill="1" applyBorder="1" applyAlignment="1">
      <alignment vertical="top" wrapText="1"/>
    </xf>
    <xf numFmtId="0" fontId="138" fillId="0" borderId="37" xfId="62" applyFont="1" applyBorder="1" applyAlignment="1" applyProtection="1">
      <alignment horizontal="left" textRotation="90"/>
      <protection hidden="1"/>
    </xf>
    <xf numFmtId="175" fontId="138" fillId="65" borderId="37" xfId="65" applyNumberFormat="1" applyFont="1" applyFill="1" applyBorder="1" applyAlignment="1" applyProtection="1">
      <alignment horizontal="center"/>
      <protection hidden="1"/>
    </xf>
    <xf numFmtId="3" fontId="88" fillId="65" borderId="1" xfId="62" applyNumberFormat="1" applyFont="1" applyFill="1" applyBorder="1" applyAlignment="1" applyProtection="1">
      <alignment horizontal="left" wrapText="1"/>
      <protection hidden="1"/>
    </xf>
    <xf numFmtId="3" fontId="88" fillId="65" borderId="1" xfId="62" applyNumberFormat="1" applyFont="1" applyFill="1" applyBorder="1" applyAlignment="1" applyProtection="1">
      <alignment horizontal="left" vertical="top" wrapText="1"/>
      <protection hidden="1"/>
    </xf>
    <xf numFmtId="179" fontId="138" fillId="65" borderId="1" xfId="62" applyNumberFormat="1" applyFont="1" applyFill="1" applyBorder="1" applyAlignment="1" applyProtection="1">
      <alignment horizontal="center"/>
      <protection hidden="1"/>
    </xf>
    <xf numFmtId="179" fontId="138" fillId="2" borderId="1" xfId="62" applyNumberFormat="1" applyFont="1" applyFill="1" applyBorder="1" applyAlignment="1" applyProtection="1">
      <alignment horizontal="center"/>
      <protection hidden="1"/>
    </xf>
    <xf numFmtId="179" fontId="138" fillId="0" borderId="1" xfId="62" applyNumberFormat="1" applyFont="1" applyBorder="1" applyAlignment="1" applyProtection="1">
      <alignment horizontal="center"/>
      <protection hidden="1"/>
    </xf>
    <xf numFmtId="3" fontId="138" fillId="65" borderId="1" xfId="62" applyNumberFormat="1" applyFont="1" applyFill="1" applyBorder="1" applyAlignment="1" applyProtection="1">
      <alignment horizontal="center"/>
      <protection hidden="1"/>
    </xf>
    <xf numFmtId="166" fontId="35" fillId="0" borderId="1" xfId="102" applyFont="1" applyBorder="1"/>
    <xf numFmtId="180" fontId="35" fillId="0" borderId="1" xfId="84" applyNumberFormat="1" applyFont="1" applyBorder="1"/>
    <xf numFmtId="197" fontId="35" fillId="0" borderId="1" xfId="84" applyNumberFormat="1" applyFont="1" applyBorder="1"/>
    <xf numFmtId="166" fontId="35" fillId="0" borderId="1" xfId="84" applyNumberFormat="1" applyFont="1" applyBorder="1"/>
    <xf numFmtId="0" fontId="80" fillId="0" borderId="34" xfId="84" applyFont="1" applyBorder="1"/>
    <xf numFmtId="0" fontId="80" fillId="0" borderId="36" xfId="84" applyFont="1" applyBorder="1"/>
    <xf numFmtId="0" fontId="129" fillId="0" borderId="36" xfId="84" applyFont="1" applyBorder="1"/>
    <xf numFmtId="0" fontId="129" fillId="0" borderId="35" xfId="84" applyFont="1" applyBorder="1"/>
    <xf numFmtId="49" fontId="129" fillId="0" borderId="1" xfId="8" applyNumberFormat="1" applyFont="1" applyBorder="1" applyAlignment="1">
      <alignment horizontal="center"/>
    </xf>
    <xf numFmtId="166" fontId="129" fillId="0" borderId="1" xfId="84" applyNumberFormat="1" applyFont="1" applyBorder="1"/>
    <xf numFmtId="0" fontId="78" fillId="0" borderId="1" xfId="0" applyFont="1" applyBorder="1" applyAlignment="1">
      <alignment vertical="center" wrapText="1"/>
    </xf>
    <xf numFmtId="1" fontId="78" fillId="0" borderId="1" xfId="61" applyNumberFormat="1" applyFont="1" applyBorder="1" applyAlignment="1">
      <alignment horizontal="center" vertical="center"/>
    </xf>
    <xf numFmtId="1" fontId="80" fillId="0" borderId="1" xfId="61" applyNumberFormat="1" applyFont="1" applyBorder="1" applyAlignment="1">
      <alignment horizontal="center" vertical="center"/>
    </xf>
    <xf numFmtId="167" fontId="78" fillId="2" borderId="0" xfId="8" applyFont="1" applyFill="1"/>
    <xf numFmtId="0" fontId="80" fillId="2" borderId="0" xfId="89" applyFont="1" applyFill="1"/>
    <xf numFmtId="167" fontId="80" fillId="2" borderId="0" xfId="89" applyNumberFormat="1" applyFont="1" applyFill="1"/>
    <xf numFmtId="173" fontId="129" fillId="67" borderId="1" xfId="8" applyNumberFormat="1" applyFont="1" applyFill="1" applyBorder="1" applyAlignment="1">
      <alignment horizontal="center"/>
    </xf>
    <xf numFmtId="0" fontId="78" fillId="2" borderId="0" xfId="0" applyFont="1" applyFill="1"/>
    <xf numFmtId="177" fontId="35" fillId="2" borderId="1" xfId="11" applyNumberFormat="1" applyFont="1" applyFill="1" applyBorder="1" applyAlignment="1" applyProtection="1">
      <alignment vertical="center"/>
      <protection hidden="1"/>
    </xf>
    <xf numFmtId="167" fontId="116" fillId="64" borderId="38" xfId="8" applyFont="1" applyFill="1" applyBorder="1" applyAlignment="1">
      <alignment horizontal="center" vertical="top" wrapText="1"/>
    </xf>
    <xf numFmtId="167" fontId="116" fillId="64" borderId="33" xfId="8" applyFont="1" applyFill="1" applyBorder="1" applyAlignment="1">
      <alignment horizontal="center" vertical="top" wrapText="1"/>
    </xf>
    <xf numFmtId="167" fontId="116" fillId="64" borderId="32" xfId="8" applyFont="1" applyFill="1" applyBorder="1" applyAlignment="1">
      <alignment horizontal="center" vertical="top" wrapText="1"/>
    </xf>
    <xf numFmtId="167" fontId="116" fillId="64" borderId="2" xfId="8" applyFont="1" applyFill="1" applyBorder="1" applyAlignment="1">
      <alignment horizontal="center" vertical="top" wrapText="1"/>
    </xf>
    <xf numFmtId="173" fontId="79" fillId="64" borderId="34" xfId="8" applyNumberFormat="1" applyFont="1" applyFill="1" applyBorder="1" applyAlignment="1">
      <alignment horizontal="center" vertical="top" wrapText="1"/>
    </xf>
    <xf numFmtId="173" fontId="79" fillId="64" borderId="36" xfId="8" applyNumberFormat="1" applyFont="1" applyFill="1" applyBorder="1" applyAlignment="1">
      <alignment horizontal="center" vertical="top" wrapText="1"/>
    </xf>
    <xf numFmtId="173" fontId="79" fillId="64" borderId="35" xfId="8" applyNumberFormat="1" applyFont="1" applyFill="1" applyBorder="1" applyAlignment="1">
      <alignment horizontal="center" vertical="top" wrapText="1"/>
    </xf>
    <xf numFmtId="173" fontId="79" fillId="64" borderId="34" xfId="8" applyNumberFormat="1" applyFont="1" applyFill="1" applyBorder="1" applyAlignment="1">
      <alignment horizontal="center" vertical="center" wrapText="1"/>
    </xf>
    <xf numFmtId="173" fontId="79" fillId="64" borderId="36" xfId="8" applyNumberFormat="1" applyFont="1" applyFill="1" applyBorder="1" applyAlignment="1">
      <alignment horizontal="center" vertical="center" wrapText="1"/>
    </xf>
    <xf numFmtId="2" fontId="114" fillId="64" borderId="34" xfId="0" applyNumberFormat="1" applyFont="1" applyFill="1" applyBorder="1" applyAlignment="1">
      <alignment horizontal="center" vertical="center" wrapText="1"/>
    </xf>
    <xf numFmtId="2" fontId="114" fillId="64" borderId="36" xfId="0" applyNumberFormat="1" applyFont="1" applyFill="1" applyBorder="1" applyAlignment="1">
      <alignment horizontal="center" vertical="center" wrapText="1"/>
    </xf>
    <xf numFmtId="49" fontId="114" fillId="64" borderId="34" xfId="63" applyNumberFormat="1" applyFont="1" applyFill="1" applyBorder="1" applyAlignment="1">
      <alignment horizontal="left" vertical="top" wrapText="1"/>
    </xf>
    <xf numFmtId="49" fontId="114" fillId="62" borderId="36" xfId="63" applyNumberFormat="1" applyFont="1" applyFill="1" applyBorder="1" applyAlignment="1">
      <alignment horizontal="left" vertical="top" wrapText="1"/>
    </xf>
    <xf numFmtId="49" fontId="114" fillId="62" borderId="35" xfId="63" applyNumberFormat="1" applyFont="1" applyFill="1" applyBorder="1" applyAlignment="1">
      <alignment horizontal="left" vertical="top" wrapText="1"/>
    </xf>
    <xf numFmtId="0" fontId="78" fillId="0" borderId="34" xfId="0" applyFont="1" applyBorder="1" applyAlignment="1">
      <alignment horizontal="left"/>
    </xf>
    <xf numFmtId="0" fontId="78" fillId="0" borderId="35" xfId="0" applyFont="1" applyBorder="1" applyAlignment="1">
      <alignment horizontal="left"/>
    </xf>
    <xf numFmtId="0" fontId="80" fillId="0" borderId="34" xfId="13" applyFont="1" applyBorder="1" applyAlignment="1" applyProtection="1">
      <alignment horizontal="left" vertical="center"/>
      <protection hidden="1"/>
    </xf>
    <xf numFmtId="0" fontId="80" fillId="0" borderId="35" xfId="13" applyFont="1" applyBorder="1" applyAlignment="1" applyProtection="1">
      <alignment horizontal="left" vertical="center"/>
      <protection hidden="1"/>
    </xf>
    <xf numFmtId="2" fontId="123" fillId="64" borderId="34" xfId="13" applyNumberFormat="1" applyFont="1" applyFill="1" applyBorder="1" applyAlignment="1" applyProtection="1">
      <alignment horizontal="center" vertical="center" wrapText="1"/>
      <protection hidden="1"/>
    </xf>
    <xf numFmtId="2" fontId="123" fillId="64" borderId="36" xfId="13" applyNumberFormat="1" applyFont="1" applyFill="1" applyBorder="1" applyAlignment="1" applyProtection="1">
      <alignment horizontal="center" vertical="center" wrapText="1"/>
      <protection hidden="1"/>
    </xf>
    <xf numFmtId="2" fontId="123" fillId="64" borderId="35" xfId="13" applyNumberFormat="1" applyFont="1" applyFill="1" applyBorder="1" applyAlignment="1" applyProtection="1">
      <alignment horizontal="center" vertical="center" wrapText="1"/>
      <protection hidden="1"/>
    </xf>
    <xf numFmtId="2" fontId="123" fillId="64" borderId="34" xfId="13" applyNumberFormat="1" applyFont="1" applyFill="1" applyBorder="1" applyAlignment="1" applyProtection="1">
      <alignment horizontal="left" vertical="center" wrapText="1"/>
      <protection hidden="1"/>
    </xf>
    <xf numFmtId="2" fontId="123" fillId="64" borderId="36" xfId="13" applyNumberFormat="1" applyFont="1" applyFill="1" applyBorder="1" applyAlignment="1" applyProtection="1">
      <alignment horizontal="left" vertical="center" wrapText="1"/>
      <protection hidden="1"/>
    </xf>
    <xf numFmtId="2" fontId="123" fillId="64" borderId="35" xfId="13" applyNumberFormat="1" applyFont="1" applyFill="1" applyBorder="1" applyAlignment="1" applyProtection="1">
      <alignment horizontal="left" vertical="center" wrapText="1"/>
      <protection hidden="1"/>
    </xf>
    <xf numFmtId="2" fontId="123" fillId="64" borderId="34" xfId="3" applyNumberFormat="1" applyFont="1" applyFill="1" applyBorder="1" applyAlignment="1" applyProtection="1">
      <alignment horizontal="center" vertical="center" wrapText="1"/>
      <protection hidden="1"/>
    </xf>
    <xf numFmtId="0" fontId="114" fillId="62" borderId="35" xfId="0" applyFont="1" applyFill="1" applyBorder="1" applyAlignment="1">
      <alignment horizontal="center" vertical="center" wrapText="1"/>
    </xf>
    <xf numFmtId="0" fontId="78" fillId="0" borderId="0" xfId="0" applyFont="1" applyAlignment="1">
      <alignment horizontal="left" vertical="top" wrapText="1"/>
    </xf>
    <xf numFmtId="2" fontId="123" fillId="64" borderId="1" xfId="13" applyNumberFormat="1" applyFont="1" applyFill="1" applyBorder="1" applyAlignment="1" applyProtection="1">
      <alignment horizontal="center" vertical="center" wrapText="1"/>
      <protection hidden="1"/>
    </xf>
    <xf numFmtId="2" fontId="123" fillId="62" borderId="1" xfId="13" applyNumberFormat="1" applyFont="1" applyFill="1" applyBorder="1" applyAlignment="1" applyProtection="1">
      <alignment horizontal="center" vertical="center" wrapText="1"/>
      <protection hidden="1"/>
    </xf>
    <xf numFmtId="0" fontId="78" fillId="65" borderId="34" xfId="9" applyFont="1" applyFill="1" applyBorder="1" applyAlignment="1" applyProtection="1">
      <alignment horizontal="left"/>
      <protection hidden="1"/>
    </xf>
    <xf numFmtId="0" fontId="78" fillId="63" borderId="36" xfId="9" applyFont="1" applyFill="1" applyBorder="1" applyAlignment="1" applyProtection="1">
      <alignment horizontal="left"/>
      <protection hidden="1"/>
    </xf>
    <xf numFmtId="0" fontId="78" fillId="63" borderId="35" xfId="9" applyFont="1" applyFill="1" applyBorder="1" applyAlignment="1" applyProtection="1">
      <alignment horizontal="left"/>
      <protection hidden="1"/>
    </xf>
    <xf numFmtId="0" fontId="78" fillId="0" borderId="34" xfId="9" applyFont="1" applyBorder="1" applyAlignment="1" applyProtection="1">
      <alignment horizontal="center"/>
      <protection hidden="1"/>
    </xf>
    <xf numFmtId="0" fontId="78" fillId="0" borderId="36" xfId="9" applyFont="1" applyBorder="1" applyAlignment="1" applyProtection="1">
      <alignment horizontal="center"/>
      <protection hidden="1"/>
    </xf>
    <xf numFmtId="0" fontId="78" fillId="0" borderId="35" xfId="9" applyFont="1" applyBorder="1" applyAlignment="1" applyProtection="1">
      <alignment horizontal="center"/>
      <protection hidden="1"/>
    </xf>
    <xf numFmtId="0" fontId="78" fillId="0" borderId="34" xfId="9" applyFont="1" applyBorder="1" applyAlignment="1" applyProtection="1">
      <alignment horizontal="left" vertical="center"/>
      <protection hidden="1"/>
    </xf>
    <xf numFmtId="0" fontId="78" fillId="0" borderId="36" xfId="9" applyFont="1" applyBorder="1" applyAlignment="1" applyProtection="1">
      <alignment horizontal="left" vertical="center"/>
      <protection hidden="1"/>
    </xf>
    <xf numFmtId="0" fontId="78" fillId="0" borderId="35" xfId="9" applyFont="1" applyBorder="1" applyAlignment="1" applyProtection="1">
      <alignment horizontal="left" vertical="center"/>
      <protection hidden="1"/>
    </xf>
    <xf numFmtId="166" fontId="35" fillId="65" borderId="1" xfId="18" applyFont="1" applyFill="1" applyBorder="1"/>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1">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16</xdr:col>
      <xdr:colOff>135255</xdr:colOff>
      <xdr:row>49</xdr:row>
      <xdr:rowOff>76200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8694"/>
          <a:ext cx="11172825" cy="7174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Georgia" panose="02040502050405020303" pitchFamily="18" charset="0"/>
              <a:ea typeface="+mn-ea"/>
              <a:cs typeface="+mn-cs"/>
            </a:rPr>
            <a:t>Algemeen</a:t>
          </a:r>
        </a:p>
        <a:p>
          <a:pPr marL="0" lvl="0" indent="0"/>
          <a:r>
            <a:rPr lang="nl-NL" sz="11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 Inschrijver vult alleen de gekleurde</a:t>
          </a:r>
          <a:r>
            <a:rPr lang="nl-NL" sz="1100" b="0" baseline="0">
              <a:solidFill>
                <a:schemeClr val="dk1"/>
              </a:solidFill>
              <a:effectLst/>
              <a:latin typeface="Georgia" panose="02040502050405020303" pitchFamily="18" charset="0"/>
              <a:ea typeface="+mn-ea"/>
              <a:cs typeface="+mn-cs"/>
            </a:rPr>
            <a:t> cellen in, de overige worden automatisch berekend. Aanpassing van het calculatiemodel leidt tot uitsluiting.</a:t>
          </a:r>
          <a:endParaRPr lang="nl-NL" sz="1100" b="0">
            <a:solidFill>
              <a:schemeClr val="dk1"/>
            </a:solidFill>
            <a:effectLst/>
            <a:latin typeface="Georgia" panose="02040502050405020303" pitchFamily="18" charset="0"/>
            <a:ea typeface="+mn-ea"/>
            <a:cs typeface="+mn-cs"/>
          </a:endParaRPr>
        </a:p>
        <a:p>
          <a:pPr lvl="0"/>
          <a:endParaRPr lang="nl-NL" sz="1100" b="0">
            <a:solidFill>
              <a:schemeClr val="dk1"/>
            </a:solidFill>
            <a:effectLst/>
            <a:latin typeface="Georgia" panose="02040502050405020303" pitchFamily="18" charset="0"/>
            <a:ea typeface="+mn-ea"/>
            <a:cs typeface="+mn-cs"/>
          </a:endParaRPr>
        </a:p>
        <a:p>
          <a:pPr lvl="0"/>
          <a:r>
            <a:rPr lang="nl-NL" sz="11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Prijsniveau</a:t>
          </a:r>
        </a:p>
        <a:p>
          <a:r>
            <a:rPr lang="nl-NL" sz="1100" b="0">
              <a:solidFill>
                <a:schemeClr val="dk1"/>
              </a:solidFill>
              <a:effectLst/>
              <a:latin typeface="Georgia" panose="02040502050405020303" pitchFamily="18" charset="0"/>
              <a:ea typeface="+mn-ea"/>
              <a:cs typeface="+mn-cs"/>
            </a:rPr>
            <a:t>Het loon- en </a:t>
          </a:r>
          <a:r>
            <a:rPr lang="nl-NL" sz="1100" b="0">
              <a:solidFill>
                <a:sysClr val="windowText" lastClr="000000"/>
              </a:solidFill>
              <a:effectLst/>
              <a:latin typeface="Georgia" panose="02040502050405020303" pitchFamily="18" charset="0"/>
              <a:ea typeface="+mn-ea"/>
              <a:cs typeface="+mn-cs"/>
            </a:rPr>
            <a:t>prijspeil van 1 januari 2027 is het uitgangspunt </a:t>
          </a:r>
          <a:r>
            <a:rPr lang="nl-NL" sz="11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Ruimtestaat</a:t>
          </a:r>
        </a:p>
        <a:p>
          <a:r>
            <a:rPr lang="nl-NL" sz="11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Contractjaarprijs</a:t>
          </a:r>
        </a:p>
        <a:p>
          <a:r>
            <a:rPr lang="nl-NL" sz="11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100" b="0">
              <a:solidFill>
                <a:sysClr val="windowText" lastClr="000000"/>
              </a:solidFill>
              <a:effectLst/>
              <a:latin typeface="Georgia" panose="02040502050405020303" pitchFamily="18" charset="0"/>
              <a:ea typeface="+mn-ea"/>
              <a:cs typeface="+mn-cs"/>
            </a:rPr>
            <a:t>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Uurtarieven</a:t>
          </a:r>
        </a:p>
        <a:p>
          <a:pPr marL="0" indent="0"/>
          <a:r>
            <a:rPr lang="nl-NL" sz="11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100" b="0">
              <a:solidFill>
                <a:schemeClr val="dk1"/>
              </a:solidFill>
              <a:effectLst/>
              <a:latin typeface="Georgia" panose="02040502050405020303" pitchFamily="18" charset="0"/>
              <a:ea typeface="+mn-ea"/>
              <a:cs typeface="+mn-cs"/>
            </a:rPr>
            <a:t> </a:t>
          </a:r>
        </a:p>
        <a:p>
          <a:pPr marL="0" indent="0"/>
          <a:r>
            <a:rPr lang="nl-NL" sz="11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100" b="1">
            <a:solidFill>
              <a:schemeClr val="dk1"/>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Machinekosten </a:t>
          </a:r>
        </a:p>
        <a:p>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a:t>
          </a:r>
        </a:p>
        <a:p>
          <a:r>
            <a:rPr lang="nl-NL" sz="11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100" b="1">
            <a:solidFill>
              <a:sysClr val="windowText" lastClr="000000"/>
            </a:solidFill>
            <a:effectLst/>
            <a:latin typeface="Georgia" panose="02040502050405020303" pitchFamily="18" charset="0"/>
            <a:ea typeface="+mn-ea"/>
            <a:cs typeface="+mn-cs"/>
          </a:endParaRPr>
        </a:p>
        <a:p>
          <a:endParaRPr lang="nl-NL" sz="1100">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217170</xdr:colOff>
      <xdr:row>30</xdr:row>
      <xdr:rowOff>15240</xdr:rowOff>
    </xdr:from>
    <xdr:to>
      <xdr:col>12</xdr:col>
      <xdr:colOff>112395</xdr:colOff>
      <xdr:row>42</xdr:row>
      <xdr:rowOff>11206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1699" y="6021593"/>
          <a:ext cx="3425078" cy="134067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21167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5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ichtingrijk.sharepoint.com/Gegevens/Excel/Calc/AZR/AZR%20psychiatrie.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20ATIR%20Werkdocumenten/%20%20ATIR%20in%20%20behandeling/Tarieven%202004/atir.xls" TargetMode="External"/><Relationship Id="rId1" Type="http://schemas.openxmlformats.org/officeDocument/2006/relationships/externalLinkPath" Target="/%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F"/>
      <sheetName val="atir.xls"/>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B3" sqref="B3"/>
    </sheetView>
  </sheetViews>
  <sheetFormatPr defaultRowHeight="12.6"/>
  <cols>
    <col min="1" max="1" width="27.6640625" customWidth="1"/>
  </cols>
  <sheetData>
    <row r="1" spans="1:13" ht="15.6">
      <c r="A1" s="38" t="s">
        <v>0</v>
      </c>
      <c r="B1" s="39" t="str">
        <f>'2-Kosten per locatie'!B3</f>
        <v>Gemeente Heemstede</v>
      </c>
    </row>
    <row r="2" spans="1:13" ht="15.6">
      <c r="A2" s="38" t="s">
        <v>1</v>
      </c>
      <c r="B2" s="39" t="str">
        <f ca="1">MID(CELL("bestandsnaam",$B$11),SEARCH("]",CELL("bestandsnaam",$B$11),1)+1,256)</f>
        <v>1-Uitgangspunten</v>
      </c>
    </row>
    <row r="3" spans="1:13" ht="15.6">
      <c r="A3" s="38" t="s">
        <v>2</v>
      </c>
      <c r="B3" s="39" t="str">
        <f>'2-Kosten per locatie'!B5</f>
        <v>Heemstede e.o.</v>
      </c>
    </row>
    <row r="4" spans="1:13" ht="15.6">
      <c r="A4" s="38" t="s">
        <v>3</v>
      </c>
      <c r="B4" s="39"/>
      <c r="G4" s="37"/>
      <c r="H4" s="37"/>
      <c r="I4" s="37"/>
      <c r="J4" s="37"/>
      <c r="K4" s="37"/>
      <c r="L4" s="37"/>
      <c r="M4" s="3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39"/>
  <sheetViews>
    <sheetView showGridLines="0" tabSelected="1" zoomScale="85" zoomScaleNormal="85" workbookViewId="0">
      <selection activeCell="N30" sqref="N30"/>
    </sheetView>
  </sheetViews>
  <sheetFormatPr defaultColWidth="9.109375" defaultRowHeight="13.2"/>
  <cols>
    <col min="1" max="2" width="35.6640625" style="155" bestFit="1" customWidth="1"/>
    <col min="3" max="3" width="23.6640625" style="155" customWidth="1"/>
    <col min="4" max="6" width="12.88671875" style="155" customWidth="1"/>
    <col min="7" max="7" width="13.5546875" style="155" customWidth="1"/>
    <col min="8" max="12" width="12.88671875" style="155" customWidth="1"/>
    <col min="13" max="13" width="1.6640625" style="155" customWidth="1"/>
    <col min="14" max="14" width="12.88671875" style="155" customWidth="1"/>
    <col min="15" max="15" width="1.5546875" style="155" customWidth="1"/>
    <col min="16" max="17" width="12.88671875" style="155" customWidth="1"/>
    <col min="18" max="16384" width="9.109375" style="22"/>
  </cols>
  <sheetData>
    <row r="1" spans="1:17">
      <c r="A1" s="310" t="s">
        <v>4</v>
      </c>
    </row>
    <row r="2" spans="1:17">
      <c r="A2" s="91"/>
      <c r="B2" s="164"/>
      <c r="C2" s="164"/>
    </row>
    <row r="3" spans="1:17" ht="15.6">
      <c r="A3" s="38" t="str">
        <f>'2-Kosten per locatie'!A3</f>
        <v>Naam opdrachtgever</v>
      </c>
      <c r="B3" s="137" t="str">
        <f>'2-Kosten per locatie'!B3</f>
        <v>Gemeente Heemstede</v>
      </c>
    </row>
    <row r="4" spans="1:17" ht="15.6">
      <c r="A4" s="38" t="str">
        <f>'2-Kosten per locatie'!A4</f>
        <v>Calculatie onderdeel</v>
      </c>
      <c r="B4" s="46" t="str">
        <f ca="1">MID(CELL("bestandsnaam",$D$10),SEARCH("]",CELL("bestandsnaam",$D$10),1)+1,256)</f>
        <v>10-Machinekosten</v>
      </c>
    </row>
    <row r="5" spans="1:17" ht="15.6">
      <c r="A5" s="38" t="str">
        <f>'2-Kosten per locatie'!A5</f>
        <v>Gebouw/plaats</v>
      </c>
      <c r="B5" s="137" t="str">
        <f>'2-Kosten per locatie'!B5</f>
        <v>Heemstede e.o.</v>
      </c>
    </row>
    <row r="6" spans="1:17" ht="15.6">
      <c r="A6" s="38" t="str">
        <f>'2-Kosten per locatie'!A6</f>
        <v>Referentie nummer</v>
      </c>
      <c r="B6" s="137">
        <f>'2-Kosten per locatie'!B6</f>
        <v>0</v>
      </c>
    </row>
    <row r="7" spans="1:17" ht="15.6">
      <c r="A7" s="38" t="str">
        <f>'2-Kosten per locatie'!A7</f>
        <v>Naam dienstverlener</v>
      </c>
      <c r="B7" s="137">
        <f>'2-Kosten per locatie'!B7</f>
        <v>0</v>
      </c>
    </row>
    <row r="8" spans="1:17" ht="15.6">
      <c r="A8" s="38" t="str">
        <f>'2-Kosten per locatie'!A8</f>
        <v>Prijspeil</v>
      </c>
      <c r="B8" s="203">
        <f>'2-Kosten per locatie'!B8</f>
        <v>46388</v>
      </c>
    </row>
    <row r="9" spans="1:17" ht="15.6">
      <c r="A9" s="136"/>
    </row>
    <row r="10" spans="1:17" ht="15.6">
      <c r="A10" s="165"/>
      <c r="B10" s="165"/>
      <c r="C10" s="166"/>
    </row>
    <row r="11" spans="1:17" s="35" customFormat="1" ht="64.8">
      <c r="A11" s="294" t="s">
        <v>27</v>
      </c>
      <c r="B11" s="294" t="s">
        <v>331</v>
      </c>
      <c r="C11" s="294" t="s">
        <v>332</v>
      </c>
      <c r="D11" s="294" t="s">
        <v>333</v>
      </c>
      <c r="E11" s="294" t="s">
        <v>334</v>
      </c>
      <c r="F11" s="294" t="s">
        <v>335</v>
      </c>
      <c r="G11" s="294" t="s">
        <v>336</v>
      </c>
      <c r="H11" s="294" t="s">
        <v>337</v>
      </c>
      <c r="I11" s="294" t="s">
        <v>338</v>
      </c>
      <c r="J11" s="294" t="s">
        <v>339</v>
      </c>
      <c r="K11" s="294" t="s">
        <v>340</v>
      </c>
      <c r="L11" s="294" t="s">
        <v>341</v>
      </c>
      <c r="M11" s="178"/>
      <c r="N11" s="294" t="s">
        <v>342</v>
      </c>
      <c r="O11" s="178"/>
      <c r="P11" s="294" t="s">
        <v>343</v>
      </c>
      <c r="Q11" s="294" t="s">
        <v>344</v>
      </c>
    </row>
    <row r="12" spans="1:17">
      <c r="D12" s="471"/>
      <c r="E12" s="472"/>
      <c r="F12" s="204"/>
      <c r="G12" s="471"/>
      <c r="H12" s="471"/>
      <c r="I12" s="205"/>
      <c r="J12" s="472"/>
      <c r="K12" s="472"/>
      <c r="L12" s="472"/>
      <c r="M12" s="205"/>
      <c r="N12" s="206"/>
      <c r="O12" s="205"/>
      <c r="P12" s="204"/>
      <c r="Q12" s="205"/>
    </row>
    <row r="13" spans="1:17">
      <c r="A13" s="473"/>
      <c r="B13" s="473"/>
      <c r="C13" s="474"/>
      <c r="D13" s="475"/>
      <c r="E13" s="476">
        <f>D13*$E$12</f>
        <v>0</v>
      </c>
      <c r="F13" s="477">
        <f>D13-E13</f>
        <v>0</v>
      </c>
      <c r="G13" s="478"/>
      <c r="H13" s="475"/>
      <c r="I13" s="479">
        <f>IF(G13=0,0,(F13-H13)/G13)</f>
        <v>0</v>
      </c>
      <c r="J13" s="480">
        <f>D13*$J$12</f>
        <v>0</v>
      </c>
      <c r="K13" s="479">
        <f>D13*$K$12</f>
        <v>0</v>
      </c>
      <c r="L13" s="481">
        <f>$L$12*D13</f>
        <v>0</v>
      </c>
      <c r="M13" s="205"/>
      <c r="N13" s="482">
        <f>SUM(I13:L13)</f>
        <v>0</v>
      </c>
      <c r="O13" s="205"/>
      <c r="P13" s="478"/>
      <c r="Q13" s="479">
        <f>N13*P13</f>
        <v>0</v>
      </c>
    </row>
    <row r="14" spans="1:17">
      <c r="A14" s="473"/>
      <c r="B14" s="473"/>
      <c r="C14" s="474"/>
      <c r="D14" s="475"/>
      <c r="E14" s="476">
        <f t="shared" ref="E14:E28" si="0">D14*$E$12</f>
        <v>0</v>
      </c>
      <c r="F14" s="477">
        <f>D14-E14</f>
        <v>0</v>
      </c>
      <c r="G14" s="478"/>
      <c r="H14" s="475"/>
      <c r="I14" s="479">
        <f>IF(G14=0,0,(F14-H14)/G14)</f>
        <v>0</v>
      </c>
      <c r="J14" s="480">
        <f>D14*$J$12</f>
        <v>0</v>
      </c>
      <c r="K14" s="479">
        <f>D14*$K$12</f>
        <v>0</v>
      </c>
      <c r="L14" s="481">
        <f>$L$12*D14</f>
        <v>0</v>
      </c>
      <c r="M14" s="205"/>
      <c r="N14" s="482">
        <f>SUM(I14:L14)</f>
        <v>0</v>
      </c>
      <c r="O14" s="205"/>
      <c r="P14" s="478"/>
      <c r="Q14" s="479">
        <f>N14*P14</f>
        <v>0</v>
      </c>
    </row>
    <row r="15" spans="1:17">
      <c r="A15" s="473"/>
      <c r="B15" s="473"/>
      <c r="C15" s="474"/>
      <c r="D15" s="475"/>
      <c r="E15" s="476">
        <f t="shared" si="0"/>
        <v>0</v>
      </c>
      <c r="F15" s="477">
        <f t="shared" ref="F15:F28" si="1">D15-E15</f>
        <v>0</v>
      </c>
      <c r="G15" s="478"/>
      <c r="H15" s="475"/>
      <c r="I15" s="479">
        <f>IF(G15=0,0,(F15-H15)/G15)</f>
        <v>0</v>
      </c>
      <c r="J15" s="480">
        <f t="shared" ref="J15:J28" si="2">D15*$J$12</f>
        <v>0</v>
      </c>
      <c r="K15" s="479">
        <f t="shared" ref="K15:K28" si="3">D15*$K$12</f>
        <v>0</v>
      </c>
      <c r="L15" s="481">
        <f t="shared" ref="L15:L28" si="4">$L$12*D15</f>
        <v>0</v>
      </c>
      <c r="M15" s="205"/>
      <c r="N15" s="482">
        <f t="shared" ref="N15:N28" si="5">SUM(I15:L15)</f>
        <v>0</v>
      </c>
      <c r="O15" s="205"/>
      <c r="P15" s="478"/>
      <c r="Q15" s="479">
        <f t="shared" ref="Q15:Q28" si="6">N15*P15</f>
        <v>0</v>
      </c>
    </row>
    <row r="16" spans="1:17">
      <c r="A16" s="473"/>
      <c r="B16" s="473"/>
      <c r="C16" s="474"/>
      <c r="D16" s="475"/>
      <c r="E16" s="476">
        <f t="shared" si="0"/>
        <v>0</v>
      </c>
      <c r="F16" s="477">
        <f t="shared" si="1"/>
        <v>0</v>
      </c>
      <c r="G16" s="478"/>
      <c r="H16" s="475"/>
      <c r="I16" s="479">
        <f>IF(G16=0,0,(F16-H16)/G16)</f>
        <v>0</v>
      </c>
      <c r="J16" s="480">
        <f t="shared" si="2"/>
        <v>0</v>
      </c>
      <c r="K16" s="479">
        <f t="shared" si="3"/>
        <v>0</v>
      </c>
      <c r="L16" s="481">
        <f t="shared" si="4"/>
        <v>0</v>
      </c>
      <c r="M16" s="205"/>
      <c r="N16" s="482">
        <f t="shared" si="5"/>
        <v>0</v>
      </c>
      <c r="O16" s="205"/>
      <c r="P16" s="478"/>
      <c r="Q16" s="479">
        <f t="shared" si="6"/>
        <v>0</v>
      </c>
    </row>
    <row r="17" spans="1:17">
      <c r="A17" s="473"/>
      <c r="B17" s="473"/>
      <c r="C17" s="474"/>
      <c r="D17" s="475"/>
      <c r="E17" s="476">
        <f t="shared" si="0"/>
        <v>0</v>
      </c>
      <c r="F17" s="477">
        <f t="shared" si="1"/>
        <v>0</v>
      </c>
      <c r="G17" s="478"/>
      <c r="H17" s="475"/>
      <c r="I17" s="479">
        <f>IF(G17=0,0,(F17-H17)/G17)</f>
        <v>0</v>
      </c>
      <c r="J17" s="480">
        <f t="shared" si="2"/>
        <v>0</v>
      </c>
      <c r="K17" s="479">
        <f t="shared" si="3"/>
        <v>0</v>
      </c>
      <c r="L17" s="481">
        <f t="shared" si="4"/>
        <v>0</v>
      </c>
      <c r="M17" s="205"/>
      <c r="N17" s="482">
        <f t="shared" si="5"/>
        <v>0</v>
      </c>
      <c r="O17" s="205"/>
      <c r="P17" s="478"/>
      <c r="Q17" s="479">
        <f t="shared" si="6"/>
        <v>0</v>
      </c>
    </row>
    <row r="18" spans="1:17">
      <c r="A18" s="473"/>
      <c r="B18" s="473"/>
      <c r="C18" s="474"/>
      <c r="D18" s="475"/>
      <c r="E18" s="476">
        <f t="shared" si="0"/>
        <v>0</v>
      </c>
      <c r="F18" s="477">
        <f t="shared" si="1"/>
        <v>0</v>
      </c>
      <c r="G18" s="478"/>
      <c r="H18" s="475"/>
      <c r="I18" s="479">
        <f>IF(G18=0,0,(F18-H18)/G18)</f>
        <v>0</v>
      </c>
      <c r="J18" s="480">
        <f t="shared" si="2"/>
        <v>0</v>
      </c>
      <c r="K18" s="479">
        <f t="shared" si="3"/>
        <v>0</v>
      </c>
      <c r="L18" s="481">
        <f t="shared" si="4"/>
        <v>0</v>
      </c>
      <c r="M18" s="205"/>
      <c r="N18" s="482">
        <f t="shared" si="5"/>
        <v>0</v>
      </c>
      <c r="O18" s="205"/>
      <c r="P18" s="478"/>
      <c r="Q18" s="479">
        <f t="shared" si="6"/>
        <v>0</v>
      </c>
    </row>
    <row r="19" spans="1:17">
      <c r="A19" s="473"/>
      <c r="B19" s="473"/>
      <c r="C19" s="474"/>
      <c r="D19" s="475"/>
      <c r="E19" s="476">
        <f t="shared" si="0"/>
        <v>0</v>
      </c>
      <c r="F19" s="477">
        <f t="shared" si="1"/>
        <v>0</v>
      </c>
      <c r="G19" s="478"/>
      <c r="H19" s="475"/>
      <c r="I19" s="479">
        <f>IF(G19=0,0,(F19-H19)/G19)</f>
        <v>0</v>
      </c>
      <c r="J19" s="480">
        <f t="shared" si="2"/>
        <v>0</v>
      </c>
      <c r="K19" s="479">
        <f t="shared" si="3"/>
        <v>0</v>
      </c>
      <c r="L19" s="481">
        <f t="shared" si="4"/>
        <v>0</v>
      </c>
      <c r="M19" s="205"/>
      <c r="N19" s="482">
        <f t="shared" si="5"/>
        <v>0</v>
      </c>
      <c r="O19" s="205"/>
      <c r="P19" s="478"/>
      <c r="Q19" s="479">
        <f t="shared" si="6"/>
        <v>0</v>
      </c>
    </row>
    <row r="20" spans="1:17">
      <c r="A20" s="473"/>
      <c r="B20" s="473"/>
      <c r="C20" s="474"/>
      <c r="D20" s="475"/>
      <c r="E20" s="476">
        <f t="shared" si="0"/>
        <v>0</v>
      </c>
      <c r="F20" s="477">
        <f t="shared" si="1"/>
        <v>0</v>
      </c>
      <c r="G20" s="478"/>
      <c r="H20" s="475"/>
      <c r="I20" s="479">
        <f>IF(G20=0,0,(F20-H20)/G20)</f>
        <v>0</v>
      </c>
      <c r="J20" s="480">
        <f t="shared" si="2"/>
        <v>0</v>
      </c>
      <c r="K20" s="479">
        <f t="shared" si="3"/>
        <v>0</v>
      </c>
      <c r="L20" s="481">
        <f t="shared" si="4"/>
        <v>0</v>
      </c>
      <c r="M20" s="205"/>
      <c r="N20" s="482">
        <f t="shared" si="5"/>
        <v>0</v>
      </c>
      <c r="O20" s="205"/>
      <c r="P20" s="478"/>
      <c r="Q20" s="479">
        <f t="shared" si="6"/>
        <v>0</v>
      </c>
    </row>
    <row r="21" spans="1:17">
      <c r="A21" s="473"/>
      <c r="B21" s="473"/>
      <c r="C21" s="474"/>
      <c r="D21" s="475"/>
      <c r="E21" s="476">
        <f t="shared" si="0"/>
        <v>0</v>
      </c>
      <c r="F21" s="477">
        <f t="shared" si="1"/>
        <v>0</v>
      </c>
      <c r="G21" s="478"/>
      <c r="H21" s="475"/>
      <c r="I21" s="479">
        <f>IF(G21=0,0,(F21-H21)/G21)</f>
        <v>0</v>
      </c>
      <c r="J21" s="480">
        <f t="shared" si="2"/>
        <v>0</v>
      </c>
      <c r="K21" s="479">
        <f t="shared" si="3"/>
        <v>0</v>
      </c>
      <c r="L21" s="481">
        <f t="shared" si="4"/>
        <v>0</v>
      </c>
      <c r="M21" s="205"/>
      <c r="N21" s="482">
        <f t="shared" si="5"/>
        <v>0</v>
      </c>
      <c r="O21" s="205"/>
      <c r="P21" s="478"/>
      <c r="Q21" s="479">
        <f t="shared" si="6"/>
        <v>0</v>
      </c>
    </row>
    <row r="22" spans="1:17">
      <c r="A22" s="473"/>
      <c r="B22" s="473"/>
      <c r="C22" s="474"/>
      <c r="D22" s="475"/>
      <c r="E22" s="476">
        <f t="shared" si="0"/>
        <v>0</v>
      </c>
      <c r="F22" s="477">
        <f t="shared" si="1"/>
        <v>0</v>
      </c>
      <c r="G22" s="478"/>
      <c r="H22" s="475"/>
      <c r="I22" s="479">
        <f>IF(G22=0,0,(F22-H22)/G22)</f>
        <v>0</v>
      </c>
      <c r="J22" s="480">
        <f t="shared" si="2"/>
        <v>0</v>
      </c>
      <c r="K22" s="479">
        <f t="shared" si="3"/>
        <v>0</v>
      </c>
      <c r="L22" s="481">
        <f t="shared" si="4"/>
        <v>0</v>
      </c>
      <c r="M22" s="205"/>
      <c r="N22" s="482">
        <f t="shared" si="5"/>
        <v>0</v>
      </c>
      <c r="O22" s="205"/>
      <c r="P22" s="478"/>
      <c r="Q22" s="479">
        <f t="shared" si="6"/>
        <v>0</v>
      </c>
    </row>
    <row r="23" spans="1:17">
      <c r="A23" s="473"/>
      <c r="B23" s="473"/>
      <c r="C23" s="474"/>
      <c r="D23" s="475"/>
      <c r="E23" s="476">
        <f t="shared" si="0"/>
        <v>0</v>
      </c>
      <c r="F23" s="477">
        <f t="shared" si="1"/>
        <v>0</v>
      </c>
      <c r="G23" s="478"/>
      <c r="H23" s="475"/>
      <c r="I23" s="479">
        <f>IF(G23=0,0,(F23-H23)/G23)</f>
        <v>0</v>
      </c>
      <c r="J23" s="480">
        <f t="shared" si="2"/>
        <v>0</v>
      </c>
      <c r="K23" s="479">
        <f t="shared" si="3"/>
        <v>0</v>
      </c>
      <c r="L23" s="481">
        <f t="shared" si="4"/>
        <v>0</v>
      </c>
      <c r="M23" s="205"/>
      <c r="N23" s="482">
        <f t="shared" si="5"/>
        <v>0</v>
      </c>
      <c r="O23" s="205"/>
      <c r="P23" s="478"/>
      <c r="Q23" s="479">
        <f t="shared" si="6"/>
        <v>0</v>
      </c>
    </row>
    <row r="24" spans="1:17">
      <c r="A24" s="473"/>
      <c r="B24" s="473"/>
      <c r="C24" s="474"/>
      <c r="D24" s="475"/>
      <c r="E24" s="476">
        <f t="shared" si="0"/>
        <v>0</v>
      </c>
      <c r="F24" s="477">
        <f t="shared" si="1"/>
        <v>0</v>
      </c>
      <c r="G24" s="478"/>
      <c r="H24" s="475"/>
      <c r="I24" s="479">
        <f>IF(G24=0,0,(F24-H24)/G24)</f>
        <v>0</v>
      </c>
      <c r="J24" s="480">
        <f t="shared" si="2"/>
        <v>0</v>
      </c>
      <c r="K24" s="479">
        <f t="shared" si="3"/>
        <v>0</v>
      </c>
      <c r="L24" s="481">
        <f t="shared" si="4"/>
        <v>0</v>
      </c>
      <c r="M24" s="205"/>
      <c r="N24" s="482">
        <f t="shared" si="5"/>
        <v>0</v>
      </c>
      <c r="O24" s="205"/>
      <c r="P24" s="478"/>
      <c r="Q24" s="479">
        <f t="shared" si="6"/>
        <v>0</v>
      </c>
    </row>
    <row r="25" spans="1:17">
      <c r="A25" s="473"/>
      <c r="B25" s="473"/>
      <c r="C25" s="474"/>
      <c r="D25" s="475"/>
      <c r="E25" s="476">
        <f t="shared" si="0"/>
        <v>0</v>
      </c>
      <c r="F25" s="477">
        <f t="shared" si="1"/>
        <v>0</v>
      </c>
      <c r="G25" s="478"/>
      <c r="H25" s="475"/>
      <c r="I25" s="479">
        <f>IF(G25=0,0,(F25-H25)/G25)</f>
        <v>0</v>
      </c>
      <c r="J25" s="480">
        <f t="shared" si="2"/>
        <v>0</v>
      </c>
      <c r="K25" s="479">
        <f t="shared" si="3"/>
        <v>0</v>
      </c>
      <c r="L25" s="481">
        <f t="shared" si="4"/>
        <v>0</v>
      </c>
      <c r="M25" s="205"/>
      <c r="N25" s="482">
        <f t="shared" si="5"/>
        <v>0</v>
      </c>
      <c r="O25" s="205"/>
      <c r="P25" s="478"/>
      <c r="Q25" s="479">
        <f t="shared" si="6"/>
        <v>0</v>
      </c>
    </row>
    <row r="26" spans="1:17">
      <c r="A26" s="473"/>
      <c r="B26" s="473"/>
      <c r="C26" s="474"/>
      <c r="D26" s="475"/>
      <c r="E26" s="476">
        <f t="shared" si="0"/>
        <v>0</v>
      </c>
      <c r="F26" s="477">
        <f t="shared" si="1"/>
        <v>0</v>
      </c>
      <c r="G26" s="478"/>
      <c r="H26" s="475"/>
      <c r="I26" s="479">
        <f>IF(G26=0,0,(F26-H26)/G26)</f>
        <v>0</v>
      </c>
      <c r="J26" s="480">
        <f t="shared" si="2"/>
        <v>0</v>
      </c>
      <c r="K26" s="479">
        <f t="shared" si="3"/>
        <v>0</v>
      </c>
      <c r="L26" s="481">
        <f t="shared" si="4"/>
        <v>0</v>
      </c>
      <c r="M26" s="205"/>
      <c r="N26" s="482">
        <f t="shared" si="5"/>
        <v>0</v>
      </c>
      <c r="O26" s="205"/>
      <c r="P26" s="478"/>
      <c r="Q26" s="479">
        <f t="shared" si="6"/>
        <v>0</v>
      </c>
    </row>
    <row r="27" spans="1:17">
      <c r="A27" s="473"/>
      <c r="B27" s="473"/>
      <c r="C27" s="474"/>
      <c r="D27" s="475"/>
      <c r="E27" s="476">
        <f t="shared" si="0"/>
        <v>0</v>
      </c>
      <c r="F27" s="477">
        <f t="shared" si="1"/>
        <v>0</v>
      </c>
      <c r="G27" s="478"/>
      <c r="H27" s="475"/>
      <c r="I27" s="479">
        <f>IF(G27=0,0,(F27-H27)/G27)</f>
        <v>0</v>
      </c>
      <c r="J27" s="480">
        <f t="shared" si="2"/>
        <v>0</v>
      </c>
      <c r="K27" s="479">
        <f t="shared" si="3"/>
        <v>0</v>
      </c>
      <c r="L27" s="481">
        <f t="shared" si="4"/>
        <v>0</v>
      </c>
      <c r="M27" s="205"/>
      <c r="N27" s="482">
        <f t="shared" si="5"/>
        <v>0</v>
      </c>
      <c r="O27" s="205"/>
      <c r="P27" s="478"/>
      <c r="Q27" s="479">
        <f t="shared" si="6"/>
        <v>0</v>
      </c>
    </row>
    <row r="28" spans="1:17">
      <c r="A28" s="473"/>
      <c r="B28" s="473"/>
      <c r="C28" s="474"/>
      <c r="D28" s="475"/>
      <c r="E28" s="476">
        <f t="shared" si="0"/>
        <v>0</v>
      </c>
      <c r="F28" s="477">
        <f t="shared" si="1"/>
        <v>0</v>
      </c>
      <c r="G28" s="478"/>
      <c r="H28" s="475"/>
      <c r="I28" s="479">
        <f>IF(G28=0,0,(F28-H28)/G28)</f>
        <v>0</v>
      </c>
      <c r="J28" s="480">
        <f t="shared" si="2"/>
        <v>0</v>
      </c>
      <c r="K28" s="479">
        <f t="shared" si="3"/>
        <v>0</v>
      </c>
      <c r="L28" s="481">
        <f t="shared" si="4"/>
        <v>0</v>
      </c>
      <c r="M28" s="205"/>
      <c r="N28" s="482">
        <f t="shared" si="5"/>
        <v>0</v>
      </c>
      <c r="O28" s="205"/>
      <c r="P28" s="478"/>
      <c r="Q28" s="479">
        <f t="shared" si="6"/>
        <v>0</v>
      </c>
    </row>
    <row r="29" spans="1:17">
      <c r="D29" s="205"/>
      <c r="E29" s="205"/>
      <c r="F29" s="205"/>
      <c r="G29" s="205"/>
      <c r="H29" s="205"/>
      <c r="I29" s="205"/>
      <c r="J29" s="205"/>
      <c r="K29" s="205"/>
      <c r="L29" s="205"/>
      <c r="M29" s="205"/>
      <c r="N29" s="205"/>
      <c r="O29" s="205"/>
      <c r="P29" s="205"/>
      <c r="Q29" s="205"/>
    </row>
    <row r="30" spans="1:17">
      <c r="A30" s="483"/>
      <c r="B30" s="483" t="s">
        <v>52</v>
      </c>
      <c r="C30" s="484"/>
      <c r="D30" s="485"/>
      <c r="E30" s="485"/>
      <c r="F30" s="485"/>
      <c r="G30" s="485"/>
      <c r="H30" s="485"/>
      <c r="I30" s="485"/>
      <c r="J30" s="485"/>
      <c r="K30" s="485"/>
      <c r="L30" s="486"/>
      <c r="M30" s="205"/>
      <c r="N30" s="205"/>
      <c r="O30" s="205"/>
      <c r="P30" s="487">
        <f>SUM(P13:P28)</f>
        <v>0</v>
      </c>
      <c r="Q30" s="488">
        <f>SUM(Q13:Q28)</f>
        <v>0</v>
      </c>
    </row>
    <row r="34" spans="18:18">
      <c r="R34" s="36"/>
    </row>
    <row r="39" spans="18:18" ht="16.2" customHeight="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41"/>
  <sheetViews>
    <sheetView showGridLines="0" showZeros="0" zoomScale="85" zoomScaleNormal="85" workbookViewId="0">
      <pane xSplit="1" ySplit="14" topLeftCell="B15" activePane="bottomRight" state="frozen"/>
      <selection pane="topRight" activeCell="B1" sqref="B1"/>
      <selection pane="bottomLeft" activeCell="A15" sqref="A15"/>
      <selection pane="bottomRight" activeCell="P8" sqref="P8"/>
    </sheetView>
  </sheetViews>
  <sheetFormatPr defaultColWidth="8.6640625" defaultRowHeight="14.1" customHeight="1"/>
  <cols>
    <col min="1" max="1" width="34.6640625" style="40" customWidth="1"/>
    <col min="2" max="2" width="19.33203125" style="40" customWidth="1"/>
    <col min="3" max="3" width="16" style="40" customWidth="1"/>
    <col min="4" max="4" width="13.6640625" style="41" customWidth="1"/>
    <col min="5" max="5" width="15.88671875" style="41" customWidth="1"/>
    <col min="6" max="6" width="13.6640625" style="41" customWidth="1"/>
    <col min="7" max="7" width="20.5546875" style="41" customWidth="1"/>
    <col min="8" max="8" width="13.6640625" style="41" customWidth="1"/>
    <col min="9" max="9" width="18" style="41" customWidth="1"/>
    <col min="10" max="10" width="17.88671875" style="41" customWidth="1"/>
    <col min="11" max="11" width="13.6640625" style="41" customWidth="1"/>
    <col min="12" max="12" width="23.44140625" style="41" customWidth="1"/>
    <col min="13" max="13" width="22" style="41" customWidth="1"/>
    <col min="14" max="14" width="12.6640625" style="41" bestFit="1" customWidth="1"/>
    <col min="15" max="15" width="16.5546875" style="41" bestFit="1" customWidth="1"/>
    <col min="16" max="16" width="17.33203125" style="41" customWidth="1"/>
    <col min="17" max="17" width="13.6640625" style="41" customWidth="1"/>
    <col min="18" max="18" width="16.5546875" style="41" customWidth="1"/>
    <col min="19" max="23" width="13.6640625" style="41" customWidth="1"/>
    <col min="24" max="28" width="13.33203125" style="41" customWidth="1"/>
    <col min="29" max="29" width="14.6640625" style="41" customWidth="1"/>
    <col min="30" max="33" width="13.33203125" style="41" customWidth="1"/>
    <col min="34" max="16384" width="8.6640625" style="40"/>
  </cols>
  <sheetData>
    <row r="1" spans="1:33" ht="14.1" customHeight="1">
      <c r="A1" s="222" t="s">
        <v>4</v>
      </c>
      <c r="B1" s="40" t="s">
        <v>5</v>
      </c>
      <c r="E1" s="223" t="s">
        <v>6</v>
      </c>
      <c r="F1" s="224"/>
      <c r="G1" s="42"/>
      <c r="J1" s="225" t="s">
        <v>7</v>
      </c>
      <c r="K1" s="226"/>
      <c r="L1" s="226"/>
      <c r="M1" s="226"/>
      <c r="N1" s="226"/>
      <c r="O1" s="227"/>
      <c r="P1" s="228" t="e">
        <f>L38</f>
        <v>#DIV/0!</v>
      </c>
    </row>
    <row r="2" spans="1:33" ht="14.1" customHeight="1">
      <c r="E2" s="229"/>
      <c r="F2" s="230" t="s">
        <v>8</v>
      </c>
      <c r="G2" s="42"/>
      <c r="J2" s="43" t="s">
        <v>9</v>
      </c>
      <c r="K2" s="44"/>
      <c r="L2" s="44"/>
      <c r="M2" s="44"/>
      <c r="N2" s="44"/>
      <c r="O2" s="45">
        <v>0.21</v>
      </c>
      <c r="P2" s="180" t="e">
        <f>O2*P1</f>
        <v>#DIV/0!</v>
      </c>
    </row>
    <row r="3" spans="1:33" ht="14.1" customHeight="1">
      <c r="A3" s="38" t="s">
        <v>0</v>
      </c>
      <c r="B3" s="167" t="s">
        <v>10</v>
      </c>
      <c r="C3" s="168"/>
      <c r="D3" s="42"/>
      <c r="E3" s="42"/>
      <c r="G3" s="42"/>
      <c r="H3" s="42"/>
      <c r="I3" s="42"/>
      <c r="J3" s="43" t="s">
        <v>11</v>
      </c>
      <c r="K3" s="44"/>
      <c r="L3" s="44"/>
      <c r="M3" s="44"/>
      <c r="N3" s="44"/>
      <c r="O3" s="44"/>
      <c r="P3" s="181" t="e">
        <f>P1+P2</f>
        <v>#DIV/0!</v>
      </c>
      <c r="AF3" s="42"/>
      <c r="AG3" s="42"/>
    </row>
    <row r="4" spans="1:33" ht="14.1" customHeight="1">
      <c r="A4" s="38" t="s">
        <v>1</v>
      </c>
      <c r="B4" s="46" t="str">
        <f ca="1">MID(CELL("bestandsnaam",$B$13),SEARCH("]",CELL("bestandsnaam",$B$13),1)+1,256)</f>
        <v>2-Kosten per locatie</v>
      </c>
      <c r="C4" s="46"/>
      <c r="D4" s="42"/>
      <c r="E4" s="223" t="s">
        <v>12</v>
      </c>
      <c r="F4" s="224"/>
      <c r="G4" s="42"/>
      <c r="H4" s="42"/>
      <c r="I4" s="42"/>
      <c r="J4" s="44"/>
      <c r="K4" s="44"/>
      <c r="L4" s="44"/>
      <c r="M4" s="44"/>
      <c r="N4" s="44"/>
      <c r="O4" s="44"/>
      <c r="P4" s="179"/>
      <c r="AF4" s="42"/>
      <c r="AG4" s="42"/>
    </row>
    <row r="5" spans="1:33" ht="14.1" customHeight="1">
      <c r="A5" s="38" t="s">
        <v>2</v>
      </c>
      <c r="B5" s="167" t="s">
        <v>13</v>
      </c>
      <c r="C5" s="168"/>
      <c r="D5" s="42"/>
      <c r="E5" s="231"/>
      <c r="F5" s="230" t="s">
        <v>14</v>
      </c>
      <c r="G5" s="42"/>
      <c r="H5" s="42"/>
      <c r="I5" s="42"/>
      <c r="J5" s="232" t="s">
        <v>15</v>
      </c>
      <c r="K5" s="233"/>
      <c r="L5" s="233"/>
      <c r="M5" s="233"/>
      <c r="N5" s="233"/>
      <c r="O5" s="233"/>
      <c r="P5" s="234">
        <v>276000</v>
      </c>
      <c r="Q5" s="163"/>
      <c r="AF5" s="42"/>
      <c r="AG5" s="42"/>
    </row>
    <row r="6" spans="1:33" ht="14.1" customHeight="1">
      <c r="A6" s="38" t="s">
        <v>3</v>
      </c>
      <c r="B6" s="167"/>
      <c r="C6" s="168"/>
      <c r="D6" s="42"/>
      <c r="E6" s="42"/>
      <c r="F6" s="42"/>
      <c r="G6" s="42"/>
      <c r="H6" s="42"/>
      <c r="I6" s="42"/>
      <c r="J6" s="232" t="s">
        <v>16</v>
      </c>
      <c r="K6" s="233"/>
      <c r="L6" s="233"/>
      <c r="M6" s="233"/>
      <c r="N6" s="233"/>
      <c r="O6" s="233"/>
      <c r="P6" s="234">
        <v>237000</v>
      </c>
      <c r="Q6" s="163"/>
      <c r="AF6" s="42"/>
      <c r="AG6" s="42"/>
    </row>
    <row r="7" spans="1:33" ht="12.6" customHeight="1">
      <c r="A7" s="38" t="s">
        <v>17</v>
      </c>
      <c r="B7" s="167"/>
      <c r="C7" s="168"/>
      <c r="D7" s="42"/>
      <c r="E7" s="42"/>
      <c r="F7" s="42"/>
      <c r="G7" s="42"/>
      <c r="H7" s="42"/>
      <c r="I7" s="42"/>
      <c r="J7" s="42"/>
      <c r="K7" s="42"/>
      <c r="V7" s="42"/>
      <c r="W7" s="40"/>
      <c r="X7" s="40"/>
      <c r="Y7" s="40"/>
      <c r="AF7" s="42"/>
      <c r="AG7" s="42"/>
    </row>
    <row r="8" spans="1:33" ht="13.95" customHeight="1">
      <c r="A8" s="38" t="s">
        <v>18</v>
      </c>
      <c r="B8" s="47">
        <v>46388</v>
      </c>
      <c r="C8" s="38"/>
      <c r="D8" s="42"/>
      <c r="E8" s="42"/>
      <c r="F8" s="42"/>
      <c r="G8" s="42"/>
      <c r="H8" s="42"/>
      <c r="I8" s="42"/>
      <c r="J8" s="232" t="s">
        <v>19</v>
      </c>
      <c r="K8" s="233"/>
      <c r="L8" s="233"/>
      <c r="M8" s="233"/>
      <c r="N8" s="233"/>
      <c r="O8" s="233"/>
      <c r="P8" s="235"/>
      <c r="Q8" s="42"/>
      <c r="R8" s="42"/>
      <c r="S8" s="42"/>
      <c r="T8" s="42"/>
      <c r="U8" s="42"/>
      <c r="V8" s="42"/>
      <c r="W8" s="42"/>
      <c r="X8" s="42"/>
      <c r="Y8" s="42"/>
      <c r="Z8" s="42"/>
      <c r="AA8" s="48"/>
      <c r="AB8" s="48"/>
      <c r="AC8" s="48"/>
      <c r="AD8" s="48"/>
      <c r="AE8" s="48"/>
      <c r="AF8" s="42"/>
      <c r="AG8" s="42"/>
    </row>
    <row r="9" spans="1:33" ht="13.95" customHeight="1">
      <c r="A9" s="38" t="s">
        <v>20</v>
      </c>
      <c r="B9" s="49" t="s">
        <v>21</v>
      </c>
      <c r="C9" s="38"/>
      <c r="D9" s="42"/>
      <c r="E9" s="42"/>
      <c r="F9" s="42"/>
      <c r="G9" s="42"/>
      <c r="H9" s="42"/>
      <c r="I9" s="42"/>
      <c r="J9" s="212" t="s">
        <v>22</v>
      </c>
      <c r="K9" s="50"/>
      <c r="M9" s="42"/>
      <c r="N9" s="42"/>
      <c r="Q9" s="42"/>
      <c r="V9" s="42"/>
      <c r="W9" s="40"/>
      <c r="X9" s="40"/>
      <c r="Y9" s="40"/>
      <c r="Z9" s="40"/>
      <c r="AA9" s="40"/>
      <c r="AB9" s="40"/>
      <c r="AC9" s="40"/>
      <c r="AD9" s="40"/>
      <c r="AE9" s="40"/>
      <c r="AF9" s="42"/>
      <c r="AG9" s="42"/>
    </row>
    <row r="10" spans="1:33" ht="13.95" customHeight="1">
      <c r="A10" s="38"/>
      <c r="B10" s="38"/>
      <c r="C10" s="38"/>
      <c r="D10" s="42"/>
      <c r="E10" s="42"/>
      <c r="F10" s="42"/>
      <c r="G10" s="42"/>
      <c r="H10" s="42"/>
      <c r="I10" s="42"/>
      <c r="J10" s="213" t="s">
        <v>23</v>
      </c>
      <c r="K10" s="51"/>
      <c r="Q10" s="42"/>
      <c r="R10" s="42"/>
      <c r="S10" s="42"/>
      <c r="T10" s="42"/>
      <c r="U10" s="42"/>
      <c r="V10" s="42"/>
      <c r="W10" s="42"/>
      <c r="X10" s="42"/>
      <c r="Y10" s="42"/>
      <c r="Z10" s="42"/>
      <c r="AA10" s="42"/>
      <c r="AB10" s="42"/>
      <c r="AC10" s="42"/>
      <c r="AD10" s="42"/>
      <c r="AE10" s="42"/>
      <c r="AF10" s="42"/>
      <c r="AG10" s="42"/>
    </row>
    <row r="11" spans="1:33" ht="13.95" customHeight="1">
      <c r="A11" s="38"/>
      <c r="B11" s="38"/>
      <c r="C11" s="38"/>
      <c r="D11" s="42"/>
      <c r="E11" s="42"/>
      <c r="F11" s="42"/>
      <c r="G11" s="42"/>
      <c r="H11" s="42"/>
      <c r="I11" s="42"/>
      <c r="J11" s="50"/>
      <c r="K11" s="42"/>
      <c r="L11" s="42"/>
      <c r="M11" s="42"/>
      <c r="N11" s="42"/>
      <c r="O11" s="42"/>
      <c r="P11" s="42"/>
      <c r="Q11" s="42"/>
      <c r="R11" s="42"/>
      <c r="S11" s="42"/>
      <c r="T11" s="42"/>
      <c r="U11" s="42"/>
      <c r="V11" s="42"/>
      <c r="W11" s="42"/>
      <c r="X11" s="42"/>
      <c r="Y11" s="42"/>
      <c r="Z11" s="42"/>
      <c r="AA11" s="42"/>
      <c r="AB11" s="42"/>
      <c r="AC11" s="42"/>
      <c r="AD11" s="42"/>
      <c r="AE11" s="42"/>
      <c r="AF11" s="42"/>
      <c r="AG11" s="42"/>
    </row>
    <row r="12" spans="1:33" ht="15.6">
      <c r="C12" s="47"/>
      <c r="J12" s="51"/>
      <c r="AA12" s="42"/>
      <c r="AB12" s="42"/>
      <c r="AC12" s="42"/>
      <c r="AD12" s="42"/>
      <c r="AE12" s="42"/>
      <c r="AF12" s="42"/>
      <c r="AG12" s="42"/>
    </row>
    <row r="13" spans="1:33" ht="30" customHeight="1">
      <c r="A13" s="52"/>
      <c r="B13" s="52"/>
      <c r="C13" s="52"/>
      <c r="D13" s="52"/>
      <c r="E13" s="52"/>
      <c r="F13" s="52"/>
      <c r="G13" s="502" t="s">
        <v>24</v>
      </c>
      <c r="H13" s="503"/>
      <c r="I13" s="504"/>
      <c r="J13" s="502" t="s">
        <v>25</v>
      </c>
      <c r="K13" s="503"/>
      <c r="L13" s="504"/>
      <c r="M13" s="505" t="s">
        <v>26</v>
      </c>
      <c r="N13" s="506"/>
      <c r="O13" s="506"/>
      <c r="P13" s="42"/>
      <c r="Q13" s="42"/>
      <c r="R13" s="42"/>
      <c r="S13" s="42"/>
      <c r="T13" s="42"/>
      <c r="U13" s="42"/>
      <c r="V13" s="42"/>
      <c r="W13" s="40"/>
      <c r="X13" s="40"/>
      <c r="Y13" s="40"/>
      <c r="Z13" s="40"/>
      <c r="AA13" s="40"/>
      <c r="AB13" s="40"/>
      <c r="AC13" s="40"/>
      <c r="AD13" s="40"/>
      <c r="AE13" s="40"/>
      <c r="AF13" s="40"/>
      <c r="AG13" s="40"/>
    </row>
    <row r="14" spans="1:33" ht="73.95" customHeight="1">
      <c r="A14" s="236" t="s">
        <v>27</v>
      </c>
      <c r="B14" s="237" t="s">
        <v>28</v>
      </c>
      <c r="C14" s="237" t="s">
        <v>29</v>
      </c>
      <c r="D14" s="238" t="s">
        <v>30</v>
      </c>
      <c r="E14" s="238" t="s">
        <v>31</v>
      </c>
      <c r="F14" s="238" t="s">
        <v>32</v>
      </c>
      <c r="G14" s="239" t="s">
        <v>33</v>
      </c>
      <c r="H14" s="239" t="s">
        <v>34</v>
      </c>
      <c r="I14" s="239" t="s">
        <v>35</v>
      </c>
      <c r="J14" s="239" t="s">
        <v>36</v>
      </c>
      <c r="K14" s="239" t="s">
        <v>37</v>
      </c>
      <c r="L14" s="239" t="s">
        <v>38</v>
      </c>
      <c r="M14" s="239" t="s">
        <v>39</v>
      </c>
      <c r="N14" s="239" t="s">
        <v>40</v>
      </c>
      <c r="O14" s="239" t="s">
        <v>41</v>
      </c>
      <c r="P14" s="42"/>
      <c r="Q14" s="40"/>
      <c r="R14" s="40"/>
      <c r="S14" s="40"/>
      <c r="T14" s="40"/>
      <c r="U14" s="40"/>
      <c r="V14" s="40"/>
      <c r="W14" s="40"/>
      <c r="X14" s="40"/>
      <c r="Y14" s="40"/>
      <c r="Z14" s="40"/>
      <c r="AA14" s="40"/>
      <c r="AB14" s="40"/>
      <c r="AC14" s="40"/>
      <c r="AD14" s="40"/>
      <c r="AE14" s="40"/>
      <c r="AF14" s="40"/>
      <c r="AG14" s="40"/>
    </row>
    <row r="15" spans="1:33" s="53" customFormat="1" ht="15" customHeight="1">
      <c r="A15" s="240" t="s">
        <v>42</v>
      </c>
      <c r="B15" s="241">
        <f>SUMIF('4-Basis ruimtestaat'!B:B,'2-Kosten per locatie'!A15,'4-Basis ruimtestaat'!J:J)</f>
        <v>43.5</v>
      </c>
      <c r="C15" s="242"/>
      <c r="D15" s="243">
        <f>_xlfn.MAXIFS('4-Basis ruimtestaat'!L:L,'4-Basis ruimtestaat'!B:B,'2-Kosten per locatie'!A15)</f>
        <v>156</v>
      </c>
      <c r="E15" s="243">
        <f>_xlfn.MAXIFS('4-Basis ruimtestaat'!M:M,'4-Basis ruimtestaat'!B:B,'2-Kosten per locatie'!A15)</f>
        <v>0</v>
      </c>
      <c r="F15" s="243">
        <f>_xlfn.MAXIFS('4-Basis ruimtestaat'!N:N,'4-Basis ruimtestaat'!B:B,'2-Kosten per locatie'!A15)</f>
        <v>0</v>
      </c>
      <c r="G15" s="244" t="e">
        <f>SUMIF('4-Basis ruimtestaat'!B:B,'2-Kosten per locatie'!A15,'4-Basis ruimtestaat'!O:O)</f>
        <v>#DIV/0!</v>
      </c>
      <c r="H15" s="244">
        <f>SUMIF('4-Basis ruimtestaat'!B:B,'2-Kosten per locatie'!A15,'4-Basis ruimtestaat'!P:P)</f>
        <v>0</v>
      </c>
      <c r="I15" s="244">
        <f>SUMIF('4-Basis ruimtestaat'!B:B,'2-Kosten per locatie'!A15,'4-Basis ruimtestaat'!Q:Q)</f>
        <v>0</v>
      </c>
      <c r="J15" s="244" t="e">
        <f t="shared" ref="J15:J24" si="0">IF(G15&lt;(D15*$E$2),D15*$E$2-G15,0)</f>
        <v>#DIV/0!</v>
      </c>
      <c r="K15" s="244"/>
      <c r="L15" s="244">
        <f t="shared" ref="L15:L24" si="1">IF(I15&lt;(F15*$E$2),F15*$E$2-I15,0)</f>
        <v>0</v>
      </c>
      <c r="M15" s="244" t="e">
        <f t="shared" ref="M15:M24" si="2">G15*$E$5</f>
        <v>#DIV/0!</v>
      </c>
      <c r="N15" s="244">
        <f t="shared" ref="N15:N24" si="3">H15*$E$5</f>
        <v>0</v>
      </c>
      <c r="O15" s="244">
        <f t="shared" ref="O15:O24" si="4">I15*$E$5</f>
        <v>0</v>
      </c>
      <c r="P15" s="42"/>
    </row>
    <row r="16" spans="1:33" ht="15" customHeight="1">
      <c r="A16" s="240" t="s">
        <v>43</v>
      </c>
      <c r="B16" s="241">
        <f>SUMIF('4-Basis ruimtestaat'!B:B,'2-Kosten per locatie'!A16,'4-Basis ruimtestaat'!J:J)</f>
        <v>229.5</v>
      </c>
      <c r="C16" s="242"/>
      <c r="D16" s="243">
        <f>_xlfn.MAXIFS('4-Basis ruimtestaat'!L:L,'4-Basis ruimtestaat'!B:B,'2-Kosten per locatie'!A16)</f>
        <v>156</v>
      </c>
      <c r="E16" s="243">
        <f>_xlfn.MAXIFS('4-Basis ruimtestaat'!M:M,'4-Basis ruimtestaat'!B:B,'2-Kosten per locatie'!A16)</f>
        <v>0</v>
      </c>
      <c r="F16" s="243">
        <f>_xlfn.MAXIFS('4-Basis ruimtestaat'!N:N,'4-Basis ruimtestaat'!B:B,'2-Kosten per locatie'!A16)</f>
        <v>0</v>
      </c>
      <c r="G16" s="244" t="e">
        <f>SUMIF('4-Basis ruimtestaat'!B:B,'2-Kosten per locatie'!A16,'4-Basis ruimtestaat'!O:O)</f>
        <v>#DIV/0!</v>
      </c>
      <c r="H16" s="244">
        <f>SUMIF('4-Basis ruimtestaat'!B:B,'2-Kosten per locatie'!A16,'4-Basis ruimtestaat'!P:P)</f>
        <v>0</v>
      </c>
      <c r="I16" s="244">
        <f>SUMIF('4-Basis ruimtestaat'!B:B,'2-Kosten per locatie'!A16,'4-Basis ruimtestaat'!Q:Q)</f>
        <v>0</v>
      </c>
      <c r="J16" s="244" t="e">
        <f t="shared" si="0"/>
        <v>#DIV/0!</v>
      </c>
      <c r="K16" s="244"/>
      <c r="L16" s="244">
        <f t="shared" si="1"/>
        <v>0</v>
      </c>
      <c r="M16" s="244" t="e">
        <f t="shared" si="2"/>
        <v>#DIV/0!</v>
      </c>
      <c r="N16" s="244">
        <f t="shared" si="3"/>
        <v>0</v>
      </c>
      <c r="O16" s="244">
        <f t="shared" si="4"/>
        <v>0</v>
      </c>
      <c r="P16" s="42"/>
      <c r="Q16" s="40"/>
      <c r="R16" s="40"/>
      <c r="S16" s="40"/>
      <c r="T16" s="40"/>
      <c r="U16" s="40"/>
      <c r="V16" s="40"/>
      <c r="W16" s="40"/>
      <c r="X16" s="40"/>
      <c r="Y16" s="40"/>
      <c r="Z16" s="40"/>
      <c r="AA16" s="40"/>
      <c r="AB16" s="40"/>
      <c r="AC16" s="40"/>
      <c r="AD16" s="40"/>
      <c r="AE16" s="40"/>
      <c r="AF16" s="40"/>
      <c r="AG16" s="40"/>
    </row>
    <row r="17" spans="1:33" ht="15" customHeight="1">
      <c r="A17" s="240" t="s">
        <v>44</v>
      </c>
      <c r="B17" s="241">
        <f>SUMIF('4-Basis ruimtestaat'!B:B,'2-Kosten per locatie'!A17,'4-Basis ruimtestaat'!J:J)</f>
        <v>1609.2</v>
      </c>
      <c r="C17" s="242"/>
      <c r="D17" s="243">
        <f>_xlfn.MAXIFS('4-Basis ruimtestaat'!L:L,'4-Basis ruimtestaat'!B:B,'2-Kosten per locatie'!A17)</f>
        <v>255</v>
      </c>
      <c r="E17" s="243">
        <f>_xlfn.MAXIFS('4-Basis ruimtestaat'!M:M,'4-Basis ruimtestaat'!B:B,'2-Kosten per locatie'!A17)</f>
        <v>0</v>
      </c>
      <c r="F17" s="243">
        <f>_xlfn.MAXIFS('4-Basis ruimtestaat'!N:N,'4-Basis ruimtestaat'!B:B,'2-Kosten per locatie'!A17)</f>
        <v>52</v>
      </c>
      <c r="G17" s="244" t="e">
        <f>SUMIF('4-Basis ruimtestaat'!B:B,'2-Kosten per locatie'!A17,'4-Basis ruimtestaat'!O:O)</f>
        <v>#DIV/0!</v>
      </c>
      <c r="H17" s="244">
        <f>SUMIF('4-Basis ruimtestaat'!B:B,'2-Kosten per locatie'!A17,'4-Basis ruimtestaat'!P:P)</f>
        <v>0</v>
      </c>
      <c r="I17" s="244" t="e">
        <f>SUMIF('4-Basis ruimtestaat'!B:B,'2-Kosten per locatie'!A17,'4-Basis ruimtestaat'!Q:Q)</f>
        <v>#DIV/0!</v>
      </c>
      <c r="J17" s="244" t="e">
        <f t="shared" si="0"/>
        <v>#DIV/0!</v>
      </c>
      <c r="K17" s="244"/>
      <c r="L17" s="244" t="e">
        <f t="shared" si="1"/>
        <v>#DIV/0!</v>
      </c>
      <c r="M17" s="244" t="e">
        <f t="shared" si="2"/>
        <v>#DIV/0!</v>
      </c>
      <c r="N17" s="244">
        <f t="shared" si="3"/>
        <v>0</v>
      </c>
      <c r="O17" s="244" t="e">
        <f t="shared" si="4"/>
        <v>#DIV/0!</v>
      </c>
      <c r="P17" s="42"/>
      <c r="Q17" s="40"/>
      <c r="R17" s="40"/>
      <c r="S17" s="40"/>
      <c r="T17" s="40"/>
      <c r="U17" s="40"/>
      <c r="V17" s="40"/>
      <c r="W17" s="40"/>
      <c r="X17" s="40"/>
      <c r="Y17" s="40"/>
      <c r="Z17" s="40"/>
      <c r="AA17" s="40"/>
      <c r="AB17" s="40"/>
      <c r="AC17" s="40"/>
      <c r="AD17" s="40"/>
      <c r="AE17" s="40"/>
      <c r="AF17" s="40"/>
      <c r="AG17" s="40"/>
    </row>
    <row r="18" spans="1:33" ht="15" customHeight="1">
      <c r="A18" s="245" t="s">
        <v>45</v>
      </c>
      <c r="B18" s="241">
        <f>SUMIF('4-Basis ruimtestaat'!B:B,'2-Kosten per locatie'!A18,'4-Basis ruimtestaat'!J:J)</f>
        <v>412.40000000000003</v>
      </c>
      <c r="C18" s="242"/>
      <c r="D18" s="243">
        <f>_xlfn.MAXIFS('4-Basis ruimtestaat'!L:L,'4-Basis ruimtestaat'!B:B,'2-Kosten per locatie'!A18)</f>
        <v>200</v>
      </c>
      <c r="E18" s="243">
        <f>_xlfn.MAXIFS('4-Basis ruimtestaat'!M:M,'4-Basis ruimtestaat'!B:B,'2-Kosten per locatie'!A18)</f>
        <v>0</v>
      </c>
      <c r="F18" s="243">
        <f>_xlfn.MAXIFS('4-Basis ruimtestaat'!N:N,'4-Basis ruimtestaat'!B:B,'2-Kosten per locatie'!A18)</f>
        <v>0</v>
      </c>
      <c r="G18" s="244" t="e">
        <f>SUMIF('4-Basis ruimtestaat'!B:B,'2-Kosten per locatie'!A18,'4-Basis ruimtestaat'!O:O)</f>
        <v>#DIV/0!</v>
      </c>
      <c r="H18" s="244">
        <f>SUMIF('4-Basis ruimtestaat'!B:B,'2-Kosten per locatie'!A18,'4-Basis ruimtestaat'!P:P)</f>
        <v>0</v>
      </c>
      <c r="I18" s="244">
        <f>SUMIF('4-Basis ruimtestaat'!B:B,'2-Kosten per locatie'!A18,'4-Basis ruimtestaat'!Q:Q)</f>
        <v>0</v>
      </c>
      <c r="J18" s="244" t="e">
        <f t="shared" si="0"/>
        <v>#DIV/0!</v>
      </c>
      <c r="K18" s="244"/>
      <c r="L18" s="244">
        <f t="shared" si="1"/>
        <v>0</v>
      </c>
      <c r="M18" s="244" t="e">
        <f t="shared" si="2"/>
        <v>#DIV/0!</v>
      </c>
      <c r="N18" s="244">
        <f t="shared" si="3"/>
        <v>0</v>
      </c>
      <c r="O18" s="244">
        <f t="shared" si="4"/>
        <v>0</v>
      </c>
      <c r="P18" s="42"/>
      <c r="Q18" s="40"/>
      <c r="R18" s="40"/>
      <c r="S18" s="40"/>
      <c r="T18" s="40"/>
      <c r="U18" s="40"/>
      <c r="V18" s="40"/>
      <c r="W18" s="40"/>
      <c r="X18" s="40"/>
      <c r="Y18" s="40"/>
      <c r="Z18" s="40"/>
      <c r="AA18" s="40"/>
      <c r="AB18" s="40"/>
      <c r="AC18" s="40"/>
      <c r="AD18" s="40"/>
      <c r="AE18" s="40"/>
      <c r="AF18" s="40"/>
      <c r="AG18" s="40"/>
    </row>
    <row r="19" spans="1:33" ht="15" customHeight="1">
      <c r="A19" s="245" t="s">
        <v>46</v>
      </c>
      <c r="B19" s="241">
        <f>SUMIF('4-Basis ruimtestaat'!B:B,'2-Kosten per locatie'!A19,'4-Basis ruimtestaat'!J:J)</f>
        <v>433</v>
      </c>
      <c r="C19" s="242"/>
      <c r="D19" s="243">
        <f>_xlfn.MAXIFS('4-Basis ruimtestaat'!L:L,'4-Basis ruimtestaat'!B:B,'2-Kosten per locatie'!A19)</f>
        <v>200</v>
      </c>
      <c r="E19" s="243">
        <f>_xlfn.MAXIFS('4-Basis ruimtestaat'!M:M,'4-Basis ruimtestaat'!B:B,'2-Kosten per locatie'!A19)</f>
        <v>0</v>
      </c>
      <c r="F19" s="243">
        <f>_xlfn.MAXIFS('4-Basis ruimtestaat'!N:N,'4-Basis ruimtestaat'!B:B,'2-Kosten per locatie'!A19)</f>
        <v>0</v>
      </c>
      <c r="G19" s="244" t="e">
        <f>SUMIF('4-Basis ruimtestaat'!B:B,'2-Kosten per locatie'!A19,'4-Basis ruimtestaat'!O:O)</f>
        <v>#DIV/0!</v>
      </c>
      <c r="H19" s="244">
        <f>SUMIF('4-Basis ruimtestaat'!B:B,'2-Kosten per locatie'!A19,'4-Basis ruimtestaat'!P:P)</f>
        <v>0</v>
      </c>
      <c r="I19" s="244">
        <f>SUMIF('4-Basis ruimtestaat'!B:B,'2-Kosten per locatie'!A19,'4-Basis ruimtestaat'!Q:Q)</f>
        <v>0</v>
      </c>
      <c r="J19" s="244" t="e">
        <f t="shared" si="0"/>
        <v>#DIV/0!</v>
      </c>
      <c r="K19" s="244"/>
      <c r="L19" s="244">
        <f t="shared" si="1"/>
        <v>0</v>
      </c>
      <c r="M19" s="244" t="e">
        <f t="shared" si="2"/>
        <v>#DIV/0!</v>
      </c>
      <c r="N19" s="244">
        <f t="shared" si="3"/>
        <v>0</v>
      </c>
      <c r="O19" s="244">
        <f t="shared" si="4"/>
        <v>0</v>
      </c>
      <c r="P19" s="42"/>
      <c r="Q19" s="40"/>
      <c r="R19" s="40"/>
      <c r="S19" s="40"/>
      <c r="T19" s="40"/>
      <c r="U19" s="40"/>
      <c r="V19" s="40"/>
      <c r="W19" s="40"/>
      <c r="X19" s="40"/>
      <c r="Y19" s="40"/>
      <c r="Z19" s="40"/>
      <c r="AA19" s="40"/>
      <c r="AB19" s="40"/>
      <c r="AC19" s="40"/>
      <c r="AD19" s="40"/>
      <c r="AE19" s="40"/>
      <c r="AF19" s="40"/>
      <c r="AG19" s="40"/>
    </row>
    <row r="20" spans="1:33" ht="15" customHeight="1">
      <c r="A20" s="245" t="s">
        <v>47</v>
      </c>
      <c r="B20" s="241">
        <f>SUMIF('4-Basis ruimtestaat'!B:B,'2-Kosten per locatie'!A20,'4-Basis ruimtestaat'!J:J)</f>
        <v>4</v>
      </c>
      <c r="C20" s="242"/>
      <c r="D20" s="243">
        <f>_xlfn.MAXIFS('4-Basis ruimtestaat'!L:L,'4-Basis ruimtestaat'!B:B,'2-Kosten per locatie'!A20)</f>
        <v>117</v>
      </c>
      <c r="E20" s="243">
        <f>_xlfn.MAXIFS('4-Basis ruimtestaat'!M:M,'4-Basis ruimtestaat'!B:B,'2-Kosten per locatie'!A20)</f>
        <v>0</v>
      </c>
      <c r="F20" s="243">
        <f>_xlfn.MAXIFS('4-Basis ruimtestaat'!N:N,'4-Basis ruimtestaat'!B:B,'2-Kosten per locatie'!A20)</f>
        <v>26</v>
      </c>
      <c r="G20" s="244" t="e">
        <f>SUMIF('4-Basis ruimtestaat'!B:B,'2-Kosten per locatie'!A20,'4-Basis ruimtestaat'!O:O)</f>
        <v>#DIV/0!</v>
      </c>
      <c r="H20" s="244">
        <f>SUMIF('4-Basis ruimtestaat'!B:B,'2-Kosten per locatie'!A20,'4-Basis ruimtestaat'!P:P)</f>
        <v>0</v>
      </c>
      <c r="I20" s="244" t="e">
        <f>SUMIF('4-Basis ruimtestaat'!B:B,'2-Kosten per locatie'!A20,'4-Basis ruimtestaat'!Q:Q)</f>
        <v>#DIV/0!</v>
      </c>
      <c r="J20" s="244" t="e">
        <f t="shared" ref="J20" si="5">IF(G20&lt;(D20*$E$2),D20*$E$2-G20,0)</f>
        <v>#DIV/0!</v>
      </c>
      <c r="K20" s="244"/>
      <c r="L20" s="244" t="e">
        <f t="shared" ref="L20" si="6">IF(I20&lt;(F20*$E$2),F20*$E$2-I20,0)</f>
        <v>#DIV/0!</v>
      </c>
      <c r="M20" s="244" t="e">
        <f t="shared" ref="M20" si="7">G20*$E$5</f>
        <v>#DIV/0!</v>
      </c>
      <c r="N20" s="244">
        <f t="shared" ref="N20" si="8">H20*$E$5</f>
        <v>0</v>
      </c>
      <c r="O20" s="244" t="e">
        <f t="shared" ref="O20" si="9">I20*$E$5</f>
        <v>#DIV/0!</v>
      </c>
      <c r="P20" s="42"/>
      <c r="Q20" s="40"/>
      <c r="R20" s="40"/>
      <c r="S20" s="40"/>
      <c r="T20" s="40"/>
      <c r="U20" s="40"/>
      <c r="V20" s="40"/>
      <c r="W20" s="40"/>
      <c r="X20" s="40"/>
      <c r="Y20" s="40"/>
      <c r="Z20" s="40"/>
      <c r="AA20" s="40"/>
      <c r="AB20" s="40"/>
      <c r="AC20" s="40"/>
      <c r="AD20" s="40"/>
      <c r="AE20" s="40"/>
      <c r="AF20" s="40"/>
      <c r="AG20" s="40"/>
    </row>
    <row r="21" spans="1:33" ht="15" customHeight="1">
      <c r="A21" s="245" t="s">
        <v>48</v>
      </c>
      <c r="B21" s="241">
        <f>SUMIF('4-Basis ruimtestaat'!B:B,'2-Kosten per locatie'!A21,'4-Basis ruimtestaat'!J:J)</f>
        <v>45</v>
      </c>
      <c r="C21" s="242"/>
      <c r="D21" s="243">
        <f>_xlfn.MAXIFS('4-Basis ruimtestaat'!L:L,'4-Basis ruimtestaat'!B:B,'2-Kosten per locatie'!A21)</f>
        <v>156</v>
      </c>
      <c r="E21" s="243">
        <f>_xlfn.MAXIFS('4-Basis ruimtestaat'!M:M,'4-Basis ruimtestaat'!B:B,'2-Kosten per locatie'!A21)</f>
        <v>0</v>
      </c>
      <c r="F21" s="243">
        <f>_xlfn.MAXIFS('4-Basis ruimtestaat'!N:N,'4-Basis ruimtestaat'!B:B,'2-Kosten per locatie'!A21)</f>
        <v>0</v>
      </c>
      <c r="G21" s="244" t="e">
        <f>SUMIF('4-Basis ruimtestaat'!B:B,'2-Kosten per locatie'!A21,'4-Basis ruimtestaat'!O:O)</f>
        <v>#DIV/0!</v>
      </c>
      <c r="H21" s="244">
        <f>SUMIF('4-Basis ruimtestaat'!B:B,'2-Kosten per locatie'!A21,'4-Basis ruimtestaat'!P:P)</f>
        <v>0</v>
      </c>
      <c r="I21" s="244">
        <f>SUMIF('4-Basis ruimtestaat'!B:B,'2-Kosten per locatie'!A21,'4-Basis ruimtestaat'!Q:Q)</f>
        <v>0</v>
      </c>
      <c r="J21" s="244" t="e">
        <f t="shared" si="0"/>
        <v>#DIV/0!</v>
      </c>
      <c r="K21" s="244"/>
      <c r="L21" s="244">
        <f t="shared" si="1"/>
        <v>0</v>
      </c>
      <c r="M21" s="244" t="e">
        <f t="shared" si="2"/>
        <v>#DIV/0!</v>
      </c>
      <c r="N21" s="244">
        <f t="shared" si="3"/>
        <v>0</v>
      </c>
      <c r="O21" s="244">
        <f t="shared" si="4"/>
        <v>0</v>
      </c>
      <c r="P21" s="42"/>
      <c r="Q21" s="40"/>
      <c r="R21" s="40"/>
      <c r="S21" s="40"/>
      <c r="T21" s="40"/>
      <c r="U21" s="40"/>
      <c r="V21" s="40"/>
      <c r="W21" s="40"/>
      <c r="X21" s="40"/>
      <c r="Y21" s="40"/>
      <c r="Z21" s="40"/>
      <c r="AA21" s="40"/>
      <c r="AB21" s="40"/>
      <c r="AC21" s="40"/>
      <c r="AD21" s="40"/>
      <c r="AE21" s="40"/>
      <c r="AF21" s="40"/>
      <c r="AG21" s="40"/>
    </row>
    <row r="22" spans="1:33" ht="15" customHeight="1">
      <c r="A22" s="245" t="s">
        <v>49</v>
      </c>
      <c r="B22" s="241">
        <f>SUMIF('4-Basis ruimtestaat'!B:B,'2-Kosten per locatie'!A22,'4-Basis ruimtestaat'!J:J)</f>
        <v>3071.8999999999987</v>
      </c>
      <c r="C22" s="242"/>
      <c r="D22" s="243">
        <f>_xlfn.MAXIFS('4-Basis ruimtestaat'!L:L,'4-Basis ruimtestaat'!B:B,'2-Kosten per locatie'!A22)</f>
        <v>255</v>
      </c>
      <c r="E22" s="243">
        <f>_xlfn.MAXIFS('4-Basis ruimtestaat'!M:M,'4-Basis ruimtestaat'!B:B,'2-Kosten per locatie'!A22)</f>
        <v>1020</v>
      </c>
      <c r="F22" s="243">
        <f>_xlfn.MAXIFS('4-Basis ruimtestaat'!N:N,'4-Basis ruimtestaat'!B:B,'2-Kosten per locatie'!A22)</f>
        <v>0</v>
      </c>
      <c r="G22" s="244" t="e">
        <f>SUMIF('4-Basis ruimtestaat'!B:B,'2-Kosten per locatie'!A22,'4-Basis ruimtestaat'!O:O)</f>
        <v>#DIV/0!</v>
      </c>
      <c r="H22" s="244" t="e">
        <f>SUMIF('4-Basis ruimtestaat'!B:B,'2-Kosten per locatie'!A22,'4-Basis ruimtestaat'!P:P)</f>
        <v>#DIV/0!</v>
      </c>
      <c r="I22" s="244">
        <f>SUMIF('4-Basis ruimtestaat'!B:B,'2-Kosten per locatie'!A22,'4-Basis ruimtestaat'!Q:Q)</f>
        <v>0</v>
      </c>
      <c r="J22" s="244" t="e">
        <f t="shared" si="0"/>
        <v>#DIV/0!</v>
      </c>
      <c r="K22" s="246"/>
      <c r="L22" s="244">
        <f t="shared" si="1"/>
        <v>0</v>
      </c>
      <c r="M22" s="244" t="e">
        <f t="shared" si="2"/>
        <v>#DIV/0!</v>
      </c>
      <c r="N22" s="244" t="e">
        <f t="shared" si="3"/>
        <v>#DIV/0!</v>
      </c>
      <c r="O22" s="244">
        <f t="shared" si="4"/>
        <v>0</v>
      </c>
      <c r="P22" s="42"/>
      <c r="Q22" s="40"/>
      <c r="R22" s="40"/>
      <c r="S22" s="40"/>
      <c r="T22" s="40"/>
      <c r="U22" s="40"/>
      <c r="V22" s="40"/>
      <c r="W22" s="40"/>
      <c r="X22" s="40"/>
      <c r="Y22" s="40"/>
      <c r="Z22" s="40"/>
      <c r="AA22" s="40"/>
      <c r="AB22" s="40"/>
      <c r="AC22" s="40"/>
      <c r="AD22" s="40"/>
      <c r="AE22" s="40"/>
      <c r="AF22" s="40"/>
      <c r="AG22" s="40"/>
    </row>
    <row r="23" spans="1:33" ht="15" customHeight="1">
      <c r="A23" s="245" t="s">
        <v>50</v>
      </c>
      <c r="B23" s="241">
        <f>SUMIF('4-Basis ruimtestaat'!B:B,'2-Kosten per locatie'!A23,'4-Basis ruimtestaat'!J:J)</f>
        <v>677.8</v>
      </c>
      <c r="C23" s="242"/>
      <c r="D23" s="243">
        <f>_xlfn.MAXIFS('4-Basis ruimtestaat'!L:L,'4-Basis ruimtestaat'!B:B,'2-Kosten per locatie'!A23)</f>
        <v>255</v>
      </c>
      <c r="E23" s="243">
        <f>_xlfn.MAXIFS('4-Basis ruimtestaat'!M:M,'4-Basis ruimtestaat'!B:B,'2-Kosten per locatie'!A23)</f>
        <v>0</v>
      </c>
      <c r="F23" s="243">
        <f>_xlfn.MAXIFS('4-Basis ruimtestaat'!N:N,'4-Basis ruimtestaat'!B:B,'2-Kosten per locatie'!A23)</f>
        <v>0</v>
      </c>
      <c r="G23" s="244" t="e">
        <f>SUMIF('4-Basis ruimtestaat'!B:B,'2-Kosten per locatie'!A23,'4-Basis ruimtestaat'!O:O)</f>
        <v>#DIV/0!</v>
      </c>
      <c r="H23" s="244">
        <f>SUMIF('4-Basis ruimtestaat'!B:B,'2-Kosten per locatie'!A23,'4-Basis ruimtestaat'!P:P)</f>
        <v>0</v>
      </c>
      <c r="I23" s="244">
        <f>SUMIF('4-Basis ruimtestaat'!B:B,'2-Kosten per locatie'!A23,'4-Basis ruimtestaat'!Q:Q)</f>
        <v>0</v>
      </c>
      <c r="J23" s="244" t="e">
        <f t="shared" si="0"/>
        <v>#DIV/0!</v>
      </c>
      <c r="K23" s="244"/>
      <c r="L23" s="244">
        <f t="shared" si="1"/>
        <v>0</v>
      </c>
      <c r="M23" s="244" t="e">
        <f t="shared" si="2"/>
        <v>#DIV/0!</v>
      </c>
      <c r="N23" s="244">
        <f t="shared" si="3"/>
        <v>0</v>
      </c>
      <c r="O23" s="244">
        <f t="shared" si="4"/>
        <v>0</v>
      </c>
      <c r="P23" s="42"/>
      <c r="Q23" s="40"/>
      <c r="R23" s="40"/>
      <c r="S23" s="40"/>
      <c r="T23" s="40"/>
      <c r="U23" s="40"/>
      <c r="V23" s="40"/>
      <c r="W23" s="40"/>
      <c r="X23" s="40"/>
      <c r="Y23" s="40"/>
      <c r="Z23" s="40"/>
      <c r="AA23" s="40"/>
      <c r="AB23" s="40"/>
      <c r="AC23" s="40"/>
      <c r="AD23" s="40"/>
      <c r="AE23" s="40"/>
      <c r="AF23" s="40"/>
      <c r="AG23" s="40"/>
    </row>
    <row r="24" spans="1:33" ht="15" customHeight="1">
      <c r="A24" s="247" t="s">
        <v>51</v>
      </c>
      <c r="B24" s="241">
        <f>SUMIF('4-Basis ruimtestaat'!B:B,'2-Kosten per locatie'!A24,'4-Basis ruimtestaat'!J:J)</f>
        <v>0</v>
      </c>
      <c r="C24" s="242"/>
      <c r="D24" s="243">
        <f>_xlfn.MAXIFS('4-Basis ruimtestaat'!L:L,'4-Basis ruimtestaat'!B:B,'2-Kosten per locatie'!A24)</f>
        <v>0</v>
      </c>
      <c r="E24" s="243">
        <f>_xlfn.MAXIFS('4-Basis ruimtestaat'!M:M,'4-Basis ruimtestaat'!B:B,'2-Kosten per locatie'!A24)</f>
        <v>0</v>
      </c>
      <c r="F24" s="243">
        <f>_xlfn.MAXIFS('4-Basis ruimtestaat'!N:N,'4-Basis ruimtestaat'!B:B,'2-Kosten per locatie'!A24)</f>
        <v>0</v>
      </c>
      <c r="G24" s="244">
        <f>SUMIF('4-Basis ruimtestaat'!B:B,'2-Kosten per locatie'!A24,'4-Basis ruimtestaat'!O:O)</f>
        <v>0</v>
      </c>
      <c r="H24" s="244">
        <f>SUMIF('4-Basis ruimtestaat'!B:B,'2-Kosten per locatie'!A24,'4-Basis ruimtestaat'!P:P)</f>
        <v>0</v>
      </c>
      <c r="I24" s="244">
        <f>SUMIF('4-Basis ruimtestaat'!B:B,'2-Kosten per locatie'!A24,'4-Basis ruimtestaat'!Q:Q)</f>
        <v>0</v>
      </c>
      <c r="J24" s="244">
        <f t="shared" si="0"/>
        <v>0</v>
      </c>
      <c r="K24" s="244"/>
      <c r="L24" s="244">
        <f t="shared" si="1"/>
        <v>0</v>
      </c>
      <c r="M24" s="244">
        <f t="shared" si="2"/>
        <v>0</v>
      </c>
      <c r="N24" s="244">
        <f t="shared" si="3"/>
        <v>0</v>
      </c>
      <c r="O24" s="244">
        <f t="shared" si="4"/>
        <v>0</v>
      </c>
      <c r="P24" s="42"/>
      <c r="Q24" s="40"/>
      <c r="R24" s="40"/>
      <c r="S24" s="40"/>
      <c r="T24" s="40"/>
      <c r="U24" s="40"/>
      <c r="V24" s="40"/>
      <c r="W24" s="40"/>
      <c r="X24" s="40"/>
      <c r="Y24" s="40"/>
      <c r="Z24" s="40"/>
      <c r="AA24" s="40"/>
      <c r="AB24" s="40"/>
      <c r="AC24" s="40"/>
      <c r="AD24" s="40"/>
      <c r="AE24" s="40"/>
      <c r="AF24" s="40"/>
      <c r="AG24" s="40"/>
    </row>
    <row r="25" spans="1:33" s="54" customFormat="1" ht="15" customHeight="1">
      <c r="A25" s="248" t="s">
        <v>52</v>
      </c>
      <c r="B25" s="249">
        <f>SUM(B15:B24)</f>
        <v>6526.2999999999984</v>
      </c>
      <c r="C25" s="250"/>
      <c r="D25" s="251"/>
      <c r="E25" s="251"/>
      <c r="F25" s="251"/>
      <c r="G25" s="252" t="e">
        <f t="shared" ref="G25:O25" si="10">SUM(G15:G24)</f>
        <v>#DIV/0!</v>
      </c>
      <c r="H25" s="252" t="e">
        <f t="shared" si="10"/>
        <v>#DIV/0!</v>
      </c>
      <c r="I25" s="252" t="e">
        <f t="shared" si="10"/>
        <v>#DIV/0!</v>
      </c>
      <c r="J25" s="252" t="e">
        <f t="shared" si="10"/>
        <v>#DIV/0!</v>
      </c>
      <c r="K25" s="252">
        <f t="shared" si="10"/>
        <v>0</v>
      </c>
      <c r="L25" s="252" t="e">
        <f t="shared" si="10"/>
        <v>#DIV/0!</v>
      </c>
      <c r="M25" s="252" t="e">
        <f t="shared" si="10"/>
        <v>#DIV/0!</v>
      </c>
      <c r="N25" s="252" t="e">
        <f t="shared" si="10"/>
        <v>#DIV/0!</v>
      </c>
      <c r="O25" s="252" t="e">
        <f t="shared" si="10"/>
        <v>#DIV/0!</v>
      </c>
      <c r="P25" s="42"/>
    </row>
    <row r="26" spans="1:33" s="53" customFormat="1" ht="14.1" customHeight="1">
      <c r="AD26" s="40"/>
    </row>
    <row r="27" spans="1:33" ht="83.4" customHeight="1">
      <c r="A27" s="253" t="s">
        <v>27</v>
      </c>
      <c r="B27" s="254" t="s">
        <v>53</v>
      </c>
      <c r="C27" s="254" t="s">
        <v>54</v>
      </c>
      <c r="D27" s="254" t="s">
        <v>55</v>
      </c>
      <c r="E27" s="254" t="s">
        <v>56</v>
      </c>
      <c r="F27" s="254" t="s">
        <v>57</v>
      </c>
      <c r="G27" s="254" t="s">
        <v>58</v>
      </c>
      <c r="H27" s="254" t="s">
        <v>59</v>
      </c>
      <c r="I27" s="239" t="s">
        <v>60</v>
      </c>
      <c r="J27" s="254" t="s">
        <v>61</v>
      </c>
      <c r="K27" s="254" t="s">
        <v>62</v>
      </c>
      <c r="L27" s="254" t="s">
        <v>63</v>
      </c>
      <c r="M27" s="254" t="s">
        <v>64</v>
      </c>
      <c r="N27" s="492"/>
      <c r="O27" s="492"/>
      <c r="Z27" s="53"/>
      <c r="AA27" s="40"/>
      <c r="AB27" s="40"/>
      <c r="AC27" s="40"/>
      <c r="AD27" s="40"/>
      <c r="AE27" s="40"/>
      <c r="AF27" s="40"/>
      <c r="AG27" s="40"/>
    </row>
    <row r="28" spans="1:33" s="53" customFormat="1" ht="15" customHeight="1">
      <c r="A28" s="245" t="str">
        <f t="shared" ref="A28:A37" si="11">A15</f>
        <v>Begraafplaats, kantoor</v>
      </c>
      <c r="B28" s="255" t="e">
        <f>(G15+J15)*'6-Opbouw uurtarief productie'!$E$47</f>
        <v>#DIV/0!</v>
      </c>
      <c r="C28" s="255" t="e">
        <f>(H15+K15)*'6-Opbouw uurtarief productie'!$E$47</f>
        <v>#DIV/0!</v>
      </c>
      <c r="D28" s="256" t="e">
        <f>(I15+L15)*'6-Opbouw uurtarief productie'!$E$51</f>
        <v>#DIV/0!</v>
      </c>
      <c r="E28" s="257" t="e">
        <f t="shared" ref="E28:E37" si="12">SUM(B28:D28)</f>
        <v>#DIV/0!</v>
      </c>
      <c r="F28" s="257" t="e">
        <f>M15*'7-Opbouw uurtarief toezicht'!$E$46</f>
        <v>#DIV/0!</v>
      </c>
      <c r="G28" s="257" t="e">
        <f>N15*'7-Opbouw uurtarief toezicht'!$E$46</f>
        <v>#DIV/0!</v>
      </c>
      <c r="H28" s="257" t="e">
        <f>O15*'7-Opbouw uurtarief toezicht'!$E$50</f>
        <v>#DIV/0!</v>
      </c>
      <c r="I28" s="258" t="e">
        <f t="shared" ref="I28:I37" si="13">SUM(F28:H28)</f>
        <v>#DIV/0!</v>
      </c>
      <c r="J28" s="259">
        <f>SUMIF('9-Vloeronderhoud'!A:A,'2-Kosten per locatie'!A28,'9-Vloeronderhoud'!I:I)</f>
        <v>0</v>
      </c>
      <c r="K28" s="257"/>
      <c r="L28" s="257" t="e">
        <f>E28+I28+J28+K28</f>
        <v>#DIV/0!</v>
      </c>
      <c r="M28" s="257" t="e">
        <f>L28/12</f>
        <v>#DIV/0!</v>
      </c>
      <c r="N28" s="492"/>
      <c r="O28" s="492"/>
      <c r="P28" s="41"/>
      <c r="Q28" s="41"/>
      <c r="R28" s="41"/>
    </row>
    <row r="29" spans="1:33" ht="15" customHeight="1">
      <c r="A29" s="245" t="str">
        <f t="shared" si="11"/>
        <v>Begraafplaats, Kapel</v>
      </c>
      <c r="B29" s="255" t="e">
        <f>(G16+J16)*'6-Opbouw uurtarief productie'!$E$47</f>
        <v>#DIV/0!</v>
      </c>
      <c r="C29" s="255" t="e">
        <f>(H16+K16)*'6-Opbouw uurtarief productie'!$E$47</f>
        <v>#DIV/0!</v>
      </c>
      <c r="D29" s="256" t="e">
        <f>(I16+L16)*'6-Opbouw uurtarief productie'!$E$51</f>
        <v>#DIV/0!</v>
      </c>
      <c r="E29" s="257" t="e">
        <f t="shared" si="12"/>
        <v>#DIV/0!</v>
      </c>
      <c r="F29" s="257" t="e">
        <f>M16*'7-Opbouw uurtarief toezicht'!$E$46</f>
        <v>#DIV/0!</v>
      </c>
      <c r="G29" s="257" t="e">
        <f>N16*'7-Opbouw uurtarief toezicht'!$E$46</f>
        <v>#DIV/0!</v>
      </c>
      <c r="H29" s="257" t="e">
        <f>O16*'7-Opbouw uurtarief toezicht'!$E$50</f>
        <v>#DIV/0!</v>
      </c>
      <c r="I29" s="258" t="e">
        <f t="shared" si="13"/>
        <v>#DIV/0!</v>
      </c>
      <c r="J29" s="259">
        <f>SUMIF('9-Vloeronderhoud'!A:A,'2-Kosten per locatie'!A29,'9-Vloeronderhoud'!I:I)</f>
        <v>0</v>
      </c>
      <c r="K29" s="257"/>
      <c r="L29" s="257" t="e">
        <f t="shared" ref="L29:L38" si="14">E29+I29+J29+K29</f>
        <v>#DIV/0!</v>
      </c>
      <c r="M29" s="257" t="e">
        <f t="shared" ref="M29:M30" si="15">L29/12</f>
        <v>#DIV/0!</v>
      </c>
      <c r="N29" s="492"/>
      <c r="O29" s="492"/>
      <c r="Z29" s="53"/>
      <c r="AA29" s="40"/>
      <c r="AB29" s="40"/>
      <c r="AC29" s="40"/>
      <c r="AD29" s="40"/>
      <c r="AE29" s="40"/>
      <c r="AF29" s="40"/>
      <c r="AG29" s="40"/>
    </row>
    <row r="30" spans="1:33" ht="15" customHeight="1">
      <c r="A30" s="245" t="str">
        <f t="shared" si="11"/>
        <v>Bibliotheek</v>
      </c>
      <c r="B30" s="255" t="e">
        <f>(G17+J17)*'6-Opbouw uurtarief productie'!$E$47</f>
        <v>#DIV/0!</v>
      </c>
      <c r="C30" s="255" t="e">
        <f>(H17+K17)*'6-Opbouw uurtarief productie'!$E$47</f>
        <v>#DIV/0!</v>
      </c>
      <c r="D30" s="256" t="e">
        <f>(I17+L17)*'6-Opbouw uurtarief productie'!$E$51</f>
        <v>#DIV/0!</v>
      </c>
      <c r="E30" s="257" t="e">
        <f t="shared" si="12"/>
        <v>#DIV/0!</v>
      </c>
      <c r="F30" s="257" t="e">
        <f>M17*'7-Opbouw uurtarief toezicht'!$E$46</f>
        <v>#DIV/0!</v>
      </c>
      <c r="G30" s="257" t="e">
        <f>N17*'7-Opbouw uurtarief toezicht'!$E$46</f>
        <v>#DIV/0!</v>
      </c>
      <c r="H30" s="257" t="e">
        <f>O17*'7-Opbouw uurtarief toezicht'!$E$50</f>
        <v>#DIV/0!</v>
      </c>
      <c r="I30" s="258" t="e">
        <f t="shared" si="13"/>
        <v>#DIV/0!</v>
      </c>
      <c r="J30" s="259">
        <f>SUMIF('9-Vloeronderhoud'!A:A,'2-Kosten per locatie'!A30,'9-Vloeronderhoud'!I:I)</f>
        <v>0</v>
      </c>
      <c r="K30" s="257"/>
      <c r="L30" s="257" t="e">
        <f t="shared" si="14"/>
        <v>#DIV/0!</v>
      </c>
      <c r="M30" s="257" t="e">
        <f t="shared" si="15"/>
        <v>#DIV/0!</v>
      </c>
      <c r="N30" s="492"/>
      <c r="O30" s="492"/>
      <c r="Z30" s="53"/>
      <c r="AA30" s="40"/>
      <c r="AB30" s="40"/>
      <c r="AC30" s="40"/>
      <c r="AD30" s="40"/>
      <c r="AE30" s="40"/>
      <c r="AF30" s="40"/>
      <c r="AG30" s="40"/>
    </row>
    <row r="31" spans="1:33" ht="15" customHeight="1">
      <c r="A31" s="245" t="str">
        <f t="shared" si="11"/>
        <v>Gymzaal Offenbach</v>
      </c>
      <c r="B31" s="255" t="e">
        <f>(G18+J18)*'6-Opbouw uurtarief productie'!$E$47</f>
        <v>#DIV/0!</v>
      </c>
      <c r="C31" s="255" t="e">
        <f>(H18+K18)*'6-Opbouw uurtarief productie'!$E$47</f>
        <v>#DIV/0!</v>
      </c>
      <c r="D31" s="256" t="e">
        <f>(I18+L18)*'6-Opbouw uurtarief productie'!$E$51</f>
        <v>#DIV/0!</v>
      </c>
      <c r="E31" s="257" t="e">
        <f t="shared" si="12"/>
        <v>#DIV/0!</v>
      </c>
      <c r="F31" s="257" t="e">
        <f>M18*'7-Opbouw uurtarief toezicht'!$E$46</f>
        <v>#DIV/0!</v>
      </c>
      <c r="G31" s="257" t="e">
        <f>N18*'7-Opbouw uurtarief toezicht'!$E$46</f>
        <v>#DIV/0!</v>
      </c>
      <c r="H31" s="257" t="e">
        <f>O18*'7-Opbouw uurtarief toezicht'!$E$50</f>
        <v>#DIV/0!</v>
      </c>
      <c r="I31" s="258" t="e">
        <f t="shared" si="13"/>
        <v>#DIV/0!</v>
      </c>
      <c r="J31" s="259">
        <f>SUMIF('9-Vloeronderhoud'!A:A,'2-Kosten per locatie'!A31,'9-Vloeronderhoud'!I:I)</f>
        <v>0</v>
      </c>
      <c r="K31" s="257"/>
      <c r="L31" s="257" t="e">
        <f t="shared" si="14"/>
        <v>#DIV/0!</v>
      </c>
      <c r="M31" s="257" t="e">
        <f t="shared" ref="M31:M37" si="16">L31/12</f>
        <v>#DIV/0!</v>
      </c>
      <c r="N31" s="492"/>
      <c r="O31" s="492"/>
      <c r="Z31" s="53"/>
      <c r="AA31" s="40"/>
      <c r="AB31" s="40"/>
      <c r="AC31" s="40"/>
      <c r="AD31" s="40"/>
      <c r="AE31" s="40"/>
      <c r="AF31" s="40"/>
      <c r="AG31" s="40"/>
    </row>
    <row r="32" spans="1:33" ht="15" customHeight="1">
      <c r="A32" s="245" t="str">
        <f t="shared" si="11"/>
        <v>Gymzaal V.d. Waalslaan</v>
      </c>
      <c r="B32" s="255" t="e">
        <f>(G19+J19)*'6-Opbouw uurtarief productie'!$E$47</f>
        <v>#DIV/0!</v>
      </c>
      <c r="C32" s="255" t="e">
        <f>(H19+K19)*'6-Opbouw uurtarief productie'!$E$47</f>
        <v>#DIV/0!</v>
      </c>
      <c r="D32" s="256" t="e">
        <f>(I19+L19)*'6-Opbouw uurtarief productie'!$E$51</f>
        <v>#DIV/0!</v>
      </c>
      <c r="E32" s="257" t="e">
        <f t="shared" si="12"/>
        <v>#DIV/0!</v>
      </c>
      <c r="F32" s="257" t="e">
        <f>M19*'7-Opbouw uurtarief toezicht'!$E$46</f>
        <v>#DIV/0!</v>
      </c>
      <c r="G32" s="257" t="e">
        <f>N19*'7-Opbouw uurtarief toezicht'!$E$46</f>
        <v>#DIV/0!</v>
      </c>
      <c r="H32" s="257" t="e">
        <f>O19*'7-Opbouw uurtarief toezicht'!$E$50</f>
        <v>#DIV/0!</v>
      </c>
      <c r="I32" s="258" t="e">
        <f t="shared" si="13"/>
        <v>#DIV/0!</v>
      </c>
      <c r="J32" s="259">
        <f>SUMIF('9-Vloeronderhoud'!A:A,'2-Kosten per locatie'!A32,'9-Vloeronderhoud'!I:I)</f>
        <v>0</v>
      </c>
      <c r="K32" s="257"/>
      <c r="L32" s="257" t="e">
        <f t="shared" si="14"/>
        <v>#DIV/0!</v>
      </c>
      <c r="M32" s="257" t="e">
        <f t="shared" si="16"/>
        <v>#DIV/0!</v>
      </c>
      <c r="N32" s="492"/>
      <c r="O32" s="492"/>
      <c r="Z32" s="53"/>
      <c r="AA32" s="40"/>
      <c r="AB32" s="40"/>
      <c r="AC32" s="40"/>
      <c r="AD32" s="40"/>
      <c r="AE32" s="40"/>
      <c r="AF32" s="40"/>
      <c r="AG32" s="40"/>
    </row>
    <row r="33" spans="1:33" ht="15" customHeight="1">
      <c r="A33" s="245" t="str">
        <f t="shared" si="11"/>
        <v>Havenhuisje</v>
      </c>
      <c r="B33" s="255" t="e">
        <f>(G20+J20)*'6-Opbouw uurtarief productie'!$E$47</f>
        <v>#DIV/0!</v>
      </c>
      <c r="C33" s="255" t="e">
        <f>(H20+K20)*'6-Opbouw uurtarief productie'!$E$47</f>
        <v>#DIV/0!</v>
      </c>
      <c r="D33" s="256" t="e">
        <f>(I20+L20)*'6-Opbouw uurtarief productie'!$E$51</f>
        <v>#DIV/0!</v>
      </c>
      <c r="E33" s="257" t="e">
        <f t="shared" ref="E33" si="17">SUM(B33:D33)</f>
        <v>#DIV/0!</v>
      </c>
      <c r="F33" s="257" t="e">
        <f>M20*'7-Opbouw uurtarief toezicht'!$E$46</f>
        <v>#DIV/0!</v>
      </c>
      <c r="G33" s="257" t="e">
        <f>N20*'7-Opbouw uurtarief toezicht'!$E$46</f>
        <v>#DIV/0!</v>
      </c>
      <c r="H33" s="257" t="e">
        <f>O20*'7-Opbouw uurtarief toezicht'!$E$50</f>
        <v>#DIV/0!</v>
      </c>
      <c r="I33" s="258" t="e">
        <f t="shared" ref="I33" si="18">SUM(F33:H33)</f>
        <v>#DIV/0!</v>
      </c>
      <c r="J33" s="259">
        <f>SUMIF('9-Vloeronderhoud'!A:A,'2-Kosten per locatie'!A33,'9-Vloeronderhoud'!I:I)</f>
        <v>0</v>
      </c>
      <c r="K33" s="257"/>
      <c r="L33" s="257" t="e">
        <f t="shared" ref="L33" si="19">E33+I33+J33+K33</f>
        <v>#DIV/0!</v>
      </c>
      <c r="M33" s="257" t="e">
        <f t="shared" ref="M33" si="20">L33/12</f>
        <v>#DIV/0!</v>
      </c>
      <c r="N33" s="492"/>
      <c r="O33" s="492"/>
      <c r="Z33" s="53"/>
      <c r="AA33" s="40"/>
      <c r="AB33" s="40"/>
      <c r="AC33" s="40"/>
      <c r="AD33" s="40"/>
      <c r="AE33" s="40"/>
      <c r="AF33" s="40"/>
      <c r="AG33" s="40"/>
    </row>
    <row r="34" spans="1:33" ht="15" customHeight="1">
      <c r="A34" s="245" t="str">
        <f t="shared" si="11"/>
        <v>Kinderboerderij</v>
      </c>
      <c r="B34" s="255" t="e">
        <f>(G21+J21)*'6-Opbouw uurtarief productie'!$E$47</f>
        <v>#DIV/0!</v>
      </c>
      <c r="C34" s="255" t="e">
        <f>(H21+K21)*'6-Opbouw uurtarief productie'!$E$47</f>
        <v>#DIV/0!</v>
      </c>
      <c r="D34" s="256" t="e">
        <f>(I21+L21)*'6-Opbouw uurtarief productie'!$E$51</f>
        <v>#DIV/0!</v>
      </c>
      <c r="E34" s="257" t="e">
        <f t="shared" si="12"/>
        <v>#DIV/0!</v>
      </c>
      <c r="F34" s="257" t="e">
        <f>M21*'7-Opbouw uurtarief toezicht'!$E$46</f>
        <v>#DIV/0!</v>
      </c>
      <c r="G34" s="257" t="e">
        <f>N21*'7-Opbouw uurtarief toezicht'!$E$46</f>
        <v>#DIV/0!</v>
      </c>
      <c r="H34" s="257" t="e">
        <f>O21*'7-Opbouw uurtarief toezicht'!$E$50</f>
        <v>#DIV/0!</v>
      </c>
      <c r="I34" s="258" t="e">
        <f t="shared" si="13"/>
        <v>#DIV/0!</v>
      </c>
      <c r="J34" s="259">
        <f>SUMIF('9-Vloeronderhoud'!A:A,'2-Kosten per locatie'!A34,'9-Vloeronderhoud'!I:I)</f>
        <v>0</v>
      </c>
      <c r="K34" s="257"/>
      <c r="L34" s="257" t="e">
        <f t="shared" si="14"/>
        <v>#DIV/0!</v>
      </c>
      <c r="M34" s="257" t="e">
        <f t="shared" si="16"/>
        <v>#DIV/0!</v>
      </c>
      <c r="N34" s="492"/>
      <c r="O34" s="492"/>
      <c r="Z34" s="53"/>
      <c r="AA34" s="40"/>
      <c r="AB34" s="40"/>
      <c r="AC34" s="40"/>
      <c r="AD34" s="40"/>
      <c r="AE34" s="40"/>
      <c r="AF34" s="40"/>
      <c r="AG34" s="40"/>
    </row>
    <row r="35" spans="1:33" ht="15" customHeight="1">
      <c r="A35" s="245" t="str">
        <f t="shared" si="11"/>
        <v>Raadhuis</v>
      </c>
      <c r="B35" s="255" t="e">
        <f>(G22+J22)*'6-Opbouw uurtarief productie'!$E$47</f>
        <v>#DIV/0!</v>
      </c>
      <c r="C35" s="255" t="e">
        <f>(H22+K22)*'6-Opbouw uurtarief productie'!$E$47</f>
        <v>#DIV/0!</v>
      </c>
      <c r="D35" s="256" t="e">
        <f>(I22+L22)*'6-Opbouw uurtarief productie'!$E$51</f>
        <v>#DIV/0!</v>
      </c>
      <c r="E35" s="257" t="e">
        <f t="shared" si="12"/>
        <v>#DIV/0!</v>
      </c>
      <c r="F35" s="257" t="e">
        <f>M22*'7-Opbouw uurtarief toezicht'!$E$46</f>
        <v>#DIV/0!</v>
      </c>
      <c r="G35" s="257" t="e">
        <f>N22*'7-Opbouw uurtarief toezicht'!$E$46</f>
        <v>#DIV/0!</v>
      </c>
      <c r="H35" s="257" t="e">
        <f>O22*'7-Opbouw uurtarief toezicht'!$E$50</f>
        <v>#DIV/0!</v>
      </c>
      <c r="I35" s="258" t="e">
        <f t="shared" si="13"/>
        <v>#DIV/0!</v>
      </c>
      <c r="J35" s="259">
        <f>SUMIF('9-Vloeronderhoud'!A:A,'2-Kosten per locatie'!A35,'9-Vloeronderhoud'!I:I)</f>
        <v>0</v>
      </c>
      <c r="K35" s="257"/>
      <c r="L35" s="257" t="e">
        <f t="shared" si="14"/>
        <v>#DIV/0!</v>
      </c>
      <c r="M35" s="257" t="e">
        <f t="shared" si="16"/>
        <v>#DIV/0!</v>
      </c>
      <c r="N35" s="492"/>
      <c r="O35" s="492"/>
      <c r="Z35" s="53"/>
      <c r="AA35" s="40"/>
      <c r="AB35" s="40"/>
      <c r="AC35" s="40"/>
      <c r="AD35" s="40"/>
      <c r="AE35" s="40"/>
      <c r="AF35" s="40"/>
      <c r="AG35" s="40"/>
    </row>
    <row r="36" spans="1:33" ht="15" customHeight="1">
      <c r="A36" s="245" t="str">
        <f t="shared" si="11"/>
        <v>Werf</v>
      </c>
      <c r="B36" s="255" t="e">
        <f>(G23+J23)*'6-Opbouw uurtarief productie'!$E$47</f>
        <v>#DIV/0!</v>
      </c>
      <c r="C36" s="255" t="e">
        <f>(H23+K23)*'6-Opbouw uurtarief productie'!$E$47</f>
        <v>#DIV/0!</v>
      </c>
      <c r="D36" s="256" t="e">
        <f>(I23+L23)*'6-Opbouw uurtarief productie'!$E$51</f>
        <v>#DIV/0!</v>
      </c>
      <c r="E36" s="257" t="e">
        <f t="shared" si="12"/>
        <v>#DIV/0!</v>
      </c>
      <c r="F36" s="257" t="e">
        <f>M23*'7-Opbouw uurtarief toezicht'!$E$46</f>
        <v>#DIV/0!</v>
      </c>
      <c r="G36" s="257" t="e">
        <f>N23*'7-Opbouw uurtarief toezicht'!$E$46</f>
        <v>#DIV/0!</v>
      </c>
      <c r="H36" s="257" t="e">
        <f>O23*'7-Opbouw uurtarief toezicht'!$E$50</f>
        <v>#DIV/0!</v>
      </c>
      <c r="I36" s="258" t="e">
        <f t="shared" si="13"/>
        <v>#DIV/0!</v>
      </c>
      <c r="J36" s="259">
        <f>SUMIF('9-Vloeronderhoud'!A:A,'2-Kosten per locatie'!A36,'9-Vloeronderhoud'!I:I)</f>
        <v>0</v>
      </c>
      <c r="K36" s="257"/>
      <c r="L36" s="257" t="e">
        <f t="shared" si="14"/>
        <v>#DIV/0!</v>
      </c>
      <c r="M36" s="257" t="e">
        <f t="shared" si="16"/>
        <v>#DIV/0!</v>
      </c>
      <c r="N36" s="492"/>
      <c r="O36" s="492"/>
      <c r="V36" s="53"/>
      <c r="W36" s="53"/>
      <c r="X36" s="53"/>
      <c r="Y36" s="53"/>
      <c r="Z36" s="53"/>
      <c r="AA36" s="40"/>
      <c r="AB36" s="40"/>
      <c r="AC36" s="40"/>
      <c r="AD36" s="40"/>
      <c r="AE36" s="40"/>
      <c r="AF36" s="40"/>
      <c r="AG36" s="40"/>
    </row>
    <row r="37" spans="1:33" ht="15" customHeight="1">
      <c r="A37" s="245" t="str">
        <f t="shared" si="11"/>
        <v>Algemeen</v>
      </c>
      <c r="B37" s="255" t="e">
        <f>(G24+J24)*'6-Opbouw uurtarief productie'!$E$47</f>
        <v>#DIV/0!</v>
      </c>
      <c r="C37" s="255" t="e">
        <f>(H24+K24)*'6-Opbouw uurtarief productie'!$E$47</f>
        <v>#DIV/0!</v>
      </c>
      <c r="D37" s="256" t="e">
        <f>(I24+L24)*'6-Opbouw uurtarief productie'!$E$51</f>
        <v>#DIV/0!</v>
      </c>
      <c r="E37" s="257" t="e">
        <f t="shared" si="12"/>
        <v>#DIV/0!</v>
      </c>
      <c r="F37" s="257" t="e">
        <f>M24*'7-Opbouw uurtarief toezicht'!$E$46</f>
        <v>#DIV/0!</v>
      </c>
      <c r="G37" s="257" t="e">
        <f>N24*'7-Opbouw uurtarief toezicht'!$E$46</f>
        <v>#DIV/0!</v>
      </c>
      <c r="H37" s="257" t="e">
        <f>O24*'7-Opbouw uurtarief toezicht'!$E$50</f>
        <v>#DIV/0!</v>
      </c>
      <c r="I37" s="258" t="e">
        <f t="shared" si="13"/>
        <v>#DIV/0!</v>
      </c>
      <c r="J37" s="259">
        <f>SUMIF('9-Vloeronderhoud'!A:A,'2-Kosten per locatie'!A37,'9-Vloeronderhoud'!I:I)</f>
        <v>0</v>
      </c>
      <c r="K37" s="257">
        <f>'10-Machinekosten'!Q30</f>
        <v>0</v>
      </c>
      <c r="L37" s="257" t="e">
        <f t="shared" si="14"/>
        <v>#DIV/0!</v>
      </c>
      <c r="M37" s="257" t="e">
        <f t="shared" si="16"/>
        <v>#DIV/0!</v>
      </c>
      <c r="N37" s="492"/>
      <c r="O37" s="492"/>
      <c r="V37" s="53"/>
      <c r="W37" s="53"/>
      <c r="X37" s="53"/>
      <c r="Y37" s="53"/>
      <c r="Z37" s="53"/>
      <c r="AA37" s="40"/>
      <c r="AB37" s="40"/>
      <c r="AC37" s="40"/>
      <c r="AD37" s="40"/>
      <c r="AE37" s="40"/>
      <c r="AF37" s="40"/>
      <c r="AG37" s="40"/>
    </row>
    <row r="38" spans="1:33" s="54" customFormat="1" ht="15" customHeight="1">
      <c r="A38" s="248" t="s">
        <v>52</v>
      </c>
      <c r="B38" s="260" t="e">
        <f>SUM(B28:B37)</f>
        <v>#DIV/0!</v>
      </c>
      <c r="C38" s="260" t="e">
        <f>SUM(C28:C37)</f>
        <v>#DIV/0!</v>
      </c>
      <c r="D38" s="261" t="e">
        <f>(I25+L25)*'6-Opbouw uurtarief productie'!$E$51</f>
        <v>#DIV/0!</v>
      </c>
      <c r="E38" s="260" t="e">
        <f t="shared" ref="E38:K38" si="21">SUM(E28:E37)</f>
        <v>#DIV/0!</v>
      </c>
      <c r="F38" s="260" t="e">
        <f t="shared" si="21"/>
        <v>#DIV/0!</v>
      </c>
      <c r="G38" s="260" t="e">
        <f t="shared" si="21"/>
        <v>#DIV/0!</v>
      </c>
      <c r="H38" s="260" t="e">
        <f t="shared" si="21"/>
        <v>#DIV/0!</v>
      </c>
      <c r="I38" s="260" t="e">
        <f t="shared" si="21"/>
        <v>#DIV/0!</v>
      </c>
      <c r="J38" s="260">
        <f t="shared" si="21"/>
        <v>0</v>
      </c>
      <c r="K38" s="260">
        <f t="shared" si="21"/>
        <v>0</v>
      </c>
      <c r="L38" s="262" t="e">
        <f t="shared" si="14"/>
        <v>#DIV/0!</v>
      </c>
      <c r="M38" s="260" t="e">
        <f>SUM(M28:M37)</f>
        <v>#DIV/0!</v>
      </c>
      <c r="N38" s="493"/>
      <c r="O38" s="494"/>
      <c r="V38" s="53"/>
      <c r="W38" s="53"/>
      <c r="X38" s="53"/>
      <c r="Y38" s="53"/>
      <c r="Z38" s="53"/>
    </row>
    <row r="39" spans="1:33" ht="14.1" customHeight="1">
      <c r="AC39" s="53"/>
      <c r="AD39" s="53"/>
      <c r="AE39" s="53"/>
      <c r="AF39" s="53"/>
      <c r="AG39" s="53"/>
    </row>
    <row r="40" spans="1:33" ht="14.1" customHeight="1">
      <c r="B40" s="218"/>
    </row>
    <row r="41" spans="1:33" ht="14.1" customHeight="1">
      <c r="B41" s="218"/>
    </row>
  </sheetData>
  <mergeCells count="3">
    <mergeCell ref="G13:I13"/>
    <mergeCell ref="J13:L13"/>
    <mergeCell ref="M13:O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T37"/>
  <sheetViews>
    <sheetView showGridLines="0" zoomScale="85" zoomScaleNormal="85" workbookViewId="0">
      <pane ySplit="9" topLeftCell="A10" activePane="bottomLeft" state="frozen"/>
      <selection activeCell="B1" sqref="B1"/>
      <selection pane="bottomLeft" activeCell="C17" sqref="C17"/>
    </sheetView>
  </sheetViews>
  <sheetFormatPr defaultColWidth="9.109375" defaultRowHeight="13.2"/>
  <cols>
    <col min="1" max="1" width="31.6640625" style="55" customWidth="1"/>
    <col min="2" max="6" width="9.109375" style="55" customWidth="1"/>
    <col min="7" max="9" width="9.109375" style="55"/>
    <col min="10" max="10" width="11.5546875" style="55" customWidth="1"/>
    <col min="11" max="11" width="12.33203125" style="55" customWidth="1"/>
    <col min="12" max="12" width="9.109375" style="55"/>
    <col min="13" max="13" width="2.109375" style="55" customWidth="1"/>
    <col min="14" max="14" width="9.109375" style="56"/>
    <col min="15" max="15" width="10.109375" style="55" customWidth="1"/>
    <col min="16" max="16" width="11.6640625" style="55" customWidth="1"/>
    <col min="17" max="17" width="11" style="55" customWidth="1"/>
    <col min="18" max="18" width="3" style="55" customWidth="1"/>
    <col min="19" max="20" width="9.109375" style="56"/>
    <col min="21" max="21" width="9.109375" style="2"/>
    <col min="22" max="22" width="30.44140625" style="2" customWidth="1"/>
    <col min="23" max="16384" width="9.109375" style="2"/>
  </cols>
  <sheetData>
    <row r="1" spans="1:20">
      <c r="A1" s="263" t="s">
        <v>4</v>
      </c>
    </row>
    <row r="3" spans="1:20" ht="15.6">
      <c r="A3" s="38" t="str">
        <f>'2-Kosten per locatie'!A3</f>
        <v>Naam opdrachtgever</v>
      </c>
      <c r="B3" s="46" t="str">
        <f>'2-Kosten per locatie'!B3</f>
        <v>Gemeente Heemstede</v>
      </c>
      <c r="C3" s="46"/>
      <c r="D3" s="46"/>
      <c r="E3" s="46"/>
      <c r="F3" s="46"/>
      <c r="G3" s="57"/>
    </row>
    <row r="4" spans="1:20" ht="15.6">
      <c r="A4" s="38" t="str">
        <f>'2-Kosten per locatie'!A4</f>
        <v>Calculatie onderdeel</v>
      </c>
      <c r="B4" s="46" t="str">
        <f ca="1">MID(CELL("bestandsnaam",$B$7),SEARCH("]",CELL("bestandsnaam",$B$7),1)+1,256)</f>
        <v>3-Productie normen</v>
      </c>
      <c r="C4" s="46"/>
      <c r="D4" s="46"/>
      <c r="E4" s="46"/>
      <c r="F4" s="46"/>
      <c r="G4" s="46"/>
    </row>
    <row r="5" spans="1:20" ht="15.6">
      <c r="A5" s="38" t="str">
        <f>'2-Kosten per locatie'!A5</f>
        <v>Gebouw/plaats</v>
      </c>
      <c r="B5" s="46" t="str">
        <f>'2-Kosten per locatie'!B5</f>
        <v>Heemstede e.o.</v>
      </c>
      <c r="C5" s="46"/>
      <c r="D5" s="46"/>
      <c r="E5" s="46"/>
      <c r="F5" s="46"/>
      <c r="G5" s="46"/>
    </row>
    <row r="6" spans="1:20" ht="15.6">
      <c r="A6" s="38" t="str">
        <f>'2-Kosten per locatie'!A6</f>
        <v>Referentie nummer</v>
      </c>
      <c r="B6" s="46">
        <f>'2-Kosten per locatie'!B6</f>
        <v>0</v>
      </c>
      <c r="C6" s="46"/>
      <c r="D6" s="46"/>
      <c r="E6" s="46"/>
      <c r="F6" s="46"/>
      <c r="G6" s="46"/>
      <c r="I6" s="264" t="s">
        <v>65</v>
      </c>
      <c r="J6" s="265"/>
      <c r="K6" s="266" t="e">
        <f>SUM('4-Basis ruimtestaat'!X:X)/SUM('4-Basis ruimtestaat'!O:Q)</f>
        <v>#DIV/0!</v>
      </c>
      <c r="L6" s="267" t="s">
        <v>66</v>
      </c>
    </row>
    <row r="7" spans="1:20">
      <c r="A7" s="58"/>
      <c r="B7" s="59"/>
      <c r="C7" s="59"/>
      <c r="D7" s="59"/>
      <c r="E7" s="59"/>
      <c r="F7" s="59"/>
      <c r="G7" s="59"/>
      <c r="H7" s="60"/>
      <c r="I7" s="61"/>
      <c r="J7" s="61"/>
      <c r="K7" s="62"/>
      <c r="L7" s="63"/>
      <c r="M7" s="64"/>
      <c r="O7" s="65"/>
      <c r="P7" s="65"/>
      <c r="Q7" s="64"/>
      <c r="R7" s="64"/>
      <c r="S7" s="66"/>
      <c r="T7" s="66"/>
    </row>
    <row r="8" spans="1:20" ht="27.75" customHeight="1">
      <c r="A8" s="268" t="s">
        <v>67</v>
      </c>
      <c r="B8" s="269">
        <v>40</v>
      </c>
      <c r="C8" s="269">
        <v>52</v>
      </c>
      <c r="D8" s="269">
        <v>156</v>
      </c>
      <c r="E8" s="269">
        <v>200</v>
      </c>
      <c r="F8" s="269">
        <v>117</v>
      </c>
      <c r="G8" s="269">
        <v>255</v>
      </c>
      <c r="H8" s="60"/>
      <c r="I8" s="170"/>
      <c r="J8" s="270"/>
      <c r="K8" s="270"/>
      <c r="L8" s="63"/>
      <c r="M8" s="171"/>
      <c r="N8" s="66"/>
      <c r="O8" s="65"/>
    </row>
    <row r="9" spans="1:20" ht="60.6" customHeight="1">
      <c r="A9" s="271" t="s">
        <v>68</v>
      </c>
      <c r="B9" s="507" t="s">
        <v>69</v>
      </c>
      <c r="C9" s="508"/>
      <c r="D9" s="508"/>
      <c r="E9" s="508"/>
      <c r="F9" s="508"/>
      <c r="G9" s="508"/>
      <c r="H9" s="60"/>
      <c r="I9" s="272" t="s">
        <v>70</v>
      </c>
      <c r="J9" s="273" t="s">
        <v>71</v>
      </c>
      <c r="K9" s="273" t="s">
        <v>72</v>
      </c>
      <c r="L9" s="63"/>
      <c r="M9" s="171"/>
      <c r="N9" s="272" t="s">
        <v>73</v>
      </c>
      <c r="O9" s="65"/>
    </row>
    <row r="10" spans="1:20">
      <c r="A10" s="274" t="s">
        <v>74</v>
      </c>
      <c r="B10" s="275"/>
      <c r="C10" s="495"/>
      <c r="D10" s="276"/>
      <c r="E10" s="276"/>
      <c r="F10" s="275"/>
      <c r="G10" s="276"/>
      <c r="H10" s="60"/>
      <c r="I10" s="277">
        <f>SUMIF('4-Basis ruimtestaat'!G:G,'3-Productie normen'!A10,'4-Basis ruimtestaat'!J:J)</f>
        <v>1520.0000000000002</v>
      </c>
      <c r="J10" s="68"/>
      <c r="L10" s="64"/>
      <c r="M10" s="64"/>
      <c r="N10" s="278" t="s">
        <v>75</v>
      </c>
      <c r="O10" s="65"/>
    </row>
    <row r="11" spans="1:20">
      <c r="A11" s="274" t="s">
        <v>44</v>
      </c>
      <c r="B11" s="275"/>
      <c r="C11" s="275"/>
      <c r="D11" s="275"/>
      <c r="E11" s="275"/>
      <c r="F11" s="275"/>
      <c r="G11" s="276"/>
      <c r="H11" s="60"/>
      <c r="I11" s="277">
        <f>SUMIF('4-Basis ruimtestaat'!G:G,'3-Productie normen'!A11,'4-Basis ruimtestaat'!J:J)</f>
        <v>842</v>
      </c>
      <c r="M11" s="64"/>
      <c r="N11" s="278" t="s">
        <v>75</v>
      </c>
      <c r="O11" s="65"/>
    </row>
    <row r="12" spans="1:20">
      <c r="A12" s="274" t="s">
        <v>76</v>
      </c>
      <c r="B12" s="275"/>
      <c r="C12" s="275"/>
      <c r="D12" s="275"/>
      <c r="E12" s="276"/>
      <c r="F12" s="275"/>
      <c r="G12" s="276"/>
      <c r="H12" s="60"/>
      <c r="I12" s="277">
        <f>SUMIF('4-Basis ruimtestaat'!G:G,'3-Productie normen'!A12,'4-Basis ruimtestaat'!J:J)</f>
        <v>41.8</v>
      </c>
      <c r="N12" s="278" t="s">
        <v>77</v>
      </c>
      <c r="O12" s="65"/>
    </row>
    <row r="13" spans="1:20">
      <c r="A13" s="274" t="s">
        <v>78</v>
      </c>
      <c r="B13" s="275"/>
      <c r="C13" s="275"/>
      <c r="D13" s="275"/>
      <c r="E13" s="276"/>
      <c r="F13" s="275"/>
      <c r="G13" s="276"/>
      <c r="H13" s="60"/>
      <c r="I13" s="277">
        <f>SUMIF('4-Basis ruimtestaat'!G:G,'3-Productie normen'!A13,'4-Basis ruimtestaat'!J:J)</f>
        <v>351.2</v>
      </c>
      <c r="N13" s="278" t="s">
        <v>79</v>
      </c>
      <c r="O13" s="65"/>
    </row>
    <row r="14" spans="1:20">
      <c r="A14" s="279" t="s">
        <v>80</v>
      </c>
      <c r="B14" s="275"/>
      <c r="C14" s="495"/>
      <c r="D14" s="276"/>
      <c r="E14" s="276"/>
      <c r="F14" s="275"/>
      <c r="G14" s="276"/>
      <c r="H14" s="60"/>
      <c r="I14" s="277">
        <f>SUMIF('4-Basis ruimtestaat'!G:G,'3-Productie normen'!A14,'4-Basis ruimtestaat'!J:J)</f>
        <v>973.6</v>
      </c>
      <c r="N14" s="278" t="s">
        <v>79</v>
      </c>
      <c r="O14" s="65"/>
    </row>
    <row r="15" spans="1:20">
      <c r="A15" s="274" t="s">
        <v>81</v>
      </c>
      <c r="B15" s="275"/>
      <c r="C15" s="275"/>
      <c r="D15" s="276"/>
      <c r="E15" s="275"/>
      <c r="F15" s="275"/>
      <c r="G15" s="276"/>
      <c r="H15" s="60"/>
      <c r="I15" s="277">
        <f>SUMIF('4-Basis ruimtestaat'!G:G,'3-Productie normen'!A15,'4-Basis ruimtestaat'!J:J)</f>
        <v>127</v>
      </c>
      <c r="N15" s="278" t="s">
        <v>79</v>
      </c>
      <c r="O15" s="65"/>
    </row>
    <row r="16" spans="1:20">
      <c r="A16" s="274" t="s">
        <v>82</v>
      </c>
      <c r="B16" s="275"/>
      <c r="C16" s="275"/>
      <c r="D16" s="276"/>
      <c r="E16" s="276"/>
      <c r="F16" s="275"/>
      <c r="G16" s="276"/>
      <c r="H16" s="60"/>
      <c r="I16" s="277">
        <f>SUMIF('4-Basis ruimtestaat'!G:G,'3-Productie normen'!A16,'4-Basis ruimtestaat'!J:J)</f>
        <v>213.9</v>
      </c>
      <c r="N16" s="278" t="s">
        <v>77</v>
      </c>
      <c r="O16" s="65"/>
    </row>
    <row r="17" spans="1:20">
      <c r="A17" s="274" t="s">
        <v>83</v>
      </c>
      <c r="B17" s="275"/>
      <c r="C17" s="275"/>
      <c r="D17" s="275"/>
      <c r="E17" s="275"/>
      <c r="F17" s="275"/>
      <c r="G17" s="276"/>
      <c r="H17" s="60"/>
      <c r="I17" s="277">
        <f>SUMIF('4-Basis ruimtestaat'!G:G,'3-Productie normen'!A17,'4-Basis ruimtestaat'!J:J)</f>
        <v>4.5</v>
      </c>
      <c r="N17" s="278" t="s">
        <v>79</v>
      </c>
      <c r="O17" s="65"/>
    </row>
    <row r="18" spans="1:20">
      <c r="A18" s="274" t="s">
        <v>84</v>
      </c>
      <c r="B18" s="276"/>
      <c r="C18" s="276"/>
      <c r="D18" s="275"/>
      <c r="E18" s="275"/>
      <c r="F18" s="275"/>
      <c r="G18" s="275"/>
      <c r="H18" s="60"/>
      <c r="I18" s="277">
        <f>SUMIF('4-Basis ruimtestaat'!G:G,'3-Productie normen'!A18,'4-Basis ruimtestaat'!J:J)</f>
        <v>473.09999999999997</v>
      </c>
      <c r="N18" s="278" t="s">
        <v>79</v>
      </c>
      <c r="O18" s="65"/>
    </row>
    <row r="19" spans="1:20">
      <c r="A19" s="274" t="s">
        <v>85</v>
      </c>
      <c r="B19" s="275"/>
      <c r="C19" s="275"/>
      <c r="D19" s="276"/>
      <c r="E19" s="275"/>
      <c r="F19" s="275"/>
      <c r="G19" s="276"/>
      <c r="H19" s="60"/>
      <c r="I19" s="277">
        <f>SUMIF('4-Basis ruimtestaat'!G:G,'3-Productie normen'!A19,'4-Basis ruimtestaat'!J:J)</f>
        <v>323.5</v>
      </c>
      <c r="N19" s="278" t="s">
        <v>79</v>
      </c>
      <c r="O19" s="65"/>
    </row>
    <row r="20" spans="1:20">
      <c r="A20" s="279" t="s">
        <v>86</v>
      </c>
      <c r="B20" s="275"/>
      <c r="C20" s="275"/>
      <c r="D20" s="276"/>
      <c r="E20" s="276"/>
      <c r="F20" s="276"/>
      <c r="G20" s="276"/>
      <c r="H20" s="60"/>
      <c r="I20" s="277">
        <f>SUMIF('4-Basis ruimtestaat'!G:G,'3-Productie normen'!A20,'4-Basis ruimtestaat'!J:J)</f>
        <v>142.89999999999998</v>
      </c>
      <c r="N20" s="278" t="s">
        <v>77</v>
      </c>
      <c r="O20" s="65"/>
    </row>
    <row r="21" spans="1:20">
      <c r="A21" s="279" t="s">
        <v>87</v>
      </c>
      <c r="B21" s="275"/>
      <c r="C21" s="275"/>
      <c r="D21" s="275"/>
      <c r="E21" s="276"/>
      <c r="F21" s="275"/>
      <c r="G21" s="280"/>
      <c r="H21" s="60"/>
      <c r="I21" s="277">
        <f>SUMIF('4-Basis ruimtestaat'!G:G,'3-Productie normen'!A21,'4-Basis ruimtestaat'!J:J)</f>
        <v>504</v>
      </c>
      <c r="L21" s="69"/>
      <c r="N21" s="278" t="s">
        <v>79</v>
      </c>
      <c r="O21" s="65"/>
    </row>
    <row r="22" spans="1:20">
      <c r="A22" s="279" t="s">
        <v>88</v>
      </c>
      <c r="B22" s="275"/>
      <c r="C22" s="275"/>
      <c r="D22" s="276"/>
      <c r="E22" s="275"/>
      <c r="F22" s="275"/>
      <c r="G22" s="276"/>
      <c r="H22" s="60"/>
      <c r="I22" s="277">
        <f>SUMIF('4-Basis ruimtestaat'!G:G,'3-Productie normen'!A22,'4-Basis ruimtestaat'!J:J)</f>
        <v>126.3</v>
      </c>
      <c r="L22" s="69"/>
      <c r="N22" s="278" t="s">
        <v>79</v>
      </c>
      <c r="O22" s="65"/>
    </row>
    <row r="23" spans="1:20">
      <c r="A23" s="279" t="s">
        <v>89</v>
      </c>
      <c r="B23" s="275"/>
      <c r="C23" s="495"/>
      <c r="D23" s="276"/>
      <c r="E23" s="275"/>
      <c r="F23" s="275"/>
      <c r="G23" s="276"/>
      <c r="H23" s="60"/>
      <c r="I23" s="277">
        <f>SUMIF('4-Basis ruimtestaat'!G:G,'3-Productie normen'!A23,'4-Basis ruimtestaat'!J:J)</f>
        <v>882.5</v>
      </c>
      <c r="L23" s="69"/>
      <c r="N23" s="278" t="s">
        <v>75</v>
      </c>
      <c r="O23" s="65"/>
    </row>
    <row r="24" spans="1:20">
      <c r="A24" s="279"/>
      <c r="B24" s="275"/>
      <c r="C24" s="275"/>
      <c r="D24" s="275"/>
      <c r="E24" s="275"/>
      <c r="F24" s="275"/>
      <c r="G24" s="275"/>
      <c r="H24" s="60"/>
      <c r="I24" s="277"/>
      <c r="L24" s="64"/>
      <c r="N24" s="278"/>
      <c r="O24" s="65"/>
    </row>
    <row r="25" spans="1:20">
      <c r="A25" s="279" t="s">
        <v>90</v>
      </c>
      <c r="B25" s="275"/>
      <c r="C25" s="275"/>
      <c r="D25" s="275"/>
      <c r="E25" s="275"/>
      <c r="F25" s="275"/>
      <c r="G25" s="275"/>
      <c r="H25" s="60"/>
      <c r="I25" s="277">
        <f>SUMIF('4-Basis ruimtestaat'!G:G,'3-Productie normen'!A25,'4-Basis ruimtestaat'!J:J)</f>
        <v>0</v>
      </c>
      <c r="L25" s="64"/>
      <c r="N25" s="278"/>
      <c r="O25" s="65"/>
    </row>
    <row r="26" spans="1:20">
      <c r="A26" s="279"/>
      <c r="B26" s="281"/>
      <c r="C26" s="281"/>
      <c r="D26" s="281"/>
      <c r="E26" s="281"/>
      <c r="F26" s="281"/>
      <c r="G26" s="281"/>
      <c r="H26" s="60"/>
      <c r="I26" s="277"/>
      <c r="L26" s="64"/>
      <c r="M26" s="67"/>
      <c r="N26" s="278"/>
      <c r="O26" s="65"/>
    </row>
    <row r="27" spans="1:20">
      <c r="A27" s="282" t="s">
        <v>52</v>
      </c>
      <c r="B27" s="283"/>
      <c r="C27" s="283"/>
      <c r="D27" s="283"/>
      <c r="E27" s="283"/>
      <c r="F27" s="283"/>
      <c r="G27" s="283"/>
      <c r="H27" s="60"/>
      <c r="I27" s="284">
        <f>SUM(I10:I26)</f>
        <v>6526.3</v>
      </c>
      <c r="J27" s="68"/>
      <c r="L27" s="64"/>
      <c r="M27" s="64"/>
      <c r="N27" s="285"/>
      <c r="O27" s="65"/>
    </row>
    <row r="28" spans="1:20">
      <c r="H28" s="60"/>
      <c r="I28" s="61"/>
      <c r="J28" s="61"/>
      <c r="K28" s="62"/>
      <c r="L28" s="63"/>
      <c r="N28" s="55"/>
      <c r="O28" s="65"/>
      <c r="Q28" s="64"/>
      <c r="R28" s="64"/>
      <c r="S28" s="55"/>
      <c r="T28" s="55"/>
    </row>
    <row r="29" spans="1:20" ht="16.2">
      <c r="A29" s="286" t="s">
        <v>91</v>
      </c>
      <c r="B29" s="287">
        <v>2</v>
      </c>
      <c r="C29" s="287">
        <v>3</v>
      </c>
      <c r="D29" s="287">
        <v>4</v>
      </c>
      <c r="E29" s="287">
        <v>5</v>
      </c>
      <c r="F29" s="287">
        <v>6</v>
      </c>
      <c r="G29" s="287">
        <v>7</v>
      </c>
      <c r="H29" s="60"/>
      <c r="I29" s="61"/>
      <c r="J29" s="61"/>
      <c r="K29" s="62"/>
      <c r="L29" s="63"/>
      <c r="M29" s="64"/>
      <c r="Q29" s="64"/>
    </row>
    <row r="31" spans="1:20">
      <c r="A31" s="288" t="s">
        <v>92</v>
      </c>
      <c r="B31" s="288" t="s">
        <v>93</v>
      </c>
      <c r="C31" s="289" t="s">
        <v>94</v>
      </c>
      <c r="D31" s="220"/>
    </row>
    <row r="32" spans="1:20">
      <c r="A32" s="280" t="s">
        <v>95</v>
      </c>
      <c r="B32" s="290">
        <v>40</v>
      </c>
      <c r="C32" s="291">
        <v>2</v>
      </c>
      <c r="D32" s="221"/>
      <c r="E32" s="2"/>
      <c r="F32" s="2"/>
    </row>
    <row r="33" spans="1:6">
      <c r="A33" s="280" t="s">
        <v>96</v>
      </c>
      <c r="B33" s="290">
        <v>52</v>
      </c>
      <c r="C33" s="291">
        <v>3</v>
      </c>
      <c r="D33" s="221"/>
      <c r="E33" s="2"/>
      <c r="F33" s="2"/>
    </row>
    <row r="34" spans="1:6">
      <c r="A34" s="280" t="s">
        <v>97</v>
      </c>
      <c r="B34" s="290">
        <v>156</v>
      </c>
      <c r="C34" s="291">
        <v>4</v>
      </c>
      <c r="D34" s="221"/>
      <c r="E34" s="2"/>
      <c r="F34" s="2"/>
    </row>
    <row r="35" spans="1:6">
      <c r="A35" s="280" t="s">
        <v>98</v>
      </c>
      <c r="B35" s="290">
        <v>200</v>
      </c>
      <c r="C35" s="291">
        <v>5</v>
      </c>
      <c r="D35" s="221"/>
      <c r="E35" s="2"/>
      <c r="F35" s="2"/>
    </row>
    <row r="36" spans="1:6" ht="26.4">
      <c r="A36" s="489" t="s">
        <v>99</v>
      </c>
      <c r="B36" s="490">
        <v>117</v>
      </c>
      <c r="C36" s="491">
        <v>6</v>
      </c>
      <c r="D36" s="221"/>
      <c r="E36" s="2"/>
      <c r="F36" s="2"/>
    </row>
    <row r="37" spans="1:6">
      <c r="A37" s="280" t="s">
        <v>100</v>
      </c>
      <c r="B37" s="292">
        <v>255</v>
      </c>
      <c r="C37" s="291">
        <v>7</v>
      </c>
      <c r="D37" s="221"/>
      <c r="E37" s="2"/>
      <c r="F37" s="2"/>
    </row>
  </sheetData>
  <mergeCells count="1">
    <mergeCell ref="B9:G9"/>
  </mergeCells>
  <conditionalFormatting sqref="J8:K8">
    <cfRule type="cellIs" dxfId="10" priority="1" operator="lessThan">
      <formula>1</formula>
    </cfRule>
  </conditionalFormatting>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Y1048576"/>
  <sheetViews>
    <sheetView showGridLines="0" showZeros="0" zoomScale="76" zoomScaleNormal="76" zoomScalePageLayoutView="75" workbookViewId="0">
      <pane xSplit="1" ySplit="9" topLeftCell="B155" activePane="bottomRight" state="frozen"/>
      <selection pane="topRight" activeCell="B1" sqref="B1"/>
      <selection pane="bottomLeft" activeCell="B1" sqref="B1"/>
      <selection pane="bottomRight" activeCell="A183" sqref="A183:XFD190"/>
    </sheetView>
  </sheetViews>
  <sheetFormatPr defaultColWidth="8.6640625" defaultRowHeight="14.1" customHeight="1"/>
  <cols>
    <col min="1" max="1" width="5" style="55" bestFit="1" customWidth="1"/>
    <col min="2" max="2" width="27.5546875" style="214" customWidth="1"/>
    <col min="3" max="3" width="30" style="55" bestFit="1" customWidth="1"/>
    <col min="4" max="4" width="12.5546875" style="55" customWidth="1"/>
    <col min="5" max="5" width="20.33203125" style="183" bestFit="1" customWidth="1"/>
    <col min="6" max="6" width="31" style="55" bestFit="1" customWidth="1"/>
    <col min="7" max="7" width="21.88671875" style="55" bestFit="1" customWidth="1"/>
    <col min="8" max="8" width="15.6640625" style="55" bestFit="1" customWidth="1"/>
    <col min="9" max="9" width="33.109375" style="214" bestFit="1" customWidth="1"/>
    <col min="10" max="10" width="8" style="55" bestFit="1" customWidth="1"/>
    <col min="11" max="11" width="10.6640625" style="70" customWidth="1"/>
    <col min="12" max="14" width="9.109375" style="89" customWidth="1"/>
    <col min="15" max="16" width="12.5546875" style="55" bestFit="1" customWidth="1"/>
    <col min="17" max="17" width="9.88671875" style="55" customWidth="1"/>
    <col min="18" max="18" width="12" style="55" bestFit="1" customWidth="1"/>
    <col min="19" max="19" width="16.6640625" style="55" customWidth="1"/>
    <col min="20" max="20" width="13" style="55" customWidth="1"/>
    <col min="21" max="21" width="9.33203125" style="55" customWidth="1"/>
    <col min="22" max="22" width="35.109375" style="55" customWidth="1"/>
    <col min="23" max="23" width="3" style="55" customWidth="1"/>
    <col min="24" max="24" width="11.109375" style="55" customWidth="1"/>
    <col min="25" max="25" width="15.5546875" style="2" bestFit="1" customWidth="1"/>
    <col min="26" max="16384" width="8.6640625" style="2"/>
  </cols>
  <sheetData>
    <row r="1" spans="1:24" ht="13.2">
      <c r="B1" s="55"/>
      <c r="I1" s="55"/>
      <c r="L1" s="55"/>
      <c r="M1" s="56"/>
      <c r="N1" s="55"/>
    </row>
    <row r="2" spans="1:24" ht="14.1" customHeight="1">
      <c r="A2" s="71">
        <v>2</v>
      </c>
      <c r="B2" s="172"/>
      <c r="C2" s="72"/>
      <c r="D2" s="73"/>
      <c r="E2" s="184"/>
      <c r="F2" s="74"/>
      <c r="G2" s="74"/>
      <c r="H2" s="75"/>
      <c r="I2" s="75"/>
      <c r="J2" s="76"/>
      <c r="K2" s="77"/>
      <c r="L2" s="78"/>
      <c r="M2" s="78"/>
      <c r="N2" s="78"/>
      <c r="O2" s="75"/>
      <c r="P2" s="75"/>
      <c r="Q2" s="79"/>
      <c r="R2" s="79"/>
      <c r="S2" s="79"/>
      <c r="T2" s="79"/>
      <c r="U2" s="74"/>
      <c r="V2" s="74"/>
    </row>
    <row r="3" spans="1:24" ht="14.1" customHeight="1">
      <c r="A3" s="71">
        <v>3</v>
      </c>
      <c r="B3" s="38" t="str">
        <f>'2-Kosten per locatie'!A3</f>
        <v>Naam opdrachtgever</v>
      </c>
      <c r="C3" s="46" t="str">
        <f>'2-Kosten per locatie'!B3</f>
        <v>Gemeente Heemstede</v>
      </c>
      <c r="E3" s="185"/>
      <c r="H3" s="75"/>
      <c r="I3" s="75"/>
      <c r="J3" s="75"/>
      <c r="K3" s="75"/>
      <c r="L3" s="75"/>
      <c r="M3" s="75"/>
      <c r="N3" s="75"/>
      <c r="O3" s="75"/>
      <c r="P3" s="75"/>
      <c r="Q3" s="79"/>
      <c r="R3" s="79"/>
      <c r="S3" s="79"/>
      <c r="T3" s="79"/>
      <c r="U3" s="74"/>
      <c r="V3" s="74"/>
    </row>
    <row r="4" spans="1:24" ht="14.1" customHeight="1">
      <c r="A4" s="71">
        <v>4</v>
      </c>
      <c r="B4" s="38" t="str">
        <f>'2-Kosten per locatie'!A4</f>
        <v>Calculatie onderdeel</v>
      </c>
      <c r="C4" s="46" t="str">
        <f ca="1">MID(CELL("bestandsnaam",$D$9),SEARCH("]",CELL("bestandsnaam",$D$9),1)+1,256)</f>
        <v>4-Basis ruimtestaat</v>
      </c>
      <c r="E4" s="186"/>
      <c r="H4" s="75"/>
      <c r="I4" s="75"/>
      <c r="J4" s="75"/>
      <c r="K4" s="75"/>
      <c r="L4" s="75"/>
      <c r="M4" s="75"/>
      <c r="N4" s="75"/>
      <c r="O4" s="75"/>
      <c r="P4" s="75"/>
      <c r="Q4" s="79"/>
      <c r="R4" s="79"/>
      <c r="S4" s="79"/>
      <c r="T4" s="79"/>
      <c r="U4" s="74"/>
      <c r="V4" s="74"/>
    </row>
    <row r="5" spans="1:24" ht="14.1" customHeight="1">
      <c r="A5" s="71">
        <v>5</v>
      </c>
      <c r="B5" s="38" t="str">
        <f>'2-Kosten per locatie'!A5</f>
        <v>Gebouw/plaats</v>
      </c>
      <c r="C5" s="46" t="str">
        <f>'2-Kosten per locatie'!B5</f>
        <v>Heemstede e.o.</v>
      </c>
      <c r="E5" s="185"/>
      <c r="H5" s="75"/>
      <c r="I5" s="75"/>
      <c r="J5" s="75"/>
      <c r="K5" s="75"/>
      <c r="L5" s="75"/>
      <c r="M5" s="75"/>
      <c r="N5" s="75"/>
      <c r="O5" s="75"/>
      <c r="P5" s="75"/>
      <c r="Q5" s="79"/>
      <c r="R5" s="79"/>
      <c r="S5" s="79"/>
      <c r="T5" s="79"/>
      <c r="U5" s="74"/>
      <c r="V5" s="74"/>
    </row>
    <row r="6" spans="1:24" ht="14.1" customHeight="1">
      <c r="A6" s="71">
        <v>6</v>
      </c>
      <c r="B6" s="38" t="str">
        <f>'2-Kosten per locatie'!A6</f>
        <v>Referentie nummer</v>
      </c>
      <c r="C6" s="46">
        <f>'2-Kosten per locatie'!B6</f>
        <v>0</v>
      </c>
      <c r="E6" s="185"/>
      <c r="H6" s="75"/>
      <c r="I6" s="75"/>
      <c r="J6" s="75"/>
      <c r="K6" s="75"/>
      <c r="L6" s="75"/>
      <c r="M6" s="75"/>
      <c r="N6" s="75"/>
      <c r="O6" s="75"/>
      <c r="P6" s="75"/>
      <c r="Q6" s="79"/>
      <c r="R6" s="79"/>
      <c r="S6" s="498" t="s">
        <v>101</v>
      </c>
      <c r="T6" s="499"/>
      <c r="U6" s="74"/>
      <c r="V6" s="74"/>
    </row>
    <row r="7" spans="1:24" ht="12.75" customHeight="1">
      <c r="A7" s="71">
        <v>7</v>
      </c>
      <c r="B7" s="38" t="str">
        <f>'2-Kosten per locatie'!A7</f>
        <v>Naam dienstverlener</v>
      </c>
      <c r="C7" s="46">
        <f>'2-Kosten per locatie'!B7</f>
        <v>0</v>
      </c>
      <c r="E7" s="185"/>
      <c r="H7" s="75"/>
      <c r="I7" s="75"/>
      <c r="J7" s="76"/>
      <c r="K7" s="77"/>
      <c r="L7" s="78"/>
      <c r="M7" s="78"/>
      <c r="N7" s="78"/>
      <c r="O7" s="75"/>
      <c r="P7" s="75"/>
      <c r="Q7" s="79"/>
      <c r="R7" s="79"/>
      <c r="S7" s="500"/>
      <c r="T7" s="501"/>
      <c r="U7" s="74"/>
      <c r="V7" s="74"/>
    </row>
    <row r="8" spans="1:24" ht="14.1" customHeight="1">
      <c r="A8" s="71">
        <v>8</v>
      </c>
      <c r="B8" s="74"/>
      <c r="C8" s="74"/>
      <c r="D8" s="73"/>
      <c r="E8" s="184"/>
      <c r="F8" s="74"/>
      <c r="G8" s="74"/>
      <c r="H8" s="75"/>
      <c r="I8" s="75"/>
      <c r="J8" s="76"/>
      <c r="K8" s="77"/>
      <c r="L8" s="78"/>
      <c r="M8" s="78"/>
      <c r="N8" s="78"/>
      <c r="O8" s="75"/>
      <c r="P8" s="75"/>
      <c r="Q8" s="75"/>
      <c r="R8" s="75"/>
      <c r="S8" s="293">
        <f>'3-Productie normen'!J8</f>
        <v>0</v>
      </c>
      <c r="T8" s="293">
        <f>'3-Productie normen'!K8</f>
        <v>0</v>
      </c>
      <c r="U8" s="74"/>
      <c r="V8" s="74"/>
    </row>
    <row r="9" spans="1:24" ht="44.1" customHeight="1">
      <c r="A9" s="71">
        <v>9</v>
      </c>
      <c r="B9" s="294" t="s">
        <v>102</v>
      </c>
      <c r="C9" s="294" t="s">
        <v>103</v>
      </c>
      <c r="D9" s="294" t="s">
        <v>104</v>
      </c>
      <c r="E9" s="294" t="s">
        <v>105</v>
      </c>
      <c r="F9" s="294" t="s">
        <v>106</v>
      </c>
      <c r="G9" s="294" t="s">
        <v>107</v>
      </c>
      <c r="H9" s="295" t="s">
        <v>108</v>
      </c>
      <c r="I9" s="295" t="s">
        <v>109</v>
      </c>
      <c r="J9" s="296" t="s">
        <v>110</v>
      </c>
      <c r="K9" s="297" t="s">
        <v>111</v>
      </c>
      <c r="L9" s="298" t="s">
        <v>112</v>
      </c>
      <c r="M9" s="298" t="s">
        <v>113</v>
      </c>
      <c r="N9" s="298" t="s">
        <v>114</v>
      </c>
      <c r="O9" s="297" t="s">
        <v>115</v>
      </c>
      <c r="P9" s="297" t="s">
        <v>116</v>
      </c>
      <c r="Q9" s="297" t="s">
        <v>117</v>
      </c>
      <c r="R9" s="297" t="s">
        <v>118</v>
      </c>
      <c r="S9" s="297" t="s">
        <v>71</v>
      </c>
      <c r="T9" s="297" t="s">
        <v>72</v>
      </c>
      <c r="U9" s="299" t="s">
        <v>119</v>
      </c>
      <c r="V9" s="299" t="s">
        <v>120</v>
      </c>
      <c r="W9" s="173"/>
      <c r="X9" s="299" t="s">
        <v>121</v>
      </c>
    </row>
    <row r="10" spans="1:24" s="13" customFormat="1" ht="14.1" customHeight="1">
      <c r="A10" s="71">
        <v>10</v>
      </c>
      <c r="B10" s="300" t="s">
        <v>49</v>
      </c>
      <c r="C10" s="240" t="s">
        <v>122</v>
      </c>
      <c r="D10" s="301" t="s">
        <v>123</v>
      </c>
      <c r="E10" s="302"/>
      <c r="F10" s="240" t="s">
        <v>124</v>
      </c>
      <c r="G10" s="240" t="s">
        <v>74</v>
      </c>
      <c r="H10" s="280" t="s">
        <v>125</v>
      </c>
      <c r="I10" s="300" t="s">
        <v>126</v>
      </c>
      <c r="J10" s="303">
        <v>63.9</v>
      </c>
      <c r="K10" s="304">
        <f t="shared" ref="K10:K41" si="0">SUM(L10:N10)</f>
        <v>255</v>
      </c>
      <c r="L10" s="305">
        <v>255</v>
      </c>
      <c r="M10" s="305"/>
      <c r="N10" s="305"/>
      <c r="O10" s="306" t="e">
        <f>IF(L10="nio",0,IF(L10&gt;0,L10*J10/R10,0))*VLOOKUP(B10,'2-Kosten per locatie'!$A$14:$C$24,3,FALSE)</f>
        <v>#DIV/0!</v>
      </c>
      <c r="P10" s="306">
        <f>IF(M10&gt;0,M10*J10/S10,0)*VLOOKUP(B10,'2-Kosten per locatie'!$A$14:$C$24,3,FALSE)</f>
        <v>0</v>
      </c>
      <c r="Q10" s="306">
        <f>IF(N10&gt;0,N10*J10/T10,0)*VLOOKUP(B10,'2-Kosten per locatie'!$A$14:$C$24,3,FALSE)</f>
        <v>0</v>
      </c>
      <c r="R10" s="307">
        <f>IF(L10="nio",0,IF(L10&gt;0,VLOOKUP(G10,'3-Productie normen'!A:P,VLOOKUP(L10,'3-Productie normen'!$B$32:$E$37,2,FALSE),FALSE)))</f>
        <v>0</v>
      </c>
      <c r="S10" s="307">
        <f t="shared" ref="S10:S41" si="1">IF(M10&gt;0,R10*$S$8,0)</f>
        <v>0</v>
      </c>
      <c r="T10" s="307">
        <f t="shared" ref="T10:T41" si="2">IF(N10&gt;0,R10*$T$8,0)</f>
        <v>0</v>
      </c>
      <c r="U10" s="308">
        <f>VLOOKUP(G10,'3-Productie normen'!A:N,10,FALSE)</f>
        <v>0</v>
      </c>
      <c r="V10" s="308"/>
      <c r="W10" s="55"/>
      <c r="X10" s="309">
        <f t="shared" ref="X10:X41" si="3">K10*J10</f>
        <v>16294.5</v>
      </c>
    </row>
    <row r="11" spans="1:24" ht="14.1" customHeight="1">
      <c r="A11" s="71">
        <v>11</v>
      </c>
      <c r="B11" s="300" t="s">
        <v>49</v>
      </c>
      <c r="C11" s="240" t="s">
        <v>122</v>
      </c>
      <c r="D11" s="301" t="s">
        <v>123</v>
      </c>
      <c r="E11" s="302"/>
      <c r="F11" s="240" t="s">
        <v>124</v>
      </c>
      <c r="G11" s="240" t="s">
        <v>74</v>
      </c>
      <c r="H11" s="280" t="s">
        <v>125</v>
      </c>
      <c r="I11" s="300" t="s">
        <v>126</v>
      </c>
      <c r="J11" s="303">
        <v>91.1</v>
      </c>
      <c r="K11" s="304">
        <f t="shared" si="0"/>
        <v>255</v>
      </c>
      <c r="L11" s="305">
        <v>255</v>
      </c>
      <c r="M11" s="305"/>
      <c r="N11" s="305"/>
      <c r="O11" s="306" t="e">
        <f>IF(L11="nio",0,IF(L11&gt;0,L11*J11/R11,0))*VLOOKUP(B11,'2-Kosten per locatie'!$A$14:$C$24,3,FALSE)</f>
        <v>#DIV/0!</v>
      </c>
      <c r="P11" s="306">
        <f>IF(M11&gt;0,M11*J11/S11,0)*VLOOKUP(B11,'2-Kosten per locatie'!$A$14:$C$24,3,FALSE)</f>
        <v>0</v>
      </c>
      <c r="Q11" s="306">
        <f>IF(N11&gt;0,N11*J11/T11,0)*VLOOKUP(B11,'2-Kosten per locatie'!$A$14:$C$24,3,FALSE)</f>
        <v>0</v>
      </c>
      <c r="R11" s="307">
        <f>IF(L11="nio",0,IF(L11&gt;0,VLOOKUP(G11,'3-Productie normen'!A:P,VLOOKUP(L11,'3-Productie normen'!$B$32:$E$37,2,FALSE),FALSE)))</f>
        <v>0</v>
      </c>
      <c r="S11" s="307">
        <f t="shared" si="1"/>
        <v>0</v>
      </c>
      <c r="T11" s="307">
        <f t="shared" si="2"/>
        <v>0</v>
      </c>
      <c r="U11" s="308">
        <f>VLOOKUP(G11,'3-Productie normen'!A:N,10,FALSE)</f>
        <v>0</v>
      </c>
      <c r="V11" s="308"/>
      <c r="X11" s="309">
        <f t="shared" si="3"/>
        <v>23230.5</v>
      </c>
    </row>
    <row r="12" spans="1:24" ht="14.1" customHeight="1">
      <c r="A12" s="71">
        <v>12</v>
      </c>
      <c r="B12" s="300" t="s">
        <v>49</v>
      </c>
      <c r="C12" s="240" t="s">
        <v>122</v>
      </c>
      <c r="D12" s="301" t="s">
        <v>123</v>
      </c>
      <c r="E12" s="302"/>
      <c r="F12" s="240" t="s">
        <v>124</v>
      </c>
      <c r="G12" s="240" t="s">
        <v>74</v>
      </c>
      <c r="H12" s="280" t="s">
        <v>125</v>
      </c>
      <c r="I12" s="300" t="s">
        <v>126</v>
      </c>
      <c r="J12" s="303">
        <v>6.7</v>
      </c>
      <c r="K12" s="304">
        <f t="shared" si="0"/>
        <v>255</v>
      </c>
      <c r="L12" s="305">
        <v>255</v>
      </c>
      <c r="M12" s="305"/>
      <c r="N12" s="305"/>
      <c r="O12" s="306" t="e">
        <f>IF(L12="nio",0,IF(L12&gt;0,L12*J12/R12,0))*VLOOKUP(B12,'2-Kosten per locatie'!$A$14:$C$24,3,FALSE)</f>
        <v>#DIV/0!</v>
      </c>
      <c r="P12" s="306">
        <f>IF(M12&gt;0,M12*J12/S12,0)*VLOOKUP(B12,'2-Kosten per locatie'!$A$14:$C$24,3,FALSE)</f>
        <v>0</v>
      </c>
      <c r="Q12" s="306">
        <f>IF(N12&gt;0,N12*J12/T12,0)*VLOOKUP(B12,'2-Kosten per locatie'!$A$14:$C$24,3,FALSE)</f>
        <v>0</v>
      </c>
      <c r="R12" s="307">
        <f>IF(L12="nio",0,IF(L12&gt;0,VLOOKUP(G12,'3-Productie normen'!A:P,VLOOKUP(L12,'3-Productie normen'!$B$32:$E$37,2,FALSE),FALSE)))</f>
        <v>0</v>
      </c>
      <c r="S12" s="307">
        <f t="shared" si="1"/>
        <v>0</v>
      </c>
      <c r="T12" s="307">
        <f t="shared" si="2"/>
        <v>0</v>
      </c>
      <c r="U12" s="308">
        <f>VLOOKUP(G12,'3-Productie normen'!A:N,10,FALSE)</f>
        <v>0</v>
      </c>
      <c r="V12" s="308"/>
      <c r="X12" s="309">
        <f t="shared" si="3"/>
        <v>1708.5</v>
      </c>
    </row>
    <row r="13" spans="1:24" ht="14.1" customHeight="1">
      <c r="A13" s="71">
        <v>13</v>
      </c>
      <c r="B13" s="300" t="s">
        <v>49</v>
      </c>
      <c r="C13" s="240" t="s">
        <v>122</v>
      </c>
      <c r="D13" s="301" t="s">
        <v>123</v>
      </c>
      <c r="E13" s="302"/>
      <c r="F13" s="280" t="s">
        <v>127</v>
      </c>
      <c r="G13" s="280" t="s">
        <v>74</v>
      </c>
      <c r="H13" s="280" t="s">
        <v>125</v>
      </c>
      <c r="I13" s="300" t="s">
        <v>126</v>
      </c>
      <c r="J13" s="303">
        <v>11.6</v>
      </c>
      <c r="K13" s="304">
        <f t="shared" si="0"/>
        <v>255</v>
      </c>
      <c r="L13" s="305">
        <v>255</v>
      </c>
      <c r="M13" s="305"/>
      <c r="N13" s="305"/>
      <c r="O13" s="306" t="e">
        <f>IF(L13="nio",0,IF(L13&gt;0,L13*J13/R13,0))*VLOOKUP(B13,'2-Kosten per locatie'!$A$14:$C$24,3,FALSE)</f>
        <v>#DIV/0!</v>
      </c>
      <c r="P13" s="306">
        <f>IF(M13&gt;0,M13*J13/S13,0)*VLOOKUP(B13,'2-Kosten per locatie'!$A$14:$C$24,3,FALSE)</f>
        <v>0</v>
      </c>
      <c r="Q13" s="306">
        <f>IF(N13&gt;0,N13*J13/T13,0)*VLOOKUP(B13,'2-Kosten per locatie'!$A$14:$C$24,3,FALSE)</f>
        <v>0</v>
      </c>
      <c r="R13" s="307">
        <f>IF(L13="nio",0,IF(L13&gt;0,VLOOKUP(G13,'3-Productie normen'!A:P,VLOOKUP(L13,'3-Productie normen'!$B$32:$E$37,2,FALSE),FALSE)))</f>
        <v>0</v>
      </c>
      <c r="S13" s="307">
        <f t="shared" si="1"/>
        <v>0</v>
      </c>
      <c r="T13" s="307">
        <f t="shared" si="2"/>
        <v>0</v>
      </c>
      <c r="U13" s="308">
        <f>VLOOKUP(G13,'3-Productie normen'!A:N,10,FALSE)</f>
        <v>0</v>
      </c>
      <c r="V13" s="308"/>
      <c r="X13" s="309">
        <f t="shared" si="3"/>
        <v>2958</v>
      </c>
    </row>
    <row r="14" spans="1:24" ht="14.1" customHeight="1">
      <c r="A14" s="71">
        <v>14</v>
      </c>
      <c r="B14" s="300" t="s">
        <v>49</v>
      </c>
      <c r="C14" s="240" t="s">
        <v>122</v>
      </c>
      <c r="D14" s="301" t="s">
        <v>123</v>
      </c>
      <c r="E14" s="302"/>
      <c r="F14" s="280" t="s">
        <v>124</v>
      </c>
      <c r="G14" s="240" t="s">
        <v>74</v>
      </c>
      <c r="H14" s="280" t="s">
        <v>125</v>
      </c>
      <c r="I14" s="300" t="s">
        <v>126</v>
      </c>
      <c r="J14" s="303">
        <v>6.7</v>
      </c>
      <c r="K14" s="304">
        <f t="shared" si="0"/>
        <v>255</v>
      </c>
      <c r="L14" s="305">
        <v>255</v>
      </c>
      <c r="M14" s="305"/>
      <c r="N14" s="305"/>
      <c r="O14" s="306" t="e">
        <f>IF(L14="nio",0,IF(L14&gt;0,L14*J14/R14,0))*VLOOKUP(B14,'2-Kosten per locatie'!$A$14:$C$24,3,FALSE)</f>
        <v>#DIV/0!</v>
      </c>
      <c r="P14" s="306">
        <f>IF(M14&gt;0,M14*J14/S14,0)*VLOOKUP(B14,'2-Kosten per locatie'!$A$14:$C$24,3,FALSE)</f>
        <v>0</v>
      </c>
      <c r="Q14" s="306">
        <f>IF(N14&gt;0,N14*J14/T14,0)*VLOOKUP(B14,'2-Kosten per locatie'!$A$14:$C$24,3,FALSE)</f>
        <v>0</v>
      </c>
      <c r="R14" s="307">
        <f>IF(L14="nio",0,IF(L14&gt;0,VLOOKUP(G14,'3-Productie normen'!A:P,VLOOKUP(L14,'3-Productie normen'!$B$32:$E$37,2,FALSE),FALSE)))</f>
        <v>0</v>
      </c>
      <c r="S14" s="307">
        <f t="shared" si="1"/>
        <v>0</v>
      </c>
      <c r="T14" s="307">
        <f t="shared" si="2"/>
        <v>0</v>
      </c>
      <c r="U14" s="308">
        <f>VLOOKUP(G14,'3-Productie normen'!A:N,10,FALSE)</f>
        <v>0</v>
      </c>
      <c r="V14" s="308"/>
      <c r="X14" s="309">
        <f t="shared" si="3"/>
        <v>1708.5</v>
      </c>
    </row>
    <row r="15" spans="1:24" ht="14.1" customHeight="1">
      <c r="A15" s="71">
        <v>15</v>
      </c>
      <c r="B15" s="300" t="s">
        <v>49</v>
      </c>
      <c r="C15" s="240" t="s">
        <v>122</v>
      </c>
      <c r="D15" s="301" t="s">
        <v>123</v>
      </c>
      <c r="E15" s="302"/>
      <c r="F15" s="240" t="s">
        <v>124</v>
      </c>
      <c r="G15" s="240" t="s">
        <v>74</v>
      </c>
      <c r="H15" s="280" t="s">
        <v>125</v>
      </c>
      <c r="I15" s="300" t="s">
        <v>126</v>
      </c>
      <c r="J15" s="303">
        <v>6.7</v>
      </c>
      <c r="K15" s="304">
        <f t="shared" si="0"/>
        <v>255</v>
      </c>
      <c r="L15" s="305">
        <v>255</v>
      </c>
      <c r="M15" s="305"/>
      <c r="N15" s="305"/>
      <c r="O15" s="306" t="e">
        <f>IF(L15="nio",0,IF(L15&gt;0,L15*J15/R15,0))*VLOOKUP(B15,'2-Kosten per locatie'!$A$14:$C$24,3,FALSE)</f>
        <v>#DIV/0!</v>
      </c>
      <c r="P15" s="306">
        <f>IF(M15&gt;0,M15*J15/S15,0)*VLOOKUP(B15,'2-Kosten per locatie'!$A$14:$C$24,3,FALSE)</f>
        <v>0</v>
      </c>
      <c r="Q15" s="306">
        <f>IF(N15&gt;0,N15*J15/T15,0)*VLOOKUP(B15,'2-Kosten per locatie'!$A$14:$C$24,3,FALSE)</f>
        <v>0</v>
      </c>
      <c r="R15" s="307">
        <f>IF(L15="nio",0,IF(L15&gt;0,VLOOKUP(G15,'3-Productie normen'!A:P,VLOOKUP(L15,'3-Productie normen'!$B$32:$E$37,2,FALSE),FALSE)))</f>
        <v>0</v>
      </c>
      <c r="S15" s="307">
        <f t="shared" si="1"/>
        <v>0</v>
      </c>
      <c r="T15" s="307">
        <f t="shared" si="2"/>
        <v>0</v>
      </c>
      <c r="U15" s="308">
        <f>VLOOKUP(G15,'3-Productie normen'!A:N,10,FALSE)</f>
        <v>0</v>
      </c>
      <c r="V15" s="308"/>
      <c r="X15" s="309">
        <f t="shared" si="3"/>
        <v>1708.5</v>
      </c>
    </row>
    <row r="16" spans="1:24" ht="14.1" customHeight="1">
      <c r="A16" s="71">
        <v>16</v>
      </c>
      <c r="B16" s="300" t="s">
        <v>49</v>
      </c>
      <c r="C16" s="240" t="s">
        <v>122</v>
      </c>
      <c r="D16" s="301" t="s">
        <v>123</v>
      </c>
      <c r="E16" s="302"/>
      <c r="F16" s="240" t="s">
        <v>124</v>
      </c>
      <c r="G16" s="240" t="s">
        <v>74</v>
      </c>
      <c r="H16" s="280" t="s">
        <v>125</v>
      </c>
      <c r="I16" s="300" t="s">
        <v>126</v>
      </c>
      <c r="J16" s="303">
        <v>6.7</v>
      </c>
      <c r="K16" s="304">
        <f t="shared" si="0"/>
        <v>255</v>
      </c>
      <c r="L16" s="305">
        <v>255</v>
      </c>
      <c r="M16" s="305"/>
      <c r="N16" s="305"/>
      <c r="O16" s="306" t="e">
        <f>IF(L16="nio",0,IF(L16&gt;0,L16*J16/R16,0))*VLOOKUP(B16,'2-Kosten per locatie'!$A$14:$C$24,3,FALSE)</f>
        <v>#DIV/0!</v>
      </c>
      <c r="P16" s="306">
        <f>IF(M16&gt;0,M16*J16/S16,0)*VLOOKUP(B16,'2-Kosten per locatie'!$A$14:$C$24,3,FALSE)</f>
        <v>0</v>
      </c>
      <c r="Q16" s="306">
        <f>IF(N16&gt;0,N16*J16/T16,0)*VLOOKUP(B16,'2-Kosten per locatie'!$A$14:$C$24,3,FALSE)</f>
        <v>0</v>
      </c>
      <c r="R16" s="307">
        <f>IF(L16="nio",0,IF(L16&gt;0,VLOOKUP(G16,'3-Productie normen'!A:P,VLOOKUP(L16,'3-Productie normen'!$B$32:$E$37,2,FALSE),FALSE)))</f>
        <v>0</v>
      </c>
      <c r="S16" s="307">
        <f t="shared" si="1"/>
        <v>0</v>
      </c>
      <c r="T16" s="307">
        <f t="shared" si="2"/>
        <v>0</v>
      </c>
      <c r="U16" s="308">
        <f>VLOOKUP(G16,'3-Productie normen'!A:N,10,FALSE)</f>
        <v>0</v>
      </c>
      <c r="V16" s="308"/>
      <c r="X16" s="309">
        <f t="shared" si="3"/>
        <v>1708.5</v>
      </c>
    </row>
    <row r="17" spans="1:24" ht="14.1" customHeight="1">
      <c r="A17" s="71">
        <v>17</v>
      </c>
      <c r="B17" s="300" t="s">
        <v>49</v>
      </c>
      <c r="C17" s="240" t="s">
        <v>122</v>
      </c>
      <c r="D17" s="301" t="s">
        <v>123</v>
      </c>
      <c r="E17" s="302"/>
      <c r="F17" s="240" t="s">
        <v>124</v>
      </c>
      <c r="G17" s="240" t="s">
        <v>74</v>
      </c>
      <c r="H17" s="280" t="s">
        <v>125</v>
      </c>
      <c r="I17" s="300" t="s">
        <v>126</v>
      </c>
      <c r="J17" s="303">
        <v>6.7</v>
      </c>
      <c r="K17" s="304">
        <f t="shared" si="0"/>
        <v>255</v>
      </c>
      <c r="L17" s="305">
        <v>255</v>
      </c>
      <c r="M17" s="305"/>
      <c r="N17" s="305"/>
      <c r="O17" s="306" t="e">
        <f>IF(L17="nio",0,IF(L17&gt;0,L17*J17/R17,0))*VLOOKUP(B17,'2-Kosten per locatie'!$A$14:$C$24,3,FALSE)</f>
        <v>#DIV/0!</v>
      </c>
      <c r="P17" s="306">
        <f>IF(M17&gt;0,M17*J17/S17,0)*VLOOKUP(B17,'2-Kosten per locatie'!$A$14:$C$24,3,FALSE)</f>
        <v>0</v>
      </c>
      <c r="Q17" s="306">
        <f>IF(N17&gt;0,N17*J17/T17,0)*VLOOKUP(B17,'2-Kosten per locatie'!$A$14:$C$24,3,FALSE)</f>
        <v>0</v>
      </c>
      <c r="R17" s="307">
        <f>IF(L17="nio",0,IF(L17&gt;0,VLOOKUP(G17,'3-Productie normen'!A:P,VLOOKUP(L17,'3-Productie normen'!$B$32:$E$37,2,FALSE),FALSE)))</f>
        <v>0</v>
      </c>
      <c r="S17" s="307">
        <f t="shared" si="1"/>
        <v>0</v>
      </c>
      <c r="T17" s="307">
        <f t="shared" si="2"/>
        <v>0</v>
      </c>
      <c r="U17" s="308">
        <f>VLOOKUP(G17,'3-Productie normen'!A:N,10,FALSE)</f>
        <v>0</v>
      </c>
      <c r="V17" s="308"/>
      <c r="X17" s="309">
        <f t="shared" si="3"/>
        <v>1708.5</v>
      </c>
    </row>
    <row r="18" spans="1:24" ht="14.1" customHeight="1">
      <c r="A18" s="71">
        <v>18</v>
      </c>
      <c r="B18" s="300" t="s">
        <v>49</v>
      </c>
      <c r="C18" s="240" t="s">
        <v>122</v>
      </c>
      <c r="D18" s="301" t="s">
        <v>123</v>
      </c>
      <c r="E18" s="302"/>
      <c r="F18" s="280" t="s">
        <v>128</v>
      </c>
      <c r="G18" s="280" t="s">
        <v>80</v>
      </c>
      <c r="H18" s="280" t="s">
        <v>125</v>
      </c>
      <c r="I18" s="300" t="s">
        <v>126</v>
      </c>
      <c r="J18" s="303">
        <v>23.5</v>
      </c>
      <c r="K18" s="304">
        <f t="shared" si="0"/>
        <v>255</v>
      </c>
      <c r="L18" s="305">
        <v>255</v>
      </c>
      <c r="M18" s="305"/>
      <c r="N18" s="305"/>
      <c r="O18" s="306" t="e">
        <f>IF(L18="nio",0,IF(L18&gt;0,L18*J18/R18,0))*VLOOKUP(B18,'2-Kosten per locatie'!$A$14:$C$24,3,FALSE)</f>
        <v>#DIV/0!</v>
      </c>
      <c r="P18" s="306">
        <f>IF(M18&gt;0,M18*J18/S18,0)*VLOOKUP(B18,'2-Kosten per locatie'!$A$14:$C$24,3,FALSE)</f>
        <v>0</v>
      </c>
      <c r="Q18" s="306">
        <f>IF(N18&gt;0,N18*J18/T18,0)*VLOOKUP(B18,'2-Kosten per locatie'!$A$14:$C$24,3,FALSE)</f>
        <v>0</v>
      </c>
      <c r="R18" s="307">
        <f>IF(L18="nio",0,IF(L18&gt;0,VLOOKUP(G18,'3-Productie normen'!A:P,VLOOKUP(L18,'3-Productie normen'!$B$32:$E$37,2,FALSE),FALSE)))</f>
        <v>0</v>
      </c>
      <c r="S18" s="307">
        <f t="shared" si="1"/>
        <v>0</v>
      </c>
      <c r="T18" s="307">
        <f t="shared" si="2"/>
        <v>0</v>
      </c>
      <c r="U18" s="308">
        <f>VLOOKUP(G18,'3-Productie normen'!A:N,10,FALSE)</f>
        <v>0</v>
      </c>
      <c r="V18" s="308"/>
      <c r="X18" s="309">
        <f t="shared" si="3"/>
        <v>5992.5</v>
      </c>
    </row>
    <row r="19" spans="1:24" ht="14.1" customHeight="1">
      <c r="A19" s="71">
        <v>19</v>
      </c>
      <c r="B19" s="300" t="s">
        <v>49</v>
      </c>
      <c r="C19" s="240" t="s">
        <v>122</v>
      </c>
      <c r="D19" s="301" t="s">
        <v>123</v>
      </c>
      <c r="E19" s="302"/>
      <c r="F19" s="280" t="s">
        <v>124</v>
      </c>
      <c r="G19" s="240" t="s">
        <v>74</v>
      </c>
      <c r="H19" s="280" t="s">
        <v>125</v>
      </c>
      <c r="I19" s="300" t="s">
        <v>126</v>
      </c>
      <c r="J19" s="303">
        <v>6.5</v>
      </c>
      <c r="K19" s="304">
        <f t="shared" si="0"/>
        <v>255</v>
      </c>
      <c r="L19" s="305">
        <v>255</v>
      </c>
      <c r="M19" s="305"/>
      <c r="N19" s="305"/>
      <c r="O19" s="306" t="e">
        <f>IF(L19="nio",0,IF(L19&gt;0,L19*J19/R19,0))*VLOOKUP(B19,'2-Kosten per locatie'!$A$14:$C$24,3,FALSE)</f>
        <v>#DIV/0!</v>
      </c>
      <c r="P19" s="306">
        <f>IF(M19&gt;0,M19*J19/S19,0)*VLOOKUP(B19,'2-Kosten per locatie'!$A$14:$C$24,3,FALSE)</f>
        <v>0</v>
      </c>
      <c r="Q19" s="306">
        <f>IF(N19&gt;0,N19*J19/T19,0)*VLOOKUP(B19,'2-Kosten per locatie'!$A$14:$C$24,3,FALSE)</f>
        <v>0</v>
      </c>
      <c r="R19" s="307">
        <f>IF(L19="nio",0,IF(L19&gt;0,VLOOKUP(G19,'3-Productie normen'!A:P,VLOOKUP(L19,'3-Productie normen'!$B$32:$E$37,2,FALSE),FALSE)))</f>
        <v>0</v>
      </c>
      <c r="S19" s="307">
        <f t="shared" si="1"/>
        <v>0</v>
      </c>
      <c r="T19" s="307">
        <f t="shared" si="2"/>
        <v>0</v>
      </c>
      <c r="U19" s="308">
        <f>VLOOKUP(G19,'3-Productie normen'!A:N,10,FALSE)</f>
        <v>0</v>
      </c>
      <c r="V19" s="308"/>
      <c r="X19" s="309">
        <f t="shared" si="3"/>
        <v>1657.5</v>
      </c>
    </row>
    <row r="20" spans="1:24" ht="14.1" customHeight="1">
      <c r="A20" s="71">
        <v>20</v>
      </c>
      <c r="B20" s="300" t="s">
        <v>49</v>
      </c>
      <c r="C20" s="240" t="s">
        <v>122</v>
      </c>
      <c r="D20" s="301" t="s">
        <v>123</v>
      </c>
      <c r="E20" s="302"/>
      <c r="F20" s="240" t="s">
        <v>124</v>
      </c>
      <c r="G20" s="240" t="s">
        <v>74</v>
      </c>
      <c r="H20" s="280" t="s">
        <v>125</v>
      </c>
      <c r="I20" s="300" t="s">
        <v>126</v>
      </c>
      <c r="J20" s="303">
        <v>13.5</v>
      </c>
      <c r="K20" s="304">
        <f t="shared" si="0"/>
        <v>255</v>
      </c>
      <c r="L20" s="305">
        <v>255</v>
      </c>
      <c r="M20" s="305"/>
      <c r="N20" s="305"/>
      <c r="O20" s="306" t="e">
        <f>IF(L20="nio",0,IF(L20&gt;0,L20*J20/R20,0))*VLOOKUP(B20,'2-Kosten per locatie'!$A$14:$C$24,3,FALSE)</f>
        <v>#DIV/0!</v>
      </c>
      <c r="P20" s="306">
        <f>IF(M20&gt;0,M20*J20/S20,0)*VLOOKUP(B20,'2-Kosten per locatie'!$A$14:$C$24,3,FALSE)</f>
        <v>0</v>
      </c>
      <c r="Q20" s="306">
        <f>IF(N20&gt;0,N20*J20/T20,0)*VLOOKUP(B20,'2-Kosten per locatie'!$A$14:$C$24,3,FALSE)</f>
        <v>0</v>
      </c>
      <c r="R20" s="307">
        <f>IF(L20="nio",0,IF(L20&gt;0,VLOOKUP(G20,'3-Productie normen'!A:P,VLOOKUP(L20,'3-Productie normen'!$B$32:$E$37,2,FALSE),FALSE)))</f>
        <v>0</v>
      </c>
      <c r="S20" s="307">
        <f t="shared" si="1"/>
        <v>0</v>
      </c>
      <c r="T20" s="307">
        <f t="shared" si="2"/>
        <v>0</v>
      </c>
      <c r="U20" s="308">
        <f>VLOOKUP(G20,'3-Productie normen'!A:N,10,FALSE)</f>
        <v>0</v>
      </c>
      <c r="V20" s="308"/>
      <c r="X20" s="309">
        <f t="shared" si="3"/>
        <v>3442.5</v>
      </c>
    </row>
    <row r="21" spans="1:24" ht="14.1" customHeight="1">
      <c r="A21" s="71">
        <v>21</v>
      </c>
      <c r="B21" s="300" t="s">
        <v>49</v>
      </c>
      <c r="C21" s="240" t="s">
        <v>122</v>
      </c>
      <c r="D21" s="301" t="s">
        <v>123</v>
      </c>
      <c r="E21" s="302"/>
      <c r="F21" s="240" t="s">
        <v>124</v>
      </c>
      <c r="G21" s="240" t="s">
        <v>74</v>
      </c>
      <c r="H21" s="280" t="s">
        <v>125</v>
      </c>
      <c r="I21" s="300" t="s">
        <v>126</v>
      </c>
      <c r="J21" s="303">
        <v>45.4</v>
      </c>
      <c r="K21" s="304">
        <f t="shared" si="0"/>
        <v>255</v>
      </c>
      <c r="L21" s="305">
        <v>255</v>
      </c>
      <c r="M21" s="305"/>
      <c r="N21" s="305"/>
      <c r="O21" s="306" t="e">
        <f>IF(L21="nio",0,IF(L21&gt;0,L21*J21/R21,0))*VLOOKUP(B21,'2-Kosten per locatie'!$A$14:$C$24,3,FALSE)</f>
        <v>#DIV/0!</v>
      </c>
      <c r="P21" s="306">
        <f>IF(M21&gt;0,M21*J21/S21,0)*VLOOKUP(B21,'2-Kosten per locatie'!$A$14:$C$24,3,FALSE)</f>
        <v>0</v>
      </c>
      <c r="Q21" s="306">
        <f>IF(N21&gt;0,N21*J21/T21,0)*VLOOKUP(B21,'2-Kosten per locatie'!$A$14:$C$24,3,FALSE)</f>
        <v>0</v>
      </c>
      <c r="R21" s="307">
        <f>IF(L21="nio",0,IF(L21&gt;0,VLOOKUP(G21,'3-Productie normen'!A:P,VLOOKUP(L21,'3-Productie normen'!$B$32:$E$37,2,FALSE),FALSE)))</f>
        <v>0</v>
      </c>
      <c r="S21" s="307">
        <f t="shared" si="1"/>
        <v>0</v>
      </c>
      <c r="T21" s="307">
        <f t="shared" si="2"/>
        <v>0</v>
      </c>
      <c r="U21" s="308">
        <f>VLOOKUP(G21,'3-Productie normen'!A:N,10,FALSE)</f>
        <v>0</v>
      </c>
      <c r="V21" s="308"/>
      <c r="X21" s="309">
        <f t="shared" si="3"/>
        <v>11577</v>
      </c>
    </row>
    <row r="22" spans="1:24" ht="14.1" customHeight="1">
      <c r="A22" s="71">
        <v>22</v>
      </c>
      <c r="B22" s="300" t="s">
        <v>49</v>
      </c>
      <c r="C22" s="240" t="s">
        <v>122</v>
      </c>
      <c r="D22" s="301" t="s">
        <v>123</v>
      </c>
      <c r="E22" s="302"/>
      <c r="F22" s="240" t="s">
        <v>128</v>
      </c>
      <c r="G22" s="240" t="s">
        <v>80</v>
      </c>
      <c r="H22" s="280" t="s">
        <v>125</v>
      </c>
      <c r="I22" s="300" t="s">
        <v>126</v>
      </c>
      <c r="J22" s="303">
        <v>57.2</v>
      </c>
      <c r="K22" s="304">
        <f t="shared" si="0"/>
        <v>255</v>
      </c>
      <c r="L22" s="305">
        <v>255</v>
      </c>
      <c r="M22" s="305"/>
      <c r="N22" s="305"/>
      <c r="O22" s="306" t="e">
        <f>IF(L22="nio",0,IF(L22&gt;0,L22*J22/R22,0))*VLOOKUP(B22,'2-Kosten per locatie'!$A$14:$C$24,3,FALSE)</f>
        <v>#DIV/0!</v>
      </c>
      <c r="P22" s="306">
        <f>IF(M22&gt;0,M22*J22/S22,0)*VLOOKUP(B22,'2-Kosten per locatie'!$A$14:$C$24,3,FALSE)</f>
        <v>0</v>
      </c>
      <c r="Q22" s="306">
        <f>IF(N22&gt;0,N22*J22/T22,0)*VLOOKUP(B22,'2-Kosten per locatie'!$A$14:$C$24,3,FALSE)</f>
        <v>0</v>
      </c>
      <c r="R22" s="307">
        <f>IF(L22="nio",0,IF(L22&gt;0,VLOOKUP(G22,'3-Productie normen'!A:P,VLOOKUP(L22,'3-Productie normen'!$B$32:$E$37,2,FALSE),FALSE)))</f>
        <v>0</v>
      </c>
      <c r="S22" s="307">
        <f t="shared" si="1"/>
        <v>0</v>
      </c>
      <c r="T22" s="307">
        <f t="shared" si="2"/>
        <v>0</v>
      </c>
      <c r="U22" s="308">
        <f>VLOOKUP(G22,'3-Productie normen'!A:N,10,FALSE)</f>
        <v>0</v>
      </c>
      <c r="V22" s="308"/>
      <c r="X22" s="309">
        <f t="shared" si="3"/>
        <v>14586</v>
      </c>
    </row>
    <row r="23" spans="1:24" ht="14.1" customHeight="1">
      <c r="A23" s="71">
        <v>23</v>
      </c>
      <c r="B23" s="300" t="s">
        <v>49</v>
      </c>
      <c r="C23" s="240" t="s">
        <v>122</v>
      </c>
      <c r="D23" s="301" t="s">
        <v>123</v>
      </c>
      <c r="E23" s="302"/>
      <c r="F23" s="280" t="s">
        <v>129</v>
      </c>
      <c r="G23" s="280" t="s">
        <v>88</v>
      </c>
      <c r="H23" s="280" t="s">
        <v>130</v>
      </c>
      <c r="I23" s="300" t="s">
        <v>130</v>
      </c>
      <c r="J23" s="303">
        <v>18</v>
      </c>
      <c r="K23" s="304">
        <f t="shared" si="0"/>
        <v>255</v>
      </c>
      <c r="L23" s="305">
        <v>255</v>
      </c>
      <c r="M23" s="305"/>
      <c r="N23" s="305"/>
      <c r="O23" s="306" t="e">
        <f>IF(L23="nio",0,IF(L23&gt;0,L23*J23/R23,0))*VLOOKUP(B23,'2-Kosten per locatie'!$A$14:$C$24,3,FALSE)</f>
        <v>#DIV/0!</v>
      </c>
      <c r="P23" s="306">
        <f>IF(M23&gt;0,M23*J23/S23,0)*VLOOKUP(B23,'2-Kosten per locatie'!$A$14:$C$24,3,FALSE)</f>
        <v>0</v>
      </c>
      <c r="Q23" s="306">
        <f>IF(N23&gt;0,N23*J23/T23,0)*VLOOKUP(B23,'2-Kosten per locatie'!$A$14:$C$24,3,FALSE)</f>
        <v>0</v>
      </c>
      <c r="R23" s="307">
        <f>IF(L23="nio",0,IF(L23&gt;0,VLOOKUP(G23,'3-Productie normen'!A:P,VLOOKUP(L23,'3-Productie normen'!$B$32:$E$37,2,FALSE),FALSE)))</f>
        <v>0</v>
      </c>
      <c r="S23" s="307">
        <f t="shared" si="1"/>
        <v>0</v>
      </c>
      <c r="T23" s="307">
        <f t="shared" si="2"/>
        <v>0</v>
      </c>
      <c r="U23" s="308">
        <f>VLOOKUP(G23,'3-Productie normen'!A:N,10,FALSE)</f>
        <v>0</v>
      </c>
      <c r="V23" s="308"/>
      <c r="X23" s="309">
        <f t="shared" si="3"/>
        <v>4590</v>
      </c>
    </row>
    <row r="24" spans="1:24" ht="14.1" customHeight="1">
      <c r="A24" s="71">
        <v>24</v>
      </c>
      <c r="B24" s="300" t="s">
        <v>49</v>
      </c>
      <c r="C24" s="240" t="s">
        <v>122</v>
      </c>
      <c r="D24" s="301" t="s">
        <v>123</v>
      </c>
      <c r="E24" s="302"/>
      <c r="F24" s="280" t="s">
        <v>131</v>
      </c>
      <c r="G24" s="274" t="s">
        <v>81</v>
      </c>
      <c r="H24" s="280" t="s">
        <v>130</v>
      </c>
      <c r="I24" s="300" t="s">
        <v>130</v>
      </c>
      <c r="J24" s="303">
        <v>18</v>
      </c>
      <c r="K24" s="304">
        <f t="shared" si="0"/>
        <v>255</v>
      </c>
      <c r="L24" s="305">
        <v>255</v>
      </c>
      <c r="M24" s="305"/>
      <c r="N24" s="305"/>
      <c r="O24" s="306" t="e">
        <f>IF(L24="nio",0,IF(L24&gt;0,L24*J24/R24,0))*VLOOKUP(B24,'2-Kosten per locatie'!$A$14:$C$24,3,FALSE)</f>
        <v>#DIV/0!</v>
      </c>
      <c r="P24" s="306">
        <f>IF(M24&gt;0,M24*J24/S24,0)*VLOOKUP(B24,'2-Kosten per locatie'!$A$14:$C$24,3,FALSE)</f>
        <v>0</v>
      </c>
      <c r="Q24" s="306">
        <f>IF(N24&gt;0,N24*J24/T24,0)*VLOOKUP(B24,'2-Kosten per locatie'!$A$14:$C$24,3,FALSE)</f>
        <v>0</v>
      </c>
      <c r="R24" s="307">
        <f>IF(L24="nio",0,IF(L24&gt;0,VLOOKUP(G24,'3-Productie normen'!A:P,VLOOKUP(L24,'3-Productie normen'!$B$32:$E$37,2,FALSE),FALSE)))</f>
        <v>0</v>
      </c>
      <c r="S24" s="307">
        <f t="shared" si="1"/>
        <v>0</v>
      </c>
      <c r="T24" s="307">
        <f t="shared" si="2"/>
        <v>0</v>
      </c>
      <c r="U24" s="308">
        <f>VLOOKUP(G24,'3-Productie normen'!A:N,10,FALSE)</f>
        <v>0</v>
      </c>
      <c r="V24" s="308"/>
      <c r="X24" s="309">
        <f t="shared" si="3"/>
        <v>4590</v>
      </c>
    </row>
    <row r="25" spans="1:24" ht="14.1" customHeight="1">
      <c r="A25" s="71">
        <v>25</v>
      </c>
      <c r="B25" s="300" t="s">
        <v>49</v>
      </c>
      <c r="C25" s="240" t="s">
        <v>122</v>
      </c>
      <c r="D25" s="301" t="s">
        <v>123</v>
      </c>
      <c r="E25" s="302"/>
      <c r="F25" s="240" t="s">
        <v>124</v>
      </c>
      <c r="G25" s="240" t="s">
        <v>74</v>
      </c>
      <c r="H25" s="280" t="s">
        <v>125</v>
      </c>
      <c r="I25" s="300" t="s">
        <v>126</v>
      </c>
      <c r="J25" s="303">
        <v>84.8</v>
      </c>
      <c r="K25" s="304">
        <f t="shared" si="0"/>
        <v>255</v>
      </c>
      <c r="L25" s="305">
        <v>255</v>
      </c>
      <c r="M25" s="305"/>
      <c r="N25" s="305"/>
      <c r="O25" s="306" t="e">
        <f>IF(L25="nio",0,IF(L25&gt;0,L25*J25/R25,0))*VLOOKUP(B25,'2-Kosten per locatie'!$A$14:$C$24,3,FALSE)</f>
        <v>#DIV/0!</v>
      </c>
      <c r="P25" s="306">
        <f>IF(M25&gt;0,M25*J25/S25,0)*VLOOKUP(B25,'2-Kosten per locatie'!$A$14:$C$24,3,FALSE)</f>
        <v>0</v>
      </c>
      <c r="Q25" s="306">
        <f>IF(N25&gt;0,N25*J25/T25,0)*VLOOKUP(B25,'2-Kosten per locatie'!$A$14:$C$24,3,FALSE)</f>
        <v>0</v>
      </c>
      <c r="R25" s="307">
        <f>IF(L25="nio",0,IF(L25&gt;0,VLOOKUP(G25,'3-Productie normen'!A:P,VLOOKUP(L25,'3-Productie normen'!$B$32:$E$37,2,FALSE),FALSE)))</f>
        <v>0</v>
      </c>
      <c r="S25" s="307">
        <f t="shared" si="1"/>
        <v>0</v>
      </c>
      <c r="T25" s="307">
        <f t="shared" si="2"/>
        <v>0</v>
      </c>
      <c r="U25" s="308">
        <f>VLOOKUP(G25,'3-Productie normen'!A:N,10,FALSE)</f>
        <v>0</v>
      </c>
      <c r="V25" s="308"/>
      <c r="X25" s="309">
        <f t="shared" si="3"/>
        <v>21624</v>
      </c>
    </row>
    <row r="26" spans="1:24" ht="14.1" customHeight="1">
      <c r="A26" s="71">
        <v>26</v>
      </c>
      <c r="B26" s="300" t="s">
        <v>49</v>
      </c>
      <c r="C26" s="240" t="s">
        <v>122</v>
      </c>
      <c r="D26" s="301" t="s">
        <v>123</v>
      </c>
      <c r="E26" s="302"/>
      <c r="F26" s="240" t="s">
        <v>124</v>
      </c>
      <c r="G26" s="240" t="s">
        <v>74</v>
      </c>
      <c r="H26" s="280" t="s">
        <v>125</v>
      </c>
      <c r="I26" s="300" t="s">
        <v>126</v>
      </c>
      <c r="J26" s="303">
        <v>25.8</v>
      </c>
      <c r="K26" s="304">
        <f t="shared" si="0"/>
        <v>255</v>
      </c>
      <c r="L26" s="305">
        <v>255</v>
      </c>
      <c r="M26" s="305"/>
      <c r="N26" s="305"/>
      <c r="O26" s="306" t="e">
        <f>IF(L26="nio",0,IF(L26&gt;0,L26*J26/R26,0))*VLOOKUP(B26,'2-Kosten per locatie'!$A$14:$C$24,3,FALSE)</f>
        <v>#DIV/0!</v>
      </c>
      <c r="P26" s="306">
        <f>IF(M26&gt;0,M26*J26/S26,0)*VLOOKUP(B26,'2-Kosten per locatie'!$A$14:$C$24,3,FALSE)</f>
        <v>0</v>
      </c>
      <c r="Q26" s="306">
        <f>IF(N26&gt;0,N26*J26/T26,0)*VLOOKUP(B26,'2-Kosten per locatie'!$A$14:$C$24,3,FALSE)</f>
        <v>0</v>
      </c>
      <c r="R26" s="307">
        <f>IF(L26="nio",0,IF(L26&gt;0,VLOOKUP(G26,'3-Productie normen'!A:P,VLOOKUP(L26,'3-Productie normen'!$B$32:$E$37,2,FALSE),FALSE)))</f>
        <v>0</v>
      </c>
      <c r="S26" s="307">
        <f t="shared" si="1"/>
        <v>0</v>
      </c>
      <c r="T26" s="307">
        <f t="shared" si="2"/>
        <v>0</v>
      </c>
      <c r="U26" s="308">
        <f>VLOOKUP(G26,'3-Productie normen'!A:N,10,FALSE)</f>
        <v>0</v>
      </c>
      <c r="V26" s="308"/>
      <c r="X26" s="309">
        <f t="shared" si="3"/>
        <v>6579</v>
      </c>
    </row>
    <row r="27" spans="1:24" ht="14.1" customHeight="1">
      <c r="A27" s="71">
        <v>27</v>
      </c>
      <c r="B27" s="300" t="s">
        <v>49</v>
      </c>
      <c r="C27" s="240" t="s">
        <v>122</v>
      </c>
      <c r="D27" s="301" t="s">
        <v>123</v>
      </c>
      <c r="E27" s="302"/>
      <c r="F27" s="240" t="s">
        <v>132</v>
      </c>
      <c r="G27" s="240" t="s">
        <v>90</v>
      </c>
      <c r="H27" s="280" t="s">
        <v>125</v>
      </c>
      <c r="I27" s="300" t="s">
        <v>126</v>
      </c>
      <c r="J27" s="303"/>
      <c r="K27" s="304">
        <f t="shared" si="0"/>
        <v>0</v>
      </c>
      <c r="L27" s="305" t="s">
        <v>133</v>
      </c>
      <c r="M27" s="305"/>
      <c r="N27" s="305"/>
      <c r="O27" s="306">
        <f>IF(L27="nio",0,IF(L27&gt;0,L27*J27/R27,0))*VLOOKUP(B27,'2-Kosten per locatie'!$A$14:$C$24,3,FALSE)</f>
        <v>0</v>
      </c>
      <c r="P27" s="306">
        <f>IF(M27&gt;0,M27*J27/S27,0)*VLOOKUP(B27,'2-Kosten per locatie'!$A$14:$C$24,3,FALSE)</f>
        <v>0</v>
      </c>
      <c r="Q27" s="306">
        <f>IF(N27&gt;0,N27*J27/T27,0)*VLOOKUP(B27,'2-Kosten per locatie'!$A$14:$C$24,3,FALSE)</f>
        <v>0</v>
      </c>
      <c r="R27" s="307">
        <f>IF(L27="nio",0,IF(L27&gt;0,VLOOKUP(G27,'3-Productie normen'!A:P,VLOOKUP(L27,'3-Productie normen'!$B$32:$E$37,2,FALSE),FALSE)))</f>
        <v>0</v>
      </c>
      <c r="S27" s="307">
        <f t="shared" si="1"/>
        <v>0</v>
      </c>
      <c r="T27" s="307">
        <f t="shared" si="2"/>
        <v>0</v>
      </c>
      <c r="U27" s="308">
        <f>VLOOKUP(G27,'3-Productie normen'!A:N,10,FALSE)</f>
        <v>0</v>
      </c>
      <c r="V27" s="308"/>
      <c r="X27" s="309">
        <f t="shared" si="3"/>
        <v>0</v>
      </c>
    </row>
    <row r="28" spans="1:24" ht="14.1" customHeight="1">
      <c r="A28" s="71">
        <v>28</v>
      </c>
      <c r="B28" s="300" t="s">
        <v>49</v>
      </c>
      <c r="C28" s="240" t="s">
        <v>122</v>
      </c>
      <c r="D28" s="301" t="s">
        <v>123</v>
      </c>
      <c r="E28" s="302"/>
      <c r="F28" s="280" t="s">
        <v>124</v>
      </c>
      <c r="G28" s="240" t="s">
        <v>74</v>
      </c>
      <c r="H28" s="280" t="s">
        <v>125</v>
      </c>
      <c r="I28" s="300" t="s">
        <v>126</v>
      </c>
      <c r="J28" s="303">
        <v>56.6</v>
      </c>
      <c r="K28" s="304">
        <f t="shared" si="0"/>
        <v>255</v>
      </c>
      <c r="L28" s="305">
        <v>255</v>
      </c>
      <c r="M28" s="305"/>
      <c r="N28" s="305"/>
      <c r="O28" s="306" t="e">
        <f>IF(L28="nio",0,IF(L28&gt;0,L28*J28/R28,0))*VLOOKUP(B28,'2-Kosten per locatie'!$A$14:$C$24,3,FALSE)</f>
        <v>#DIV/0!</v>
      </c>
      <c r="P28" s="306">
        <f>IF(M28&gt;0,M28*J28/S28,0)*VLOOKUP(B28,'2-Kosten per locatie'!$A$14:$C$24,3,FALSE)</f>
        <v>0</v>
      </c>
      <c r="Q28" s="306">
        <f>IF(N28&gt;0,N28*J28/T28,0)*VLOOKUP(B28,'2-Kosten per locatie'!$A$14:$C$24,3,FALSE)</f>
        <v>0</v>
      </c>
      <c r="R28" s="307">
        <f>IF(L28="nio",0,IF(L28&gt;0,VLOOKUP(G28,'3-Productie normen'!A:P,VLOOKUP(L28,'3-Productie normen'!$B$32:$E$37,2,FALSE),FALSE)))</f>
        <v>0</v>
      </c>
      <c r="S28" s="307">
        <f t="shared" si="1"/>
        <v>0</v>
      </c>
      <c r="T28" s="307">
        <f t="shared" si="2"/>
        <v>0</v>
      </c>
      <c r="U28" s="308">
        <f>VLOOKUP(G28,'3-Productie normen'!A:N,10,FALSE)</f>
        <v>0</v>
      </c>
      <c r="V28" s="308"/>
      <c r="X28" s="309">
        <f t="shared" si="3"/>
        <v>14433</v>
      </c>
    </row>
    <row r="29" spans="1:24" ht="14.1" customHeight="1">
      <c r="A29" s="71">
        <v>29</v>
      </c>
      <c r="B29" s="300" t="s">
        <v>49</v>
      </c>
      <c r="C29" s="240" t="s">
        <v>122</v>
      </c>
      <c r="D29" s="301" t="s">
        <v>123</v>
      </c>
      <c r="E29" s="302"/>
      <c r="F29" s="280" t="s">
        <v>124</v>
      </c>
      <c r="G29" s="240" t="s">
        <v>74</v>
      </c>
      <c r="H29" s="280" t="s">
        <v>125</v>
      </c>
      <c r="I29" s="300" t="s">
        <v>126</v>
      </c>
      <c r="J29" s="303">
        <v>6.2</v>
      </c>
      <c r="K29" s="304">
        <f t="shared" si="0"/>
        <v>255</v>
      </c>
      <c r="L29" s="305">
        <v>255</v>
      </c>
      <c r="M29" s="305"/>
      <c r="N29" s="305"/>
      <c r="O29" s="306" t="e">
        <f>IF(L29="nio",0,IF(L29&gt;0,L29*J29/R29,0))*VLOOKUP(B29,'2-Kosten per locatie'!$A$14:$C$24,3,FALSE)</f>
        <v>#DIV/0!</v>
      </c>
      <c r="P29" s="306">
        <f>IF(M29&gt;0,M29*J29/S29,0)*VLOOKUP(B29,'2-Kosten per locatie'!$A$14:$C$24,3,FALSE)</f>
        <v>0</v>
      </c>
      <c r="Q29" s="306">
        <f>IF(N29&gt;0,N29*J29/T29,0)*VLOOKUP(B29,'2-Kosten per locatie'!$A$14:$C$24,3,FALSE)</f>
        <v>0</v>
      </c>
      <c r="R29" s="307">
        <f>IF(L29="nio",0,IF(L29&gt;0,VLOOKUP(G29,'3-Productie normen'!A:P,VLOOKUP(L29,'3-Productie normen'!$B$32:$E$37,2,FALSE),FALSE)))</f>
        <v>0</v>
      </c>
      <c r="S29" s="307">
        <f t="shared" si="1"/>
        <v>0</v>
      </c>
      <c r="T29" s="307">
        <f t="shared" si="2"/>
        <v>0</v>
      </c>
      <c r="U29" s="308">
        <f>VLOOKUP(G29,'3-Productie normen'!A:N,10,FALSE)</f>
        <v>0</v>
      </c>
      <c r="V29" s="308"/>
      <c r="X29" s="309">
        <f t="shared" si="3"/>
        <v>1581</v>
      </c>
    </row>
    <row r="30" spans="1:24" ht="14.1" customHeight="1">
      <c r="A30" s="71">
        <v>30</v>
      </c>
      <c r="B30" s="300" t="s">
        <v>49</v>
      </c>
      <c r="C30" s="240" t="s">
        <v>122</v>
      </c>
      <c r="D30" s="301" t="s">
        <v>123</v>
      </c>
      <c r="E30" s="302"/>
      <c r="F30" s="280" t="s">
        <v>124</v>
      </c>
      <c r="G30" s="240" t="s">
        <v>74</v>
      </c>
      <c r="H30" s="280" t="s">
        <v>125</v>
      </c>
      <c r="I30" s="300" t="s">
        <v>126</v>
      </c>
      <c r="J30" s="303">
        <v>6</v>
      </c>
      <c r="K30" s="304">
        <f t="shared" si="0"/>
        <v>255</v>
      </c>
      <c r="L30" s="305">
        <v>255</v>
      </c>
      <c r="M30" s="305"/>
      <c r="N30" s="305"/>
      <c r="O30" s="306" t="e">
        <f>IF(L30="nio",0,IF(L30&gt;0,L30*J30/R30,0))*VLOOKUP(B30,'2-Kosten per locatie'!$A$14:$C$24,3,FALSE)</f>
        <v>#DIV/0!</v>
      </c>
      <c r="P30" s="306">
        <f>IF(M30&gt;0,M30*J30/S30,0)*VLOOKUP(B30,'2-Kosten per locatie'!$A$14:$C$24,3,FALSE)</f>
        <v>0</v>
      </c>
      <c r="Q30" s="306">
        <f>IF(N30&gt;0,N30*J30/T30,0)*VLOOKUP(B30,'2-Kosten per locatie'!$A$14:$C$24,3,FALSE)</f>
        <v>0</v>
      </c>
      <c r="R30" s="307">
        <f>IF(L30="nio",0,IF(L30&gt;0,VLOOKUP(G30,'3-Productie normen'!A:P,VLOOKUP(L30,'3-Productie normen'!$B$32:$E$37,2,FALSE),FALSE)))</f>
        <v>0</v>
      </c>
      <c r="S30" s="307">
        <f t="shared" si="1"/>
        <v>0</v>
      </c>
      <c r="T30" s="307">
        <f t="shared" si="2"/>
        <v>0</v>
      </c>
      <c r="U30" s="308">
        <f>VLOOKUP(G30,'3-Productie normen'!A:N,10,FALSE)</f>
        <v>0</v>
      </c>
      <c r="V30" s="308"/>
      <c r="X30" s="309">
        <f t="shared" si="3"/>
        <v>1530</v>
      </c>
    </row>
    <row r="31" spans="1:24" ht="14.1" customHeight="1">
      <c r="A31" s="71">
        <v>31</v>
      </c>
      <c r="B31" s="300" t="s">
        <v>49</v>
      </c>
      <c r="C31" s="240" t="s">
        <v>122</v>
      </c>
      <c r="D31" s="301" t="s">
        <v>123</v>
      </c>
      <c r="E31" s="302"/>
      <c r="F31" s="280" t="s">
        <v>124</v>
      </c>
      <c r="G31" s="240" t="s">
        <v>74</v>
      </c>
      <c r="H31" s="280" t="s">
        <v>125</v>
      </c>
      <c r="I31" s="300" t="s">
        <v>126</v>
      </c>
      <c r="J31" s="303">
        <v>5.8</v>
      </c>
      <c r="K31" s="304">
        <f t="shared" si="0"/>
        <v>255</v>
      </c>
      <c r="L31" s="305">
        <v>255</v>
      </c>
      <c r="M31" s="305"/>
      <c r="N31" s="305"/>
      <c r="O31" s="306" t="e">
        <f>IF(L31="nio",0,IF(L31&gt;0,L31*J31/R31,0))*VLOOKUP(B31,'2-Kosten per locatie'!$A$14:$C$24,3,FALSE)</f>
        <v>#DIV/0!</v>
      </c>
      <c r="P31" s="306">
        <f>IF(M31&gt;0,M31*J31/S31,0)*VLOOKUP(B31,'2-Kosten per locatie'!$A$14:$C$24,3,FALSE)</f>
        <v>0</v>
      </c>
      <c r="Q31" s="306">
        <f>IF(N31&gt;0,N31*J31/T31,0)*VLOOKUP(B31,'2-Kosten per locatie'!$A$14:$C$24,3,FALSE)</f>
        <v>0</v>
      </c>
      <c r="R31" s="307">
        <f>IF(L31="nio",0,IF(L31&gt;0,VLOOKUP(G31,'3-Productie normen'!A:P,VLOOKUP(L31,'3-Productie normen'!$B$32:$E$37,2,FALSE),FALSE)))</f>
        <v>0</v>
      </c>
      <c r="S31" s="307">
        <f t="shared" si="1"/>
        <v>0</v>
      </c>
      <c r="T31" s="307">
        <f t="shared" si="2"/>
        <v>0</v>
      </c>
      <c r="U31" s="308">
        <f>VLOOKUP(G31,'3-Productie normen'!A:N,10,FALSE)</f>
        <v>0</v>
      </c>
      <c r="V31" s="308"/>
      <c r="X31" s="309">
        <f t="shared" si="3"/>
        <v>1479</v>
      </c>
    </row>
    <row r="32" spans="1:24" ht="14.1" customHeight="1">
      <c r="A32" s="71">
        <v>32</v>
      </c>
      <c r="B32" s="300" t="s">
        <v>49</v>
      </c>
      <c r="C32" s="240" t="s">
        <v>122</v>
      </c>
      <c r="D32" s="301" t="s">
        <v>123</v>
      </c>
      <c r="E32" s="302"/>
      <c r="F32" s="280" t="s">
        <v>124</v>
      </c>
      <c r="G32" s="240" t="s">
        <v>74</v>
      </c>
      <c r="H32" s="280" t="s">
        <v>125</v>
      </c>
      <c r="I32" s="300" t="s">
        <v>126</v>
      </c>
      <c r="J32" s="303">
        <v>5.6</v>
      </c>
      <c r="K32" s="304">
        <f t="shared" si="0"/>
        <v>255</v>
      </c>
      <c r="L32" s="305">
        <v>255</v>
      </c>
      <c r="M32" s="305"/>
      <c r="N32" s="305"/>
      <c r="O32" s="306" t="e">
        <f>IF(L32="nio",0,IF(L32&gt;0,L32*J32/R32,0))*VLOOKUP(B32,'2-Kosten per locatie'!$A$14:$C$24,3,FALSE)</f>
        <v>#DIV/0!</v>
      </c>
      <c r="P32" s="306">
        <f>IF(M32&gt;0,M32*J32/S32,0)*VLOOKUP(B32,'2-Kosten per locatie'!$A$14:$C$24,3,FALSE)</f>
        <v>0</v>
      </c>
      <c r="Q32" s="306">
        <f>IF(N32&gt;0,N32*J32/T32,0)*VLOOKUP(B32,'2-Kosten per locatie'!$A$14:$C$24,3,FALSE)</f>
        <v>0</v>
      </c>
      <c r="R32" s="307">
        <f>IF(L32="nio",0,IF(L32&gt;0,VLOOKUP(G32,'3-Productie normen'!A:P,VLOOKUP(L32,'3-Productie normen'!$B$32:$E$37,2,FALSE),FALSE)))</f>
        <v>0</v>
      </c>
      <c r="S32" s="307">
        <f t="shared" si="1"/>
        <v>0</v>
      </c>
      <c r="T32" s="307">
        <f t="shared" si="2"/>
        <v>0</v>
      </c>
      <c r="U32" s="308">
        <f>VLOOKUP(G32,'3-Productie normen'!A:N,10,FALSE)</f>
        <v>0</v>
      </c>
      <c r="V32" s="308"/>
      <c r="X32" s="309">
        <f t="shared" si="3"/>
        <v>1428</v>
      </c>
    </row>
    <row r="33" spans="1:24" ht="14.1" customHeight="1">
      <c r="A33" s="71">
        <v>33</v>
      </c>
      <c r="B33" s="300" t="s">
        <v>49</v>
      </c>
      <c r="C33" s="240" t="s">
        <v>122</v>
      </c>
      <c r="D33" s="301" t="s">
        <v>123</v>
      </c>
      <c r="E33" s="302"/>
      <c r="F33" s="280" t="s">
        <v>124</v>
      </c>
      <c r="G33" s="240" t="s">
        <v>74</v>
      </c>
      <c r="H33" s="280" t="s">
        <v>125</v>
      </c>
      <c r="I33" s="300" t="s">
        <v>126</v>
      </c>
      <c r="J33" s="303">
        <v>5.9</v>
      </c>
      <c r="K33" s="304">
        <f t="shared" si="0"/>
        <v>255</v>
      </c>
      <c r="L33" s="305">
        <v>255</v>
      </c>
      <c r="M33" s="305"/>
      <c r="N33" s="305"/>
      <c r="O33" s="306" t="e">
        <f>IF(L33="nio",0,IF(L33&gt;0,L33*J33/R33,0))*VLOOKUP(B33,'2-Kosten per locatie'!$A$14:$C$24,3,FALSE)</f>
        <v>#DIV/0!</v>
      </c>
      <c r="P33" s="306">
        <f>IF(M33&gt;0,M33*J33/S33,0)*VLOOKUP(B33,'2-Kosten per locatie'!$A$14:$C$24,3,FALSE)</f>
        <v>0</v>
      </c>
      <c r="Q33" s="306">
        <f>IF(N33&gt;0,N33*J33/T33,0)*VLOOKUP(B33,'2-Kosten per locatie'!$A$14:$C$24,3,FALSE)</f>
        <v>0</v>
      </c>
      <c r="R33" s="307">
        <f>IF(L33="nio",0,IF(L33&gt;0,VLOOKUP(G33,'3-Productie normen'!A:P,VLOOKUP(L33,'3-Productie normen'!$B$32:$E$37,2,FALSE),FALSE)))</f>
        <v>0</v>
      </c>
      <c r="S33" s="307">
        <f t="shared" si="1"/>
        <v>0</v>
      </c>
      <c r="T33" s="307">
        <f t="shared" si="2"/>
        <v>0</v>
      </c>
      <c r="U33" s="308">
        <f>VLOOKUP(G33,'3-Productie normen'!A:N,10,FALSE)</f>
        <v>0</v>
      </c>
      <c r="V33" s="308"/>
      <c r="X33" s="309">
        <f t="shared" si="3"/>
        <v>1504.5</v>
      </c>
    </row>
    <row r="34" spans="1:24" ht="14.1" customHeight="1">
      <c r="A34" s="71">
        <v>34</v>
      </c>
      <c r="B34" s="300" t="s">
        <v>49</v>
      </c>
      <c r="C34" s="240" t="s">
        <v>122</v>
      </c>
      <c r="D34" s="301" t="s">
        <v>123</v>
      </c>
      <c r="E34" s="302"/>
      <c r="F34" s="280" t="s">
        <v>124</v>
      </c>
      <c r="G34" s="240" t="s">
        <v>74</v>
      </c>
      <c r="H34" s="280" t="s">
        <v>125</v>
      </c>
      <c r="I34" s="300" t="s">
        <v>126</v>
      </c>
      <c r="J34" s="303">
        <v>6.4</v>
      </c>
      <c r="K34" s="304">
        <f t="shared" si="0"/>
        <v>255</v>
      </c>
      <c r="L34" s="305">
        <v>255</v>
      </c>
      <c r="M34" s="305"/>
      <c r="N34" s="305"/>
      <c r="O34" s="306" t="e">
        <f>IF(L34="nio",0,IF(L34&gt;0,L34*J34/R34,0))*VLOOKUP(B34,'2-Kosten per locatie'!$A$14:$C$24,3,FALSE)</f>
        <v>#DIV/0!</v>
      </c>
      <c r="P34" s="306">
        <f>IF(M34&gt;0,M34*J34/S34,0)*VLOOKUP(B34,'2-Kosten per locatie'!$A$14:$C$24,3,FALSE)</f>
        <v>0</v>
      </c>
      <c r="Q34" s="306">
        <f>IF(N34&gt;0,N34*J34/T34,0)*VLOOKUP(B34,'2-Kosten per locatie'!$A$14:$C$24,3,FALSE)</f>
        <v>0</v>
      </c>
      <c r="R34" s="307">
        <f>IF(L34="nio",0,IF(L34&gt;0,VLOOKUP(G34,'3-Productie normen'!A:P,VLOOKUP(L34,'3-Productie normen'!$B$32:$E$37,2,FALSE),FALSE)))</f>
        <v>0</v>
      </c>
      <c r="S34" s="307">
        <f t="shared" si="1"/>
        <v>0</v>
      </c>
      <c r="T34" s="307">
        <f t="shared" si="2"/>
        <v>0</v>
      </c>
      <c r="U34" s="308">
        <f>VLOOKUP(G34,'3-Productie normen'!A:N,10,FALSE)</f>
        <v>0</v>
      </c>
      <c r="V34" s="308"/>
      <c r="X34" s="309">
        <f t="shared" si="3"/>
        <v>1632</v>
      </c>
    </row>
    <row r="35" spans="1:24" ht="14.1" customHeight="1">
      <c r="A35" s="71">
        <v>35</v>
      </c>
      <c r="B35" s="300" t="s">
        <v>49</v>
      </c>
      <c r="C35" s="240" t="s">
        <v>122</v>
      </c>
      <c r="D35" s="301" t="s">
        <v>123</v>
      </c>
      <c r="E35" s="302"/>
      <c r="F35" s="280" t="s">
        <v>124</v>
      </c>
      <c r="G35" s="240" t="s">
        <v>74</v>
      </c>
      <c r="H35" s="280" t="s">
        <v>125</v>
      </c>
      <c r="I35" s="300" t="s">
        <v>126</v>
      </c>
      <c r="J35" s="303">
        <v>6.1</v>
      </c>
      <c r="K35" s="304">
        <f t="shared" si="0"/>
        <v>255</v>
      </c>
      <c r="L35" s="305">
        <v>255</v>
      </c>
      <c r="M35" s="305"/>
      <c r="N35" s="305"/>
      <c r="O35" s="306" t="e">
        <f>IF(L35="nio",0,IF(L35&gt;0,L35*J35/R35,0))*VLOOKUP(B35,'2-Kosten per locatie'!$A$14:$C$24,3,FALSE)</f>
        <v>#DIV/0!</v>
      </c>
      <c r="P35" s="306">
        <f>IF(M35&gt;0,M35*J35/S35,0)*VLOOKUP(B35,'2-Kosten per locatie'!$A$14:$C$24,3,FALSE)</f>
        <v>0</v>
      </c>
      <c r="Q35" s="306">
        <f>IF(N35&gt;0,N35*J35/T35,0)*VLOOKUP(B35,'2-Kosten per locatie'!$A$14:$C$24,3,FALSE)</f>
        <v>0</v>
      </c>
      <c r="R35" s="307">
        <f>IF(L35="nio",0,IF(L35&gt;0,VLOOKUP(G35,'3-Productie normen'!A:P,VLOOKUP(L35,'3-Productie normen'!$B$32:$E$37,2,FALSE),FALSE)))</f>
        <v>0</v>
      </c>
      <c r="S35" s="307">
        <f t="shared" si="1"/>
        <v>0</v>
      </c>
      <c r="T35" s="307">
        <f t="shared" si="2"/>
        <v>0</v>
      </c>
      <c r="U35" s="308">
        <f>VLOOKUP(G35,'3-Productie normen'!A:N,10,FALSE)</f>
        <v>0</v>
      </c>
      <c r="V35" s="308"/>
      <c r="X35" s="309">
        <f t="shared" si="3"/>
        <v>1555.5</v>
      </c>
    </row>
    <row r="36" spans="1:24" ht="14.1" customHeight="1">
      <c r="A36" s="71">
        <v>36</v>
      </c>
      <c r="B36" s="300" t="s">
        <v>49</v>
      </c>
      <c r="C36" s="240" t="s">
        <v>122</v>
      </c>
      <c r="D36" s="301" t="s">
        <v>123</v>
      </c>
      <c r="E36" s="302"/>
      <c r="F36" s="280" t="s">
        <v>128</v>
      </c>
      <c r="G36" s="280" t="s">
        <v>80</v>
      </c>
      <c r="H36" s="280" t="s">
        <v>125</v>
      </c>
      <c r="I36" s="300" t="s">
        <v>126</v>
      </c>
      <c r="J36" s="303">
        <v>40.1</v>
      </c>
      <c r="K36" s="304">
        <f t="shared" si="0"/>
        <v>255</v>
      </c>
      <c r="L36" s="305">
        <v>255</v>
      </c>
      <c r="M36" s="305"/>
      <c r="N36" s="305"/>
      <c r="O36" s="306" t="e">
        <f>IF(L36="nio",0,IF(L36&gt;0,L36*J36/R36,0))*VLOOKUP(B36,'2-Kosten per locatie'!$A$14:$C$24,3,FALSE)</f>
        <v>#DIV/0!</v>
      </c>
      <c r="P36" s="306">
        <f>IF(M36&gt;0,M36*J36/S36,0)*VLOOKUP(B36,'2-Kosten per locatie'!$A$14:$C$24,3,FALSE)</f>
        <v>0</v>
      </c>
      <c r="Q36" s="306">
        <f>IF(N36&gt;0,N36*J36/T36,0)*VLOOKUP(B36,'2-Kosten per locatie'!$A$14:$C$24,3,FALSE)</f>
        <v>0</v>
      </c>
      <c r="R36" s="307">
        <f>IF(L36="nio",0,IF(L36&gt;0,VLOOKUP(G36,'3-Productie normen'!A:P,VLOOKUP(L36,'3-Productie normen'!$B$32:$E$37,2,FALSE),FALSE)))</f>
        <v>0</v>
      </c>
      <c r="S36" s="307">
        <f t="shared" si="1"/>
        <v>0</v>
      </c>
      <c r="T36" s="307">
        <f t="shared" si="2"/>
        <v>0</v>
      </c>
      <c r="U36" s="308">
        <f>VLOOKUP(G36,'3-Productie normen'!A:N,10,FALSE)</f>
        <v>0</v>
      </c>
      <c r="V36" s="308"/>
      <c r="X36" s="309">
        <f t="shared" si="3"/>
        <v>10225.5</v>
      </c>
    </row>
    <row r="37" spans="1:24" ht="14.1" customHeight="1">
      <c r="A37" s="71">
        <v>37</v>
      </c>
      <c r="B37" s="300" t="s">
        <v>49</v>
      </c>
      <c r="C37" s="240" t="s">
        <v>122</v>
      </c>
      <c r="D37" s="301" t="s">
        <v>123</v>
      </c>
      <c r="E37" s="302"/>
      <c r="F37" s="280" t="s">
        <v>128</v>
      </c>
      <c r="G37" s="280" t="s">
        <v>80</v>
      </c>
      <c r="H37" s="280" t="s">
        <v>125</v>
      </c>
      <c r="I37" s="300" t="s">
        <v>126</v>
      </c>
      <c r="J37" s="303">
        <v>104.4</v>
      </c>
      <c r="K37" s="304">
        <f t="shared" si="0"/>
        <v>255</v>
      </c>
      <c r="L37" s="305">
        <v>255</v>
      </c>
      <c r="M37" s="305"/>
      <c r="N37" s="305"/>
      <c r="O37" s="306" t="e">
        <f>IF(L37="nio",0,IF(L37&gt;0,L37*J37/R37,0))*VLOOKUP(B37,'2-Kosten per locatie'!$A$14:$C$24,3,FALSE)</f>
        <v>#DIV/0!</v>
      </c>
      <c r="P37" s="306">
        <f>IF(M37&gt;0,M37*J37/S37,0)*VLOOKUP(B37,'2-Kosten per locatie'!$A$14:$C$24,3,FALSE)</f>
        <v>0</v>
      </c>
      <c r="Q37" s="306">
        <f>IF(N37&gt;0,N37*J37/T37,0)*VLOOKUP(B37,'2-Kosten per locatie'!$A$14:$C$24,3,FALSE)</f>
        <v>0</v>
      </c>
      <c r="R37" s="307">
        <f>IF(L37="nio",0,IF(L37&gt;0,VLOOKUP(G37,'3-Productie normen'!A:P,VLOOKUP(L37,'3-Productie normen'!$B$32:$E$37,2,FALSE),FALSE)))</f>
        <v>0</v>
      </c>
      <c r="S37" s="307">
        <f t="shared" si="1"/>
        <v>0</v>
      </c>
      <c r="T37" s="307">
        <f t="shared" si="2"/>
        <v>0</v>
      </c>
      <c r="U37" s="308">
        <f>VLOOKUP(G37,'3-Productie normen'!A:N,10,FALSE)</f>
        <v>0</v>
      </c>
      <c r="V37" s="308"/>
      <c r="X37" s="309">
        <f t="shared" si="3"/>
        <v>26622</v>
      </c>
    </row>
    <row r="38" spans="1:24" ht="14.1" customHeight="1">
      <c r="A38" s="71">
        <v>38</v>
      </c>
      <c r="B38" s="300" t="s">
        <v>49</v>
      </c>
      <c r="C38" s="240" t="s">
        <v>122</v>
      </c>
      <c r="D38" s="301" t="s">
        <v>123</v>
      </c>
      <c r="E38" s="302"/>
      <c r="F38" s="280" t="s">
        <v>124</v>
      </c>
      <c r="G38" s="240" t="s">
        <v>74</v>
      </c>
      <c r="H38" s="280" t="s">
        <v>125</v>
      </c>
      <c r="I38" s="300" t="s">
        <v>126</v>
      </c>
      <c r="J38" s="303">
        <v>6</v>
      </c>
      <c r="K38" s="304">
        <f t="shared" si="0"/>
        <v>255</v>
      </c>
      <c r="L38" s="305">
        <v>255</v>
      </c>
      <c r="M38" s="305"/>
      <c r="N38" s="305"/>
      <c r="O38" s="306" t="e">
        <f>IF(L38="nio",0,IF(L38&gt;0,L38*J38/R38,0))*VLOOKUP(B38,'2-Kosten per locatie'!$A$14:$C$24,3,FALSE)</f>
        <v>#DIV/0!</v>
      </c>
      <c r="P38" s="306">
        <f>IF(M38&gt;0,M38*J38/S38,0)*VLOOKUP(B38,'2-Kosten per locatie'!$A$14:$C$24,3,FALSE)</f>
        <v>0</v>
      </c>
      <c r="Q38" s="306">
        <f>IF(N38&gt;0,N38*J38/T38,0)*VLOOKUP(B38,'2-Kosten per locatie'!$A$14:$C$24,3,FALSE)</f>
        <v>0</v>
      </c>
      <c r="R38" s="307">
        <f>IF(L38="nio",0,IF(L38&gt;0,VLOOKUP(G38,'3-Productie normen'!A:P,VLOOKUP(L38,'3-Productie normen'!$B$32:$E$37,2,FALSE),FALSE)))</f>
        <v>0</v>
      </c>
      <c r="S38" s="307">
        <f t="shared" si="1"/>
        <v>0</v>
      </c>
      <c r="T38" s="307">
        <f t="shared" si="2"/>
        <v>0</v>
      </c>
      <c r="U38" s="308">
        <f>VLOOKUP(G38,'3-Productie normen'!A:N,10,FALSE)</f>
        <v>0</v>
      </c>
      <c r="V38" s="308"/>
      <c r="X38" s="309">
        <f t="shared" si="3"/>
        <v>1530</v>
      </c>
    </row>
    <row r="39" spans="1:24" ht="14.1" customHeight="1">
      <c r="A39" s="71">
        <v>39</v>
      </c>
      <c r="B39" s="300" t="s">
        <v>49</v>
      </c>
      <c r="C39" s="240" t="s">
        <v>122</v>
      </c>
      <c r="D39" s="301" t="s">
        <v>123</v>
      </c>
      <c r="E39" s="302"/>
      <c r="F39" s="280" t="s">
        <v>124</v>
      </c>
      <c r="G39" s="240" t="s">
        <v>74</v>
      </c>
      <c r="H39" s="280" t="s">
        <v>125</v>
      </c>
      <c r="I39" s="300" t="s">
        <v>126</v>
      </c>
      <c r="J39" s="303">
        <v>6.4</v>
      </c>
      <c r="K39" s="304">
        <f t="shared" si="0"/>
        <v>255</v>
      </c>
      <c r="L39" s="305">
        <v>255</v>
      </c>
      <c r="M39" s="305"/>
      <c r="N39" s="305"/>
      <c r="O39" s="306" t="e">
        <f>IF(L39="nio",0,IF(L39&gt;0,L39*J39/R39,0))*VLOOKUP(B39,'2-Kosten per locatie'!$A$14:$C$24,3,FALSE)</f>
        <v>#DIV/0!</v>
      </c>
      <c r="P39" s="306">
        <f>IF(M39&gt;0,M39*J39/S39,0)*VLOOKUP(B39,'2-Kosten per locatie'!$A$14:$C$24,3,FALSE)</f>
        <v>0</v>
      </c>
      <c r="Q39" s="306">
        <f>IF(N39&gt;0,N39*J39/T39,0)*VLOOKUP(B39,'2-Kosten per locatie'!$A$14:$C$24,3,FALSE)</f>
        <v>0</v>
      </c>
      <c r="R39" s="307">
        <f>IF(L39="nio",0,IF(L39&gt;0,VLOOKUP(G39,'3-Productie normen'!A:P,VLOOKUP(L39,'3-Productie normen'!$B$32:$E$37,2,FALSE),FALSE)))</f>
        <v>0</v>
      </c>
      <c r="S39" s="307">
        <f t="shared" si="1"/>
        <v>0</v>
      </c>
      <c r="T39" s="307">
        <f t="shared" si="2"/>
        <v>0</v>
      </c>
      <c r="U39" s="308">
        <f>VLOOKUP(G39,'3-Productie normen'!A:N,10,FALSE)</f>
        <v>0</v>
      </c>
      <c r="V39" s="308"/>
      <c r="X39" s="309">
        <f t="shared" si="3"/>
        <v>1632</v>
      </c>
    </row>
    <row r="40" spans="1:24" ht="14.1" customHeight="1">
      <c r="A40" s="71">
        <v>40</v>
      </c>
      <c r="B40" s="300" t="s">
        <v>49</v>
      </c>
      <c r="C40" s="240" t="s">
        <v>122</v>
      </c>
      <c r="D40" s="301" t="s">
        <v>123</v>
      </c>
      <c r="E40" s="302"/>
      <c r="F40" s="280" t="s">
        <v>124</v>
      </c>
      <c r="G40" s="240" t="s">
        <v>74</v>
      </c>
      <c r="H40" s="280" t="s">
        <v>125</v>
      </c>
      <c r="I40" s="300" t="s">
        <v>126</v>
      </c>
      <c r="J40" s="303">
        <v>6.2</v>
      </c>
      <c r="K40" s="304">
        <f t="shared" si="0"/>
        <v>255</v>
      </c>
      <c r="L40" s="305">
        <v>255</v>
      </c>
      <c r="M40" s="305"/>
      <c r="N40" s="305"/>
      <c r="O40" s="306" t="e">
        <f>IF(L40="nio",0,IF(L40&gt;0,L40*J40/R40,0))*VLOOKUP(B40,'2-Kosten per locatie'!$A$14:$C$24,3,FALSE)</f>
        <v>#DIV/0!</v>
      </c>
      <c r="P40" s="306">
        <f>IF(M40&gt;0,M40*J40/S40,0)*VLOOKUP(B40,'2-Kosten per locatie'!$A$14:$C$24,3,FALSE)</f>
        <v>0</v>
      </c>
      <c r="Q40" s="306">
        <f>IF(N40&gt;0,N40*J40/T40,0)*VLOOKUP(B40,'2-Kosten per locatie'!$A$14:$C$24,3,FALSE)</f>
        <v>0</v>
      </c>
      <c r="R40" s="307">
        <f>IF(L40="nio",0,IF(L40&gt;0,VLOOKUP(G40,'3-Productie normen'!A:P,VLOOKUP(L40,'3-Productie normen'!$B$32:$E$37,2,FALSE),FALSE)))</f>
        <v>0</v>
      </c>
      <c r="S40" s="307">
        <f t="shared" si="1"/>
        <v>0</v>
      </c>
      <c r="T40" s="307">
        <f t="shared" si="2"/>
        <v>0</v>
      </c>
      <c r="U40" s="308">
        <f>VLOOKUP(G40,'3-Productie normen'!A:N,10,FALSE)</f>
        <v>0</v>
      </c>
      <c r="V40" s="308"/>
      <c r="X40" s="309">
        <f t="shared" si="3"/>
        <v>1581</v>
      </c>
    </row>
    <row r="41" spans="1:24" ht="14.1" customHeight="1">
      <c r="A41" s="71">
        <v>41</v>
      </c>
      <c r="B41" s="300" t="s">
        <v>49</v>
      </c>
      <c r="C41" s="240" t="s">
        <v>122</v>
      </c>
      <c r="D41" s="301" t="s">
        <v>123</v>
      </c>
      <c r="E41" s="302"/>
      <c r="F41" s="280" t="s">
        <v>128</v>
      </c>
      <c r="G41" s="280" t="s">
        <v>80</v>
      </c>
      <c r="H41" s="280" t="s">
        <v>125</v>
      </c>
      <c r="I41" s="300" t="s">
        <v>126</v>
      </c>
      <c r="J41" s="303">
        <v>13.1</v>
      </c>
      <c r="K41" s="304">
        <f t="shared" si="0"/>
        <v>255</v>
      </c>
      <c r="L41" s="305">
        <v>255</v>
      </c>
      <c r="M41" s="305"/>
      <c r="N41" s="305"/>
      <c r="O41" s="306" t="e">
        <f>IF(L41="nio",0,IF(L41&gt;0,L41*J41/R41,0))*VLOOKUP(B41,'2-Kosten per locatie'!$A$14:$C$24,3,FALSE)</f>
        <v>#DIV/0!</v>
      </c>
      <c r="P41" s="306">
        <f>IF(M41&gt;0,M41*J41/S41,0)*VLOOKUP(B41,'2-Kosten per locatie'!$A$14:$C$24,3,FALSE)</f>
        <v>0</v>
      </c>
      <c r="Q41" s="306">
        <f>IF(N41&gt;0,N41*J41/T41,0)*VLOOKUP(B41,'2-Kosten per locatie'!$A$14:$C$24,3,FALSE)</f>
        <v>0</v>
      </c>
      <c r="R41" s="307">
        <f>IF(L41="nio",0,IF(L41&gt;0,VLOOKUP(G41,'3-Productie normen'!A:P,VLOOKUP(L41,'3-Productie normen'!$B$32:$E$37,2,FALSE),FALSE)))</f>
        <v>0</v>
      </c>
      <c r="S41" s="307">
        <f t="shared" si="1"/>
        <v>0</v>
      </c>
      <c r="T41" s="307">
        <f t="shared" si="2"/>
        <v>0</v>
      </c>
      <c r="U41" s="308">
        <f>VLOOKUP(G41,'3-Productie normen'!A:N,10,FALSE)</f>
        <v>0</v>
      </c>
      <c r="V41" s="308"/>
      <c r="X41" s="309">
        <f t="shared" si="3"/>
        <v>3340.5</v>
      </c>
    </row>
    <row r="42" spans="1:24" ht="14.1" customHeight="1">
      <c r="A42" s="71">
        <v>42</v>
      </c>
      <c r="B42" s="300" t="s">
        <v>49</v>
      </c>
      <c r="C42" s="240" t="s">
        <v>122</v>
      </c>
      <c r="D42" s="301" t="s">
        <v>123</v>
      </c>
      <c r="E42" s="302"/>
      <c r="F42" s="280" t="s">
        <v>128</v>
      </c>
      <c r="G42" s="280" t="s">
        <v>80</v>
      </c>
      <c r="H42" s="280" t="s">
        <v>125</v>
      </c>
      <c r="I42" s="300" t="s">
        <v>126</v>
      </c>
      <c r="J42" s="303">
        <v>3.4</v>
      </c>
      <c r="K42" s="304">
        <f t="shared" ref="K42:K73" si="4">SUM(L42:N42)</f>
        <v>255</v>
      </c>
      <c r="L42" s="305">
        <v>255</v>
      </c>
      <c r="M42" s="305"/>
      <c r="N42" s="305"/>
      <c r="O42" s="306" t="e">
        <f>IF(L42="nio",0,IF(L42&gt;0,L42*J42/R42,0))*VLOOKUP(B42,'2-Kosten per locatie'!$A$14:$C$24,3,FALSE)</f>
        <v>#DIV/0!</v>
      </c>
      <c r="P42" s="306">
        <f>IF(M42&gt;0,M42*J42/S42,0)*VLOOKUP(B42,'2-Kosten per locatie'!$A$14:$C$24,3,FALSE)</f>
        <v>0</v>
      </c>
      <c r="Q42" s="306">
        <f>IF(N42&gt;0,N42*J42/T42,0)*VLOOKUP(B42,'2-Kosten per locatie'!$A$14:$C$24,3,FALSE)</f>
        <v>0</v>
      </c>
      <c r="R42" s="307">
        <f>IF(L42="nio",0,IF(L42&gt;0,VLOOKUP(G42,'3-Productie normen'!A:P,VLOOKUP(L42,'3-Productie normen'!$B$32:$E$37,2,FALSE),FALSE)))</f>
        <v>0</v>
      </c>
      <c r="S42" s="307">
        <f t="shared" ref="S42:S73" si="5">IF(M42&gt;0,R42*$S$8,0)</f>
        <v>0</v>
      </c>
      <c r="T42" s="307">
        <f t="shared" ref="T42:T74" si="6">IF(N42&gt;0,R42*$T$8,0)</f>
        <v>0</v>
      </c>
      <c r="U42" s="308">
        <f>VLOOKUP(G42,'3-Productie normen'!A:N,10,FALSE)</f>
        <v>0</v>
      </c>
      <c r="V42" s="308"/>
      <c r="X42" s="309">
        <f t="shared" ref="X42:X73" si="7">K42*J42</f>
        <v>867</v>
      </c>
    </row>
    <row r="43" spans="1:24" ht="14.1" customHeight="1">
      <c r="A43" s="71">
        <v>43</v>
      </c>
      <c r="B43" s="300" t="s">
        <v>49</v>
      </c>
      <c r="C43" s="240" t="s">
        <v>122</v>
      </c>
      <c r="D43" s="301" t="s">
        <v>123</v>
      </c>
      <c r="E43" s="302"/>
      <c r="F43" s="280" t="s">
        <v>128</v>
      </c>
      <c r="G43" s="280" t="s">
        <v>80</v>
      </c>
      <c r="H43" s="280" t="s">
        <v>125</v>
      </c>
      <c r="I43" s="300" t="s">
        <v>126</v>
      </c>
      <c r="J43" s="303">
        <v>2.8</v>
      </c>
      <c r="K43" s="304">
        <f t="shared" si="4"/>
        <v>255</v>
      </c>
      <c r="L43" s="305">
        <v>255</v>
      </c>
      <c r="M43" s="305"/>
      <c r="N43" s="305"/>
      <c r="O43" s="306" t="e">
        <f>IF(L43="nio",0,IF(L43&gt;0,L43*J43/R43,0))*VLOOKUP(B43,'2-Kosten per locatie'!$A$14:$C$24,3,FALSE)</f>
        <v>#DIV/0!</v>
      </c>
      <c r="P43" s="306">
        <f>IF(M43&gt;0,M43*J43/S43,0)*VLOOKUP(B43,'2-Kosten per locatie'!$A$14:$C$24,3,FALSE)</f>
        <v>0</v>
      </c>
      <c r="Q43" s="306">
        <f>IF(N43&gt;0,N43*J43/T43,0)*VLOOKUP(B43,'2-Kosten per locatie'!$A$14:$C$24,3,FALSE)</f>
        <v>0</v>
      </c>
      <c r="R43" s="307">
        <f>IF(L43="nio",0,IF(L43&gt;0,VLOOKUP(G43,'3-Productie normen'!A:P,VLOOKUP(L43,'3-Productie normen'!$B$32:$E$37,2,FALSE),FALSE)))</f>
        <v>0</v>
      </c>
      <c r="S43" s="307">
        <f t="shared" si="5"/>
        <v>0</v>
      </c>
      <c r="T43" s="307">
        <f t="shared" si="6"/>
        <v>0</v>
      </c>
      <c r="U43" s="308">
        <f>VLOOKUP(G43,'3-Productie normen'!A:N,10,FALSE)</f>
        <v>0</v>
      </c>
      <c r="V43" s="308"/>
      <c r="X43" s="309">
        <f t="shared" si="7"/>
        <v>714</v>
      </c>
    </row>
    <row r="44" spans="1:24" ht="14.1" customHeight="1">
      <c r="A44" s="71">
        <v>44</v>
      </c>
      <c r="B44" s="300" t="s">
        <v>49</v>
      </c>
      <c r="C44" s="240" t="s">
        <v>122</v>
      </c>
      <c r="D44" s="301" t="s">
        <v>123</v>
      </c>
      <c r="E44" s="302"/>
      <c r="F44" s="280" t="s">
        <v>128</v>
      </c>
      <c r="G44" s="280" t="s">
        <v>80</v>
      </c>
      <c r="H44" s="280" t="s">
        <v>125</v>
      </c>
      <c r="I44" s="300" t="s">
        <v>126</v>
      </c>
      <c r="J44" s="303">
        <v>54</v>
      </c>
      <c r="K44" s="304">
        <f t="shared" si="4"/>
        <v>255</v>
      </c>
      <c r="L44" s="305">
        <v>255</v>
      </c>
      <c r="M44" s="305"/>
      <c r="N44" s="305"/>
      <c r="O44" s="306" t="e">
        <f>IF(L44="nio",0,IF(L44&gt;0,L44*J44/R44,0))*VLOOKUP(B44,'2-Kosten per locatie'!$A$14:$C$24,3,FALSE)</f>
        <v>#DIV/0!</v>
      </c>
      <c r="P44" s="306">
        <f>IF(M44&gt;0,M44*J44/S44,0)*VLOOKUP(B44,'2-Kosten per locatie'!$A$14:$C$24,3,FALSE)</f>
        <v>0</v>
      </c>
      <c r="Q44" s="306">
        <f>IF(N44&gt;0,N44*J44/T44,0)*VLOOKUP(B44,'2-Kosten per locatie'!$A$14:$C$24,3,FALSE)</f>
        <v>0</v>
      </c>
      <c r="R44" s="307">
        <f>IF(L44="nio",0,IF(L44&gt;0,VLOOKUP(G44,'3-Productie normen'!A:P,VLOOKUP(L44,'3-Productie normen'!$B$32:$E$37,2,FALSE),FALSE)))</f>
        <v>0</v>
      </c>
      <c r="S44" s="307">
        <f t="shared" si="5"/>
        <v>0</v>
      </c>
      <c r="T44" s="307">
        <f t="shared" si="6"/>
        <v>0</v>
      </c>
      <c r="U44" s="308">
        <f>VLOOKUP(G44,'3-Productie normen'!A:N,10,FALSE)</f>
        <v>0</v>
      </c>
      <c r="V44" s="308"/>
      <c r="X44" s="309">
        <f t="shared" si="7"/>
        <v>13770</v>
      </c>
    </row>
    <row r="45" spans="1:24" ht="14.1" customHeight="1">
      <c r="A45" s="71">
        <v>45</v>
      </c>
      <c r="B45" s="300" t="s">
        <v>49</v>
      </c>
      <c r="C45" s="240" t="s">
        <v>122</v>
      </c>
      <c r="D45" s="301" t="s">
        <v>123</v>
      </c>
      <c r="E45" s="302"/>
      <c r="F45" s="240" t="s">
        <v>124</v>
      </c>
      <c r="G45" s="240" t="s">
        <v>74</v>
      </c>
      <c r="H45" s="280" t="s">
        <v>125</v>
      </c>
      <c r="I45" s="300" t="s">
        <v>126</v>
      </c>
      <c r="J45" s="303">
        <v>22.2</v>
      </c>
      <c r="K45" s="304">
        <f t="shared" si="4"/>
        <v>255</v>
      </c>
      <c r="L45" s="305">
        <v>255</v>
      </c>
      <c r="M45" s="305"/>
      <c r="N45" s="305"/>
      <c r="O45" s="306" t="e">
        <f>IF(L45="nio",0,IF(L45&gt;0,L45*J45/R45,0))*VLOOKUP(B45,'2-Kosten per locatie'!$A$14:$C$24,3,FALSE)</f>
        <v>#DIV/0!</v>
      </c>
      <c r="P45" s="306">
        <f>IF(M45&gt;0,M45*J45/S45,0)*VLOOKUP(B45,'2-Kosten per locatie'!$A$14:$C$24,3,FALSE)</f>
        <v>0</v>
      </c>
      <c r="Q45" s="306">
        <f>IF(N45&gt;0,N45*J45/T45,0)*VLOOKUP(B45,'2-Kosten per locatie'!$A$14:$C$24,3,FALSE)</f>
        <v>0</v>
      </c>
      <c r="R45" s="307">
        <f>IF(L45="nio",0,IF(L45&gt;0,VLOOKUP(G45,'3-Productie normen'!A:P,VLOOKUP(L45,'3-Productie normen'!$B$32:$E$37,2,FALSE),FALSE)))</f>
        <v>0</v>
      </c>
      <c r="S45" s="307">
        <f t="shared" si="5"/>
        <v>0</v>
      </c>
      <c r="T45" s="307">
        <f t="shared" si="6"/>
        <v>0</v>
      </c>
      <c r="U45" s="308">
        <f>VLOOKUP(G45,'3-Productie normen'!A:N,10,FALSE)</f>
        <v>0</v>
      </c>
      <c r="V45" s="308"/>
      <c r="X45" s="309">
        <f t="shared" si="7"/>
        <v>5661</v>
      </c>
    </row>
    <row r="46" spans="1:24" ht="14.1" customHeight="1">
      <c r="A46" s="71">
        <v>46</v>
      </c>
      <c r="B46" s="300" t="s">
        <v>49</v>
      </c>
      <c r="C46" s="240" t="s">
        <v>122</v>
      </c>
      <c r="D46" s="301" t="s">
        <v>123</v>
      </c>
      <c r="E46" s="302"/>
      <c r="F46" s="240" t="s">
        <v>83</v>
      </c>
      <c r="G46" s="240" t="s">
        <v>83</v>
      </c>
      <c r="H46" s="280" t="s">
        <v>134</v>
      </c>
      <c r="I46" s="300" t="s">
        <v>134</v>
      </c>
      <c r="J46" s="303">
        <v>2.2999999999999998</v>
      </c>
      <c r="K46" s="304">
        <f t="shared" si="4"/>
        <v>255</v>
      </c>
      <c r="L46" s="305">
        <v>255</v>
      </c>
      <c r="M46" s="305"/>
      <c r="N46" s="305"/>
      <c r="O46" s="306" t="e">
        <f>IF(L46="nio",0,IF(L46&gt;0,L46*J46/R46,0))*VLOOKUP(B46,'2-Kosten per locatie'!$A$14:$C$24,3,FALSE)</f>
        <v>#DIV/0!</v>
      </c>
      <c r="P46" s="306">
        <f>IF(M46&gt;0,M46*J46/S46,0)*VLOOKUP(B46,'2-Kosten per locatie'!$A$14:$C$24,3,FALSE)</f>
        <v>0</v>
      </c>
      <c r="Q46" s="306">
        <f>IF(N46&gt;0,N46*J46/T46,0)*VLOOKUP(B46,'2-Kosten per locatie'!$A$14:$C$24,3,FALSE)</f>
        <v>0</v>
      </c>
      <c r="R46" s="307">
        <f>IF(L46="nio",0,IF(L46&gt;0,VLOOKUP(G46,'3-Productie normen'!A:P,VLOOKUP(L46,'3-Productie normen'!$B$32:$E$37,2,FALSE),FALSE)))</f>
        <v>0</v>
      </c>
      <c r="S46" s="307">
        <f t="shared" si="5"/>
        <v>0</v>
      </c>
      <c r="T46" s="307">
        <f t="shared" si="6"/>
        <v>0</v>
      </c>
      <c r="U46" s="308">
        <f>VLOOKUP(G46,'3-Productie normen'!A:N,10,FALSE)</f>
        <v>0</v>
      </c>
      <c r="V46" s="308"/>
      <c r="X46" s="309">
        <f t="shared" si="7"/>
        <v>586.5</v>
      </c>
    </row>
    <row r="47" spans="1:24" ht="14.1" customHeight="1">
      <c r="A47" s="71">
        <v>47</v>
      </c>
      <c r="B47" s="300" t="s">
        <v>49</v>
      </c>
      <c r="C47" s="240" t="s">
        <v>122</v>
      </c>
      <c r="D47" s="301" t="s">
        <v>123</v>
      </c>
      <c r="E47" s="302"/>
      <c r="F47" s="240" t="s">
        <v>128</v>
      </c>
      <c r="G47" s="240" t="s">
        <v>80</v>
      </c>
      <c r="H47" s="280" t="s">
        <v>130</v>
      </c>
      <c r="I47" s="300" t="s">
        <v>130</v>
      </c>
      <c r="J47" s="303">
        <v>30.4</v>
      </c>
      <c r="K47" s="304">
        <f t="shared" si="4"/>
        <v>255</v>
      </c>
      <c r="L47" s="305">
        <v>255</v>
      </c>
      <c r="M47" s="305"/>
      <c r="N47" s="305"/>
      <c r="O47" s="306" t="e">
        <f>IF(L47="nio",0,IF(L47&gt;0,L47*J47/R47,0))*VLOOKUP(B47,'2-Kosten per locatie'!$A$14:$C$24,3,FALSE)</f>
        <v>#DIV/0!</v>
      </c>
      <c r="P47" s="306">
        <f>IF(M47&gt;0,M47*J47/S47,0)*VLOOKUP(B47,'2-Kosten per locatie'!$A$14:$C$24,3,FALSE)</f>
        <v>0</v>
      </c>
      <c r="Q47" s="306">
        <f>IF(N47&gt;0,N47*J47/T47,0)*VLOOKUP(B47,'2-Kosten per locatie'!$A$14:$C$24,3,FALSE)</f>
        <v>0</v>
      </c>
      <c r="R47" s="307">
        <f>IF(L47="nio",0,IF(L47&gt;0,VLOOKUP(G47,'3-Productie normen'!A:P,VLOOKUP(L47,'3-Productie normen'!$B$32:$E$37,2,FALSE),FALSE)))</f>
        <v>0</v>
      </c>
      <c r="S47" s="307">
        <f t="shared" si="5"/>
        <v>0</v>
      </c>
      <c r="T47" s="307">
        <f t="shared" si="6"/>
        <v>0</v>
      </c>
      <c r="U47" s="308">
        <f>VLOOKUP(G47,'3-Productie normen'!A:N,10,FALSE)</f>
        <v>0</v>
      </c>
      <c r="V47" s="308"/>
      <c r="X47" s="309">
        <f t="shared" si="7"/>
        <v>7752</v>
      </c>
    </row>
    <row r="48" spans="1:24" ht="14.1" customHeight="1">
      <c r="A48" s="71">
        <v>48</v>
      </c>
      <c r="B48" s="300" t="s">
        <v>49</v>
      </c>
      <c r="C48" s="240" t="s">
        <v>122</v>
      </c>
      <c r="D48" s="301" t="s">
        <v>123</v>
      </c>
      <c r="E48" s="302"/>
      <c r="F48" s="280" t="s">
        <v>128</v>
      </c>
      <c r="G48" s="280" t="s">
        <v>80</v>
      </c>
      <c r="H48" s="280" t="s">
        <v>130</v>
      </c>
      <c r="I48" s="300" t="s">
        <v>130</v>
      </c>
      <c r="J48" s="303">
        <v>14</v>
      </c>
      <c r="K48" s="304">
        <f t="shared" si="4"/>
        <v>255</v>
      </c>
      <c r="L48" s="305">
        <v>255</v>
      </c>
      <c r="M48" s="305"/>
      <c r="N48" s="305"/>
      <c r="O48" s="306" t="e">
        <f>IF(L48="nio",0,IF(L48&gt;0,L48*J48/R48,0))*VLOOKUP(B48,'2-Kosten per locatie'!$A$14:$C$24,3,FALSE)</f>
        <v>#DIV/0!</v>
      </c>
      <c r="P48" s="306">
        <f>IF(M48&gt;0,M48*J48/S48,0)*VLOOKUP(B48,'2-Kosten per locatie'!$A$14:$C$24,3,FALSE)</f>
        <v>0</v>
      </c>
      <c r="Q48" s="306">
        <f>IF(N48&gt;0,N48*J48/T48,0)*VLOOKUP(B48,'2-Kosten per locatie'!$A$14:$C$24,3,FALSE)</f>
        <v>0</v>
      </c>
      <c r="R48" s="307">
        <f>IF(L48="nio",0,IF(L48&gt;0,VLOOKUP(G48,'3-Productie normen'!A:P,VLOOKUP(L48,'3-Productie normen'!$B$32:$E$37,2,FALSE),FALSE)))</f>
        <v>0</v>
      </c>
      <c r="S48" s="307">
        <f t="shared" si="5"/>
        <v>0</v>
      </c>
      <c r="T48" s="307">
        <f t="shared" si="6"/>
        <v>0</v>
      </c>
      <c r="U48" s="308">
        <f>VLOOKUP(G48,'3-Productie normen'!A:N,10,FALSE)</f>
        <v>0</v>
      </c>
      <c r="V48" s="308"/>
      <c r="X48" s="309">
        <f t="shared" si="7"/>
        <v>3570</v>
      </c>
    </row>
    <row r="49" spans="1:24" ht="14.1" customHeight="1">
      <c r="A49" s="71">
        <v>49</v>
      </c>
      <c r="B49" s="300" t="s">
        <v>49</v>
      </c>
      <c r="C49" s="240" t="s">
        <v>122</v>
      </c>
      <c r="D49" s="301" t="s">
        <v>123</v>
      </c>
      <c r="E49" s="302"/>
      <c r="F49" s="280" t="s">
        <v>135</v>
      </c>
      <c r="G49" s="280" t="s">
        <v>85</v>
      </c>
      <c r="H49" s="280" t="s">
        <v>130</v>
      </c>
      <c r="I49" s="300" t="s">
        <v>130</v>
      </c>
      <c r="J49" s="303">
        <v>173</v>
      </c>
      <c r="K49" s="304">
        <f t="shared" si="4"/>
        <v>510</v>
      </c>
      <c r="L49" s="305">
        <v>255</v>
      </c>
      <c r="M49" s="305">
        <v>255</v>
      </c>
      <c r="N49" s="305"/>
      <c r="O49" s="306" t="e">
        <f>IF(L49="nio",0,IF(L49&gt;0,L49*J49/R49,0))*VLOOKUP(B49,'2-Kosten per locatie'!$A$14:$C$24,3,FALSE)</f>
        <v>#DIV/0!</v>
      </c>
      <c r="P49" s="306" t="e">
        <f>IF(M49&gt;0,M49*J49/S49,0)*VLOOKUP(B49,'2-Kosten per locatie'!$A$14:$C$24,3,FALSE)</f>
        <v>#DIV/0!</v>
      </c>
      <c r="Q49" s="306">
        <f>IF(N49&gt;0,N49*J49/T49,0)*VLOOKUP(B49,'2-Kosten per locatie'!$A$14:$C$24,3,FALSE)</f>
        <v>0</v>
      </c>
      <c r="R49" s="307">
        <f>IF(L49="nio",0,IF(L49&gt;0,VLOOKUP(G49,'3-Productie normen'!A:P,VLOOKUP(L49,'3-Productie normen'!$B$32:$E$37,2,FALSE),FALSE)))</f>
        <v>0</v>
      </c>
      <c r="S49" s="307">
        <f t="shared" si="5"/>
        <v>0</v>
      </c>
      <c r="T49" s="307">
        <f t="shared" si="6"/>
        <v>0</v>
      </c>
      <c r="U49" s="308">
        <f>VLOOKUP(G49,'3-Productie normen'!A:N,10,FALSE)</f>
        <v>0</v>
      </c>
      <c r="V49" s="308"/>
      <c r="X49" s="309">
        <f t="shared" si="7"/>
        <v>88230</v>
      </c>
    </row>
    <row r="50" spans="1:24" ht="14.1" customHeight="1">
      <c r="A50" s="71">
        <v>50</v>
      </c>
      <c r="B50" s="300" t="s">
        <v>49</v>
      </c>
      <c r="C50" s="240" t="s">
        <v>122</v>
      </c>
      <c r="D50" s="301" t="s">
        <v>123</v>
      </c>
      <c r="E50" s="302"/>
      <c r="F50" s="280" t="s">
        <v>136</v>
      </c>
      <c r="G50" s="280" t="s">
        <v>81</v>
      </c>
      <c r="H50" s="280" t="s">
        <v>137</v>
      </c>
      <c r="I50" s="300" t="s">
        <v>138</v>
      </c>
      <c r="J50" s="303">
        <v>12.7</v>
      </c>
      <c r="K50" s="304">
        <f t="shared" si="4"/>
        <v>255</v>
      </c>
      <c r="L50" s="305">
        <v>255</v>
      </c>
      <c r="M50" s="305"/>
      <c r="N50" s="305"/>
      <c r="O50" s="306" t="e">
        <f>IF(L50="nio",0,IF(L50&gt;0,L50*J50/R50,0))*VLOOKUP(B50,'2-Kosten per locatie'!$A$14:$C$24,3,FALSE)</f>
        <v>#DIV/0!</v>
      </c>
      <c r="P50" s="306">
        <f>IF(M50&gt;0,M50*J50/S50,0)*VLOOKUP(B50,'2-Kosten per locatie'!$A$14:$C$24,3,FALSE)</f>
        <v>0</v>
      </c>
      <c r="Q50" s="306">
        <f>IF(N50&gt;0,N50*J50/T50,0)*VLOOKUP(B50,'2-Kosten per locatie'!$A$14:$C$24,3,FALSE)</f>
        <v>0</v>
      </c>
      <c r="R50" s="307">
        <f>IF(L50="nio",0,IF(L50&gt;0,VLOOKUP(G50,'3-Productie normen'!A:P,VLOOKUP(L50,'3-Productie normen'!$B$32:$E$37,2,FALSE),FALSE)))</f>
        <v>0</v>
      </c>
      <c r="S50" s="307">
        <f t="shared" si="5"/>
        <v>0</v>
      </c>
      <c r="T50" s="307">
        <f t="shared" si="6"/>
        <v>0</v>
      </c>
      <c r="U50" s="308">
        <f>VLOOKUP(G50,'3-Productie normen'!A:N,10,FALSE)</f>
        <v>0</v>
      </c>
      <c r="V50" s="308"/>
      <c r="X50" s="309">
        <f t="shared" si="7"/>
        <v>3238.5</v>
      </c>
    </row>
    <row r="51" spans="1:24" ht="14.1" customHeight="1">
      <c r="A51" s="71">
        <v>51</v>
      </c>
      <c r="B51" s="300" t="s">
        <v>49</v>
      </c>
      <c r="C51" s="240" t="s">
        <v>122</v>
      </c>
      <c r="D51" s="301" t="s">
        <v>123</v>
      </c>
      <c r="E51" s="302"/>
      <c r="F51" s="280" t="s">
        <v>139</v>
      </c>
      <c r="G51" s="280" t="s">
        <v>86</v>
      </c>
      <c r="H51" s="280" t="s">
        <v>137</v>
      </c>
      <c r="I51" s="300" t="s">
        <v>140</v>
      </c>
      <c r="J51" s="303">
        <v>7.8</v>
      </c>
      <c r="K51" s="304">
        <f t="shared" si="4"/>
        <v>1275</v>
      </c>
      <c r="L51" s="305">
        <v>255</v>
      </c>
      <c r="M51" s="305">
        <v>1020</v>
      </c>
      <c r="N51" s="305"/>
      <c r="O51" s="306" t="e">
        <f>IF(L51="nio",0,IF(L51&gt;0,L51*J51/R51,0))*VLOOKUP(B51,'2-Kosten per locatie'!$A$14:$C$24,3,FALSE)</f>
        <v>#DIV/0!</v>
      </c>
      <c r="P51" s="306" t="e">
        <f>IF(M51&gt;0,M51*J51/S51,0)*VLOOKUP(B51,'2-Kosten per locatie'!$A$14:$C$24,3,FALSE)</f>
        <v>#DIV/0!</v>
      </c>
      <c r="Q51" s="306">
        <f>IF(N51&gt;0,N51*J51/T51,0)*VLOOKUP(B51,'2-Kosten per locatie'!$A$14:$C$24,3,FALSE)</f>
        <v>0</v>
      </c>
      <c r="R51" s="307">
        <f>IF(L51="nio",0,IF(L51&gt;0,VLOOKUP(G51,'3-Productie normen'!A:P,VLOOKUP(L51,'3-Productie normen'!$B$32:$E$37,2,FALSE),FALSE)))</f>
        <v>0</v>
      </c>
      <c r="S51" s="307">
        <f t="shared" si="5"/>
        <v>0</v>
      </c>
      <c r="T51" s="307">
        <f t="shared" si="6"/>
        <v>0</v>
      </c>
      <c r="U51" s="308">
        <f>VLOOKUP(G51,'3-Productie normen'!A:N,10,FALSE)</f>
        <v>0</v>
      </c>
      <c r="V51" s="308"/>
      <c r="X51" s="309">
        <f t="shared" si="7"/>
        <v>9945</v>
      </c>
    </row>
    <row r="52" spans="1:24" ht="14.1" customHeight="1">
      <c r="A52" s="71">
        <v>52</v>
      </c>
      <c r="B52" s="300" t="s">
        <v>49</v>
      </c>
      <c r="C52" s="240" t="s">
        <v>122</v>
      </c>
      <c r="D52" s="301" t="s">
        <v>123</v>
      </c>
      <c r="E52" s="302"/>
      <c r="F52" s="280" t="s">
        <v>139</v>
      </c>
      <c r="G52" s="280" t="s">
        <v>86</v>
      </c>
      <c r="H52" s="280" t="s">
        <v>137</v>
      </c>
      <c r="I52" s="300" t="s">
        <v>140</v>
      </c>
      <c r="J52" s="303">
        <v>5.7</v>
      </c>
      <c r="K52" s="304">
        <f t="shared" si="4"/>
        <v>1275</v>
      </c>
      <c r="L52" s="305">
        <v>255</v>
      </c>
      <c r="M52" s="305">
        <v>1020</v>
      </c>
      <c r="N52" s="305"/>
      <c r="O52" s="306" t="e">
        <f>IF(L52="nio",0,IF(L52&gt;0,L52*J52/R52,0))*VLOOKUP(B52,'2-Kosten per locatie'!$A$14:$C$24,3,FALSE)</f>
        <v>#DIV/0!</v>
      </c>
      <c r="P52" s="306" t="e">
        <f>IF(M52&gt;0,M52*J52/S52,0)*VLOOKUP(B52,'2-Kosten per locatie'!$A$14:$C$24,3,FALSE)</f>
        <v>#DIV/0!</v>
      </c>
      <c r="Q52" s="306">
        <f>IF(N52&gt;0,N52*J52/T52,0)*VLOOKUP(B52,'2-Kosten per locatie'!$A$14:$C$24,3,FALSE)</f>
        <v>0</v>
      </c>
      <c r="R52" s="307">
        <f>IF(L52="nio",0,IF(L52&gt;0,VLOOKUP(G52,'3-Productie normen'!A:P,VLOOKUP(L52,'3-Productie normen'!$B$32:$E$37,2,FALSE),FALSE)))</f>
        <v>0</v>
      </c>
      <c r="S52" s="307">
        <f t="shared" si="5"/>
        <v>0</v>
      </c>
      <c r="T52" s="307">
        <f t="shared" si="6"/>
        <v>0</v>
      </c>
      <c r="U52" s="308">
        <f>VLOOKUP(G52,'3-Productie normen'!A:N,10,FALSE)</f>
        <v>0</v>
      </c>
      <c r="V52" s="308"/>
      <c r="X52" s="309">
        <f t="shared" si="7"/>
        <v>7267.5</v>
      </c>
    </row>
    <row r="53" spans="1:24" ht="14.1" customHeight="1">
      <c r="A53" s="71">
        <v>53</v>
      </c>
      <c r="B53" s="300" t="s">
        <v>49</v>
      </c>
      <c r="C53" s="240" t="s">
        <v>122</v>
      </c>
      <c r="D53" s="301" t="s">
        <v>123</v>
      </c>
      <c r="E53" s="302"/>
      <c r="F53" s="280" t="s">
        <v>139</v>
      </c>
      <c r="G53" s="280" t="s">
        <v>86</v>
      </c>
      <c r="H53" s="280" t="s">
        <v>137</v>
      </c>
      <c r="I53" s="300" t="s">
        <v>140</v>
      </c>
      <c r="J53" s="303">
        <v>6.8</v>
      </c>
      <c r="K53" s="304">
        <f t="shared" si="4"/>
        <v>1275</v>
      </c>
      <c r="L53" s="305">
        <v>255</v>
      </c>
      <c r="M53" s="305">
        <v>1020</v>
      </c>
      <c r="N53" s="305"/>
      <c r="O53" s="306" t="e">
        <f>IF(L53="nio",0,IF(L53&gt;0,L53*J53/R53,0))*VLOOKUP(B53,'2-Kosten per locatie'!$A$14:$C$24,3,FALSE)</f>
        <v>#DIV/0!</v>
      </c>
      <c r="P53" s="306" t="e">
        <f>IF(M53&gt;0,M53*J53/S53,0)*VLOOKUP(B53,'2-Kosten per locatie'!$A$14:$C$24,3,FALSE)</f>
        <v>#DIV/0!</v>
      </c>
      <c r="Q53" s="306">
        <f>IF(N53&gt;0,N53*J53/T53,0)*VLOOKUP(B53,'2-Kosten per locatie'!$A$14:$C$24,3,FALSE)</f>
        <v>0</v>
      </c>
      <c r="R53" s="307">
        <f>IF(L53="nio",0,IF(L53&gt;0,VLOOKUP(G53,'3-Productie normen'!A:P,VLOOKUP(L53,'3-Productie normen'!$B$32:$E$37,2,FALSE),FALSE)))</f>
        <v>0</v>
      </c>
      <c r="S53" s="307">
        <f t="shared" si="5"/>
        <v>0</v>
      </c>
      <c r="T53" s="307">
        <f t="shared" si="6"/>
        <v>0</v>
      </c>
      <c r="U53" s="308">
        <f>VLOOKUP(G53,'3-Productie normen'!A:N,10,FALSE)</f>
        <v>0</v>
      </c>
      <c r="V53" s="308"/>
      <c r="X53" s="309">
        <f t="shared" si="7"/>
        <v>8670</v>
      </c>
    </row>
    <row r="54" spans="1:24" ht="14.1" customHeight="1">
      <c r="A54" s="71">
        <v>54</v>
      </c>
      <c r="B54" s="300" t="s">
        <v>49</v>
      </c>
      <c r="C54" s="240" t="s">
        <v>122</v>
      </c>
      <c r="D54" s="301" t="s">
        <v>123</v>
      </c>
      <c r="E54" s="302"/>
      <c r="F54" s="280" t="s">
        <v>139</v>
      </c>
      <c r="G54" s="280" t="s">
        <v>86</v>
      </c>
      <c r="H54" s="280" t="s">
        <v>137</v>
      </c>
      <c r="I54" s="300" t="s">
        <v>140</v>
      </c>
      <c r="J54" s="303">
        <v>2.4</v>
      </c>
      <c r="K54" s="304">
        <f t="shared" si="4"/>
        <v>1275</v>
      </c>
      <c r="L54" s="305">
        <v>255</v>
      </c>
      <c r="M54" s="305">
        <v>1020</v>
      </c>
      <c r="N54" s="305"/>
      <c r="O54" s="306" t="e">
        <f>IF(L54="nio",0,IF(L54&gt;0,L54*J54/R54,0))*VLOOKUP(B54,'2-Kosten per locatie'!$A$14:$C$24,3,FALSE)</f>
        <v>#DIV/0!</v>
      </c>
      <c r="P54" s="306" t="e">
        <f>IF(M54&gt;0,M54*J54/S54,0)*VLOOKUP(B54,'2-Kosten per locatie'!$A$14:$C$24,3,FALSE)</f>
        <v>#DIV/0!</v>
      </c>
      <c r="Q54" s="306">
        <f>IF(N54&gt;0,N54*J54/T54,0)*VLOOKUP(B54,'2-Kosten per locatie'!$A$14:$C$24,3,FALSE)</f>
        <v>0</v>
      </c>
      <c r="R54" s="307">
        <f>IF(L54="nio",0,IF(L54&gt;0,VLOOKUP(G54,'3-Productie normen'!A:P,VLOOKUP(L54,'3-Productie normen'!$B$32:$E$37,2,FALSE),FALSE)))</f>
        <v>0</v>
      </c>
      <c r="S54" s="307">
        <f t="shared" si="5"/>
        <v>0</v>
      </c>
      <c r="T54" s="307">
        <f t="shared" si="6"/>
        <v>0</v>
      </c>
      <c r="U54" s="308">
        <f>VLOOKUP(G54,'3-Productie normen'!A:N,10,FALSE)</f>
        <v>0</v>
      </c>
      <c r="V54" s="308"/>
      <c r="X54" s="309">
        <f t="shared" si="7"/>
        <v>3060</v>
      </c>
    </row>
    <row r="55" spans="1:24" ht="14.1" customHeight="1">
      <c r="A55" s="71">
        <v>55</v>
      </c>
      <c r="B55" s="300" t="s">
        <v>49</v>
      </c>
      <c r="C55" s="240" t="s">
        <v>122</v>
      </c>
      <c r="D55" s="301" t="s">
        <v>123</v>
      </c>
      <c r="E55" s="302"/>
      <c r="F55" s="280" t="s">
        <v>44</v>
      </c>
      <c r="G55" s="280" t="s">
        <v>44</v>
      </c>
      <c r="H55" s="280" t="s">
        <v>125</v>
      </c>
      <c r="I55" s="300" t="s">
        <v>126</v>
      </c>
      <c r="J55" s="303">
        <v>55</v>
      </c>
      <c r="K55" s="304">
        <f t="shared" si="4"/>
        <v>255</v>
      </c>
      <c r="L55" s="305">
        <v>255</v>
      </c>
      <c r="M55" s="305"/>
      <c r="N55" s="305"/>
      <c r="O55" s="306" t="e">
        <f>IF(L55="nio",0,IF(L55&gt;0,L55*J55/R55,0))*VLOOKUP(B55,'2-Kosten per locatie'!$A$14:$C$24,3,FALSE)</f>
        <v>#DIV/0!</v>
      </c>
      <c r="P55" s="306">
        <f>IF(M55&gt;0,M55*J55/S55,0)*VLOOKUP(B55,'2-Kosten per locatie'!$A$14:$C$24,3,FALSE)</f>
        <v>0</v>
      </c>
      <c r="Q55" s="306">
        <f>IF(N55&gt;0,N55*J55/T55,0)*VLOOKUP(B55,'2-Kosten per locatie'!$A$14:$C$24,3,FALSE)</f>
        <v>0</v>
      </c>
      <c r="R55" s="307">
        <f>IF(L55="nio",0,IF(L55&gt;0,VLOOKUP(G55,'3-Productie normen'!A:P,VLOOKUP(L55,'3-Productie normen'!$B$32:$E$37,2,FALSE),FALSE)))</f>
        <v>0</v>
      </c>
      <c r="S55" s="307">
        <f t="shared" si="5"/>
        <v>0</v>
      </c>
      <c r="T55" s="307">
        <f t="shared" si="6"/>
        <v>0</v>
      </c>
      <c r="U55" s="308">
        <f>VLOOKUP(G55,'3-Productie normen'!A:N,10,FALSE)</f>
        <v>0</v>
      </c>
      <c r="V55" s="308"/>
      <c r="X55" s="309">
        <f t="shared" si="7"/>
        <v>14025</v>
      </c>
    </row>
    <row r="56" spans="1:24" ht="14.1" customHeight="1">
      <c r="A56" s="71">
        <v>56</v>
      </c>
      <c r="B56" s="300" t="s">
        <v>49</v>
      </c>
      <c r="C56" s="240" t="s">
        <v>122</v>
      </c>
      <c r="D56" s="301" t="s">
        <v>123</v>
      </c>
      <c r="E56" s="302"/>
      <c r="F56" s="280" t="s">
        <v>141</v>
      </c>
      <c r="G56" s="280" t="s">
        <v>81</v>
      </c>
      <c r="H56" s="280" t="s">
        <v>137</v>
      </c>
      <c r="I56" s="300" t="s">
        <v>138</v>
      </c>
      <c r="J56" s="303">
        <v>5.6</v>
      </c>
      <c r="K56" s="304">
        <f t="shared" si="4"/>
        <v>255</v>
      </c>
      <c r="L56" s="305">
        <v>255</v>
      </c>
      <c r="M56" s="305"/>
      <c r="N56" s="305"/>
      <c r="O56" s="306" t="e">
        <f>IF(L56="nio",0,IF(L56&gt;0,L56*J56/R56,0))*VLOOKUP(B56,'2-Kosten per locatie'!$A$14:$C$24,3,FALSE)</f>
        <v>#DIV/0!</v>
      </c>
      <c r="P56" s="306">
        <f>IF(M56&gt;0,M56*J56/S56,0)*VLOOKUP(B56,'2-Kosten per locatie'!$A$14:$C$24,3,FALSE)</f>
        <v>0</v>
      </c>
      <c r="Q56" s="306">
        <f>IF(N56&gt;0,N56*J56/T56,0)*VLOOKUP(B56,'2-Kosten per locatie'!$A$14:$C$24,3,FALSE)</f>
        <v>0</v>
      </c>
      <c r="R56" s="307">
        <f>IF(L56="nio",0,IF(L56&gt;0,VLOOKUP(G56,'3-Productie normen'!A:P,VLOOKUP(L56,'3-Productie normen'!$B$32:$E$37,2,FALSE),FALSE)))</f>
        <v>0</v>
      </c>
      <c r="S56" s="307">
        <f t="shared" si="5"/>
        <v>0</v>
      </c>
      <c r="T56" s="307">
        <f t="shared" si="6"/>
        <v>0</v>
      </c>
      <c r="U56" s="308">
        <f>VLOOKUP(G56,'3-Productie normen'!A:N,10,FALSE)</f>
        <v>0</v>
      </c>
      <c r="V56" s="308"/>
      <c r="X56" s="309">
        <f t="shared" si="7"/>
        <v>1428</v>
      </c>
    </row>
    <row r="57" spans="1:24" ht="14.1" customHeight="1">
      <c r="A57" s="71">
        <v>57</v>
      </c>
      <c r="B57" s="300" t="s">
        <v>49</v>
      </c>
      <c r="C57" s="240" t="s">
        <v>122</v>
      </c>
      <c r="D57" s="301" t="s">
        <v>123</v>
      </c>
      <c r="E57" s="302"/>
      <c r="F57" s="280" t="s">
        <v>142</v>
      </c>
      <c r="G57" s="280" t="s">
        <v>89</v>
      </c>
      <c r="H57" s="280" t="s">
        <v>125</v>
      </c>
      <c r="I57" s="300" t="s">
        <v>126</v>
      </c>
      <c r="J57" s="303">
        <v>23</v>
      </c>
      <c r="K57" s="304">
        <f t="shared" si="4"/>
        <v>255</v>
      </c>
      <c r="L57" s="305">
        <v>255</v>
      </c>
      <c r="M57" s="305"/>
      <c r="N57" s="305"/>
      <c r="O57" s="306" t="e">
        <f>IF(L57="nio",0,IF(L57&gt;0,L57*J57/R57,0))*VLOOKUP(B57,'2-Kosten per locatie'!$A$14:$C$24,3,FALSE)</f>
        <v>#DIV/0!</v>
      </c>
      <c r="P57" s="306">
        <f>IF(M57&gt;0,M57*J57/S57,0)*VLOOKUP(B57,'2-Kosten per locatie'!$A$14:$C$24,3,FALSE)</f>
        <v>0</v>
      </c>
      <c r="Q57" s="306">
        <f>IF(N57&gt;0,N57*J57/T57,0)*VLOOKUP(B57,'2-Kosten per locatie'!$A$14:$C$24,3,FALSE)</f>
        <v>0</v>
      </c>
      <c r="R57" s="307">
        <f>IF(L57="nio",0,IF(L57&gt;0,VLOOKUP(G57,'3-Productie normen'!A:P,VLOOKUP(L57,'3-Productie normen'!$B$32:$E$37,2,FALSE),FALSE)))</f>
        <v>0</v>
      </c>
      <c r="S57" s="307">
        <f t="shared" si="5"/>
        <v>0</v>
      </c>
      <c r="T57" s="307">
        <f t="shared" si="6"/>
        <v>0</v>
      </c>
      <c r="U57" s="308">
        <f>VLOOKUP(G57,'3-Productie normen'!A:N,10,FALSE)</f>
        <v>0</v>
      </c>
      <c r="V57" s="308"/>
      <c r="X57" s="309">
        <f t="shared" si="7"/>
        <v>5865</v>
      </c>
    </row>
    <row r="58" spans="1:24" ht="14.1" customHeight="1">
      <c r="A58" s="71">
        <v>58</v>
      </c>
      <c r="B58" s="300" t="s">
        <v>49</v>
      </c>
      <c r="C58" s="240" t="s">
        <v>122</v>
      </c>
      <c r="D58" s="301" t="s">
        <v>123</v>
      </c>
      <c r="E58" s="302"/>
      <c r="F58" s="280" t="s">
        <v>129</v>
      </c>
      <c r="G58" s="280" t="s">
        <v>88</v>
      </c>
      <c r="H58" s="280" t="s">
        <v>125</v>
      </c>
      <c r="I58" s="300" t="s">
        <v>126</v>
      </c>
      <c r="J58" s="303">
        <v>16</v>
      </c>
      <c r="K58" s="304">
        <f t="shared" si="4"/>
        <v>255</v>
      </c>
      <c r="L58" s="305">
        <v>255</v>
      </c>
      <c r="M58" s="305"/>
      <c r="N58" s="305"/>
      <c r="O58" s="306" t="e">
        <f>IF(L58="nio",0,IF(L58&gt;0,L58*J58/R58,0))*VLOOKUP(B58,'2-Kosten per locatie'!$A$14:$C$24,3,FALSE)</f>
        <v>#DIV/0!</v>
      </c>
      <c r="P58" s="306">
        <f>IF(M58&gt;0,M58*J58/S58,0)*VLOOKUP(B58,'2-Kosten per locatie'!$A$14:$C$24,3,FALSE)</f>
        <v>0</v>
      </c>
      <c r="Q58" s="306">
        <f>IF(N58&gt;0,N58*J58/T58,0)*VLOOKUP(B58,'2-Kosten per locatie'!$A$14:$C$24,3,FALSE)</f>
        <v>0</v>
      </c>
      <c r="R58" s="307">
        <f>IF(L58="nio",0,IF(L58&gt;0,VLOOKUP(G58,'3-Productie normen'!A:P,VLOOKUP(L58,'3-Productie normen'!$B$32:$E$37,2,FALSE),FALSE)))</f>
        <v>0</v>
      </c>
      <c r="S58" s="307">
        <f t="shared" si="5"/>
        <v>0</v>
      </c>
      <c r="T58" s="307">
        <f t="shared" si="6"/>
        <v>0</v>
      </c>
      <c r="U58" s="308">
        <f>VLOOKUP(G58,'3-Productie normen'!A:N,10,FALSE)</f>
        <v>0</v>
      </c>
      <c r="V58" s="308"/>
      <c r="X58" s="309">
        <f t="shared" si="7"/>
        <v>4080</v>
      </c>
    </row>
    <row r="59" spans="1:24" ht="14.1" customHeight="1">
      <c r="A59" s="71">
        <v>59</v>
      </c>
      <c r="B59" s="300" t="s">
        <v>49</v>
      </c>
      <c r="C59" s="240" t="s">
        <v>122</v>
      </c>
      <c r="D59" s="301" t="s">
        <v>123</v>
      </c>
      <c r="E59" s="302"/>
      <c r="F59" s="280" t="s">
        <v>128</v>
      </c>
      <c r="G59" s="280" t="s">
        <v>80</v>
      </c>
      <c r="H59" s="280" t="s">
        <v>134</v>
      </c>
      <c r="I59" s="300" t="s">
        <v>134</v>
      </c>
      <c r="J59" s="303">
        <v>7.5</v>
      </c>
      <c r="K59" s="304">
        <f t="shared" si="4"/>
        <v>255</v>
      </c>
      <c r="L59" s="305">
        <v>255</v>
      </c>
      <c r="M59" s="305"/>
      <c r="N59" s="305"/>
      <c r="O59" s="306" t="e">
        <f>IF(L59="nio",0,IF(L59&gt;0,L59*J59/R59,0))*VLOOKUP(B59,'2-Kosten per locatie'!$A$14:$C$24,3,FALSE)</f>
        <v>#DIV/0!</v>
      </c>
      <c r="P59" s="306">
        <f>IF(M59&gt;0,M59*J59/S59,0)*VLOOKUP(B59,'2-Kosten per locatie'!$A$14:$C$24,3,FALSE)</f>
        <v>0</v>
      </c>
      <c r="Q59" s="306">
        <f>IF(N59&gt;0,N59*J59/T59,0)*VLOOKUP(B59,'2-Kosten per locatie'!$A$14:$C$24,3,FALSE)</f>
        <v>0</v>
      </c>
      <c r="R59" s="307">
        <f>IF(L59="nio",0,IF(L59&gt;0,VLOOKUP(G59,'3-Productie normen'!A:P,VLOOKUP(L59,'3-Productie normen'!$B$32:$E$37,2,FALSE),FALSE)))</f>
        <v>0</v>
      </c>
      <c r="S59" s="307">
        <f t="shared" si="5"/>
        <v>0</v>
      </c>
      <c r="T59" s="307">
        <f t="shared" si="6"/>
        <v>0</v>
      </c>
      <c r="U59" s="308">
        <f>VLOOKUP(G59,'3-Productie normen'!A:N,10,FALSE)</f>
        <v>0</v>
      </c>
      <c r="V59" s="308"/>
      <c r="X59" s="309">
        <f t="shared" si="7"/>
        <v>1912.5</v>
      </c>
    </row>
    <row r="60" spans="1:24" ht="14.1" customHeight="1">
      <c r="A60" s="71">
        <v>60</v>
      </c>
      <c r="B60" s="300" t="s">
        <v>49</v>
      </c>
      <c r="C60" s="240" t="s">
        <v>122</v>
      </c>
      <c r="D60" s="301" t="s">
        <v>143</v>
      </c>
      <c r="E60" s="302"/>
      <c r="F60" s="280" t="s">
        <v>129</v>
      </c>
      <c r="G60" s="280" t="s">
        <v>88</v>
      </c>
      <c r="H60" s="280" t="s">
        <v>134</v>
      </c>
      <c r="I60" s="300" t="s">
        <v>134</v>
      </c>
      <c r="J60" s="303">
        <v>7.5</v>
      </c>
      <c r="K60" s="304">
        <f t="shared" si="4"/>
        <v>255</v>
      </c>
      <c r="L60" s="305">
        <v>255</v>
      </c>
      <c r="M60" s="305"/>
      <c r="N60" s="305"/>
      <c r="O60" s="306" t="e">
        <f>IF(L60="nio",0,IF(L60&gt;0,L60*J60/R60,0))*VLOOKUP(B60,'2-Kosten per locatie'!$A$14:$C$24,3,FALSE)</f>
        <v>#DIV/0!</v>
      </c>
      <c r="P60" s="306">
        <f>IF(M60&gt;0,M60*J60/S60,0)*VLOOKUP(B60,'2-Kosten per locatie'!$A$14:$C$24,3,FALSE)</f>
        <v>0</v>
      </c>
      <c r="Q60" s="306">
        <f>IF(N60&gt;0,N60*J60/T60,0)*VLOOKUP(B60,'2-Kosten per locatie'!$A$14:$C$24,3,FALSE)</f>
        <v>0</v>
      </c>
      <c r="R60" s="307">
        <f>IF(L60="nio",0,IF(L60&gt;0,VLOOKUP(G60,'3-Productie normen'!A:P,VLOOKUP(L60,'3-Productie normen'!$B$32:$E$37,2,FALSE),FALSE)))</f>
        <v>0</v>
      </c>
      <c r="S60" s="307">
        <f t="shared" si="5"/>
        <v>0</v>
      </c>
      <c r="T60" s="307">
        <f t="shared" si="6"/>
        <v>0</v>
      </c>
      <c r="U60" s="308">
        <f>VLOOKUP(G60,'3-Productie normen'!A:N,10,FALSE)</f>
        <v>0</v>
      </c>
      <c r="V60" s="308"/>
      <c r="X60" s="309">
        <f t="shared" si="7"/>
        <v>1912.5</v>
      </c>
    </row>
    <row r="61" spans="1:24" ht="14.1" customHeight="1">
      <c r="A61" s="71">
        <v>61</v>
      </c>
      <c r="B61" s="300" t="s">
        <v>49</v>
      </c>
      <c r="C61" s="240" t="s">
        <v>122</v>
      </c>
      <c r="D61" s="301" t="s">
        <v>144</v>
      </c>
      <c r="E61" s="302"/>
      <c r="F61" s="280" t="s">
        <v>128</v>
      </c>
      <c r="G61" s="280" t="s">
        <v>80</v>
      </c>
      <c r="H61" s="280" t="s">
        <v>134</v>
      </c>
      <c r="I61" s="300" t="s">
        <v>134</v>
      </c>
      <c r="J61" s="303">
        <v>5.4</v>
      </c>
      <c r="K61" s="304">
        <f t="shared" si="4"/>
        <v>255</v>
      </c>
      <c r="L61" s="305">
        <v>255</v>
      </c>
      <c r="M61" s="305"/>
      <c r="N61" s="305"/>
      <c r="O61" s="306" t="e">
        <f>IF(L61="nio",0,IF(L61&gt;0,L61*J61/R61,0))*VLOOKUP(B61,'2-Kosten per locatie'!$A$14:$C$24,3,FALSE)</f>
        <v>#DIV/0!</v>
      </c>
      <c r="P61" s="306">
        <f>IF(M61&gt;0,M61*J61/S61,0)*VLOOKUP(B61,'2-Kosten per locatie'!$A$14:$C$24,3,FALSE)</f>
        <v>0</v>
      </c>
      <c r="Q61" s="306">
        <f>IF(N61&gt;0,N61*J61/T61,0)*VLOOKUP(B61,'2-Kosten per locatie'!$A$14:$C$24,3,FALSE)</f>
        <v>0</v>
      </c>
      <c r="R61" s="307">
        <f>IF(L61="nio",0,IF(L61&gt;0,VLOOKUP(G61,'3-Productie normen'!A:P,VLOOKUP(L61,'3-Productie normen'!$B$32:$E$37,2,FALSE),FALSE)))</f>
        <v>0</v>
      </c>
      <c r="S61" s="307">
        <f t="shared" si="5"/>
        <v>0</v>
      </c>
      <c r="T61" s="307">
        <f t="shared" si="6"/>
        <v>0</v>
      </c>
      <c r="U61" s="308">
        <f>VLOOKUP(G61,'3-Productie normen'!A:N,10,FALSE)</f>
        <v>0</v>
      </c>
      <c r="V61" s="308"/>
      <c r="X61" s="309">
        <f t="shared" si="7"/>
        <v>1377</v>
      </c>
    </row>
    <row r="62" spans="1:24" ht="14.1" customHeight="1">
      <c r="A62" s="71">
        <v>62</v>
      </c>
      <c r="B62" s="300" t="s">
        <v>49</v>
      </c>
      <c r="C62" s="240" t="s">
        <v>122</v>
      </c>
      <c r="D62" s="301" t="s">
        <v>144</v>
      </c>
      <c r="E62" s="302"/>
      <c r="F62" s="280" t="s">
        <v>128</v>
      </c>
      <c r="G62" s="280" t="s">
        <v>80</v>
      </c>
      <c r="H62" s="280" t="s">
        <v>130</v>
      </c>
      <c r="I62" s="300" t="s">
        <v>130</v>
      </c>
      <c r="J62" s="303">
        <v>3.4</v>
      </c>
      <c r="K62" s="304">
        <f t="shared" si="4"/>
        <v>255</v>
      </c>
      <c r="L62" s="305">
        <v>255</v>
      </c>
      <c r="M62" s="305"/>
      <c r="N62" s="305"/>
      <c r="O62" s="306" t="e">
        <f>IF(L62="nio",0,IF(L62&gt;0,L62*J62/R62,0))*VLOOKUP(B62,'2-Kosten per locatie'!$A$14:$C$24,3,FALSE)</f>
        <v>#DIV/0!</v>
      </c>
      <c r="P62" s="306">
        <f>IF(M62&gt;0,M62*J62/S62,0)*VLOOKUP(B62,'2-Kosten per locatie'!$A$14:$C$24,3,FALSE)</f>
        <v>0</v>
      </c>
      <c r="Q62" s="306">
        <f>IF(N62&gt;0,N62*J62/T62,0)*VLOOKUP(B62,'2-Kosten per locatie'!$A$14:$C$24,3,FALSE)</f>
        <v>0</v>
      </c>
      <c r="R62" s="307">
        <f>IF(L62="nio",0,IF(L62&gt;0,VLOOKUP(G62,'3-Productie normen'!A:P,VLOOKUP(L62,'3-Productie normen'!$B$32:$E$37,2,FALSE),FALSE)))</f>
        <v>0</v>
      </c>
      <c r="S62" s="307">
        <f t="shared" si="5"/>
        <v>0</v>
      </c>
      <c r="T62" s="307">
        <f t="shared" si="6"/>
        <v>0</v>
      </c>
      <c r="U62" s="308">
        <f>VLOOKUP(G62,'3-Productie normen'!A:N,10,FALSE)</f>
        <v>0</v>
      </c>
      <c r="V62" s="308"/>
      <c r="X62" s="309">
        <f t="shared" si="7"/>
        <v>867</v>
      </c>
    </row>
    <row r="63" spans="1:24" ht="14.1" customHeight="1">
      <c r="A63" s="71">
        <v>63</v>
      </c>
      <c r="B63" s="300" t="s">
        <v>49</v>
      </c>
      <c r="C63" s="240" t="s">
        <v>122</v>
      </c>
      <c r="D63" s="301" t="s">
        <v>143</v>
      </c>
      <c r="E63" s="302"/>
      <c r="F63" s="280" t="s">
        <v>124</v>
      </c>
      <c r="G63" s="240" t="s">
        <v>74</v>
      </c>
      <c r="H63" s="280" t="s">
        <v>125</v>
      </c>
      <c r="I63" s="300" t="s">
        <v>126</v>
      </c>
      <c r="J63" s="303">
        <v>59.4</v>
      </c>
      <c r="K63" s="304">
        <f t="shared" si="4"/>
        <v>255</v>
      </c>
      <c r="L63" s="305">
        <v>255</v>
      </c>
      <c r="M63" s="305"/>
      <c r="N63" s="305"/>
      <c r="O63" s="306" t="e">
        <f>IF(L63="nio",0,IF(L63&gt;0,L63*J63/R63,0))*VLOOKUP(B63,'2-Kosten per locatie'!$A$14:$C$24,3,FALSE)</f>
        <v>#DIV/0!</v>
      </c>
      <c r="P63" s="306">
        <f>IF(M63&gt;0,M63*J63/S63,0)*VLOOKUP(B63,'2-Kosten per locatie'!$A$14:$C$24,3,FALSE)</f>
        <v>0</v>
      </c>
      <c r="Q63" s="306">
        <f>IF(N63&gt;0,N63*J63/T63,0)*VLOOKUP(B63,'2-Kosten per locatie'!$A$14:$C$24,3,FALSE)</f>
        <v>0</v>
      </c>
      <c r="R63" s="307">
        <f>IF(L63="nio",0,IF(L63&gt;0,VLOOKUP(G63,'3-Productie normen'!A:P,VLOOKUP(L63,'3-Productie normen'!$B$32:$E$37,2,FALSE),FALSE)))</f>
        <v>0</v>
      </c>
      <c r="S63" s="307">
        <f t="shared" si="5"/>
        <v>0</v>
      </c>
      <c r="T63" s="307">
        <f t="shared" si="6"/>
        <v>0</v>
      </c>
      <c r="U63" s="308">
        <f>VLOOKUP(G63,'3-Productie normen'!A:N,10,FALSE)</f>
        <v>0</v>
      </c>
      <c r="V63" s="308"/>
      <c r="X63" s="309">
        <f t="shared" si="7"/>
        <v>15147</v>
      </c>
    </row>
    <row r="64" spans="1:24" ht="14.1" customHeight="1">
      <c r="A64" s="71">
        <v>64</v>
      </c>
      <c r="B64" s="300" t="s">
        <v>49</v>
      </c>
      <c r="C64" s="240" t="s">
        <v>122</v>
      </c>
      <c r="D64" s="301" t="s">
        <v>143</v>
      </c>
      <c r="E64" s="302"/>
      <c r="F64" s="280" t="s">
        <v>124</v>
      </c>
      <c r="G64" s="240" t="s">
        <v>74</v>
      </c>
      <c r="H64" s="280" t="s">
        <v>125</v>
      </c>
      <c r="I64" s="300" t="s">
        <v>126</v>
      </c>
      <c r="J64" s="303">
        <v>12</v>
      </c>
      <c r="K64" s="304">
        <f t="shared" si="4"/>
        <v>255</v>
      </c>
      <c r="L64" s="305">
        <v>255</v>
      </c>
      <c r="M64" s="305"/>
      <c r="N64" s="305"/>
      <c r="O64" s="306" t="e">
        <f>IF(L64="nio",0,IF(L64&gt;0,L64*J64/R64,0))*VLOOKUP(B64,'2-Kosten per locatie'!$A$14:$C$24,3,FALSE)</f>
        <v>#DIV/0!</v>
      </c>
      <c r="P64" s="306">
        <f>IF(M64&gt;0,M64*J64/S64,0)*VLOOKUP(B64,'2-Kosten per locatie'!$A$14:$C$24,3,FALSE)</f>
        <v>0</v>
      </c>
      <c r="Q64" s="306">
        <f>IF(N64&gt;0,N64*J64/T64,0)*VLOOKUP(B64,'2-Kosten per locatie'!$A$14:$C$24,3,FALSE)</f>
        <v>0</v>
      </c>
      <c r="R64" s="307">
        <f>IF(L64="nio",0,IF(L64&gt;0,VLOOKUP(G64,'3-Productie normen'!A:P,VLOOKUP(L64,'3-Productie normen'!$B$32:$E$37,2,FALSE),FALSE)))</f>
        <v>0</v>
      </c>
      <c r="S64" s="307">
        <f t="shared" si="5"/>
        <v>0</v>
      </c>
      <c r="T64" s="307">
        <f t="shared" si="6"/>
        <v>0</v>
      </c>
      <c r="U64" s="308">
        <f>VLOOKUP(G64,'3-Productie normen'!A:N,10,FALSE)</f>
        <v>0</v>
      </c>
      <c r="V64" s="308"/>
      <c r="X64" s="309">
        <f t="shared" si="7"/>
        <v>3060</v>
      </c>
    </row>
    <row r="65" spans="1:24" ht="14.1" customHeight="1">
      <c r="A65" s="71">
        <v>65</v>
      </c>
      <c r="B65" s="300" t="s">
        <v>49</v>
      </c>
      <c r="C65" s="240" t="s">
        <v>122</v>
      </c>
      <c r="D65" s="301" t="s">
        <v>143</v>
      </c>
      <c r="E65" s="302"/>
      <c r="F65" s="280" t="s">
        <v>128</v>
      </c>
      <c r="G65" s="280" t="s">
        <v>80</v>
      </c>
      <c r="H65" s="280" t="s">
        <v>125</v>
      </c>
      <c r="I65" s="300" t="s">
        <v>126</v>
      </c>
      <c r="J65" s="303">
        <v>10.6</v>
      </c>
      <c r="K65" s="304">
        <f t="shared" si="4"/>
        <v>255</v>
      </c>
      <c r="L65" s="305">
        <v>255</v>
      </c>
      <c r="M65" s="305"/>
      <c r="N65" s="305"/>
      <c r="O65" s="306" t="e">
        <f>IF(L65="nio",0,IF(L65&gt;0,L65*J65/R65,0))*VLOOKUP(B65,'2-Kosten per locatie'!$A$14:$C$24,3,FALSE)</f>
        <v>#DIV/0!</v>
      </c>
      <c r="P65" s="306">
        <f>IF(M65&gt;0,M65*J65/S65,0)*VLOOKUP(B65,'2-Kosten per locatie'!$A$14:$C$24,3,FALSE)</f>
        <v>0</v>
      </c>
      <c r="Q65" s="306">
        <f>IF(N65&gt;0,N65*J65/T65,0)*VLOOKUP(B65,'2-Kosten per locatie'!$A$14:$C$24,3,FALSE)</f>
        <v>0</v>
      </c>
      <c r="R65" s="307">
        <f>IF(L65="nio",0,IF(L65&gt;0,VLOOKUP(G65,'3-Productie normen'!A:P,VLOOKUP(L65,'3-Productie normen'!$B$32:$E$37,2,FALSE),FALSE)))</f>
        <v>0</v>
      </c>
      <c r="S65" s="307">
        <f t="shared" si="5"/>
        <v>0</v>
      </c>
      <c r="T65" s="307">
        <f t="shared" si="6"/>
        <v>0</v>
      </c>
      <c r="U65" s="308">
        <f>VLOOKUP(G65,'3-Productie normen'!A:N,10,FALSE)</f>
        <v>0</v>
      </c>
      <c r="V65" s="308"/>
      <c r="X65" s="309">
        <f t="shared" si="7"/>
        <v>2703</v>
      </c>
    </row>
    <row r="66" spans="1:24" ht="14.1" customHeight="1">
      <c r="A66" s="71">
        <v>66</v>
      </c>
      <c r="B66" s="300" t="s">
        <v>49</v>
      </c>
      <c r="C66" s="240" t="s">
        <v>122</v>
      </c>
      <c r="D66" s="301" t="s">
        <v>143</v>
      </c>
      <c r="E66" s="302"/>
      <c r="F66" s="280" t="s">
        <v>131</v>
      </c>
      <c r="G66" s="280" t="s">
        <v>81</v>
      </c>
      <c r="H66" s="280" t="s">
        <v>130</v>
      </c>
      <c r="I66" s="300" t="s">
        <v>130</v>
      </c>
      <c r="J66" s="303">
        <v>18.3</v>
      </c>
      <c r="K66" s="304">
        <f t="shared" si="4"/>
        <v>255</v>
      </c>
      <c r="L66" s="305">
        <v>255</v>
      </c>
      <c r="M66" s="305"/>
      <c r="N66" s="305"/>
      <c r="O66" s="306" t="e">
        <f>IF(L66="nio",0,IF(L66&gt;0,L66*J66/R66,0))*VLOOKUP(B66,'2-Kosten per locatie'!$A$14:$C$24,3,FALSE)</f>
        <v>#DIV/0!</v>
      </c>
      <c r="P66" s="306">
        <f>IF(M66&gt;0,M66*J66/S66,0)*VLOOKUP(B66,'2-Kosten per locatie'!$A$14:$C$24,3,FALSE)</f>
        <v>0</v>
      </c>
      <c r="Q66" s="306">
        <f>IF(N66&gt;0,N66*J66/T66,0)*VLOOKUP(B66,'2-Kosten per locatie'!$A$14:$C$24,3,FALSE)</f>
        <v>0</v>
      </c>
      <c r="R66" s="307">
        <f>IF(L66="nio",0,IF(L66&gt;0,VLOOKUP(G66,'3-Productie normen'!A:P,VLOOKUP(L66,'3-Productie normen'!$B$32:$E$37,2,FALSE),FALSE)))</f>
        <v>0</v>
      </c>
      <c r="S66" s="307">
        <f t="shared" si="5"/>
        <v>0</v>
      </c>
      <c r="T66" s="307">
        <f t="shared" si="6"/>
        <v>0</v>
      </c>
      <c r="U66" s="308">
        <f>VLOOKUP(G66,'3-Productie normen'!A:N,10,FALSE)</f>
        <v>0</v>
      </c>
      <c r="V66" s="308"/>
      <c r="X66" s="309">
        <f t="shared" si="7"/>
        <v>4666.5</v>
      </c>
    </row>
    <row r="67" spans="1:24" ht="14.1" customHeight="1">
      <c r="A67" s="71">
        <v>67</v>
      </c>
      <c r="B67" s="300" t="s">
        <v>49</v>
      </c>
      <c r="C67" s="240" t="s">
        <v>122</v>
      </c>
      <c r="D67" s="301" t="s">
        <v>143</v>
      </c>
      <c r="E67" s="302"/>
      <c r="F67" s="280" t="s">
        <v>128</v>
      </c>
      <c r="G67" s="280" t="s">
        <v>80</v>
      </c>
      <c r="H67" s="280" t="s">
        <v>125</v>
      </c>
      <c r="I67" s="300" t="s">
        <v>126</v>
      </c>
      <c r="J67" s="303">
        <v>9</v>
      </c>
      <c r="K67" s="304">
        <f t="shared" si="4"/>
        <v>255</v>
      </c>
      <c r="L67" s="305">
        <v>255</v>
      </c>
      <c r="M67" s="305"/>
      <c r="N67" s="305"/>
      <c r="O67" s="306" t="e">
        <f>IF(L67="nio",0,IF(L67&gt;0,L67*J67/R67,0))*VLOOKUP(B67,'2-Kosten per locatie'!$A$14:$C$24,3,FALSE)</f>
        <v>#DIV/0!</v>
      </c>
      <c r="P67" s="306">
        <f>IF(M67&gt;0,M67*J67/S67,0)*VLOOKUP(B67,'2-Kosten per locatie'!$A$14:$C$24,3,FALSE)</f>
        <v>0</v>
      </c>
      <c r="Q67" s="306">
        <f>IF(N67&gt;0,N67*J67/T67,0)*VLOOKUP(B67,'2-Kosten per locatie'!$A$14:$C$24,3,FALSE)</f>
        <v>0</v>
      </c>
      <c r="R67" s="307">
        <f>IF(L67="nio",0,IF(L67&gt;0,VLOOKUP(G67,'3-Productie normen'!A:P,VLOOKUP(L67,'3-Productie normen'!$B$32:$E$37,2,FALSE),FALSE)))</f>
        <v>0</v>
      </c>
      <c r="S67" s="307">
        <f t="shared" si="5"/>
        <v>0</v>
      </c>
      <c r="T67" s="307">
        <f t="shared" si="6"/>
        <v>0</v>
      </c>
      <c r="U67" s="308">
        <f>VLOOKUP(G67,'3-Productie normen'!A:N,10,FALSE)</f>
        <v>0</v>
      </c>
      <c r="V67" s="308"/>
      <c r="X67" s="309">
        <f t="shared" si="7"/>
        <v>2295</v>
      </c>
    </row>
    <row r="68" spans="1:24" ht="14.1" customHeight="1">
      <c r="A68" s="71">
        <v>68</v>
      </c>
      <c r="B68" s="300" t="s">
        <v>49</v>
      </c>
      <c r="C68" s="240" t="s">
        <v>122</v>
      </c>
      <c r="D68" s="301" t="s">
        <v>143</v>
      </c>
      <c r="E68" s="302"/>
      <c r="F68" s="280" t="s">
        <v>124</v>
      </c>
      <c r="G68" s="240" t="s">
        <v>74</v>
      </c>
      <c r="H68" s="280" t="s">
        <v>125</v>
      </c>
      <c r="I68" s="300" t="s">
        <v>126</v>
      </c>
      <c r="J68" s="303">
        <v>36.299999999999997</v>
      </c>
      <c r="K68" s="304">
        <f t="shared" si="4"/>
        <v>255</v>
      </c>
      <c r="L68" s="305">
        <v>255</v>
      </c>
      <c r="M68" s="305"/>
      <c r="N68" s="305"/>
      <c r="O68" s="306" t="e">
        <f>IF(L68="nio",0,IF(L68&gt;0,L68*J68/R68,0))*VLOOKUP(B68,'2-Kosten per locatie'!$A$14:$C$24,3,FALSE)</f>
        <v>#DIV/0!</v>
      </c>
      <c r="P68" s="306">
        <f>IF(M68&gt;0,M68*J68/S68,0)*VLOOKUP(B68,'2-Kosten per locatie'!$A$14:$C$24,3,FALSE)</f>
        <v>0</v>
      </c>
      <c r="Q68" s="306">
        <f>IF(N68&gt;0,N68*J68/T68,0)*VLOOKUP(B68,'2-Kosten per locatie'!$A$14:$C$24,3,FALSE)</f>
        <v>0</v>
      </c>
      <c r="R68" s="307">
        <f>IF(L68="nio",0,IF(L68&gt;0,VLOOKUP(G68,'3-Productie normen'!A:P,VLOOKUP(L68,'3-Productie normen'!$B$32:$E$37,2,FALSE),FALSE)))</f>
        <v>0</v>
      </c>
      <c r="S68" s="307">
        <f t="shared" si="5"/>
        <v>0</v>
      </c>
      <c r="T68" s="307">
        <f t="shared" si="6"/>
        <v>0</v>
      </c>
      <c r="U68" s="308">
        <f>VLOOKUP(G68,'3-Productie normen'!A:N,10,FALSE)</f>
        <v>0</v>
      </c>
      <c r="V68" s="308"/>
      <c r="X68" s="309">
        <f t="shared" si="7"/>
        <v>9256.5</v>
      </c>
    </row>
    <row r="69" spans="1:24" ht="14.1" customHeight="1">
      <c r="A69" s="71">
        <v>69</v>
      </c>
      <c r="B69" s="300" t="s">
        <v>49</v>
      </c>
      <c r="C69" s="240" t="s">
        <v>122</v>
      </c>
      <c r="D69" s="301" t="s">
        <v>143</v>
      </c>
      <c r="E69" s="302"/>
      <c r="F69" s="280" t="s">
        <v>124</v>
      </c>
      <c r="G69" s="240" t="s">
        <v>74</v>
      </c>
      <c r="H69" s="280" t="s">
        <v>125</v>
      </c>
      <c r="I69" s="300" t="s">
        <v>126</v>
      </c>
      <c r="J69" s="303">
        <v>17.100000000000001</v>
      </c>
      <c r="K69" s="304">
        <f t="shared" si="4"/>
        <v>255</v>
      </c>
      <c r="L69" s="305">
        <v>255</v>
      </c>
      <c r="M69" s="305"/>
      <c r="N69" s="305"/>
      <c r="O69" s="306" t="e">
        <f>IF(L69="nio",0,IF(L69&gt;0,L69*J69/R69,0))*VLOOKUP(B69,'2-Kosten per locatie'!$A$14:$C$24,3,FALSE)</f>
        <v>#DIV/0!</v>
      </c>
      <c r="P69" s="306">
        <f>IF(M69&gt;0,M69*J69/S69,0)*VLOOKUP(B69,'2-Kosten per locatie'!$A$14:$C$24,3,FALSE)</f>
        <v>0</v>
      </c>
      <c r="Q69" s="306">
        <f>IF(N69&gt;0,N69*J69/T69,0)*VLOOKUP(B69,'2-Kosten per locatie'!$A$14:$C$24,3,FALSE)</f>
        <v>0</v>
      </c>
      <c r="R69" s="307">
        <f>IF(L69="nio",0,IF(L69&gt;0,VLOOKUP(G69,'3-Productie normen'!A:P,VLOOKUP(L69,'3-Productie normen'!$B$32:$E$37,2,FALSE),FALSE)))</f>
        <v>0</v>
      </c>
      <c r="S69" s="307">
        <f t="shared" si="5"/>
        <v>0</v>
      </c>
      <c r="T69" s="307">
        <f t="shared" si="6"/>
        <v>0</v>
      </c>
      <c r="U69" s="308">
        <f>VLOOKUP(G69,'3-Productie normen'!A:N,10,FALSE)</f>
        <v>0</v>
      </c>
      <c r="V69" s="308"/>
      <c r="X69" s="309">
        <f t="shared" si="7"/>
        <v>4360.5</v>
      </c>
    </row>
    <row r="70" spans="1:24" ht="14.1" customHeight="1">
      <c r="A70" s="71">
        <v>70</v>
      </c>
      <c r="B70" s="300" t="s">
        <v>49</v>
      </c>
      <c r="C70" s="240" t="s">
        <v>122</v>
      </c>
      <c r="D70" s="301" t="s">
        <v>143</v>
      </c>
      <c r="E70" s="302"/>
      <c r="F70" s="280" t="s">
        <v>124</v>
      </c>
      <c r="G70" s="240" t="s">
        <v>74</v>
      </c>
      <c r="H70" s="280" t="s">
        <v>125</v>
      </c>
      <c r="I70" s="300" t="s">
        <v>126</v>
      </c>
      <c r="J70" s="303">
        <v>6.2</v>
      </c>
      <c r="K70" s="304">
        <f t="shared" si="4"/>
        <v>255</v>
      </c>
      <c r="L70" s="305">
        <v>255</v>
      </c>
      <c r="M70" s="305"/>
      <c r="N70" s="305"/>
      <c r="O70" s="306" t="e">
        <f>IF(L70="nio",0,IF(L70&gt;0,L70*J70/R70,0))*VLOOKUP(B70,'2-Kosten per locatie'!$A$14:$C$24,3,FALSE)</f>
        <v>#DIV/0!</v>
      </c>
      <c r="P70" s="306">
        <f>IF(M70&gt;0,M70*J70/S70,0)*VLOOKUP(B70,'2-Kosten per locatie'!$A$14:$C$24,3,FALSE)</f>
        <v>0</v>
      </c>
      <c r="Q70" s="306">
        <f>IF(N70&gt;0,N70*J70/T70,0)*VLOOKUP(B70,'2-Kosten per locatie'!$A$14:$C$24,3,FALSE)</f>
        <v>0</v>
      </c>
      <c r="R70" s="307">
        <f>IF(L70="nio",0,IF(L70&gt;0,VLOOKUP(G70,'3-Productie normen'!A:P,VLOOKUP(L70,'3-Productie normen'!$B$32:$E$37,2,FALSE),FALSE)))</f>
        <v>0</v>
      </c>
      <c r="S70" s="307">
        <f t="shared" si="5"/>
        <v>0</v>
      </c>
      <c r="T70" s="307">
        <f t="shared" si="6"/>
        <v>0</v>
      </c>
      <c r="U70" s="308">
        <f>VLOOKUP(G70,'3-Productie normen'!A:N,10,FALSE)</f>
        <v>0</v>
      </c>
      <c r="V70" s="308"/>
      <c r="X70" s="309">
        <f t="shared" si="7"/>
        <v>1581</v>
      </c>
    </row>
    <row r="71" spans="1:24" ht="14.1" customHeight="1">
      <c r="A71" s="71">
        <v>71</v>
      </c>
      <c r="B71" s="300" t="s">
        <v>49</v>
      </c>
      <c r="C71" s="240" t="s">
        <v>122</v>
      </c>
      <c r="D71" s="301" t="s">
        <v>143</v>
      </c>
      <c r="E71" s="302"/>
      <c r="F71" s="280" t="s">
        <v>124</v>
      </c>
      <c r="G71" s="240" t="s">
        <v>74</v>
      </c>
      <c r="H71" s="280" t="s">
        <v>125</v>
      </c>
      <c r="I71" s="300" t="s">
        <v>126</v>
      </c>
      <c r="J71" s="303">
        <v>6.2</v>
      </c>
      <c r="K71" s="304">
        <f t="shared" si="4"/>
        <v>255</v>
      </c>
      <c r="L71" s="305">
        <v>255</v>
      </c>
      <c r="M71" s="305"/>
      <c r="N71" s="305"/>
      <c r="O71" s="306" t="e">
        <f>IF(L71="nio",0,IF(L71&gt;0,L71*J71/R71,0))*VLOOKUP(B71,'2-Kosten per locatie'!$A$14:$C$24,3,FALSE)</f>
        <v>#DIV/0!</v>
      </c>
      <c r="P71" s="306">
        <f>IF(M71&gt;0,M71*J71/S71,0)*VLOOKUP(B71,'2-Kosten per locatie'!$A$14:$C$24,3,FALSE)</f>
        <v>0</v>
      </c>
      <c r="Q71" s="306">
        <f>IF(N71&gt;0,N71*J71/T71,0)*VLOOKUP(B71,'2-Kosten per locatie'!$A$14:$C$24,3,FALSE)</f>
        <v>0</v>
      </c>
      <c r="R71" s="307">
        <f>IF(L71="nio",0,IF(L71&gt;0,VLOOKUP(G71,'3-Productie normen'!A:P,VLOOKUP(L71,'3-Productie normen'!$B$32:$E$37,2,FALSE),FALSE)))</f>
        <v>0</v>
      </c>
      <c r="S71" s="307">
        <f t="shared" si="5"/>
        <v>0</v>
      </c>
      <c r="T71" s="307">
        <f t="shared" si="6"/>
        <v>0</v>
      </c>
      <c r="U71" s="308">
        <f>VLOOKUP(G71,'3-Productie normen'!A:N,10,FALSE)</f>
        <v>0</v>
      </c>
      <c r="V71" s="308"/>
      <c r="X71" s="309">
        <f t="shared" si="7"/>
        <v>1581</v>
      </c>
    </row>
    <row r="72" spans="1:24" ht="14.1" customHeight="1">
      <c r="A72" s="71">
        <v>72</v>
      </c>
      <c r="B72" s="300" t="s">
        <v>49</v>
      </c>
      <c r="C72" s="240" t="s">
        <v>122</v>
      </c>
      <c r="D72" s="301" t="s">
        <v>143</v>
      </c>
      <c r="E72" s="302"/>
      <c r="F72" s="280" t="s">
        <v>124</v>
      </c>
      <c r="G72" s="240" t="s">
        <v>74</v>
      </c>
      <c r="H72" s="280" t="s">
        <v>125</v>
      </c>
      <c r="I72" s="300" t="s">
        <v>126</v>
      </c>
      <c r="J72" s="303">
        <v>6.2</v>
      </c>
      <c r="K72" s="304">
        <f t="shared" si="4"/>
        <v>255</v>
      </c>
      <c r="L72" s="305">
        <v>255</v>
      </c>
      <c r="M72" s="305"/>
      <c r="N72" s="305"/>
      <c r="O72" s="306" t="e">
        <f>IF(L72="nio",0,IF(L72&gt;0,L72*J72/R72,0))*VLOOKUP(B72,'2-Kosten per locatie'!$A$14:$C$24,3,FALSE)</f>
        <v>#DIV/0!</v>
      </c>
      <c r="P72" s="306">
        <f>IF(M72&gt;0,M72*J72/S72,0)*VLOOKUP(B72,'2-Kosten per locatie'!$A$14:$C$24,3,FALSE)</f>
        <v>0</v>
      </c>
      <c r="Q72" s="306">
        <f>IF(N72&gt;0,N72*J72/T72,0)*VLOOKUP(B72,'2-Kosten per locatie'!$A$14:$C$24,3,FALSE)</f>
        <v>0</v>
      </c>
      <c r="R72" s="307">
        <f>IF(L72="nio",0,IF(L72&gt;0,VLOOKUP(G72,'3-Productie normen'!A:P,VLOOKUP(L72,'3-Productie normen'!$B$32:$E$37,2,FALSE),FALSE)))</f>
        <v>0</v>
      </c>
      <c r="S72" s="307">
        <f t="shared" si="5"/>
        <v>0</v>
      </c>
      <c r="T72" s="307">
        <f t="shared" si="6"/>
        <v>0</v>
      </c>
      <c r="U72" s="308">
        <f>VLOOKUP(G72,'3-Productie normen'!A:N,10,FALSE)</f>
        <v>0</v>
      </c>
      <c r="V72" s="308"/>
      <c r="X72" s="309">
        <f t="shared" si="7"/>
        <v>1581</v>
      </c>
    </row>
    <row r="73" spans="1:24" ht="14.1" customHeight="1">
      <c r="A73" s="71">
        <v>73</v>
      </c>
      <c r="B73" s="300" t="s">
        <v>49</v>
      </c>
      <c r="C73" s="240" t="s">
        <v>122</v>
      </c>
      <c r="D73" s="301" t="s">
        <v>143</v>
      </c>
      <c r="E73" s="302"/>
      <c r="F73" s="280" t="s">
        <v>128</v>
      </c>
      <c r="G73" s="280" t="s">
        <v>80</v>
      </c>
      <c r="H73" s="280" t="s">
        <v>125</v>
      </c>
      <c r="I73" s="300" t="s">
        <v>126</v>
      </c>
      <c r="J73" s="303">
        <v>19.100000000000001</v>
      </c>
      <c r="K73" s="304">
        <f t="shared" si="4"/>
        <v>255</v>
      </c>
      <c r="L73" s="305">
        <v>255</v>
      </c>
      <c r="M73" s="305"/>
      <c r="N73" s="305"/>
      <c r="O73" s="306" t="e">
        <f>IF(L73="nio",0,IF(L73&gt;0,L73*J73/R73,0))*VLOOKUP(B73,'2-Kosten per locatie'!$A$14:$C$24,3,FALSE)</f>
        <v>#DIV/0!</v>
      </c>
      <c r="P73" s="306">
        <f>IF(M73&gt;0,M73*J73/S73,0)*VLOOKUP(B73,'2-Kosten per locatie'!$A$14:$C$24,3,FALSE)</f>
        <v>0</v>
      </c>
      <c r="Q73" s="306">
        <f>IF(N73&gt;0,N73*J73/T73,0)*VLOOKUP(B73,'2-Kosten per locatie'!$A$14:$C$24,3,FALSE)</f>
        <v>0</v>
      </c>
      <c r="R73" s="307">
        <f>IF(L73="nio",0,IF(L73&gt;0,VLOOKUP(G73,'3-Productie normen'!A:P,VLOOKUP(L73,'3-Productie normen'!$B$32:$E$37,2,FALSE),FALSE)))</f>
        <v>0</v>
      </c>
      <c r="S73" s="307">
        <f t="shared" si="5"/>
        <v>0</v>
      </c>
      <c r="T73" s="307">
        <f t="shared" si="6"/>
        <v>0</v>
      </c>
      <c r="U73" s="308">
        <f>VLOOKUP(G73,'3-Productie normen'!A:N,10,FALSE)</f>
        <v>0</v>
      </c>
      <c r="V73" s="308"/>
      <c r="X73" s="309">
        <f t="shared" si="7"/>
        <v>4870.5</v>
      </c>
    </row>
    <row r="74" spans="1:24" ht="14.1" customHeight="1">
      <c r="A74" s="71">
        <v>74</v>
      </c>
      <c r="B74" s="300" t="s">
        <v>49</v>
      </c>
      <c r="C74" s="240" t="s">
        <v>122</v>
      </c>
      <c r="D74" s="301" t="s">
        <v>143</v>
      </c>
      <c r="E74" s="302"/>
      <c r="F74" s="280" t="s">
        <v>128</v>
      </c>
      <c r="G74" s="280" t="s">
        <v>80</v>
      </c>
      <c r="H74" s="280" t="s">
        <v>125</v>
      </c>
      <c r="I74" s="300" t="s">
        <v>126</v>
      </c>
      <c r="J74" s="303">
        <v>2</v>
      </c>
      <c r="K74" s="304">
        <f t="shared" ref="K74:K137" si="8">SUM(L74:N74)</f>
        <v>255</v>
      </c>
      <c r="L74" s="305">
        <v>255</v>
      </c>
      <c r="M74" s="305"/>
      <c r="N74" s="305"/>
      <c r="O74" s="306" t="e">
        <f>IF(L74="nio",0,IF(L74&gt;0,L74*J74/R74,0))*VLOOKUP(B74,'2-Kosten per locatie'!$A$14:$C$24,3,FALSE)</f>
        <v>#DIV/0!</v>
      </c>
      <c r="P74" s="306">
        <f>IF(M74&gt;0,M74*J74/S74,0)*VLOOKUP(B74,'2-Kosten per locatie'!$A$14:$C$24,3,FALSE)</f>
        <v>0</v>
      </c>
      <c r="Q74" s="306">
        <f>IF(N74&gt;0,N74*J74/T74,0)*VLOOKUP(B74,'2-Kosten per locatie'!$A$14:$C$24,3,FALSE)</f>
        <v>0</v>
      </c>
      <c r="R74" s="307">
        <f>IF(L74="nio",0,IF(L74&gt;0,VLOOKUP(G74,'3-Productie normen'!A:P,VLOOKUP(L74,'3-Productie normen'!$B$32:$E$37,2,FALSE),FALSE)))</f>
        <v>0</v>
      </c>
      <c r="S74" s="307">
        <f t="shared" ref="S74:S137" si="9">IF(M74&gt;0,R74*$S$8,0)</f>
        <v>0</v>
      </c>
      <c r="T74" s="307">
        <f t="shared" si="6"/>
        <v>0</v>
      </c>
      <c r="U74" s="308">
        <f>VLOOKUP(G74,'3-Productie normen'!A:N,10,FALSE)</f>
        <v>0</v>
      </c>
      <c r="V74" s="308"/>
      <c r="X74" s="309">
        <f t="shared" ref="X74:X105" si="10">K74*J74</f>
        <v>510</v>
      </c>
    </row>
    <row r="75" spans="1:24" ht="14.1" customHeight="1">
      <c r="A75" s="71">
        <v>75</v>
      </c>
      <c r="B75" s="300" t="s">
        <v>49</v>
      </c>
      <c r="C75" s="240" t="s">
        <v>122</v>
      </c>
      <c r="D75" s="301" t="s">
        <v>143</v>
      </c>
      <c r="E75" s="302"/>
      <c r="F75" s="280" t="s">
        <v>128</v>
      </c>
      <c r="G75" s="280" t="s">
        <v>80</v>
      </c>
      <c r="H75" s="280" t="s">
        <v>125</v>
      </c>
      <c r="I75" s="300" t="s">
        <v>126</v>
      </c>
      <c r="J75" s="303">
        <v>31</v>
      </c>
      <c r="K75" s="304">
        <f t="shared" si="8"/>
        <v>255</v>
      </c>
      <c r="L75" s="305">
        <v>255</v>
      </c>
      <c r="M75" s="305"/>
      <c r="N75" s="305"/>
      <c r="O75" s="306" t="e">
        <f>IF(L75="nio",0,IF(L75&gt;0,L75*J75/R75,0))*VLOOKUP(B75,'2-Kosten per locatie'!$A$14:$C$24,3,FALSE)</f>
        <v>#DIV/0!</v>
      </c>
      <c r="P75" s="306">
        <f>IF(M75&gt;0,M75*J75/S75,0)*VLOOKUP(B75,'2-Kosten per locatie'!$A$14:$C$24,3,FALSE)</f>
        <v>0</v>
      </c>
      <c r="Q75" s="306">
        <f>IF(N75&gt;0,N75*J75/T75,0)*VLOOKUP(B75,'2-Kosten per locatie'!$A$14:$C$24,3,FALSE)</f>
        <v>0</v>
      </c>
      <c r="R75" s="307">
        <f>IF(L75="nio",0,IF(L75&gt;0,VLOOKUP(G75,'3-Productie normen'!A:P,VLOOKUP(L75,'3-Productie normen'!$B$32:$E$37,2,FALSE),FALSE)))</f>
        <v>0</v>
      </c>
      <c r="S75" s="307">
        <f t="shared" si="9"/>
        <v>0</v>
      </c>
      <c r="T75" s="307">
        <f t="shared" ref="T75:T138" si="11">IF(N75&gt;0,R75*$T$8,0)</f>
        <v>0</v>
      </c>
      <c r="U75" s="308">
        <f>VLOOKUP(G75,'3-Productie normen'!A:N,10,FALSE)</f>
        <v>0</v>
      </c>
      <c r="V75" s="308"/>
      <c r="X75" s="309">
        <f t="shared" si="10"/>
        <v>7905</v>
      </c>
    </row>
    <row r="76" spans="1:24" ht="14.1" customHeight="1">
      <c r="A76" s="71">
        <v>76</v>
      </c>
      <c r="B76" s="300" t="s">
        <v>49</v>
      </c>
      <c r="C76" s="240" t="s">
        <v>122</v>
      </c>
      <c r="D76" s="301" t="s">
        <v>143</v>
      </c>
      <c r="E76" s="302"/>
      <c r="F76" s="280" t="s">
        <v>124</v>
      </c>
      <c r="G76" s="240" t="s">
        <v>74</v>
      </c>
      <c r="H76" s="280" t="s">
        <v>125</v>
      </c>
      <c r="I76" s="300" t="s">
        <v>126</v>
      </c>
      <c r="J76" s="303">
        <v>6</v>
      </c>
      <c r="K76" s="304">
        <f t="shared" si="8"/>
        <v>255</v>
      </c>
      <c r="L76" s="305">
        <v>255</v>
      </c>
      <c r="M76" s="305"/>
      <c r="N76" s="305"/>
      <c r="O76" s="306" t="e">
        <f>IF(L76="nio",0,IF(L76&gt;0,L76*J76/R76,0))*VLOOKUP(B76,'2-Kosten per locatie'!$A$14:$C$24,3,FALSE)</f>
        <v>#DIV/0!</v>
      </c>
      <c r="P76" s="306">
        <f>IF(M76&gt;0,M76*J76/S76,0)*VLOOKUP(B76,'2-Kosten per locatie'!$A$14:$C$24,3,FALSE)</f>
        <v>0</v>
      </c>
      <c r="Q76" s="306">
        <f>IF(N76&gt;0,N76*J76/T76,0)*VLOOKUP(B76,'2-Kosten per locatie'!$A$14:$C$24,3,FALSE)</f>
        <v>0</v>
      </c>
      <c r="R76" s="307">
        <f>IF(L76="nio",0,IF(L76&gt;0,VLOOKUP(G76,'3-Productie normen'!A:P,VLOOKUP(L76,'3-Productie normen'!$B$32:$E$37,2,FALSE),FALSE)))</f>
        <v>0</v>
      </c>
      <c r="S76" s="307">
        <f t="shared" si="9"/>
        <v>0</v>
      </c>
      <c r="T76" s="307">
        <f t="shared" si="11"/>
        <v>0</v>
      </c>
      <c r="U76" s="308">
        <f>VLOOKUP(G76,'3-Productie normen'!A:N,10,FALSE)</f>
        <v>0</v>
      </c>
      <c r="V76" s="308"/>
      <c r="X76" s="309">
        <f t="shared" si="10"/>
        <v>1530</v>
      </c>
    </row>
    <row r="77" spans="1:24" ht="14.1" customHeight="1">
      <c r="A77" s="71">
        <v>77</v>
      </c>
      <c r="B77" s="300" t="s">
        <v>49</v>
      </c>
      <c r="C77" s="240" t="s">
        <v>122</v>
      </c>
      <c r="D77" s="301" t="s">
        <v>143</v>
      </c>
      <c r="E77" s="302"/>
      <c r="F77" s="280" t="s">
        <v>128</v>
      </c>
      <c r="G77" s="280" t="s">
        <v>80</v>
      </c>
      <c r="H77" s="280" t="s">
        <v>125</v>
      </c>
      <c r="I77" s="300" t="s">
        <v>126</v>
      </c>
      <c r="J77" s="303">
        <v>24.5</v>
      </c>
      <c r="K77" s="304">
        <f t="shared" si="8"/>
        <v>255</v>
      </c>
      <c r="L77" s="305">
        <v>255</v>
      </c>
      <c r="M77" s="305"/>
      <c r="N77" s="305"/>
      <c r="O77" s="306" t="e">
        <f>IF(L77="nio",0,IF(L77&gt;0,L77*J77/R77,0))*VLOOKUP(B77,'2-Kosten per locatie'!$A$14:$C$24,3,FALSE)</f>
        <v>#DIV/0!</v>
      </c>
      <c r="P77" s="306">
        <f>IF(M77&gt;0,M77*J77/S77,0)*VLOOKUP(B77,'2-Kosten per locatie'!$A$14:$C$24,3,FALSE)</f>
        <v>0</v>
      </c>
      <c r="Q77" s="306">
        <f>IF(N77&gt;0,N77*J77/T77,0)*VLOOKUP(B77,'2-Kosten per locatie'!$A$14:$C$24,3,FALSE)</f>
        <v>0</v>
      </c>
      <c r="R77" s="307">
        <f>IF(L77="nio",0,IF(L77&gt;0,VLOOKUP(G77,'3-Productie normen'!A:P,VLOOKUP(L77,'3-Productie normen'!$B$32:$E$37,2,FALSE),FALSE)))</f>
        <v>0</v>
      </c>
      <c r="S77" s="307">
        <f t="shared" si="9"/>
        <v>0</v>
      </c>
      <c r="T77" s="307">
        <f t="shared" si="11"/>
        <v>0</v>
      </c>
      <c r="U77" s="308">
        <f>VLOOKUP(G77,'3-Productie normen'!A:N,10,FALSE)</f>
        <v>0</v>
      </c>
      <c r="V77" s="308"/>
      <c r="X77" s="309">
        <f t="shared" si="10"/>
        <v>6247.5</v>
      </c>
    </row>
    <row r="78" spans="1:24" ht="14.1" customHeight="1">
      <c r="A78" s="71">
        <v>78</v>
      </c>
      <c r="B78" s="300" t="s">
        <v>49</v>
      </c>
      <c r="C78" s="240" t="s">
        <v>122</v>
      </c>
      <c r="D78" s="301" t="s">
        <v>143</v>
      </c>
      <c r="E78" s="302"/>
      <c r="F78" s="280" t="s">
        <v>127</v>
      </c>
      <c r="G78" s="280" t="s">
        <v>74</v>
      </c>
      <c r="H78" s="280" t="s">
        <v>125</v>
      </c>
      <c r="I78" s="300" t="s">
        <v>126</v>
      </c>
      <c r="J78" s="303">
        <v>7</v>
      </c>
      <c r="K78" s="304">
        <f t="shared" si="8"/>
        <v>255</v>
      </c>
      <c r="L78" s="305">
        <v>255</v>
      </c>
      <c r="M78" s="305"/>
      <c r="N78" s="305"/>
      <c r="O78" s="306" t="e">
        <f>IF(L78="nio",0,IF(L78&gt;0,L78*J78/R78,0))*VLOOKUP(B78,'2-Kosten per locatie'!$A$14:$C$24,3,FALSE)</f>
        <v>#DIV/0!</v>
      </c>
      <c r="P78" s="306">
        <f>IF(M78&gt;0,M78*J78/S78,0)*VLOOKUP(B78,'2-Kosten per locatie'!$A$14:$C$24,3,FALSE)</f>
        <v>0</v>
      </c>
      <c r="Q78" s="306">
        <f>IF(N78&gt;0,N78*J78/T78,0)*VLOOKUP(B78,'2-Kosten per locatie'!$A$14:$C$24,3,FALSE)</f>
        <v>0</v>
      </c>
      <c r="R78" s="307">
        <f>IF(L78="nio",0,IF(L78&gt;0,VLOOKUP(G78,'3-Productie normen'!A:P,VLOOKUP(L78,'3-Productie normen'!$B$32:$E$37,2,FALSE),FALSE)))</f>
        <v>0</v>
      </c>
      <c r="S78" s="307">
        <f t="shared" si="9"/>
        <v>0</v>
      </c>
      <c r="T78" s="307">
        <f t="shared" si="11"/>
        <v>0</v>
      </c>
      <c r="U78" s="308">
        <f>VLOOKUP(G78,'3-Productie normen'!A:N,10,FALSE)</f>
        <v>0</v>
      </c>
      <c r="V78" s="308"/>
      <c r="X78" s="309">
        <f t="shared" si="10"/>
        <v>1785</v>
      </c>
    </row>
    <row r="79" spans="1:24" ht="14.1" customHeight="1">
      <c r="A79" s="71">
        <v>79</v>
      </c>
      <c r="B79" s="300" t="s">
        <v>49</v>
      </c>
      <c r="C79" s="240" t="s">
        <v>122</v>
      </c>
      <c r="D79" s="301" t="s">
        <v>143</v>
      </c>
      <c r="E79" s="302"/>
      <c r="F79" s="280" t="s">
        <v>128</v>
      </c>
      <c r="G79" s="280" t="s">
        <v>80</v>
      </c>
      <c r="H79" s="280" t="s">
        <v>134</v>
      </c>
      <c r="I79" s="300" t="s">
        <v>134</v>
      </c>
      <c r="J79" s="303">
        <v>19.5</v>
      </c>
      <c r="K79" s="304">
        <f t="shared" si="8"/>
        <v>255</v>
      </c>
      <c r="L79" s="305">
        <v>255</v>
      </c>
      <c r="M79" s="305"/>
      <c r="N79" s="305"/>
      <c r="O79" s="306" t="e">
        <f>IF(L79="nio",0,IF(L79&gt;0,L79*J79/R79,0))*VLOOKUP(B79,'2-Kosten per locatie'!$A$14:$C$24,3,FALSE)</f>
        <v>#DIV/0!</v>
      </c>
      <c r="P79" s="306">
        <f>IF(M79&gt;0,M79*J79/S79,0)*VLOOKUP(B79,'2-Kosten per locatie'!$A$14:$C$24,3,FALSE)</f>
        <v>0</v>
      </c>
      <c r="Q79" s="306">
        <f>IF(N79&gt;0,N79*J79/T79,0)*VLOOKUP(B79,'2-Kosten per locatie'!$A$14:$C$24,3,FALSE)</f>
        <v>0</v>
      </c>
      <c r="R79" s="307">
        <f>IF(L79="nio",0,IF(L79&gt;0,VLOOKUP(G79,'3-Productie normen'!A:P,VLOOKUP(L79,'3-Productie normen'!$B$32:$E$37,2,FALSE),FALSE)))</f>
        <v>0</v>
      </c>
      <c r="S79" s="307">
        <f t="shared" si="9"/>
        <v>0</v>
      </c>
      <c r="T79" s="307">
        <f t="shared" si="11"/>
        <v>0</v>
      </c>
      <c r="U79" s="308">
        <f>VLOOKUP(G79,'3-Productie normen'!A:N,10,FALSE)</f>
        <v>0</v>
      </c>
      <c r="V79" s="308"/>
      <c r="X79" s="309">
        <f t="shared" si="10"/>
        <v>4972.5</v>
      </c>
    </row>
    <row r="80" spans="1:24" ht="14.1" customHeight="1">
      <c r="A80" s="71">
        <v>80</v>
      </c>
      <c r="B80" s="300" t="s">
        <v>49</v>
      </c>
      <c r="C80" s="240" t="s">
        <v>122</v>
      </c>
      <c r="D80" s="301" t="s">
        <v>143</v>
      </c>
      <c r="E80" s="302"/>
      <c r="F80" s="280" t="s">
        <v>142</v>
      </c>
      <c r="G80" s="280" t="s">
        <v>89</v>
      </c>
      <c r="H80" s="280" t="s">
        <v>125</v>
      </c>
      <c r="I80" s="300" t="s">
        <v>126</v>
      </c>
      <c r="J80" s="303">
        <v>8.5</v>
      </c>
      <c r="K80" s="304">
        <f t="shared" si="8"/>
        <v>255</v>
      </c>
      <c r="L80" s="305">
        <v>255</v>
      </c>
      <c r="M80" s="305"/>
      <c r="N80" s="305"/>
      <c r="O80" s="306" t="e">
        <f>IF(L80="nio",0,IF(L80&gt;0,L80*J80/R80,0))*VLOOKUP(B80,'2-Kosten per locatie'!$A$14:$C$24,3,FALSE)</f>
        <v>#DIV/0!</v>
      </c>
      <c r="P80" s="306">
        <f>IF(M80&gt;0,M80*J80/S80,0)*VLOOKUP(B80,'2-Kosten per locatie'!$A$14:$C$24,3,FALSE)</f>
        <v>0</v>
      </c>
      <c r="Q80" s="306">
        <f>IF(N80&gt;0,N80*J80/T80,0)*VLOOKUP(B80,'2-Kosten per locatie'!$A$14:$C$24,3,FALSE)</f>
        <v>0</v>
      </c>
      <c r="R80" s="307">
        <f>IF(L80="nio",0,IF(L80&gt;0,VLOOKUP(G80,'3-Productie normen'!A:P,VLOOKUP(L80,'3-Productie normen'!$B$32:$E$37,2,FALSE),FALSE)))</f>
        <v>0</v>
      </c>
      <c r="S80" s="307">
        <f t="shared" si="9"/>
        <v>0</v>
      </c>
      <c r="T80" s="307">
        <f t="shared" si="11"/>
        <v>0</v>
      </c>
      <c r="U80" s="308">
        <f>VLOOKUP(G80,'3-Productie normen'!A:N,10,FALSE)</f>
        <v>0</v>
      </c>
      <c r="V80" s="308"/>
      <c r="X80" s="309">
        <f t="shared" si="10"/>
        <v>2167.5</v>
      </c>
    </row>
    <row r="81" spans="1:24" ht="14.1" customHeight="1">
      <c r="A81" s="71">
        <v>81</v>
      </c>
      <c r="B81" s="300" t="s">
        <v>49</v>
      </c>
      <c r="C81" s="240" t="s">
        <v>122</v>
      </c>
      <c r="D81" s="301" t="s">
        <v>143</v>
      </c>
      <c r="E81" s="302"/>
      <c r="F81" s="280" t="s">
        <v>142</v>
      </c>
      <c r="G81" s="280" t="s">
        <v>89</v>
      </c>
      <c r="H81" s="280" t="s">
        <v>125</v>
      </c>
      <c r="I81" s="300" t="s">
        <v>126</v>
      </c>
      <c r="J81" s="303">
        <v>8.5</v>
      </c>
      <c r="K81" s="304">
        <f t="shared" si="8"/>
        <v>255</v>
      </c>
      <c r="L81" s="305">
        <v>255</v>
      </c>
      <c r="M81" s="305"/>
      <c r="N81" s="305"/>
      <c r="O81" s="306" t="e">
        <f>IF(L81="nio",0,IF(L81&gt;0,L81*J81/R81,0))*VLOOKUP(B81,'2-Kosten per locatie'!$A$14:$C$24,3,FALSE)</f>
        <v>#DIV/0!</v>
      </c>
      <c r="P81" s="306">
        <f>IF(M81&gt;0,M81*J81/S81,0)*VLOOKUP(B81,'2-Kosten per locatie'!$A$14:$C$24,3,FALSE)</f>
        <v>0</v>
      </c>
      <c r="Q81" s="306">
        <f>IF(N81&gt;0,N81*J81/T81,0)*VLOOKUP(B81,'2-Kosten per locatie'!$A$14:$C$24,3,FALSE)</f>
        <v>0</v>
      </c>
      <c r="R81" s="307">
        <f>IF(L81="nio",0,IF(L81&gt;0,VLOOKUP(G81,'3-Productie normen'!A:P,VLOOKUP(L81,'3-Productie normen'!$B$32:$E$37,2,FALSE),FALSE)))</f>
        <v>0</v>
      </c>
      <c r="S81" s="307">
        <f t="shared" si="9"/>
        <v>0</v>
      </c>
      <c r="T81" s="307">
        <f t="shared" si="11"/>
        <v>0</v>
      </c>
      <c r="U81" s="308">
        <f>VLOOKUP(G81,'3-Productie normen'!A:N,10,FALSE)</f>
        <v>0</v>
      </c>
      <c r="V81" s="308"/>
      <c r="X81" s="309">
        <f t="shared" si="10"/>
        <v>2167.5</v>
      </c>
    </row>
    <row r="82" spans="1:24" ht="14.1" customHeight="1">
      <c r="A82" s="71">
        <v>82</v>
      </c>
      <c r="B82" s="300" t="s">
        <v>49</v>
      </c>
      <c r="C82" s="240" t="s">
        <v>122</v>
      </c>
      <c r="D82" s="301" t="s">
        <v>143</v>
      </c>
      <c r="E82" s="302"/>
      <c r="F82" s="280" t="s">
        <v>142</v>
      </c>
      <c r="G82" s="280" t="s">
        <v>89</v>
      </c>
      <c r="H82" s="280" t="s">
        <v>125</v>
      </c>
      <c r="I82" s="300" t="s">
        <v>126</v>
      </c>
      <c r="J82" s="303">
        <v>13.2</v>
      </c>
      <c r="K82" s="304">
        <f t="shared" si="8"/>
        <v>255</v>
      </c>
      <c r="L82" s="305">
        <v>255</v>
      </c>
      <c r="M82" s="305"/>
      <c r="N82" s="305"/>
      <c r="O82" s="306" t="e">
        <f>IF(L82="nio",0,IF(L82&gt;0,L82*J82/R82,0))*VLOOKUP(B82,'2-Kosten per locatie'!$A$14:$C$24,3,FALSE)</f>
        <v>#DIV/0!</v>
      </c>
      <c r="P82" s="306">
        <f>IF(M82&gt;0,M82*J82/S82,0)*VLOOKUP(B82,'2-Kosten per locatie'!$A$14:$C$24,3,FALSE)</f>
        <v>0</v>
      </c>
      <c r="Q82" s="306">
        <f>IF(N82&gt;0,N82*J82/T82,0)*VLOOKUP(B82,'2-Kosten per locatie'!$A$14:$C$24,3,FALSE)</f>
        <v>0</v>
      </c>
      <c r="R82" s="307">
        <f>IF(L82="nio",0,IF(L82&gt;0,VLOOKUP(G82,'3-Productie normen'!A:P,VLOOKUP(L82,'3-Productie normen'!$B$32:$E$37,2,FALSE),FALSE)))</f>
        <v>0</v>
      </c>
      <c r="S82" s="307">
        <f t="shared" si="9"/>
        <v>0</v>
      </c>
      <c r="T82" s="307">
        <f t="shared" si="11"/>
        <v>0</v>
      </c>
      <c r="U82" s="308">
        <f>VLOOKUP(G82,'3-Productie normen'!A:N,10,FALSE)</f>
        <v>0</v>
      </c>
      <c r="V82" s="308"/>
      <c r="X82" s="309">
        <f t="shared" si="10"/>
        <v>3366</v>
      </c>
    </row>
    <row r="83" spans="1:24" ht="14.1" customHeight="1">
      <c r="A83" s="71">
        <v>83</v>
      </c>
      <c r="B83" s="300" t="s">
        <v>49</v>
      </c>
      <c r="C83" s="240" t="s">
        <v>122</v>
      </c>
      <c r="D83" s="301" t="s">
        <v>143</v>
      </c>
      <c r="E83" s="302"/>
      <c r="F83" s="280" t="s">
        <v>127</v>
      </c>
      <c r="G83" s="280" t="s">
        <v>74</v>
      </c>
      <c r="H83" s="280" t="s">
        <v>134</v>
      </c>
      <c r="I83" s="300" t="s">
        <v>134</v>
      </c>
      <c r="J83" s="303">
        <v>51</v>
      </c>
      <c r="K83" s="304">
        <f t="shared" si="8"/>
        <v>255</v>
      </c>
      <c r="L83" s="305">
        <v>255</v>
      </c>
      <c r="M83" s="305"/>
      <c r="N83" s="305"/>
      <c r="O83" s="306" t="e">
        <f>IF(L83="nio",0,IF(L83&gt;0,L83*J83/R83,0))*VLOOKUP(B83,'2-Kosten per locatie'!$A$14:$C$24,3,FALSE)</f>
        <v>#DIV/0!</v>
      </c>
      <c r="P83" s="306">
        <f>IF(M83&gt;0,M83*J83/S83,0)*VLOOKUP(B83,'2-Kosten per locatie'!$A$14:$C$24,3,FALSE)</f>
        <v>0</v>
      </c>
      <c r="Q83" s="306">
        <f>IF(N83&gt;0,N83*J83/T83,0)*VLOOKUP(B83,'2-Kosten per locatie'!$A$14:$C$24,3,FALSE)</f>
        <v>0</v>
      </c>
      <c r="R83" s="307">
        <f>IF(L83="nio",0,IF(L83&gt;0,VLOOKUP(G83,'3-Productie normen'!A:P,VLOOKUP(L83,'3-Productie normen'!$B$32:$E$37,2,FALSE),FALSE)))</f>
        <v>0</v>
      </c>
      <c r="S83" s="307">
        <f t="shared" si="9"/>
        <v>0</v>
      </c>
      <c r="T83" s="307">
        <f t="shared" si="11"/>
        <v>0</v>
      </c>
      <c r="U83" s="308">
        <f>VLOOKUP(G83,'3-Productie normen'!A:N,10,FALSE)</f>
        <v>0</v>
      </c>
      <c r="V83" s="308"/>
      <c r="X83" s="309">
        <f t="shared" si="10"/>
        <v>13005</v>
      </c>
    </row>
    <row r="84" spans="1:24" ht="14.1" customHeight="1">
      <c r="A84" s="71">
        <v>84</v>
      </c>
      <c r="B84" s="300" t="s">
        <v>49</v>
      </c>
      <c r="C84" s="240" t="s">
        <v>122</v>
      </c>
      <c r="D84" s="301" t="s">
        <v>143</v>
      </c>
      <c r="E84" s="302"/>
      <c r="F84" s="280" t="s">
        <v>142</v>
      </c>
      <c r="G84" s="280" t="s">
        <v>89</v>
      </c>
      <c r="H84" s="280" t="s">
        <v>125</v>
      </c>
      <c r="I84" s="300" t="s">
        <v>126</v>
      </c>
      <c r="J84" s="303">
        <v>14.4</v>
      </c>
      <c r="K84" s="304">
        <f t="shared" si="8"/>
        <v>255</v>
      </c>
      <c r="L84" s="305">
        <v>255</v>
      </c>
      <c r="M84" s="305"/>
      <c r="N84" s="305"/>
      <c r="O84" s="306" t="e">
        <f>IF(L84="nio",0,IF(L84&gt;0,L84*J84/R84,0))*VLOOKUP(B84,'2-Kosten per locatie'!$A$14:$C$24,3,FALSE)</f>
        <v>#DIV/0!</v>
      </c>
      <c r="P84" s="306">
        <f>IF(M84&gt;0,M84*J84/S84,0)*VLOOKUP(B84,'2-Kosten per locatie'!$A$14:$C$24,3,FALSE)</f>
        <v>0</v>
      </c>
      <c r="Q84" s="306">
        <f>IF(N84&gt;0,N84*J84/T84,0)*VLOOKUP(B84,'2-Kosten per locatie'!$A$14:$C$24,3,FALSE)</f>
        <v>0</v>
      </c>
      <c r="R84" s="307">
        <f>IF(L84="nio",0,IF(L84&gt;0,VLOOKUP(G84,'3-Productie normen'!A:P,VLOOKUP(L84,'3-Productie normen'!$B$32:$E$37,2,FALSE),FALSE)))</f>
        <v>0</v>
      </c>
      <c r="S84" s="307">
        <f t="shared" si="9"/>
        <v>0</v>
      </c>
      <c r="T84" s="307">
        <f t="shared" si="11"/>
        <v>0</v>
      </c>
      <c r="U84" s="308">
        <f>VLOOKUP(G84,'3-Productie normen'!A:N,10,FALSE)</f>
        <v>0</v>
      </c>
      <c r="V84" s="308"/>
      <c r="X84" s="309">
        <f t="shared" si="10"/>
        <v>3672</v>
      </c>
    </row>
    <row r="85" spans="1:24" ht="14.1" customHeight="1">
      <c r="A85" s="71">
        <v>85</v>
      </c>
      <c r="B85" s="300" t="s">
        <v>49</v>
      </c>
      <c r="C85" s="240" t="s">
        <v>122</v>
      </c>
      <c r="D85" s="301" t="s">
        <v>143</v>
      </c>
      <c r="E85" s="302"/>
      <c r="F85" s="280" t="s">
        <v>128</v>
      </c>
      <c r="G85" s="280" t="s">
        <v>80</v>
      </c>
      <c r="H85" s="280" t="s">
        <v>134</v>
      </c>
      <c r="I85" s="300" t="s">
        <v>134</v>
      </c>
      <c r="J85" s="303">
        <v>20.3</v>
      </c>
      <c r="K85" s="304">
        <f t="shared" si="8"/>
        <v>255</v>
      </c>
      <c r="L85" s="305">
        <v>255</v>
      </c>
      <c r="M85" s="305"/>
      <c r="N85" s="305"/>
      <c r="O85" s="306" t="e">
        <f>IF(L85="nio",0,IF(L85&gt;0,L85*J85/R85,0))*VLOOKUP(B85,'2-Kosten per locatie'!$A$14:$C$24,3,FALSE)</f>
        <v>#DIV/0!</v>
      </c>
      <c r="P85" s="306">
        <f>IF(M85&gt;0,M85*J85/S85,0)*VLOOKUP(B85,'2-Kosten per locatie'!$A$14:$C$24,3,FALSE)</f>
        <v>0</v>
      </c>
      <c r="Q85" s="306">
        <f>IF(N85&gt;0,N85*J85/T85,0)*VLOOKUP(B85,'2-Kosten per locatie'!$A$14:$C$24,3,FALSE)</f>
        <v>0</v>
      </c>
      <c r="R85" s="307">
        <f>IF(L85="nio",0,IF(L85&gt;0,VLOOKUP(G85,'3-Productie normen'!A:P,VLOOKUP(L85,'3-Productie normen'!$B$32:$E$37,2,FALSE),FALSE)))</f>
        <v>0</v>
      </c>
      <c r="S85" s="307">
        <f t="shared" si="9"/>
        <v>0</v>
      </c>
      <c r="T85" s="307">
        <f t="shared" si="11"/>
        <v>0</v>
      </c>
      <c r="U85" s="308">
        <f>VLOOKUP(G85,'3-Productie normen'!A:N,10,FALSE)</f>
        <v>0</v>
      </c>
      <c r="V85" s="308"/>
      <c r="X85" s="309">
        <f t="shared" si="10"/>
        <v>5176.5</v>
      </c>
    </row>
    <row r="86" spans="1:24" ht="14.1" customHeight="1">
      <c r="A86" s="71">
        <v>86</v>
      </c>
      <c r="B86" s="300" t="s">
        <v>49</v>
      </c>
      <c r="C86" s="240" t="s">
        <v>122</v>
      </c>
      <c r="D86" s="301" t="s">
        <v>143</v>
      </c>
      <c r="E86" s="302"/>
      <c r="F86" s="280" t="s">
        <v>142</v>
      </c>
      <c r="G86" s="280" t="s">
        <v>89</v>
      </c>
      <c r="H86" s="280" t="s">
        <v>125</v>
      </c>
      <c r="I86" s="300" t="s">
        <v>126</v>
      </c>
      <c r="J86" s="303">
        <v>14.3</v>
      </c>
      <c r="K86" s="304">
        <f t="shared" si="8"/>
        <v>255</v>
      </c>
      <c r="L86" s="305">
        <v>255</v>
      </c>
      <c r="M86" s="305"/>
      <c r="N86" s="305"/>
      <c r="O86" s="306" t="e">
        <f>IF(L86="nio",0,IF(L86&gt;0,L86*J86/R86,0))*VLOOKUP(B86,'2-Kosten per locatie'!$A$14:$C$24,3,FALSE)</f>
        <v>#DIV/0!</v>
      </c>
      <c r="P86" s="306">
        <f>IF(M86&gt;0,M86*J86/S86,0)*VLOOKUP(B86,'2-Kosten per locatie'!$A$14:$C$24,3,FALSE)</f>
        <v>0</v>
      </c>
      <c r="Q86" s="306">
        <f>IF(N86&gt;0,N86*J86/T86,0)*VLOOKUP(B86,'2-Kosten per locatie'!$A$14:$C$24,3,FALSE)</f>
        <v>0</v>
      </c>
      <c r="R86" s="307">
        <f>IF(L86="nio",0,IF(L86&gt;0,VLOOKUP(G86,'3-Productie normen'!A:P,VLOOKUP(L86,'3-Productie normen'!$B$32:$E$37,2,FALSE),FALSE)))</f>
        <v>0</v>
      </c>
      <c r="S86" s="307">
        <f t="shared" si="9"/>
        <v>0</v>
      </c>
      <c r="T86" s="307">
        <f t="shared" si="11"/>
        <v>0</v>
      </c>
      <c r="U86" s="308">
        <f>VLOOKUP(G86,'3-Productie normen'!A:N,10,FALSE)</f>
        <v>0</v>
      </c>
      <c r="V86" s="308"/>
      <c r="X86" s="309">
        <f t="shared" si="10"/>
        <v>3646.5</v>
      </c>
    </row>
    <row r="87" spans="1:24" ht="14.1" customHeight="1">
      <c r="A87" s="71">
        <v>87</v>
      </c>
      <c r="B87" s="300" t="s">
        <v>49</v>
      </c>
      <c r="C87" s="240" t="s">
        <v>122</v>
      </c>
      <c r="D87" s="301" t="s">
        <v>143</v>
      </c>
      <c r="E87" s="302"/>
      <c r="F87" s="280" t="s">
        <v>78</v>
      </c>
      <c r="G87" s="280" t="s">
        <v>78</v>
      </c>
      <c r="H87" s="280" t="s">
        <v>125</v>
      </c>
      <c r="I87" s="300" t="s">
        <v>126</v>
      </c>
      <c r="J87" s="303">
        <v>4</v>
      </c>
      <c r="K87" s="304">
        <f t="shared" si="8"/>
        <v>255</v>
      </c>
      <c r="L87" s="305">
        <v>255</v>
      </c>
      <c r="M87" s="305"/>
      <c r="N87" s="305"/>
      <c r="O87" s="306" t="e">
        <f>IF(L87="nio",0,IF(L87&gt;0,L87*J87/R87,0))*VLOOKUP(B87,'2-Kosten per locatie'!$A$14:$C$24,3,FALSE)</f>
        <v>#DIV/0!</v>
      </c>
      <c r="P87" s="306">
        <f>IF(M87&gt;0,M87*J87/S87,0)*VLOOKUP(B87,'2-Kosten per locatie'!$A$14:$C$24,3,FALSE)</f>
        <v>0</v>
      </c>
      <c r="Q87" s="306">
        <f>IF(N87&gt;0,N87*J87/T87,0)*VLOOKUP(B87,'2-Kosten per locatie'!$A$14:$C$24,3,FALSE)</f>
        <v>0</v>
      </c>
      <c r="R87" s="307">
        <f>IF(L87="nio",0,IF(L87&gt;0,VLOOKUP(G87,'3-Productie normen'!A:P,VLOOKUP(L87,'3-Productie normen'!$B$32:$E$37,2,FALSE),FALSE)))</f>
        <v>0</v>
      </c>
      <c r="S87" s="307">
        <f t="shared" si="9"/>
        <v>0</v>
      </c>
      <c r="T87" s="307">
        <f t="shared" si="11"/>
        <v>0</v>
      </c>
      <c r="U87" s="308">
        <f>VLOOKUP(G87,'3-Productie normen'!A:N,10,FALSE)</f>
        <v>0</v>
      </c>
      <c r="V87" s="308"/>
      <c r="X87" s="309">
        <f t="shared" si="10"/>
        <v>1020</v>
      </c>
    </row>
    <row r="88" spans="1:24" ht="14.1" customHeight="1">
      <c r="A88" s="71">
        <v>88</v>
      </c>
      <c r="B88" s="300" t="s">
        <v>49</v>
      </c>
      <c r="C88" s="240" t="s">
        <v>122</v>
      </c>
      <c r="D88" s="301" t="s">
        <v>143</v>
      </c>
      <c r="E88" s="302"/>
      <c r="F88" s="280" t="s">
        <v>128</v>
      </c>
      <c r="G88" s="280" t="s">
        <v>80</v>
      </c>
      <c r="H88" s="280" t="s">
        <v>137</v>
      </c>
      <c r="I88" s="300" t="s">
        <v>138</v>
      </c>
      <c r="J88" s="303">
        <v>21.2</v>
      </c>
      <c r="K88" s="304">
        <f t="shared" si="8"/>
        <v>255</v>
      </c>
      <c r="L88" s="305">
        <v>255</v>
      </c>
      <c r="M88" s="305"/>
      <c r="N88" s="305"/>
      <c r="O88" s="306" t="e">
        <f>IF(L88="nio",0,IF(L88&gt;0,L88*J88/R88,0))*VLOOKUP(B88,'2-Kosten per locatie'!$A$14:$C$24,3,FALSE)</f>
        <v>#DIV/0!</v>
      </c>
      <c r="P88" s="306">
        <f>IF(M88&gt;0,M88*J88/S88,0)*VLOOKUP(B88,'2-Kosten per locatie'!$A$14:$C$24,3,FALSE)</f>
        <v>0</v>
      </c>
      <c r="Q88" s="306">
        <f>IF(N88&gt;0,N88*J88/T88,0)*VLOOKUP(B88,'2-Kosten per locatie'!$A$14:$C$24,3,FALSE)</f>
        <v>0</v>
      </c>
      <c r="R88" s="307">
        <f>IF(L88="nio",0,IF(L88&gt;0,VLOOKUP(G88,'3-Productie normen'!A:P,VLOOKUP(L88,'3-Productie normen'!$B$32:$E$37,2,FALSE),FALSE)))</f>
        <v>0</v>
      </c>
      <c r="S88" s="307">
        <f t="shared" si="9"/>
        <v>0</v>
      </c>
      <c r="T88" s="307">
        <f t="shared" si="11"/>
        <v>0</v>
      </c>
      <c r="U88" s="308">
        <f>VLOOKUP(G88,'3-Productie normen'!A:N,10,FALSE)</f>
        <v>0</v>
      </c>
      <c r="V88" s="308"/>
      <c r="X88" s="309">
        <f t="shared" si="10"/>
        <v>5406</v>
      </c>
    </row>
    <row r="89" spans="1:24" ht="14.1" customHeight="1">
      <c r="A89" s="71">
        <v>89</v>
      </c>
      <c r="B89" s="300" t="s">
        <v>49</v>
      </c>
      <c r="C89" s="240" t="s">
        <v>122</v>
      </c>
      <c r="D89" s="301" t="s">
        <v>143</v>
      </c>
      <c r="E89" s="302"/>
      <c r="F89" s="280" t="s">
        <v>142</v>
      </c>
      <c r="G89" s="280" t="s">
        <v>89</v>
      </c>
      <c r="H89" s="280" t="s">
        <v>125</v>
      </c>
      <c r="I89" s="300" t="s">
        <v>126</v>
      </c>
      <c r="J89" s="303">
        <v>12.3</v>
      </c>
      <c r="K89" s="304">
        <f t="shared" si="8"/>
        <v>255</v>
      </c>
      <c r="L89" s="305">
        <v>255</v>
      </c>
      <c r="M89" s="305"/>
      <c r="N89" s="305"/>
      <c r="O89" s="306" t="e">
        <f>IF(L89="nio",0,IF(L89&gt;0,L89*J89/R89,0))*VLOOKUP(B89,'2-Kosten per locatie'!$A$14:$C$24,3,FALSE)</f>
        <v>#DIV/0!</v>
      </c>
      <c r="P89" s="306">
        <f>IF(M89&gt;0,M89*J89/S89,0)*VLOOKUP(B89,'2-Kosten per locatie'!$A$14:$C$24,3,FALSE)</f>
        <v>0</v>
      </c>
      <c r="Q89" s="306">
        <f>IF(N89&gt;0,N89*J89/T89,0)*VLOOKUP(B89,'2-Kosten per locatie'!$A$14:$C$24,3,FALSE)</f>
        <v>0</v>
      </c>
      <c r="R89" s="307">
        <f>IF(L89="nio",0,IF(L89&gt;0,VLOOKUP(G89,'3-Productie normen'!A:P,VLOOKUP(L89,'3-Productie normen'!$B$32:$E$37,2,FALSE),FALSE)))</f>
        <v>0</v>
      </c>
      <c r="S89" s="307">
        <f t="shared" si="9"/>
        <v>0</v>
      </c>
      <c r="T89" s="307">
        <f t="shared" si="11"/>
        <v>0</v>
      </c>
      <c r="U89" s="308">
        <f>VLOOKUP(G89,'3-Productie normen'!A:N,10,FALSE)</f>
        <v>0</v>
      </c>
      <c r="V89" s="308"/>
      <c r="X89" s="309">
        <f t="shared" si="10"/>
        <v>3136.5</v>
      </c>
    </row>
    <row r="90" spans="1:24" ht="14.1" customHeight="1">
      <c r="A90" s="71">
        <v>90</v>
      </c>
      <c r="B90" s="300" t="s">
        <v>49</v>
      </c>
      <c r="C90" s="240" t="s">
        <v>122</v>
      </c>
      <c r="D90" s="301" t="s">
        <v>143</v>
      </c>
      <c r="E90" s="302"/>
      <c r="F90" s="280" t="s">
        <v>128</v>
      </c>
      <c r="G90" s="280" t="s">
        <v>80</v>
      </c>
      <c r="H90" s="280" t="s">
        <v>137</v>
      </c>
      <c r="I90" s="300" t="s">
        <v>138</v>
      </c>
      <c r="J90" s="303">
        <v>6.3</v>
      </c>
      <c r="K90" s="304">
        <f t="shared" si="8"/>
        <v>255</v>
      </c>
      <c r="L90" s="305">
        <v>255</v>
      </c>
      <c r="M90" s="305"/>
      <c r="N90" s="305"/>
      <c r="O90" s="306" t="e">
        <f>IF(L90="nio",0,IF(L90&gt;0,L90*J90/R90,0))*VLOOKUP(B90,'2-Kosten per locatie'!$A$14:$C$24,3,FALSE)</f>
        <v>#DIV/0!</v>
      </c>
      <c r="P90" s="306">
        <f>IF(M90&gt;0,M90*J90/S90,0)*VLOOKUP(B90,'2-Kosten per locatie'!$A$14:$C$24,3,FALSE)</f>
        <v>0</v>
      </c>
      <c r="Q90" s="306">
        <f>IF(N90&gt;0,N90*J90/T90,0)*VLOOKUP(B90,'2-Kosten per locatie'!$A$14:$C$24,3,FALSE)</f>
        <v>0</v>
      </c>
      <c r="R90" s="307">
        <f>IF(L90="nio",0,IF(L90&gt;0,VLOOKUP(G90,'3-Productie normen'!A:P,VLOOKUP(L90,'3-Productie normen'!$B$32:$E$37,2,FALSE),FALSE)))</f>
        <v>0</v>
      </c>
      <c r="S90" s="307">
        <f t="shared" si="9"/>
        <v>0</v>
      </c>
      <c r="T90" s="307">
        <f t="shared" si="11"/>
        <v>0</v>
      </c>
      <c r="U90" s="308">
        <f>VLOOKUP(G90,'3-Productie normen'!A:N,10,FALSE)</f>
        <v>0</v>
      </c>
      <c r="V90" s="308"/>
      <c r="X90" s="309">
        <f t="shared" si="10"/>
        <v>1606.5</v>
      </c>
    </row>
    <row r="91" spans="1:24" ht="14.1" customHeight="1">
      <c r="A91" s="71">
        <v>91</v>
      </c>
      <c r="B91" s="300" t="s">
        <v>49</v>
      </c>
      <c r="C91" s="240" t="s">
        <v>122</v>
      </c>
      <c r="D91" s="301" t="s">
        <v>143</v>
      </c>
      <c r="E91" s="302"/>
      <c r="F91" s="280" t="s">
        <v>128</v>
      </c>
      <c r="G91" s="280" t="s">
        <v>80</v>
      </c>
      <c r="H91" s="280" t="s">
        <v>137</v>
      </c>
      <c r="I91" s="300" t="s">
        <v>138</v>
      </c>
      <c r="J91" s="303">
        <v>8.1999999999999993</v>
      </c>
      <c r="K91" s="304">
        <f t="shared" si="8"/>
        <v>255</v>
      </c>
      <c r="L91" s="305">
        <v>255</v>
      </c>
      <c r="M91" s="305"/>
      <c r="N91" s="305"/>
      <c r="O91" s="306" t="e">
        <f>IF(L91="nio",0,IF(L91&gt;0,L91*J91/R91,0))*VLOOKUP(B91,'2-Kosten per locatie'!$A$14:$C$24,3,FALSE)</f>
        <v>#DIV/0!</v>
      </c>
      <c r="P91" s="306">
        <f>IF(M91&gt;0,M91*J91/S91,0)*VLOOKUP(B91,'2-Kosten per locatie'!$A$14:$C$24,3,FALSE)</f>
        <v>0</v>
      </c>
      <c r="Q91" s="306">
        <f>IF(N91&gt;0,N91*J91/T91,0)*VLOOKUP(B91,'2-Kosten per locatie'!$A$14:$C$24,3,FALSE)</f>
        <v>0</v>
      </c>
      <c r="R91" s="307">
        <f>IF(L91="nio",0,IF(L91&gt;0,VLOOKUP(G91,'3-Productie normen'!A:P,VLOOKUP(L91,'3-Productie normen'!$B$32:$E$37,2,FALSE),FALSE)))</f>
        <v>0</v>
      </c>
      <c r="S91" s="307">
        <f t="shared" si="9"/>
        <v>0</v>
      </c>
      <c r="T91" s="307">
        <f t="shared" si="11"/>
        <v>0</v>
      </c>
      <c r="U91" s="308">
        <f>VLOOKUP(G91,'3-Productie normen'!A:N,10,FALSE)</f>
        <v>0</v>
      </c>
      <c r="V91" s="308"/>
      <c r="X91" s="309">
        <f t="shared" si="10"/>
        <v>2091</v>
      </c>
    </row>
    <row r="92" spans="1:24" ht="14.1" customHeight="1">
      <c r="A92" s="71">
        <v>92</v>
      </c>
      <c r="B92" s="300" t="s">
        <v>49</v>
      </c>
      <c r="C92" s="240" t="s">
        <v>122</v>
      </c>
      <c r="D92" s="301" t="s">
        <v>143</v>
      </c>
      <c r="E92" s="302"/>
      <c r="F92" s="280" t="s">
        <v>128</v>
      </c>
      <c r="G92" s="280" t="s">
        <v>80</v>
      </c>
      <c r="H92" s="280" t="s">
        <v>137</v>
      </c>
      <c r="I92" s="300" t="s">
        <v>138</v>
      </c>
      <c r="J92" s="303">
        <v>3.5</v>
      </c>
      <c r="K92" s="304">
        <f t="shared" si="8"/>
        <v>255</v>
      </c>
      <c r="L92" s="305">
        <v>255</v>
      </c>
      <c r="M92" s="305"/>
      <c r="N92" s="305"/>
      <c r="O92" s="306" t="e">
        <f>IF(L92="nio",0,IF(L92&gt;0,L92*J92/R92,0))*VLOOKUP(B92,'2-Kosten per locatie'!$A$14:$C$24,3,FALSE)</f>
        <v>#DIV/0!</v>
      </c>
      <c r="P92" s="306">
        <f>IF(M92&gt;0,M92*J92/S92,0)*VLOOKUP(B92,'2-Kosten per locatie'!$A$14:$C$24,3,FALSE)</f>
        <v>0</v>
      </c>
      <c r="Q92" s="306">
        <f>IF(N92&gt;0,N92*J92/T92,0)*VLOOKUP(B92,'2-Kosten per locatie'!$A$14:$C$24,3,FALSE)</f>
        <v>0</v>
      </c>
      <c r="R92" s="307">
        <f>IF(L92="nio",0,IF(L92&gt;0,VLOOKUP(G92,'3-Productie normen'!A:P,VLOOKUP(L92,'3-Productie normen'!$B$32:$E$37,2,FALSE),FALSE)))</f>
        <v>0</v>
      </c>
      <c r="S92" s="307">
        <f t="shared" si="9"/>
        <v>0</v>
      </c>
      <c r="T92" s="307">
        <f t="shared" si="11"/>
        <v>0</v>
      </c>
      <c r="U92" s="308">
        <f>VLOOKUP(G92,'3-Productie normen'!A:N,10,FALSE)</f>
        <v>0</v>
      </c>
      <c r="V92" s="308"/>
      <c r="X92" s="309">
        <f t="shared" si="10"/>
        <v>892.5</v>
      </c>
    </row>
    <row r="93" spans="1:24" ht="14.1" customHeight="1">
      <c r="A93" s="71">
        <v>93</v>
      </c>
      <c r="B93" s="300" t="s">
        <v>49</v>
      </c>
      <c r="C93" s="240" t="s">
        <v>122</v>
      </c>
      <c r="D93" s="301" t="s">
        <v>143</v>
      </c>
      <c r="E93" s="302"/>
      <c r="F93" s="280" t="s">
        <v>145</v>
      </c>
      <c r="G93" s="280" t="s">
        <v>84</v>
      </c>
      <c r="H93" s="280" t="s">
        <v>134</v>
      </c>
      <c r="I93" s="300" t="s">
        <v>134</v>
      </c>
      <c r="J93" s="303">
        <v>20</v>
      </c>
      <c r="K93" s="304">
        <f t="shared" si="8"/>
        <v>52</v>
      </c>
      <c r="L93" s="305">
        <v>52</v>
      </c>
      <c r="M93" s="305"/>
      <c r="N93" s="305"/>
      <c r="O93" s="306" t="e">
        <f>IF(L93="nio",0,IF(L93&gt;0,L93*J93/R93,0))*VLOOKUP(B93,'2-Kosten per locatie'!$A$14:$C$24,3,FALSE)</f>
        <v>#DIV/0!</v>
      </c>
      <c r="P93" s="306">
        <f>IF(M93&gt;0,M93*J93/S93,0)*VLOOKUP(B93,'2-Kosten per locatie'!$A$14:$C$24,3,FALSE)</f>
        <v>0</v>
      </c>
      <c r="Q93" s="306">
        <f>IF(N93&gt;0,N93*J93/T93,0)*VLOOKUP(B93,'2-Kosten per locatie'!$A$14:$C$24,3,FALSE)</f>
        <v>0</v>
      </c>
      <c r="R93" s="307">
        <f>IF(L93="nio",0,IF(L93&gt;0,VLOOKUP(G93,'3-Productie normen'!A:P,VLOOKUP(L93,'3-Productie normen'!$B$32:$E$37,2,FALSE),FALSE)))</f>
        <v>0</v>
      </c>
      <c r="S93" s="307">
        <f t="shared" si="9"/>
        <v>0</v>
      </c>
      <c r="T93" s="307">
        <f t="shared" si="11"/>
        <v>0</v>
      </c>
      <c r="U93" s="308">
        <f>VLOOKUP(G93,'3-Productie normen'!A:N,10,FALSE)</f>
        <v>0</v>
      </c>
      <c r="V93" s="308"/>
      <c r="X93" s="309">
        <f t="shared" si="10"/>
        <v>1040</v>
      </c>
    </row>
    <row r="94" spans="1:24" ht="14.1" customHeight="1">
      <c r="A94" s="71">
        <v>94</v>
      </c>
      <c r="B94" s="300" t="s">
        <v>49</v>
      </c>
      <c r="C94" s="240" t="s">
        <v>122</v>
      </c>
      <c r="D94" s="301" t="s">
        <v>143</v>
      </c>
      <c r="E94" s="302"/>
      <c r="F94" s="280" t="s">
        <v>124</v>
      </c>
      <c r="G94" s="240" t="s">
        <v>74</v>
      </c>
      <c r="H94" s="280" t="s">
        <v>125</v>
      </c>
      <c r="I94" s="300" t="s">
        <v>126</v>
      </c>
      <c r="J94" s="303">
        <v>87</v>
      </c>
      <c r="K94" s="304">
        <f t="shared" si="8"/>
        <v>255</v>
      </c>
      <c r="L94" s="305">
        <v>255</v>
      </c>
      <c r="M94" s="305"/>
      <c r="N94" s="305"/>
      <c r="O94" s="306" t="e">
        <f>IF(L94="nio",0,IF(L94&gt;0,L94*J94/R94,0))*VLOOKUP(B94,'2-Kosten per locatie'!$A$14:$C$24,3,FALSE)</f>
        <v>#DIV/0!</v>
      </c>
      <c r="P94" s="306">
        <f>IF(M94&gt;0,M94*J94/S94,0)*VLOOKUP(B94,'2-Kosten per locatie'!$A$14:$C$24,3,FALSE)</f>
        <v>0</v>
      </c>
      <c r="Q94" s="306">
        <f>IF(N94&gt;0,N94*J94/T94,0)*VLOOKUP(B94,'2-Kosten per locatie'!$A$14:$C$24,3,FALSE)</f>
        <v>0</v>
      </c>
      <c r="R94" s="307">
        <f>IF(L94="nio",0,IF(L94&gt;0,VLOOKUP(G94,'3-Productie normen'!A:P,VLOOKUP(L94,'3-Productie normen'!$B$32:$E$37,2,FALSE),FALSE)))</f>
        <v>0</v>
      </c>
      <c r="S94" s="307">
        <f t="shared" si="9"/>
        <v>0</v>
      </c>
      <c r="T94" s="307">
        <f t="shared" si="11"/>
        <v>0</v>
      </c>
      <c r="U94" s="308">
        <f>VLOOKUP(G94,'3-Productie normen'!A:N,10,FALSE)</f>
        <v>0</v>
      </c>
      <c r="V94" s="308"/>
      <c r="X94" s="309">
        <f t="shared" si="10"/>
        <v>22185</v>
      </c>
    </row>
    <row r="95" spans="1:24" ht="14.1" customHeight="1">
      <c r="A95" s="71">
        <v>95</v>
      </c>
      <c r="B95" s="300" t="s">
        <v>49</v>
      </c>
      <c r="C95" s="240" t="s">
        <v>122</v>
      </c>
      <c r="D95" s="301" t="s">
        <v>143</v>
      </c>
      <c r="E95" s="302"/>
      <c r="F95" s="280" t="s">
        <v>128</v>
      </c>
      <c r="G95" s="280" t="s">
        <v>80</v>
      </c>
      <c r="H95" s="280" t="s">
        <v>125</v>
      </c>
      <c r="I95" s="300" t="s">
        <v>126</v>
      </c>
      <c r="J95" s="303">
        <v>3.2</v>
      </c>
      <c r="K95" s="304">
        <f t="shared" si="8"/>
        <v>255</v>
      </c>
      <c r="L95" s="305">
        <v>255</v>
      </c>
      <c r="M95" s="305"/>
      <c r="N95" s="305"/>
      <c r="O95" s="306" t="e">
        <f>IF(L95="nio",0,IF(L95&gt;0,L95*J95/R95,0))*VLOOKUP(B95,'2-Kosten per locatie'!$A$14:$C$24,3,FALSE)</f>
        <v>#DIV/0!</v>
      </c>
      <c r="P95" s="306">
        <f>IF(M95&gt;0,M95*J95/S95,0)*VLOOKUP(B95,'2-Kosten per locatie'!$A$14:$C$24,3,FALSE)</f>
        <v>0</v>
      </c>
      <c r="Q95" s="306">
        <f>IF(N95&gt;0,N95*J95/T95,0)*VLOOKUP(B95,'2-Kosten per locatie'!$A$14:$C$24,3,FALSE)</f>
        <v>0</v>
      </c>
      <c r="R95" s="307">
        <f>IF(L95="nio",0,IF(L95&gt;0,VLOOKUP(G95,'3-Productie normen'!A:P,VLOOKUP(L95,'3-Productie normen'!$B$32:$E$37,2,FALSE),FALSE)))</f>
        <v>0</v>
      </c>
      <c r="S95" s="307">
        <f t="shared" si="9"/>
        <v>0</v>
      </c>
      <c r="T95" s="307">
        <f t="shared" si="11"/>
        <v>0</v>
      </c>
      <c r="U95" s="308">
        <f>VLOOKUP(G95,'3-Productie normen'!A:N,10,FALSE)</f>
        <v>0</v>
      </c>
      <c r="V95" s="308"/>
      <c r="X95" s="309">
        <f t="shared" si="10"/>
        <v>816</v>
      </c>
    </row>
    <row r="96" spans="1:24" ht="14.1" customHeight="1">
      <c r="A96" s="71">
        <v>96</v>
      </c>
      <c r="B96" s="300" t="s">
        <v>49</v>
      </c>
      <c r="C96" s="240" t="s">
        <v>122</v>
      </c>
      <c r="D96" s="301" t="s">
        <v>143</v>
      </c>
      <c r="E96" s="302"/>
      <c r="F96" s="280" t="s">
        <v>142</v>
      </c>
      <c r="G96" s="280" t="s">
        <v>89</v>
      </c>
      <c r="H96" s="280" t="s">
        <v>125</v>
      </c>
      <c r="I96" s="300" t="s">
        <v>126</v>
      </c>
      <c r="J96" s="303">
        <v>13.3</v>
      </c>
      <c r="K96" s="304">
        <f t="shared" si="8"/>
        <v>255</v>
      </c>
      <c r="L96" s="305">
        <v>255</v>
      </c>
      <c r="M96" s="305"/>
      <c r="N96" s="305"/>
      <c r="O96" s="306" t="e">
        <f>IF(L96="nio",0,IF(L96&gt;0,L96*J96/R96,0))*VLOOKUP(B96,'2-Kosten per locatie'!$A$14:$C$24,3,FALSE)</f>
        <v>#DIV/0!</v>
      </c>
      <c r="P96" s="306">
        <f>IF(M96&gt;0,M96*J96/S96,0)*VLOOKUP(B96,'2-Kosten per locatie'!$A$14:$C$24,3,FALSE)</f>
        <v>0</v>
      </c>
      <c r="Q96" s="306">
        <f>IF(N96&gt;0,N96*J96/T96,0)*VLOOKUP(B96,'2-Kosten per locatie'!$A$14:$C$24,3,FALSE)</f>
        <v>0</v>
      </c>
      <c r="R96" s="307">
        <f>IF(L96="nio",0,IF(L96&gt;0,VLOOKUP(G96,'3-Productie normen'!A:P,VLOOKUP(L96,'3-Productie normen'!$B$32:$E$37,2,FALSE),FALSE)))</f>
        <v>0</v>
      </c>
      <c r="S96" s="307">
        <f t="shared" si="9"/>
        <v>0</v>
      </c>
      <c r="T96" s="307">
        <f t="shared" si="11"/>
        <v>0</v>
      </c>
      <c r="U96" s="308">
        <f>VLOOKUP(G96,'3-Productie normen'!A:N,10,FALSE)</f>
        <v>0</v>
      </c>
      <c r="V96" s="308"/>
      <c r="X96" s="309">
        <f t="shared" si="10"/>
        <v>3391.5</v>
      </c>
    </row>
    <row r="97" spans="1:24" ht="14.1" customHeight="1">
      <c r="A97" s="71">
        <v>97</v>
      </c>
      <c r="B97" s="300" t="s">
        <v>49</v>
      </c>
      <c r="C97" s="240" t="s">
        <v>122</v>
      </c>
      <c r="D97" s="301" t="s">
        <v>143</v>
      </c>
      <c r="E97" s="302"/>
      <c r="F97" s="280" t="s">
        <v>124</v>
      </c>
      <c r="G97" s="240" t="s">
        <v>74</v>
      </c>
      <c r="H97" s="280" t="s">
        <v>125</v>
      </c>
      <c r="I97" s="300" t="s">
        <v>126</v>
      </c>
      <c r="J97" s="303">
        <v>53.6</v>
      </c>
      <c r="K97" s="304">
        <f t="shared" si="8"/>
        <v>255</v>
      </c>
      <c r="L97" s="305">
        <v>255</v>
      </c>
      <c r="M97" s="305"/>
      <c r="N97" s="305"/>
      <c r="O97" s="306" t="e">
        <f>IF(L97="nio",0,IF(L97&gt;0,L97*J97/R97,0))*VLOOKUP(B97,'2-Kosten per locatie'!$A$14:$C$24,3,FALSE)</f>
        <v>#DIV/0!</v>
      </c>
      <c r="P97" s="306">
        <f>IF(M97&gt;0,M97*J97/S97,0)*VLOOKUP(B97,'2-Kosten per locatie'!$A$14:$C$24,3,FALSE)</f>
        <v>0</v>
      </c>
      <c r="Q97" s="306">
        <f>IF(N97&gt;0,N97*J97/T97,0)*VLOOKUP(B97,'2-Kosten per locatie'!$A$14:$C$24,3,FALSE)</f>
        <v>0</v>
      </c>
      <c r="R97" s="307">
        <f>IF(L97="nio",0,IF(L97&gt;0,VLOOKUP(G97,'3-Productie normen'!A:P,VLOOKUP(L97,'3-Productie normen'!$B$32:$E$37,2,FALSE),FALSE)))</f>
        <v>0</v>
      </c>
      <c r="S97" s="307">
        <f t="shared" si="9"/>
        <v>0</v>
      </c>
      <c r="T97" s="307">
        <f t="shared" si="11"/>
        <v>0</v>
      </c>
      <c r="U97" s="308">
        <f>VLOOKUP(G97,'3-Productie normen'!A:N,10,FALSE)</f>
        <v>0</v>
      </c>
      <c r="V97" s="308"/>
      <c r="X97" s="309">
        <f t="shared" si="10"/>
        <v>13668</v>
      </c>
    </row>
    <row r="98" spans="1:24" ht="14.1" customHeight="1">
      <c r="A98" s="71">
        <v>98</v>
      </c>
      <c r="B98" s="300" t="s">
        <v>49</v>
      </c>
      <c r="C98" s="240" t="s">
        <v>122</v>
      </c>
      <c r="D98" s="301" t="s">
        <v>143</v>
      </c>
      <c r="E98" s="302"/>
      <c r="F98" s="280" t="s">
        <v>124</v>
      </c>
      <c r="G98" s="240" t="s">
        <v>74</v>
      </c>
      <c r="H98" s="280" t="s">
        <v>125</v>
      </c>
      <c r="I98" s="300" t="s">
        <v>126</v>
      </c>
      <c r="J98" s="303">
        <v>45.4</v>
      </c>
      <c r="K98" s="304">
        <f t="shared" si="8"/>
        <v>255</v>
      </c>
      <c r="L98" s="305">
        <v>255</v>
      </c>
      <c r="M98" s="305"/>
      <c r="N98" s="305"/>
      <c r="O98" s="306" t="e">
        <f>IF(L98="nio",0,IF(L98&gt;0,L98*J98/R98,0))*VLOOKUP(B98,'2-Kosten per locatie'!$A$14:$C$24,3,FALSE)</f>
        <v>#DIV/0!</v>
      </c>
      <c r="P98" s="306">
        <f>IF(M98&gt;0,M98*J98/S98,0)*VLOOKUP(B98,'2-Kosten per locatie'!$A$14:$C$24,3,FALSE)</f>
        <v>0</v>
      </c>
      <c r="Q98" s="306">
        <f>IF(N98&gt;0,N98*J98/T98,0)*VLOOKUP(B98,'2-Kosten per locatie'!$A$14:$C$24,3,FALSE)</f>
        <v>0</v>
      </c>
      <c r="R98" s="307">
        <f>IF(L98="nio",0,IF(L98&gt;0,VLOOKUP(G98,'3-Productie normen'!A:P,VLOOKUP(L98,'3-Productie normen'!$B$32:$E$37,2,FALSE),FALSE)))</f>
        <v>0</v>
      </c>
      <c r="S98" s="307">
        <f t="shared" si="9"/>
        <v>0</v>
      </c>
      <c r="T98" s="307">
        <f t="shared" si="11"/>
        <v>0</v>
      </c>
      <c r="U98" s="308">
        <f>VLOOKUP(G98,'3-Productie normen'!A:N,10,FALSE)</f>
        <v>0</v>
      </c>
      <c r="V98" s="308"/>
      <c r="X98" s="309">
        <f t="shared" si="10"/>
        <v>11577</v>
      </c>
    </row>
    <row r="99" spans="1:24" ht="14.1" customHeight="1">
      <c r="A99" s="71">
        <v>99</v>
      </c>
      <c r="B99" s="300" t="s">
        <v>49</v>
      </c>
      <c r="C99" s="240" t="s">
        <v>122</v>
      </c>
      <c r="D99" s="301" t="s">
        <v>143</v>
      </c>
      <c r="E99" s="302"/>
      <c r="F99" s="280" t="s">
        <v>124</v>
      </c>
      <c r="G99" s="240" t="s">
        <v>74</v>
      </c>
      <c r="H99" s="280" t="s">
        <v>125</v>
      </c>
      <c r="I99" s="300" t="s">
        <v>126</v>
      </c>
      <c r="J99" s="303">
        <v>7.2</v>
      </c>
      <c r="K99" s="304">
        <f t="shared" si="8"/>
        <v>255</v>
      </c>
      <c r="L99" s="305">
        <v>255</v>
      </c>
      <c r="M99" s="305"/>
      <c r="N99" s="305"/>
      <c r="O99" s="306" t="e">
        <f>IF(L99="nio",0,IF(L99&gt;0,L99*J99/R99,0))*VLOOKUP(B99,'2-Kosten per locatie'!$A$14:$C$24,3,FALSE)</f>
        <v>#DIV/0!</v>
      </c>
      <c r="P99" s="306">
        <f>IF(M99&gt;0,M99*J99/S99,0)*VLOOKUP(B99,'2-Kosten per locatie'!$A$14:$C$24,3,FALSE)</f>
        <v>0</v>
      </c>
      <c r="Q99" s="306">
        <f>IF(N99&gt;0,N99*J99/T99,0)*VLOOKUP(B99,'2-Kosten per locatie'!$A$14:$C$24,3,FALSE)</f>
        <v>0</v>
      </c>
      <c r="R99" s="307">
        <f>IF(L99="nio",0,IF(L99&gt;0,VLOOKUP(G99,'3-Productie normen'!A:P,VLOOKUP(L99,'3-Productie normen'!$B$32:$E$37,2,FALSE),FALSE)))</f>
        <v>0</v>
      </c>
      <c r="S99" s="307">
        <f t="shared" si="9"/>
        <v>0</v>
      </c>
      <c r="T99" s="307">
        <f t="shared" si="11"/>
        <v>0</v>
      </c>
      <c r="U99" s="308">
        <f>VLOOKUP(G99,'3-Productie normen'!A:N,10,FALSE)</f>
        <v>0</v>
      </c>
      <c r="V99" s="308"/>
      <c r="X99" s="309">
        <f t="shared" si="10"/>
        <v>1836</v>
      </c>
    </row>
    <row r="100" spans="1:24" ht="14.1" customHeight="1">
      <c r="A100" s="71">
        <v>100</v>
      </c>
      <c r="B100" s="300" t="s">
        <v>49</v>
      </c>
      <c r="C100" s="240" t="s">
        <v>122</v>
      </c>
      <c r="D100" s="301" t="s">
        <v>143</v>
      </c>
      <c r="E100" s="302"/>
      <c r="F100" s="280" t="s">
        <v>124</v>
      </c>
      <c r="G100" s="240" t="s">
        <v>74</v>
      </c>
      <c r="H100" s="280" t="s">
        <v>125</v>
      </c>
      <c r="I100" s="300" t="s">
        <v>126</v>
      </c>
      <c r="J100" s="303">
        <v>6.8</v>
      </c>
      <c r="K100" s="304">
        <f t="shared" si="8"/>
        <v>255</v>
      </c>
      <c r="L100" s="305">
        <v>255</v>
      </c>
      <c r="M100" s="305"/>
      <c r="N100" s="305"/>
      <c r="O100" s="306" t="e">
        <f>IF(L100="nio",0,IF(L100&gt;0,L100*J100/R100,0))*VLOOKUP(B100,'2-Kosten per locatie'!$A$14:$C$24,3,FALSE)</f>
        <v>#DIV/0!</v>
      </c>
      <c r="P100" s="306">
        <f>IF(M100&gt;0,M100*J100/S100,0)*VLOOKUP(B100,'2-Kosten per locatie'!$A$14:$C$24,3,FALSE)</f>
        <v>0</v>
      </c>
      <c r="Q100" s="306">
        <f>IF(N100&gt;0,N100*J100/T100,0)*VLOOKUP(B100,'2-Kosten per locatie'!$A$14:$C$24,3,FALSE)</f>
        <v>0</v>
      </c>
      <c r="R100" s="307">
        <f>IF(L100="nio",0,IF(L100&gt;0,VLOOKUP(G100,'3-Productie normen'!A:P,VLOOKUP(L100,'3-Productie normen'!$B$32:$E$37,2,FALSE),FALSE)))</f>
        <v>0</v>
      </c>
      <c r="S100" s="307">
        <f t="shared" si="9"/>
        <v>0</v>
      </c>
      <c r="T100" s="307">
        <f t="shared" si="11"/>
        <v>0</v>
      </c>
      <c r="U100" s="308">
        <f>VLOOKUP(G100,'3-Productie normen'!A:N,10,FALSE)</f>
        <v>0</v>
      </c>
      <c r="V100" s="308"/>
      <c r="X100" s="309">
        <f t="shared" si="10"/>
        <v>1734</v>
      </c>
    </row>
    <row r="101" spans="1:24" ht="14.1" customHeight="1">
      <c r="A101" s="71">
        <v>101</v>
      </c>
      <c r="B101" s="300" t="s">
        <v>49</v>
      </c>
      <c r="C101" s="240" t="s">
        <v>122</v>
      </c>
      <c r="D101" s="301" t="s">
        <v>143</v>
      </c>
      <c r="E101" s="302"/>
      <c r="F101" s="280" t="s">
        <v>124</v>
      </c>
      <c r="G101" s="240" t="s">
        <v>74</v>
      </c>
      <c r="H101" s="280" t="s">
        <v>125</v>
      </c>
      <c r="I101" s="300" t="s">
        <v>126</v>
      </c>
      <c r="J101" s="303">
        <v>7.1</v>
      </c>
      <c r="K101" s="304">
        <f t="shared" si="8"/>
        <v>255</v>
      </c>
      <c r="L101" s="305">
        <v>255</v>
      </c>
      <c r="M101" s="305"/>
      <c r="N101" s="305"/>
      <c r="O101" s="306" t="e">
        <f>IF(L101="nio",0,IF(L101&gt;0,L101*J101/R101,0))*VLOOKUP(B101,'2-Kosten per locatie'!$A$14:$C$24,3,FALSE)</f>
        <v>#DIV/0!</v>
      </c>
      <c r="P101" s="306">
        <f>IF(M101&gt;0,M101*J101/S101,0)*VLOOKUP(B101,'2-Kosten per locatie'!$A$14:$C$24,3,FALSE)</f>
        <v>0</v>
      </c>
      <c r="Q101" s="306">
        <f>IF(N101&gt;0,N101*J101/T101,0)*VLOOKUP(B101,'2-Kosten per locatie'!$A$14:$C$24,3,FALSE)</f>
        <v>0</v>
      </c>
      <c r="R101" s="307">
        <f>IF(L101="nio",0,IF(L101&gt;0,VLOOKUP(G101,'3-Productie normen'!A:P,VLOOKUP(L101,'3-Productie normen'!$B$32:$E$37,2,FALSE),FALSE)))</f>
        <v>0</v>
      </c>
      <c r="S101" s="307">
        <f t="shared" si="9"/>
        <v>0</v>
      </c>
      <c r="T101" s="307">
        <f t="shared" si="11"/>
        <v>0</v>
      </c>
      <c r="U101" s="308">
        <f>VLOOKUP(G101,'3-Productie normen'!A:N,10,FALSE)</f>
        <v>0</v>
      </c>
      <c r="V101" s="308"/>
      <c r="X101" s="309">
        <f t="shared" si="10"/>
        <v>1810.5</v>
      </c>
    </row>
    <row r="102" spans="1:24" ht="14.1" customHeight="1">
      <c r="A102" s="71">
        <v>102</v>
      </c>
      <c r="B102" s="300" t="s">
        <v>49</v>
      </c>
      <c r="C102" s="240" t="s">
        <v>122</v>
      </c>
      <c r="D102" s="301" t="s">
        <v>143</v>
      </c>
      <c r="E102" s="302"/>
      <c r="F102" s="280" t="s">
        <v>124</v>
      </c>
      <c r="G102" s="240" t="s">
        <v>74</v>
      </c>
      <c r="H102" s="280" t="s">
        <v>125</v>
      </c>
      <c r="I102" s="300" t="s">
        <v>126</v>
      </c>
      <c r="J102" s="303">
        <v>21.5</v>
      </c>
      <c r="K102" s="304">
        <f t="shared" si="8"/>
        <v>255</v>
      </c>
      <c r="L102" s="305">
        <v>255</v>
      </c>
      <c r="M102" s="305"/>
      <c r="N102" s="305"/>
      <c r="O102" s="306" t="e">
        <f>IF(L102="nio",0,IF(L102&gt;0,L102*J102/R102,0))*VLOOKUP(B102,'2-Kosten per locatie'!$A$14:$C$24,3,FALSE)</f>
        <v>#DIV/0!</v>
      </c>
      <c r="P102" s="306">
        <f>IF(M102&gt;0,M102*J102/S102,0)*VLOOKUP(B102,'2-Kosten per locatie'!$A$14:$C$24,3,FALSE)</f>
        <v>0</v>
      </c>
      <c r="Q102" s="306">
        <f>IF(N102&gt;0,N102*J102/T102,0)*VLOOKUP(B102,'2-Kosten per locatie'!$A$14:$C$24,3,FALSE)</f>
        <v>0</v>
      </c>
      <c r="R102" s="307">
        <f>IF(L102="nio",0,IF(L102&gt;0,VLOOKUP(G102,'3-Productie normen'!A:P,VLOOKUP(L102,'3-Productie normen'!$B$32:$E$37,2,FALSE),FALSE)))</f>
        <v>0</v>
      </c>
      <c r="S102" s="307">
        <f t="shared" si="9"/>
        <v>0</v>
      </c>
      <c r="T102" s="307">
        <f t="shared" si="11"/>
        <v>0</v>
      </c>
      <c r="U102" s="308">
        <f>VLOOKUP(G102,'3-Productie normen'!A:N,10,FALSE)</f>
        <v>0</v>
      </c>
      <c r="V102" s="308"/>
      <c r="X102" s="309">
        <f t="shared" si="10"/>
        <v>5482.5</v>
      </c>
    </row>
    <row r="103" spans="1:24" ht="14.1" customHeight="1">
      <c r="A103" s="71">
        <v>103</v>
      </c>
      <c r="B103" s="300" t="s">
        <v>49</v>
      </c>
      <c r="C103" s="240" t="s">
        <v>122</v>
      </c>
      <c r="D103" s="301" t="s">
        <v>143</v>
      </c>
      <c r="E103" s="302"/>
      <c r="F103" s="280" t="s">
        <v>124</v>
      </c>
      <c r="G103" s="240" t="s">
        <v>74</v>
      </c>
      <c r="H103" s="280" t="s">
        <v>125</v>
      </c>
      <c r="I103" s="300" t="s">
        <v>126</v>
      </c>
      <c r="J103" s="303">
        <v>6.8</v>
      </c>
      <c r="K103" s="304">
        <f t="shared" si="8"/>
        <v>255</v>
      </c>
      <c r="L103" s="305">
        <v>255</v>
      </c>
      <c r="M103" s="305"/>
      <c r="N103" s="305"/>
      <c r="O103" s="306" t="e">
        <f>IF(L103="nio",0,IF(L103&gt;0,L103*J103/R103,0))*VLOOKUP(B103,'2-Kosten per locatie'!$A$14:$C$24,3,FALSE)</f>
        <v>#DIV/0!</v>
      </c>
      <c r="P103" s="306">
        <f>IF(M103&gt;0,M103*J103/S103,0)*VLOOKUP(B103,'2-Kosten per locatie'!$A$14:$C$24,3,FALSE)</f>
        <v>0</v>
      </c>
      <c r="Q103" s="306">
        <f>IF(N103&gt;0,N103*J103/T103,0)*VLOOKUP(B103,'2-Kosten per locatie'!$A$14:$C$24,3,FALSE)</f>
        <v>0</v>
      </c>
      <c r="R103" s="307">
        <f>IF(L103="nio",0,IF(L103&gt;0,VLOOKUP(G103,'3-Productie normen'!A:P,VLOOKUP(L103,'3-Productie normen'!$B$32:$E$37,2,FALSE),FALSE)))</f>
        <v>0</v>
      </c>
      <c r="S103" s="307">
        <f t="shared" si="9"/>
        <v>0</v>
      </c>
      <c r="T103" s="307">
        <f t="shared" si="11"/>
        <v>0</v>
      </c>
      <c r="U103" s="308">
        <f>VLOOKUP(G103,'3-Productie normen'!A:N,10,FALSE)</f>
        <v>0</v>
      </c>
      <c r="V103" s="308"/>
      <c r="X103" s="309">
        <f t="shared" si="10"/>
        <v>1734</v>
      </c>
    </row>
    <row r="104" spans="1:24" ht="14.1" customHeight="1">
      <c r="A104" s="71">
        <v>104</v>
      </c>
      <c r="B104" s="300" t="s">
        <v>49</v>
      </c>
      <c r="C104" s="240" t="s">
        <v>122</v>
      </c>
      <c r="D104" s="301" t="s">
        <v>143</v>
      </c>
      <c r="E104" s="302"/>
      <c r="F104" s="280" t="s">
        <v>128</v>
      </c>
      <c r="G104" s="280" t="s">
        <v>80</v>
      </c>
      <c r="H104" s="280" t="s">
        <v>125</v>
      </c>
      <c r="I104" s="300" t="s">
        <v>126</v>
      </c>
      <c r="J104" s="303">
        <v>33.1</v>
      </c>
      <c r="K104" s="304">
        <f t="shared" si="8"/>
        <v>255</v>
      </c>
      <c r="L104" s="305">
        <v>255</v>
      </c>
      <c r="M104" s="305"/>
      <c r="N104" s="305"/>
      <c r="O104" s="306" t="e">
        <f>IF(L104="nio",0,IF(L104&gt;0,L104*J104/R104,0))*VLOOKUP(B104,'2-Kosten per locatie'!$A$14:$C$24,3,FALSE)</f>
        <v>#DIV/0!</v>
      </c>
      <c r="P104" s="306">
        <f>IF(M104&gt;0,M104*J104/S104,0)*VLOOKUP(B104,'2-Kosten per locatie'!$A$14:$C$24,3,FALSE)</f>
        <v>0</v>
      </c>
      <c r="Q104" s="306">
        <f>IF(N104&gt;0,N104*J104/T104,0)*VLOOKUP(B104,'2-Kosten per locatie'!$A$14:$C$24,3,FALSE)</f>
        <v>0</v>
      </c>
      <c r="R104" s="307">
        <f>IF(L104="nio",0,IF(L104&gt;0,VLOOKUP(G104,'3-Productie normen'!A:P,VLOOKUP(L104,'3-Productie normen'!$B$32:$E$37,2,FALSE),FALSE)))</f>
        <v>0</v>
      </c>
      <c r="S104" s="307">
        <f t="shared" si="9"/>
        <v>0</v>
      </c>
      <c r="T104" s="307">
        <f t="shared" si="11"/>
        <v>0</v>
      </c>
      <c r="U104" s="308">
        <f>VLOOKUP(G104,'3-Productie normen'!A:N,10,FALSE)</f>
        <v>0</v>
      </c>
      <c r="V104" s="308"/>
      <c r="X104" s="309">
        <f t="shared" si="10"/>
        <v>8440.5</v>
      </c>
    </row>
    <row r="105" spans="1:24" ht="14.1" customHeight="1">
      <c r="A105" s="71">
        <v>105</v>
      </c>
      <c r="B105" s="300" t="s">
        <v>49</v>
      </c>
      <c r="C105" s="240" t="s">
        <v>122</v>
      </c>
      <c r="D105" s="301" t="s">
        <v>143</v>
      </c>
      <c r="E105" s="302"/>
      <c r="F105" s="280" t="s">
        <v>146</v>
      </c>
      <c r="G105" s="280" t="s">
        <v>80</v>
      </c>
      <c r="H105" s="280" t="s">
        <v>137</v>
      </c>
      <c r="I105" s="300" t="s">
        <v>138</v>
      </c>
      <c r="J105" s="303">
        <v>32.799999999999997</v>
      </c>
      <c r="K105" s="304">
        <f t="shared" si="8"/>
        <v>255</v>
      </c>
      <c r="L105" s="305">
        <v>255</v>
      </c>
      <c r="M105" s="305"/>
      <c r="N105" s="305"/>
      <c r="O105" s="306" t="e">
        <f>IF(L105="nio",0,IF(L105&gt;0,L105*J105/R105,0))*VLOOKUP(B105,'2-Kosten per locatie'!$A$14:$C$24,3,FALSE)</f>
        <v>#DIV/0!</v>
      </c>
      <c r="P105" s="306">
        <f>IF(M105&gt;0,M105*J105/S105,0)*VLOOKUP(B105,'2-Kosten per locatie'!$A$14:$C$24,3,FALSE)</f>
        <v>0</v>
      </c>
      <c r="Q105" s="306">
        <f>IF(N105&gt;0,N105*J105/T105,0)*VLOOKUP(B105,'2-Kosten per locatie'!$A$14:$C$24,3,FALSE)</f>
        <v>0</v>
      </c>
      <c r="R105" s="307">
        <f>IF(L105="nio",0,IF(L105&gt;0,VLOOKUP(G105,'3-Productie normen'!A:P,VLOOKUP(L105,'3-Productie normen'!$B$32:$E$37,2,FALSE),FALSE)))</f>
        <v>0</v>
      </c>
      <c r="S105" s="307">
        <f t="shared" si="9"/>
        <v>0</v>
      </c>
      <c r="T105" s="307">
        <f t="shared" si="11"/>
        <v>0</v>
      </c>
      <c r="U105" s="308">
        <f>VLOOKUP(G105,'3-Productie normen'!A:N,10,FALSE)</f>
        <v>0</v>
      </c>
      <c r="V105" s="308"/>
      <c r="X105" s="309">
        <f t="shared" si="10"/>
        <v>8364</v>
      </c>
    </row>
    <row r="106" spans="1:24" ht="14.1" customHeight="1">
      <c r="A106" s="71">
        <v>106</v>
      </c>
      <c r="B106" s="300" t="s">
        <v>49</v>
      </c>
      <c r="C106" s="240" t="s">
        <v>122</v>
      </c>
      <c r="D106" s="301" t="s">
        <v>143</v>
      </c>
      <c r="E106" s="302"/>
      <c r="F106" s="280" t="s">
        <v>147</v>
      </c>
      <c r="G106" s="280" t="s">
        <v>74</v>
      </c>
      <c r="H106" s="280" t="s">
        <v>125</v>
      </c>
      <c r="I106" s="300" t="s">
        <v>126</v>
      </c>
      <c r="J106" s="303">
        <v>20</v>
      </c>
      <c r="K106" s="304">
        <f t="shared" si="8"/>
        <v>255</v>
      </c>
      <c r="L106" s="305">
        <v>255</v>
      </c>
      <c r="M106" s="305"/>
      <c r="N106" s="305"/>
      <c r="O106" s="306" t="e">
        <f>IF(L106="nio",0,IF(L106&gt;0,L106*J106/R106,0))*VLOOKUP(B106,'2-Kosten per locatie'!$A$14:$C$24,3,FALSE)</f>
        <v>#DIV/0!</v>
      </c>
      <c r="P106" s="306">
        <f>IF(M106&gt;0,M106*J106/S106,0)*VLOOKUP(B106,'2-Kosten per locatie'!$A$14:$C$24,3,FALSE)</f>
        <v>0</v>
      </c>
      <c r="Q106" s="306">
        <f>IF(N106&gt;0,N106*J106/T106,0)*VLOOKUP(B106,'2-Kosten per locatie'!$A$14:$C$24,3,FALSE)</f>
        <v>0</v>
      </c>
      <c r="R106" s="307">
        <f>IF(L106="nio",0,IF(L106&gt;0,VLOOKUP(G106,'3-Productie normen'!A:P,VLOOKUP(L106,'3-Productie normen'!$B$32:$E$37,2,FALSE),FALSE)))</f>
        <v>0</v>
      </c>
      <c r="S106" s="307">
        <f t="shared" si="9"/>
        <v>0</v>
      </c>
      <c r="T106" s="307">
        <f t="shared" si="11"/>
        <v>0</v>
      </c>
      <c r="U106" s="308">
        <f>VLOOKUP(G106,'3-Productie normen'!A:N,10,FALSE)</f>
        <v>0</v>
      </c>
      <c r="V106" s="308"/>
      <c r="X106" s="309">
        <f t="shared" ref="X106:X137" si="12">K106*J106</f>
        <v>5100</v>
      </c>
    </row>
    <row r="107" spans="1:24" ht="14.1" customHeight="1">
      <c r="A107" s="71">
        <v>107</v>
      </c>
      <c r="B107" s="300" t="s">
        <v>49</v>
      </c>
      <c r="C107" s="240" t="s">
        <v>122</v>
      </c>
      <c r="D107" s="301" t="s">
        <v>143</v>
      </c>
      <c r="E107" s="302"/>
      <c r="F107" s="280" t="s">
        <v>148</v>
      </c>
      <c r="G107" s="280" t="s">
        <v>89</v>
      </c>
      <c r="H107" s="280" t="s">
        <v>125</v>
      </c>
      <c r="I107" s="300" t="s">
        <v>126</v>
      </c>
      <c r="J107" s="303">
        <v>185</v>
      </c>
      <c r="K107" s="304">
        <f t="shared" si="8"/>
        <v>255</v>
      </c>
      <c r="L107" s="305">
        <v>255</v>
      </c>
      <c r="M107" s="305"/>
      <c r="N107" s="305"/>
      <c r="O107" s="306" t="e">
        <f>IF(L107="nio",0,IF(L107&gt;0,L107*J107/R107,0))*VLOOKUP(B107,'2-Kosten per locatie'!$A$14:$C$24,3,FALSE)</f>
        <v>#DIV/0!</v>
      </c>
      <c r="P107" s="306">
        <f>IF(M107&gt;0,M107*J107/S107,0)*VLOOKUP(B107,'2-Kosten per locatie'!$A$14:$C$24,3,FALSE)</f>
        <v>0</v>
      </c>
      <c r="Q107" s="306">
        <f>IF(N107&gt;0,N107*J107/T107,0)*VLOOKUP(B107,'2-Kosten per locatie'!$A$14:$C$24,3,FALSE)</f>
        <v>0</v>
      </c>
      <c r="R107" s="307">
        <f>IF(L107="nio",0,IF(L107&gt;0,VLOOKUP(G107,'3-Productie normen'!A:P,VLOOKUP(L107,'3-Productie normen'!$B$32:$E$37,2,FALSE),FALSE)))</f>
        <v>0</v>
      </c>
      <c r="S107" s="307">
        <f t="shared" si="9"/>
        <v>0</v>
      </c>
      <c r="T107" s="307">
        <f t="shared" si="11"/>
        <v>0</v>
      </c>
      <c r="U107" s="308">
        <f>VLOOKUP(G107,'3-Productie normen'!A:N,10,FALSE)</f>
        <v>0</v>
      </c>
      <c r="V107" s="308"/>
      <c r="X107" s="309">
        <f t="shared" si="12"/>
        <v>47175</v>
      </c>
    </row>
    <row r="108" spans="1:24" ht="14.1" customHeight="1">
      <c r="A108" s="71">
        <v>108</v>
      </c>
      <c r="B108" s="300" t="s">
        <v>49</v>
      </c>
      <c r="C108" s="240" t="s">
        <v>122</v>
      </c>
      <c r="D108" s="301" t="s">
        <v>143</v>
      </c>
      <c r="E108" s="302"/>
      <c r="F108" s="280" t="s">
        <v>136</v>
      </c>
      <c r="G108" s="280" t="s">
        <v>81</v>
      </c>
      <c r="H108" s="280" t="s">
        <v>134</v>
      </c>
      <c r="I108" s="300" t="s">
        <v>134</v>
      </c>
      <c r="J108" s="303">
        <v>18.399999999999999</v>
      </c>
      <c r="K108" s="304">
        <f t="shared" si="8"/>
        <v>255</v>
      </c>
      <c r="L108" s="305">
        <v>255</v>
      </c>
      <c r="M108" s="305"/>
      <c r="N108" s="305"/>
      <c r="O108" s="306" t="e">
        <f>IF(L108="nio",0,IF(L108&gt;0,L108*J108/R108,0))*VLOOKUP(B108,'2-Kosten per locatie'!$A$14:$C$24,3,FALSE)</f>
        <v>#DIV/0!</v>
      </c>
      <c r="P108" s="306">
        <f>IF(M108&gt;0,M108*J108/S108,0)*VLOOKUP(B108,'2-Kosten per locatie'!$A$14:$C$24,3,FALSE)</f>
        <v>0</v>
      </c>
      <c r="Q108" s="306">
        <f>IF(N108&gt;0,N108*J108/T108,0)*VLOOKUP(B108,'2-Kosten per locatie'!$A$14:$C$24,3,FALSE)</f>
        <v>0</v>
      </c>
      <c r="R108" s="307">
        <f>IF(L108="nio",0,IF(L108&gt;0,VLOOKUP(G108,'3-Productie normen'!A:P,VLOOKUP(L108,'3-Productie normen'!$B$32:$E$37,2,FALSE),FALSE)))</f>
        <v>0</v>
      </c>
      <c r="S108" s="307">
        <f t="shared" si="9"/>
        <v>0</v>
      </c>
      <c r="T108" s="307">
        <f t="shared" si="11"/>
        <v>0</v>
      </c>
      <c r="U108" s="308">
        <f>VLOOKUP(G108,'3-Productie normen'!A:N,10,FALSE)</f>
        <v>0</v>
      </c>
      <c r="V108" s="308"/>
      <c r="X108" s="309">
        <f t="shared" si="12"/>
        <v>4692</v>
      </c>
    </row>
    <row r="109" spans="1:24" ht="14.1" customHeight="1">
      <c r="A109" s="71">
        <v>109</v>
      </c>
      <c r="B109" s="300" t="s">
        <v>49</v>
      </c>
      <c r="C109" s="240" t="s">
        <v>122</v>
      </c>
      <c r="D109" s="301" t="s">
        <v>143</v>
      </c>
      <c r="E109" s="302"/>
      <c r="F109" s="280" t="s">
        <v>145</v>
      </c>
      <c r="G109" s="280" t="s">
        <v>84</v>
      </c>
      <c r="H109" s="280" t="s">
        <v>134</v>
      </c>
      <c r="I109" s="300" t="s">
        <v>134</v>
      </c>
      <c r="J109" s="303">
        <v>4.2</v>
      </c>
      <c r="K109" s="304">
        <f t="shared" si="8"/>
        <v>52</v>
      </c>
      <c r="L109" s="305">
        <v>52</v>
      </c>
      <c r="M109" s="305"/>
      <c r="N109" s="305"/>
      <c r="O109" s="306" t="e">
        <f>IF(L109="nio",0,IF(L109&gt;0,L109*J109/R109,0))*VLOOKUP(B109,'2-Kosten per locatie'!$A$14:$C$24,3,FALSE)</f>
        <v>#DIV/0!</v>
      </c>
      <c r="P109" s="306">
        <f>IF(M109&gt;0,M109*J109/S109,0)*VLOOKUP(B109,'2-Kosten per locatie'!$A$14:$C$24,3,FALSE)</f>
        <v>0</v>
      </c>
      <c r="Q109" s="306">
        <f>IF(N109&gt;0,N109*J109/T109,0)*VLOOKUP(B109,'2-Kosten per locatie'!$A$14:$C$24,3,FALSE)</f>
        <v>0</v>
      </c>
      <c r="R109" s="307">
        <f>IF(L109="nio",0,IF(L109&gt;0,VLOOKUP(G109,'3-Productie normen'!A:P,VLOOKUP(L109,'3-Productie normen'!$B$32:$E$37,2,FALSE),FALSE)))</f>
        <v>0</v>
      </c>
      <c r="S109" s="307">
        <f t="shared" si="9"/>
        <v>0</v>
      </c>
      <c r="T109" s="307">
        <f t="shared" si="11"/>
        <v>0</v>
      </c>
      <c r="U109" s="308">
        <f>VLOOKUP(G109,'3-Productie normen'!A:N,10,FALSE)</f>
        <v>0</v>
      </c>
      <c r="V109" s="308"/>
      <c r="X109" s="309">
        <f t="shared" si="12"/>
        <v>218.4</v>
      </c>
    </row>
    <row r="110" spans="1:24" ht="14.1" customHeight="1">
      <c r="A110" s="71">
        <v>110</v>
      </c>
      <c r="B110" s="300" t="s">
        <v>49</v>
      </c>
      <c r="C110" s="240" t="s">
        <v>122</v>
      </c>
      <c r="D110" s="301" t="s">
        <v>143</v>
      </c>
      <c r="E110" s="302"/>
      <c r="F110" s="280" t="s">
        <v>145</v>
      </c>
      <c r="G110" s="280" t="s">
        <v>84</v>
      </c>
      <c r="H110" s="280" t="s">
        <v>134</v>
      </c>
      <c r="I110" s="300" t="s">
        <v>134</v>
      </c>
      <c r="J110" s="303">
        <v>4.7</v>
      </c>
      <c r="K110" s="304">
        <f t="shared" si="8"/>
        <v>52</v>
      </c>
      <c r="L110" s="305">
        <v>52</v>
      </c>
      <c r="M110" s="305"/>
      <c r="N110" s="305"/>
      <c r="O110" s="306" t="e">
        <f>IF(L110="nio",0,IF(L110&gt;0,L110*J110/R110,0))*VLOOKUP(B110,'2-Kosten per locatie'!$A$14:$C$24,3,FALSE)</f>
        <v>#DIV/0!</v>
      </c>
      <c r="P110" s="306">
        <f>IF(M110&gt;0,M110*J110/S110,0)*VLOOKUP(B110,'2-Kosten per locatie'!$A$14:$C$24,3,FALSE)</f>
        <v>0</v>
      </c>
      <c r="Q110" s="306">
        <f>IF(N110&gt;0,N110*J110/T110,0)*VLOOKUP(B110,'2-Kosten per locatie'!$A$14:$C$24,3,FALSE)</f>
        <v>0</v>
      </c>
      <c r="R110" s="307">
        <f>IF(L110="nio",0,IF(L110&gt;0,VLOOKUP(G110,'3-Productie normen'!A:P,VLOOKUP(L110,'3-Productie normen'!$B$32:$E$37,2,FALSE),FALSE)))</f>
        <v>0</v>
      </c>
      <c r="S110" s="307">
        <f t="shared" si="9"/>
        <v>0</v>
      </c>
      <c r="T110" s="307">
        <f t="shared" si="11"/>
        <v>0</v>
      </c>
      <c r="U110" s="308">
        <f>VLOOKUP(G110,'3-Productie normen'!A:N,10,FALSE)</f>
        <v>0</v>
      </c>
      <c r="V110" s="308"/>
      <c r="X110" s="309">
        <f t="shared" si="12"/>
        <v>244.4</v>
      </c>
    </row>
    <row r="111" spans="1:24" ht="14.1" customHeight="1">
      <c r="A111" s="71">
        <v>111</v>
      </c>
      <c r="B111" s="300" t="s">
        <v>49</v>
      </c>
      <c r="C111" s="240" t="s">
        <v>122</v>
      </c>
      <c r="D111" s="301" t="s">
        <v>143</v>
      </c>
      <c r="E111" s="302"/>
      <c r="F111" s="280" t="s">
        <v>128</v>
      </c>
      <c r="G111" s="280" t="s">
        <v>80</v>
      </c>
      <c r="H111" s="280" t="s">
        <v>137</v>
      </c>
      <c r="I111" s="300" t="s">
        <v>138</v>
      </c>
      <c r="J111" s="303">
        <v>19.8</v>
      </c>
      <c r="K111" s="304">
        <f t="shared" si="8"/>
        <v>255</v>
      </c>
      <c r="L111" s="305">
        <v>255</v>
      </c>
      <c r="M111" s="305"/>
      <c r="N111" s="305"/>
      <c r="O111" s="306" t="e">
        <f>IF(L111="nio",0,IF(L111&gt;0,L111*J111/R111,0))*VLOOKUP(B111,'2-Kosten per locatie'!$A$14:$C$24,3,FALSE)</f>
        <v>#DIV/0!</v>
      </c>
      <c r="P111" s="306">
        <f>IF(M111&gt;0,M111*J111/S111,0)*VLOOKUP(B111,'2-Kosten per locatie'!$A$14:$C$24,3,FALSE)</f>
        <v>0</v>
      </c>
      <c r="Q111" s="306">
        <f>IF(N111&gt;0,N111*J111/T111,0)*VLOOKUP(B111,'2-Kosten per locatie'!$A$14:$C$24,3,FALSE)</f>
        <v>0</v>
      </c>
      <c r="R111" s="307">
        <f>IF(L111="nio",0,IF(L111&gt;0,VLOOKUP(G111,'3-Productie normen'!A:P,VLOOKUP(L111,'3-Productie normen'!$B$32:$E$37,2,FALSE),FALSE)))</f>
        <v>0</v>
      </c>
      <c r="S111" s="307">
        <f t="shared" si="9"/>
        <v>0</v>
      </c>
      <c r="T111" s="307">
        <f t="shared" si="11"/>
        <v>0</v>
      </c>
      <c r="U111" s="308">
        <f>VLOOKUP(G111,'3-Productie normen'!A:N,10,FALSE)</f>
        <v>0</v>
      </c>
      <c r="V111" s="308"/>
      <c r="X111" s="309">
        <f t="shared" si="12"/>
        <v>5049</v>
      </c>
    </row>
    <row r="112" spans="1:24" ht="14.1" customHeight="1">
      <c r="A112" s="71">
        <v>112</v>
      </c>
      <c r="B112" s="300" t="s">
        <v>49</v>
      </c>
      <c r="C112" s="240" t="s">
        <v>122</v>
      </c>
      <c r="D112" s="301" t="s">
        <v>143</v>
      </c>
      <c r="E112" s="302"/>
      <c r="F112" s="280" t="s">
        <v>139</v>
      </c>
      <c r="G112" s="280" t="s">
        <v>86</v>
      </c>
      <c r="H112" s="280" t="s">
        <v>137</v>
      </c>
      <c r="I112" s="300" t="s">
        <v>140</v>
      </c>
      <c r="J112" s="303">
        <v>2.1</v>
      </c>
      <c r="K112" s="304">
        <f t="shared" si="8"/>
        <v>1275</v>
      </c>
      <c r="L112" s="305">
        <v>255</v>
      </c>
      <c r="M112" s="305">
        <v>1020</v>
      </c>
      <c r="N112" s="305"/>
      <c r="O112" s="306" t="e">
        <f>IF(L112="nio",0,IF(L112&gt;0,L112*J112/R112,0))*VLOOKUP(B112,'2-Kosten per locatie'!$A$14:$C$24,3,FALSE)</f>
        <v>#DIV/0!</v>
      </c>
      <c r="P112" s="306" t="e">
        <f>IF(M112&gt;0,M112*J112/S112,0)*VLOOKUP(B112,'2-Kosten per locatie'!$A$14:$C$24,3,FALSE)</f>
        <v>#DIV/0!</v>
      </c>
      <c r="Q112" s="306">
        <f>IF(N112&gt;0,N112*J112/T112,0)*VLOOKUP(B112,'2-Kosten per locatie'!$A$14:$C$24,3,FALSE)</f>
        <v>0</v>
      </c>
      <c r="R112" s="307">
        <f>IF(L112="nio",0,IF(L112&gt;0,VLOOKUP(G112,'3-Productie normen'!A:P,VLOOKUP(L112,'3-Productie normen'!$B$32:$E$37,2,FALSE),FALSE)))</f>
        <v>0</v>
      </c>
      <c r="S112" s="307">
        <f t="shared" si="9"/>
        <v>0</v>
      </c>
      <c r="T112" s="307">
        <f t="shared" si="11"/>
        <v>0</v>
      </c>
      <c r="U112" s="308">
        <f>VLOOKUP(G112,'3-Productie normen'!A:N,10,FALSE)</f>
        <v>0</v>
      </c>
      <c r="V112" s="308"/>
      <c r="X112" s="309">
        <f t="shared" si="12"/>
        <v>2677.5</v>
      </c>
    </row>
    <row r="113" spans="1:24" ht="14.1" customHeight="1">
      <c r="A113" s="71">
        <v>113</v>
      </c>
      <c r="B113" s="300" t="s">
        <v>49</v>
      </c>
      <c r="C113" s="240" t="s">
        <v>122</v>
      </c>
      <c r="D113" s="301" t="s">
        <v>143</v>
      </c>
      <c r="E113" s="302"/>
      <c r="F113" s="280" t="s">
        <v>139</v>
      </c>
      <c r="G113" s="280" t="s">
        <v>86</v>
      </c>
      <c r="H113" s="280" t="s">
        <v>137</v>
      </c>
      <c r="I113" s="300" t="s">
        <v>140</v>
      </c>
      <c r="J113" s="303">
        <v>1.5</v>
      </c>
      <c r="K113" s="304">
        <f t="shared" si="8"/>
        <v>1275</v>
      </c>
      <c r="L113" s="305">
        <v>255</v>
      </c>
      <c r="M113" s="305">
        <v>1020</v>
      </c>
      <c r="N113" s="305"/>
      <c r="O113" s="306" t="e">
        <f>IF(L113="nio",0,IF(L113&gt;0,L113*J113/R113,0))*VLOOKUP(B113,'2-Kosten per locatie'!$A$14:$C$24,3,FALSE)</f>
        <v>#DIV/0!</v>
      </c>
      <c r="P113" s="306" t="e">
        <f>IF(M113&gt;0,M113*J113/S113,0)*VLOOKUP(B113,'2-Kosten per locatie'!$A$14:$C$24,3,FALSE)</f>
        <v>#DIV/0!</v>
      </c>
      <c r="Q113" s="306">
        <f>IF(N113&gt;0,N113*J113/T113,0)*VLOOKUP(B113,'2-Kosten per locatie'!$A$14:$C$24,3,FALSE)</f>
        <v>0</v>
      </c>
      <c r="R113" s="307">
        <f>IF(L113="nio",0,IF(L113&gt;0,VLOOKUP(G113,'3-Productie normen'!A:P,VLOOKUP(L113,'3-Productie normen'!$B$32:$E$37,2,FALSE),FALSE)))</f>
        <v>0</v>
      </c>
      <c r="S113" s="307">
        <f t="shared" si="9"/>
        <v>0</v>
      </c>
      <c r="T113" s="307">
        <f t="shared" si="11"/>
        <v>0</v>
      </c>
      <c r="U113" s="308">
        <f>VLOOKUP(G113,'3-Productie normen'!A:N,10,FALSE)</f>
        <v>0</v>
      </c>
      <c r="V113" s="308"/>
      <c r="X113" s="309">
        <f t="shared" si="12"/>
        <v>1912.5</v>
      </c>
    </row>
    <row r="114" spans="1:24" ht="14.1" customHeight="1">
      <c r="A114" s="71">
        <v>114</v>
      </c>
      <c r="B114" s="300" t="s">
        <v>49</v>
      </c>
      <c r="C114" s="240" t="s">
        <v>122</v>
      </c>
      <c r="D114" s="301" t="s">
        <v>143</v>
      </c>
      <c r="E114" s="302"/>
      <c r="F114" s="280" t="s">
        <v>139</v>
      </c>
      <c r="G114" s="280" t="s">
        <v>86</v>
      </c>
      <c r="H114" s="280" t="s">
        <v>137</v>
      </c>
      <c r="I114" s="300" t="s">
        <v>140</v>
      </c>
      <c r="J114" s="303">
        <v>2.2000000000000002</v>
      </c>
      <c r="K114" s="304">
        <f t="shared" si="8"/>
        <v>1275</v>
      </c>
      <c r="L114" s="305">
        <v>255</v>
      </c>
      <c r="M114" s="305">
        <v>1020</v>
      </c>
      <c r="N114" s="305"/>
      <c r="O114" s="306" t="e">
        <f>IF(L114="nio",0,IF(L114&gt;0,L114*J114/R114,0))*VLOOKUP(B114,'2-Kosten per locatie'!$A$14:$C$24,3,FALSE)</f>
        <v>#DIV/0!</v>
      </c>
      <c r="P114" s="306" t="e">
        <f>IF(M114&gt;0,M114*J114/S114,0)*VLOOKUP(B114,'2-Kosten per locatie'!$A$14:$C$24,3,FALSE)</f>
        <v>#DIV/0!</v>
      </c>
      <c r="Q114" s="306">
        <f>IF(N114&gt;0,N114*J114/T114,0)*VLOOKUP(B114,'2-Kosten per locatie'!$A$14:$C$24,3,FALSE)</f>
        <v>0</v>
      </c>
      <c r="R114" s="307">
        <f>IF(L114="nio",0,IF(L114&gt;0,VLOOKUP(G114,'3-Productie normen'!A:P,VLOOKUP(L114,'3-Productie normen'!$B$32:$E$37,2,FALSE),FALSE)))</f>
        <v>0</v>
      </c>
      <c r="S114" s="307">
        <f t="shared" si="9"/>
        <v>0</v>
      </c>
      <c r="T114" s="307">
        <f t="shared" si="11"/>
        <v>0</v>
      </c>
      <c r="U114" s="308">
        <f>VLOOKUP(G114,'3-Productie normen'!A:N,10,FALSE)</f>
        <v>0</v>
      </c>
      <c r="V114" s="308"/>
      <c r="X114" s="309">
        <f t="shared" si="12"/>
        <v>2805</v>
      </c>
    </row>
    <row r="115" spans="1:24" ht="14.1" customHeight="1">
      <c r="A115" s="71">
        <v>115</v>
      </c>
      <c r="B115" s="300" t="s">
        <v>49</v>
      </c>
      <c r="C115" s="240" t="s">
        <v>122</v>
      </c>
      <c r="D115" s="301" t="s">
        <v>143</v>
      </c>
      <c r="E115" s="302"/>
      <c r="F115" s="280" t="s">
        <v>139</v>
      </c>
      <c r="G115" s="280" t="s">
        <v>86</v>
      </c>
      <c r="H115" s="280" t="s">
        <v>137</v>
      </c>
      <c r="I115" s="300" t="s">
        <v>140</v>
      </c>
      <c r="J115" s="303">
        <v>1.5</v>
      </c>
      <c r="K115" s="304">
        <f t="shared" si="8"/>
        <v>1275</v>
      </c>
      <c r="L115" s="305">
        <v>255</v>
      </c>
      <c r="M115" s="305">
        <v>1020</v>
      </c>
      <c r="N115" s="305"/>
      <c r="O115" s="306" t="e">
        <f>IF(L115="nio",0,IF(L115&gt;0,L115*J115/R115,0))*VLOOKUP(B115,'2-Kosten per locatie'!$A$14:$C$24,3,FALSE)</f>
        <v>#DIV/0!</v>
      </c>
      <c r="P115" s="306" t="e">
        <f>IF(M115&gt;0,M115*J115/S115,0)*VLOOKUP(B115,'2-Kosten per locatie'!$A$14:$C$24,3,FALSE)</f>
        <v>#DIV/0!</v>
      </c>
      <c r="Q115" s="306">
        <f>IF(N115&gt;0,N115*J115/T115,0)*VLOOKUP(B115,'2-Kosten per locatie'!$A$14:$C$24,3,FALSE)</f>
        <v>0</v>
      </c>
      <c r="R115" s="307">
        <f>IF(L115="nio",0,IF(L115&gt;0,VLOOKUP(G115,'3-Productie normen'!A:P,VLOOKUP(L115,'3-Productie normen'!$B$32:$E$37,2,FALSE),FALSE)))</f>
        <v>0</v>
      </c>
      <c r="S115" s="307">
        <f t="shared" si="9"/>
        <v>0</v>
      </c>
      <c r="T115" s="307">
        <f t="shared" si="11"/>
        <v>0</v>
      </c>
      <c r="U115" s="308">
        <f>VLOOKUP(G115,'3-Productie normen'!A:N,10,FALSE)</f>
        <v>0</v>
      </c>
      <c r="V115" s="308"/>
      <c r="X115" s="309">
        <f t="shared" si="12"/>
        <v>1912.5</v>
      </c>
    </row>
    <row r="116" spans="1:24" ht="14.1" customHeight="1">
      <c r="A116" s="71">
        <v>116</v>
      </c>
      <c r="B116" s="300" t="s">
        <v>49</v>
      </c>
      <c r="C116" s="240" t="s">
        <v>122</v>
      </c>
      <c r="D116" s="301" t="s">
        <v>143</v>
      </c>
      <c r="E116" s="302"/>
      <c r="F116" s="280" t="s">
        <v>139</v>
      </c>
      <c r="G116" s="280" t="s">
        <v>86</v>
      </c>
      <c r="H116" s="280" t="s">
        <v>137</v>
      </c>
      <c r="I116" s="300" t="s">
        <v>140</v>
      </c>
      <c r="J116" s="303">
        <v>2.2000000000000002</v>
      </c>
      <c r="K116" s="304">
        <f t="shared" si="8"/>
        <v>1275</v>
      </c>
      <c r="L116" s="305">
        <v>255</v>
      </c>
      <c r="M116" s="305">
        <v>1020</v>
      </c>
      <c r="N116" s="305"/>
      <c r="O116" s="306" t="e">
        <f>IF(L116="nio",0,IF(L116&gt;0,L116*J116/R116,0))*VLOOKUP(B116,'2-Kosten per locatie'!$A$14:$C$24,3,FALSE)</f>
        <v>#DIV/0!</v>
      </c>
      <c r="P116" s="306" t="e">
        <f>IF(M116&gt;0,M116*J116/S116,0)*VLOOKUP(B116,'2-Kosten per locatie'!$A$14:$C$24,3,FALSE)</f>
        <v>#DIV/0!</v>
      </c>
      <c r="Q116" s="306">
        <f>IF(N116&gt;0,N116*J116/T116,0)*VLOOKUP(B116,'2-Kosten per locatie'!$A$14:$C$24,3,FALSE)</f>
        <v>0</v>
      </c>
      <c r="R116" s="307">
        <f>IF(L116="nio",0,IF(L116&gt;0,VLOOKUP(G116,'3-Productie normen'!A:P,VLOOKUP(L116,'3-Productie normen'!$B$32:$E$37,2,FALSE),FALSE)))</f>
        <v>0</v>
      </c>
      <c r="S116" s="307">
        <f t="shared" si="9"/>
        <v>0</v>
      </c>
      <c r="T116" s="307">
        <f t="shared" si="11"/>
        <v>0</v>
      </c>
      <c r="U116" s="308">
        <f>VLOOKUP(G116,'3-Productie normen'!A:N,10,FALSE)</f>
        <v>0</v>
      </c>
      <c r="V116" s="308"/>
      <c r="X116" s="309">
        <f t="shared" si="12"/>
        <v>2805</v>
      </c>
    </row>
    <row r="117" spans="1:24" ht="14.1" customHeight="1">
      <c r="A117" s="71">
        <v>117</v>
      </c>
      <c r="B117" s="300" t="s">
        <v>49</v>
      </c>
      <c r="C117" s="240" t="s">
        <v>122</v>
      </c>
      <c r="D117" s="301" t="s">
        <v>143</v>
      </c>
      <c r="E117" s="302"/>
      <c r="F117" s="280" t="s">
        <v>139</v>
      </c>
      <c r="G117" s="280" t="s">
        <v>86</v>
      </c>
      <c r="H117" s="280" t="s">
        <v>137</v>
      </c>
      <c r="I117" s="300" t="s">
        <v>140</v>
      </c>
      <c r="J117" s="303">
        <v>1.5</v>
      </c>
      <c r="K117" s="304">
        <f t="shared" si="8"/>
        <v>1275</v>
      </c>
      <c r="L117" s="305">
        <v>255</v>
      </c>
      <c r="M117" s="305">
        <v>1020</v>
      </c>
      <c r="N117" s="305"/>
      <c r="O117" s="306" t="e">
        <f>IF(L117="nio",0,IF(L117&gt;0,L117*J117/R117,0))*VLOOKUP(B117,'2-Kosten per locatie'!$A$14:$C$24,3,FALSE)</f>
        <v>#DIV/0!</v>
      </c>
      <c r="P117" s="306" t="e">
        <f>IF(M117&gt;0,M117*J117/S117,0)*VLOOKUP(B117,'2-Kosten per locatie'!$A$14:$C$24,3,FALSE)</f>
        <v>#DIV/0!</v>
      </c>
      <c r="Q117" s="306">
        <f>IF(N117&gt;0,N117*J117/T117,0)*VLOOKUP(B117,'2-Kosten per locatie'!$A$14:$C$24,3,FALSE)</f>
        <v>0</v>
      </c>
      <c r="R117" s="307">
        <f>IF(L117="nio",0,IF(L117&gt;0,VLOOKUP(G117,'3-Productie normen'!A:P,VLOOKUP(L117,'3-Productie normen'!$B$32:$E$37,2,FALSE),FALSE)))</f>
        <v>0</v>
      </c>
      <c r="S117" s="307">
        <f t="shared" si="9"/>
        <v>0</v>
      </c>
      <c r="T117" s="307">
        <f t="shared" si="11"/>
        <v>0</v>
      </c>
      <c r="U117" s="308">
        <f>VLOOKUP(G117,'3-Productie normen'!A:N,10,FALSE)</f>
        <v>0</v>
      </c>
      <c r="V117" s="308"/>
      <c r="X117" s="309">
        <f t="shared" si="12"/>
        <v>1912.5</v>
      </c>
    </row>
    <row r="118" spans="1:24" ht="14.1" customHeight="1">
      <c r="A118" s="71">
        <v>118</v>
      </c>
      <c r="B118" s="300" t="s">
        <v>49</v>
      </c>
      <c r="C118" s="240" t="s">
        <v>122</v>
      </c>
      <c r="D118" s="301" t="s">
        <v>143</v>
      </c>
      <c r="E118" s="302"/>
      <c r="F118" s="280" t="s">
        <v>124</v>
      </c>
      <c r="G118" s="240" t="s">
        <v>74</v>
      </c>
      <c r="H118" s="280" t="s">
        <v>130</v>
      </c>
      <c r="I118" s="300" t="s">
        <v>130</v>
      </c>
      <c r="J118" s="303">
        <v>49.7</v>
      </c>
      <c r="K118" s="304">
        <f t="shared" si="8"/>
        <v>255</v>
      </c>
      <c r="L118" s="305">
        <v>255</v>
      </c>
      <c r="M118" s="305"/>
      <c r="N118" s="305"/>
      <c r="O118" s="306" t="e">
        <f>IF(L118="nio",0,IF(L118&gt;0,L118*J118/R118,0))*VLOOKUP(B118,'2-Kosten per locatie'!$A$14:$C$24,3,FALSE)</f>
        <v>#DIV/0!</v>
      </c>
      <c r="P118" s="306">
        <f>IF(M118&gt;0,M118*J118/S118,0)*VLOOKUP(B118,'2-Kosten per locatie'!$A$14:$C$24,3,FALSE)</f>
        <v>0</v>
      </c>
      <c r="Q118" s="306">
        <f>IF(N118&gt;0,N118*J118/T118,0)*VLOOKUP(B118,'2-Kosten per locatie'!$A$14:$C$24,3,FALSE)</f>
        <v>0</v>
      </c>
      <c r="R118" s="307">
        <f>IF(L118="nio",0,IF(L118&gt;0,VLOOKUP(G118,'3-Productie normen'!A:P,VLOOKUP(L118,'3-Productie normen'!$B$32:$E$37,2,FALSE),FALSE)))</f>
        <v>0</v>
      </c>
      <c r="S118" s="307">
        <f t="shared" si="9"/>
        <v>0</v>
      </c>
      <c r="T118" s="307">
        <f t="shared" si="11"/>
        <v>0</v>
      </c>
      <c r="U118" s="308">
        <f>VLOOKUP(G118,'3-Productie normen'!A:N,10,FALSE)</f>
        <v>0</v>
      </c>
      <c r="V118" s="308"/>
      <c r="X118" s="309">
        <f t="shared" si="12"/>
        <v>12673.5</v>
      </c>
    </row>
    <row r="119" spans="1:24" ht="14.1" customHeight="1">
      <c r="A119" s="71">
        <v>119</v>
      </c>
      <c r="B119" s="300" t="s">
        <v>49</v>
      </c>
      <c r="C119" s="240" t="s">
        <v>122</v>
      </c>
      <c r="D119" s="301" t="s">
        <v>143</v>
      </c>
      <c r="E119" s="302"/>
      <c r="F119" s="280" t="s">
        <v>124</v>
      </c>
      <c r="G119" s="240" t="s">
        <v>74</v>
      </c>
      <c r="H119" s="280" t="s">
        <v>125</v>
      </c>
      <c r="I119" s="300" t="s">
        <v>126</v>
      </c>
      <c r="J119" s="303">
        <v>38.4</v>
      </c>
      <c r="K119" s="304">
        <f t="shared" si="8"/>
        <v>255</v>
      </c>
      <c r="L119" s="305">
        <v>255</v>
      </c>
      <c r="M119" s="305"/>
      <c r="N119" s="305"/>
      <c r="O119" s="306" t="e">
        <f>IF(L119="nio",0,IF(L119&gt;0,L119*J119/R119,0))*VLOOKUP(B119,'2-Kosten per locatie'!$A$14:$C$24,3,FALSE)</f>
        <v>#DIV/0!</v>
      </c>
      <c r="P119" s="306">
        <f>IF(M119&gt;0,M119*J119/S119,0)*VLOOKUP(B119,'2-Kosten per locatie'!$A$14:$C$24,3,FALSE)</f>
        <v>0</v>
      </c>
      <c r="Q119" s="306">
        <f>IF(N119&gt;0,N119*J119/T119,0)*VLOOKUP(B119,'2-Kosten per locatie'!$A$14:$C$24,3,FALSE)</f>
        <v>0</v>
      </c>
      <c r="R119" s="307">
        <f>IF(L119="nio",0,IF(L119&gt;0,VLOOKUP(G119,'3-Productie normen'!A:P,VLOOKUP(L119,'3-Productie normen'!$B$32:$E$37,2,FALSE),FALSE)))</f>
        <v>0</v>
      </c>
      <c r="S119" s="307">
        <f t="shared" si="9"/>
        <v>0</v>
      </c>
      <c r="T119" s="307">
        <f t="shared" si="11"/>
        <v>0</v>
      </c>
      <c r="U119" s="308">
        <f>VLOOKUP(G119,'3-Productie normen'!A:N,10,FALSE)</f>
        <v>0</v>
      </c>
      <c r="V119" s="308"/>
      <c r="X119" s="309">
        <f t="shared" si="12"/>
        <v>9792</v>
      </c>
    </row>
    <row r="120" spans="1:24" ht="14.1" customHeight="1">
      <c r="A120" s="71">
        <v>120</v>
      </c>
      <c r="B120" s="300" t="s">
        <v>49</v>
      </c>
      <c r="C120" s="240" t="s">
        <v>122</v>
      </c>
      <c r="D120" s="301" t="s">
        <v>143</v>
      </c>
      <c r="E120" s="302"/>
      <c r="F120" s="280" t="s">
        <v>78</v>
      </c>
      <c r="G120" s="280" t="s">
        <v>78</v>
      </c>
      <c r="H120" s="280" t="s">
        <v>137</v>
      </c>
      <c r="I120" s="300" t="s">
        <v>138</v>
      </c>
      <c r="J120" s="303">
        <v>4.7</v>
      </c>
      <c r="K120" s="304">
        <f t="shared" si="8"/>
        <v>255</v>
      </c>
      <c r="L120" s="305">
        <v>255</v>
      </c>
      <c r="M120" s="305"/>
      <c r="N120" s="305"/>
      <c r="O120" s="306" t="e">
        <f>IF(L120="nio",0,IF(L120&gt;0,L120*J120/R120,0))*VLOOKUP(B120,'2-Kosten per locatie'!$A$14:$C$24,3,FALSE)</f>
        <v>#DIV/0!</v>
      </c>
      <c r="P120" s="306">
        <f>IF(M120&gt;0,M120*J120/S120,0)*VLOOKUP(B120,'2-Kosten per locatie'!$A$14:$C$24,3,FALSE)</f>
        <v>0</v>
      </c>
      <c r="Q120" s="306">
        <f>IF(N120&gt;0,N120*J120/T120,0)*VLOOKUP(B120,'2-Kosten per locatie'!$A$14:$C$24,3,FALSE)</f>
        <v>0</v>
      </c>
      <c r="R120" s="307">
        <f>IF(L120="nio",0,IF(L120&gt;0,VLOOKUP(G120,'3-Productie normen'!A:P,VLOOKUP(L120,'3-Productie normen'!$B$32:$E$37,2,FALSE),FALSE)))</f>
        <v>0</v>
      </c>
      <c r="S120" s="307">
        <f t="shared" si="9"/>
        <v>0</v>
      </c>
      <c r="T120" s="307">
        <f t="shared" si="11"/>
        <v>0</v>
      </c>
      <c r="U120" s="308">
        <f>VLOOKUP(G120,'3-Productie normen'!A:N,10,FALSE)</f>
        <v>0</v>
      </c>
      <c r="V120" s="308"/>
      <c r="X120" s="309">
        <f t="shared" si="12"/>
        <v>1198.5</v>
      </c>
    </row>
    <row r="121" spans="1:24" ht="14.1" customHeight="1">
      <c r="A121" s="71">
        <v>121</v>
      </c>
      <c r="B121" s="300" t="s">
        <v>49</v>
      </c>
      <c r="C121" s="240" t="s">
        <v>122</v>
      </c>
      <c r="D121" s="301" t="s">
        <v>143</v>
      </c>
      <c r="E121" s="302"/>
      <c r="F121" s="280" t="s">
        <v>78</v>
      </c>
      <c r="G121" s="280" t="s">
        <v>78</v>
      </c>
      <c r="H121" s="280" t="s">
        <v>125</v>
      </c>
      <c r="I121" s="300" t="s">
        <v>126</v>
      </c>
      <c r="J121" s="303">
        <v>3</v>
      </c>
      <c r="K121" s="304">
        <f t="shared" si="8"/>
        <v>255</v>
      </c>
      <c r="L121" s="305">
        <v>255</v>
      </c>
      <c r="M121" s="305"/>
      <c r="N121" s="305"/>
      <c r="O121" s="306" t="e">
        <f>IF(L121="nio",0,IF(L121&gt;0,L121*J121/R121,0))*VLOOKUP(B121,'2-Kosten per locatie'!$A$14:$C$24,3,FALSE)</f>
        <v>#DIV/0!</v>
      </c>
      <c r="P121" s="306">
        <f>IF(M121&gt;0,M121*J121/S121,0)*VLOOKUP(B121,'2-Kosten per locatie'!$A$14:$C$24,3,FALSE)</f>
        <v>0</v>
      </c>
      <c r="Q121" s="306">
        <f>IF(N121&gt;0,N121*J121/T121,0)*VLOOKUP(B121,'2-Kosten per locatie'!$A$14:$C$24,3,FALSE)</f>
        <v>0</v>
      </c>
      <c r="R121" s="307">
        <f>IF(L121="nio",0,IF(L121&gt;0,VLOOKUP(G121,'3-Productie normen'!A:P,VLOOKUP(L121,'3-Productie normen'!$B$32:$E$37,2,FALSE),FALSE)))</f>
        <v>0</v>
      </c>
      <c r="S121" s="307">
        <f t="shared" si="9"/>
        <v>0</v>
      </c>
      <c r="T121" s="307">
        <f t="shared" si="11"/>
        <v>0</v>
      </c>
      <c r="U121" s="308">
        <f>VLOOKUP(G121,'3-Productie normen'!A:N,10,FALSE)</f>
        <v>0</v>
      </c>
      <c r="V121" s="308"/>
      <c r="X121" s="309">
        <f t="shared" si="12"/>
        <v>765</v>
      </c>
    </row>
    <row r="122" spans="1:24" ht="14.1" customHeight="1">
      <c r="A122" s="71">
        <v>122</v>
      </c>
      <c r="B122" s="300" t="s">
        <v>49</v>
      </c>
      <c r="C122" s="240" t="s">
        <v>122</v>
      </c>
      <c r="D122" s="301" t="s">
        <v>123</v>
      </c>
      <c r="E122" s="302"/>
      <c r="F122" s="280" t="s">
        <v>128</v>
      </c>
      <c r="G122" s="280" t="s">
        <v>80</v>
      </c>
      <c r="H122" s="280" t="s">
        <v>137</v>
      </c>
      <c r="I122" s="300" t="s">
        <v>138</v>
      </c>
      <c r="J122" s="303">
        <v>31.7</v>
      </c>
      <c r="K122" s="304">
        <f t="shared" si="8"/>
        <v>255</v>
      </c>
      <c r="L122" s="305">
        <v>255</v>
      </c>
      <c r="M122" s="305"/>
      <c r="N122" s="305"/>
      <c r="O122" s="306" t="e">
        <f>IF(L122="nio",0,IF(L122&gt;0,L122*J122/R122,0))*VLOOKUP(B122,'2-Kosten per locatie'!$A$14:$C$24,3,FALSE)</f>
        <v>#DIV/0!</v>
      </c>
      <c r="P122" s="306">
        <f>IF(M122&gt;0,M122*J122/S122,0)*VLOOKUP(B122,'2-Kosten per locatie'!$A$14:$C$24,3,FALSE)</f>
        <v>0</v>
      </c>
      <c r="Q122" s="306">
        <f>IF(N122&gt;0,N122*J122/T122,0)*VLOOKUP(B122,'2-Kosten per locatie'!$A$14:$C$24,3,FALSE)</f>
        <v>0</v>
      </c>
      <c r="R122" s="307">
        <f>IF(L122="nio",0,IF(L122&gt;0,VLOOKUP(G122,'3-Productie normen'!A:P,VLOOKUP(L122,'3-Productie normen'!$B$32:$E$37,2,FALSE),FALSE)))</f>
        <v>0</v>
      </c>
      <c r="S122" s="307">
        <f t="shared" si="9"/>
        <v>0</v>
      </c>
      <c r="T122" s="307">
        <f t="shared" si="11"/>
        <v>0</v>
      </c>
      <c r="U122" s="308">
        <f>VLOOKUP(G122,'3-Productie normen'!A:N,10,FALSE)</f>
        <v>0</v>
      </c>
      <c r="V122" s="308"/>
      <c r="X122" s="309">
        <f t="shared" si="12"/>
        <v>8083.5</v>
      </c>
    </row>
    <row r="123" spans="1:24" ht="14.1" customHeight="1">
      <c r="A123" s="71">
        <v>123</v>
      </c>
      <c r="B123" s="300" t="s">
        <v>49</v>
      </c>
      <c r="C123" s="240" t="s">
        <v>122</v>
      </c>
      <c r="D123" s="301" t="s">
        <v>123</v>
      </c>
      <c r="E123" s="302"/>
      <c r="F123" s="280" t="s">
        <v>129</v>
      </c>
      <c r="G123" s="280" t="s">
        <v>88</v>
      </c>
      <c r="H123" s="280" t="s">
        <v>125</v>
      </c>
      <c r="I123" s="300" t="s">
        <v>126</v>
      </c>
      <c r="J123" s="303">
        <v>24</v>
      </c>
      <c r="K123" s="304">
        <f t="shared" si="8"/>
        <v>255</v>
      </c>
      <c r="L123" s="305">
        <v>255</v>
      </c>
      <c r="M123" s="305"/>
      <c r="N123" s="305"/>
      <c r="O123" s="306" t="e">
        <f>IF(L123="nio",0,IF(L123&gt;0,L123*J123/R123,0))*VLOOKUP(B123,'2-Kosten per locatie'!$A$14:$C$24,3,FALSE)</f>
        <v>#DIV/0!</v>
      </c>
      <c r="P123" s="306">
        <f>IF(M123&gt;0,M123*J123/S123,0)*VLOOKUP(B123,'2-Kosten per locatie'!$A$14:$C$24,3,FALSE)</f>
        <v>0</v>
      </c>
      <c r="Q123" s="306">
        <f>IF(N123&gt;0,N123*J123/T123,0)*VLOOKUP(B123,'2-Kosten per locatie'!$A$14:$C$24,3,FALSE)</f>
        <v>0</v>
      </c>
      <c r="R123" s="307">
        <f>IF(L123="nio",0,IF(L123&gt;0,VLOOKUP(G123,'3-Productie normen'!A:P,VLOOKUP(L123,'3-Productie normen'!$B$32:$E$37,2,FALSE),FALSE)))</f>
        <v>0</v>
      </c>
      <c r="S123" s="307">
        <f t="shared" si="9"/>
        <v>0</v>
      </c>
      <c r="T123" s="307">
        <f t="shared" si="11"/>
        <v>0</v>
      </c>
      <c r="U123" s="308">
        <f>VLOOKUP(G123,'3-Productie normen'!A:N,10,FALSE)</f>
        <v>0</v>
      </c>
      <c r="V123" s="308"/>
      <c r="X123" s="309">
        <f t="shared" si="12"/>
        <v>6120</v>
      </c>
    </row>
    <row r="124" spans="1:24" ht="14.1" customHeight="1">
      <c r="A124" s="71">
        <v>124</v>
      </c>
      <c r="B124" s="300" t="s">
        <v>49</v>
      </c>
      <c r="C124" s="240" t="s">
        <v>122</v>
      </c>
      <c r="D124" s="301" t="s">
        <v>123</v>
      </c>
      <c r="E124" s="302"/>
      <c r="F124" s="280" t="s">
        <v>128</v>
      </c>
      <c r="G124" s="280" t="s">
        <v>80</v>
      </c>
      <c r="H124" s="280" t="s">
        <v>130</v>
      </c>
      <c r="I124" s="300" t="s">
        <v>130</v>
      </c>
      <c r="J124" s="303">
        <v>33.1</v>
      </c>
      <c r="K124" s="304">
        <f t="shared" si="8"/>
        <v>255</v>
      </c>
      <c r="L124" s="305">
        <v>255</v>
      </c>
      <c r="M124" s="305"/>
      <c r="N124" s="305"/>
      <c r="O124" s="306" t="e">
        <f>IF(L124="nio",0,IF(L124&gt;0,L124*J124/R124,0))*VLOOKUP(B124,'2-Kosten per locatie'!$A$14:$C$24,3,FALSE)</f>
        <v>#DIV/0!</v>
      </c>
      <c r="P124" s="306">
        <f>IF(M124&gt;0,M124*J124/S124,0)*VLOOKUP(B124,'2-Kosten per locatie'!$A$14:$C$24,3,FALSE)</f>
        <v>0</v>
      </c>
      <c r="Q124" s="306">
        <f>IF(N124&gt;0,N124*J124/T124,0)*VLOOKUP(B124,'2-Kosten per locatie'!$A$14:$C$24,3,FALSE)</f>
        <v>0</v>
      </c>
      <c r="R124" s="307">
        <f>IF(L124="nio",0,IF(L124&gt;0,VLOOKUP(G124,'3-Productie normen'!A:P,VLOOKUP(L124,'3-Productie normen'!$B$32:$E$37,2,FALSE),FALSE)))</f>
        <v>0</v>
      </c>
      <c r="S124" s="307">
        <f t="shared" si="9"/>
        <v>0</v>
      </c>
      <c r="T124" s="307">
        <f t="shared" si="11"/>
        <v>0</v>
      </c>
      <c r="U124" s="308">
        <f>VLOOKUP(G124,'3-Productie normen'!A:N,10,FALSE)</f>
        <v>0</v>
      </c>
      <c r="V124" s="308"/>
      <c r="X124" s="309">
        <f t="shared" si="12"/>
        <v>8440.5</v>
      </c>
    </row>
    <row r="125" spans="1:24" ht="14.1" customHeight="1">
      <c r="A125" s="71">
        <v>125</v>
      </c>
      <c r="B125" s="300" t="s">
        <v>49</v>
      </c>
      <c r="C125" s="240" t="s">
        <v>122</v>
      </c>
      <c r="D125" s="301" t="s">
        <v>123</v>
      </c>
      <c r="E125" s="302"/>
      <c r="F125" s="280" t="s">
        <v>124</v>
      </c>
      <c r="G125" s="240" t="s">
        <v>74</v>
      </c>
      <c r="H125" s="280" t="s">
        <v>125</v>
      </c>
      <c r="I125" s="300" t="s">
        <v>126</v>
      </c>
      <c r="J125" s="303">
        <v>21.6</v>
      </c>
      <c r="K125" s="304">
        <f t="shared" si="8"/>
        <v>255</v>
      </c>
      <c r="L125" s="305">
        <v>255</v>
      </c>
      <c r="M125" s="305"/>
      <c r="N125" s="305"/>
      <c r="O125" s="306" t="e">
        <f>IF(L125="nio",0,IF(L125&gt;0,L125*J125/R125,0))*VLOOKUP(B125,'2-Kosten per locatie'!$A$14:$C$24,3,FALSE)</f>
        <v>#DIV/0!</v>
      </c>
      <c r="P125" s="306">
        <f>IF(M125&gt;0,M125*J125/S125,0)*VLOOKUP(B125,'2-Kosten per locatie'!$A$14:$C$24,3,FALSE)</f>
        <v>0</v>
      </c>
      <c r="Q125" s="306">
        <f>IF(N125&gt;0,N125*J125/T125,0)*VLOOKUP(B125,'2-Kosten per locatie'!$A$14:$C$24,3,FALSE)</f>
        <v>0</v>
      </c>
      <c r="R125" s="307">
        <f>IF(L125="nio",0,IF(L125&gt;0,VLOOKUP(G125,'3-Productie normen'!A:P,VLOOKUP(L125,'3-Productie normen'!$B$32:$E$37,2,FALSE),FALSE)))</f>
        <v>0</v>
      </c>
      <c r="S125" s="307">
        <f t="shared" si="9"/>
        <v>0</v>
      </c>
      <c r="T125" s="307">
        <f t="shared" si="11"/>
        <v>0</v>
      </c>
      <c r="U125" s="308">
        <f>VLOOKUP(G125,'3-Productie normen'!A:N,10,FALSE)</f>
        <v>0</v>
      </c>
      <c r="V125" s="308"/>
      <c r="X125" s="309">
        <f t="shared" si="12"/>
        <v>5508</v>
      </c>
    </row>
    <row r="126" spans="1:24" ht="14.1" customHeight="1">
      <c r="A126" s="71">
        <v>126</v>
      </c>
      <c r="B126" s="300" t="s">
        <v>49</v>
      </c>
      <c r="C126" s="240" t="s">
        <v>122</v>
      </c>
      <c r="D126" s="301" t="s">
        <v>123</v>
      </c>
      <c r="E126" s="302"/>
      <c r="F126" s="280" t="s">
        <v>149</v>
      </c>
      <c r="G126" s="280" t="s">
        <v>89</v>
      </c>
      <c r="H126" s="280" t="s">
        <v>125</v>
      </c>
      <c r="I126" s="300" t="s">
        <v>126</v>
      </c>
      <c r="J126" s="303">
        <v>75</v>
      </c>
      <c r="K126" s="304">
        <f t="shared" si="8"/>
        <v>255</v>
      </c>
      <c r="L126" s="305">
        <v>255</v>
      </c>
      <c r="M126" s="305"/>
      <c r="N126" s="305"/>
      <c r="O126" s="306" t="e">
        <f>IF(L126="nio",0,IF(L126&gt;0,L126*J126/R126,0))*VLOOKUP(B126,'2-Kosten per locatie'!$A$14:$C$24,3,FALSE)</f>
        <v>#DIV/0!</v>
      </c>
      <c r="P126" s="306">
        <f>IF(M126&gt;0,M126*J126/S126,0)*VLOOKUP(B126,'2-Kosten per locatie'!$A$14:$C$24,3,FALSE)</f>
        <v>0</v>
      </c>
      <c r="Q126" s="306">
        <f>IF(N126&gt;0,N126*J126/T126,0)*VLOOKUP(B126,'2-Kosten per locatie'!$A$14:$C$24,3,FALSE)</f>
        <v>0</v>
      </c>
      <c r="R126" s="307">
        <f>IF(L126="nio",0,IF(L126&gt;0,VLOOKUP(G126,'3-Productie normen'!A:P,VLOOKUP(L126,'3-Productie normen'!$B$32:$E$37,2,FALSE),FALSE)))</f>
        <v>0</v>
      </c>
      <c r="S126" s="307">
        <f t="shared" si="9"/>
        <v>0</v>
      </c>
      <c r="T126" s="307">
        <f t="shared" si="11"/>
        <v>0</v>
      </c>
      <c r="U126" s="308">
        <f>VLOOKUP(G126,'3-Productie normen'!A:N,10,FALSE)</f>
        <v>0</v>
      </c>
      <c r="V126" s="308"/>
      <c r="X126" s="309">
        <f t="shared" si="12"/>
        <v>19125</v>
      </c>
    </row>
    <row r="127" spans="1:24" ht="14.1" customHeight="1">
      <c r="A127" s="71">
        <v>127</v>
      </c>
      <c r="B127" s="300" t="s">
        <v>49</v>
      </c>
      <c r="C127" s="240" t="s">
        <v>122</v>
      </c>
      <c r="D127" s="301" t="s">
        <v>123</v>
      </c>
      <c r="E127" s="302"/>
      <c r="F127" s="280" t="s">
        <v>128</v>
      </c>
      <c r="G127" s="280" t="s">
        <v>80</v>
      </c>
      <c r="H127" s="280" t="s">
        <v>130</v>
      </c>
      <c r="I127" s="300" t="s">
        <v>130</v>
      </c>
      <c r="J127" s="303">
        <v>10</v>
      </c>
      <c r="K127" s="304">
        <f t="shared" si="8"/>
        <v>255</v>
      </c>
      <c r="L127" s="305">
        <v>255</v>
      </c>
      <c r="M127" s="305"/>
      <c r="N127" s="305"/>
      <c r="O127" s="306" t="e">
        <f>IF(L127="nio",0,IF(L127&gt;0,L127*J127/R127,0))*VLOOKUP(B127,'2-Kosten per locatie'!$A$14:$C$24,3,FALSE)</f>
        <v>#DIV/0!</v>
      </c>
      <c r="P127" s="306">
        <f>IF(M127&gt;0,M127*J127/S127,0)*VLOOKUP(B127,'2-Kosten per locatie'!$A$14:$C$24,3,FALSE)</f>
        <v>0</v>
      </c>
      <c r="Q127" s="306">
        <f>IF(N127&gt;0,N127*J127/T127,0)*VLOOKUP(B127,'2-Kosten per locatie'!$A$14:$C$24,3,FALSE)</f>
        <v>0</v>
      </c>
      <c r="R127" s="307">
        <f>IF(L127="nio",0,IF(L127&gt;0,VLOOKUP(G127,'3-Productie normen'!A:P,VLOOKUP(L127,'3-Productie normen'!$B$32:$E$37,2,FALSE),FALSE)))</f>
        <v>0</v>
      </c>
      <c r="S127" s="307">
        <f t="shared" si="9"/>
        <v>0</v>
      </c>
      <c r="T127" s="307">
        <f t="shared" si="11"/>
        <v>0</v>
      </c>
      <c r="U127" s="308">
        <f>VLOOKUP(G127,'3-Productie normen'!A:N,10,FALSE)</f>
        <v>0</v>
      </c>
      <c r="V127" s="308"/>
      <c r="X127" s="309">
        <f t="shared" si="12"/>
        <v>2550</v>
      </c>
    </row>
    <row r="128" spans="1:24" ht="14.1" customHeight="1">
      <c r="A128" s="71">
        <v>128</v>
      </c>
      <c r="B128" s="300" t="s">
        <v>49</v>
      </c>
      <c r="C128" s="240" t="s">
        <v>122</v>
      </c>
      <c r="D128" s="301" t="s">
        <v>123</v>
      </c>
      <c r="E128" s="302"/>
      <c r="F128" s="280" t="s">
        <v>139</v>
      </c>
      <c r="G128" s="280" t="s">
        <v>86</v>
      </c>
      <c r="H128" s="280" t="s">
        <v>137</v>
      </c>
      <c r="I128" s="300" t="s">
        <v>140</v>
      </c>
      <c r="J128" s="303">
        <v>1.3</v>
      </c>
      <c r="K128" s="304">
        <f t="shared" si="8"/>
        <v>1275</v>
      </c>
      <c r="L128" s="305">
        <v>255</v>
      </c>
      <c r="M128" s="305">
        <v>1020</v>
      </c>
      <c r="N128" s="305"/>
      <c r="O128" s="306" t="e">
        <f>IF(L128="nio",0,IF(L128&gt;0,L128*J128/R128,0))*VLOOKUP(B128,'2-Kosten per locatie'!$A$14:$C$24,3,FALSE)</f>
        <v>#DIV/0!</v>
      </c>
      <c r="P128" s="306" t="e">
        <f>IF(M128&gt;0,M128*J128/S128,0)*VLOOKUP(B128,'2-Kosten per locatie'!$A$14:$C$24,3,FALSE)</f>
        <v>#DIV/0!</v>
      </c>
      <c r="Q128" s="306">
        <f>IF(N128&gt;0,N128*J128/T128,0)*VLOOKUP(B128,'2-Kosten per locatie'!$A$14:$C$24,3,FALSE)</f>
        <v>0</v>
      </c>
      <c r="R128" s="307">
        <f>IF(L128="nio",0,IF(L128&gt;0,VLOOKUP(G128,'3-Productie normen'!A:P,VLOOKUP(L128,'3-Productie normen'!$B$32:$E$37,2,FALSE),FALSE)))</f>
        <v>0</v>
      </c>
      <c r="S128" s="307">
        <f t="shared" si="9"/>
        <v>0</v>
      </c>
      <c r="T128" s="307">
        <f t="shared" si="11"/>
        <v>0</v>
      </c>
      <c r="U128" s="308">
        <f>VLOOKUP(G128,'3-Productie normen'!A:N,10,FALSE)</f>
        <v>0</v>
      </c>
      <c r="V128" s="308"/>
      <c r="X128" s="309">
        <f t="shared" si="12"/>
        <v>1657.5</v>
      </c>
    </row>
    <row r="129" spans="1:24" ht="14.1" customHeight="1">
      <c r="A129" s="71">
        <v>129</v>
      </c>
      <c r="B129" s="300" t="s">
        <v>49</v>
      </c>
      <c r="C129" s="240" t="s">
        <v>122</v>
      </c>
      <c r="D129" s="301" t="s">
        <v>123</v>
      </c>
      <c r="E129" s="302"/>
      <c r="F129" s="280" t="s">
        <v>139</v>
      </c>
      <c r="G129" s="280" t="s">
        <v>86</v>
      </c>
      <c r="H129" s="280" t="s">
        <v>137</v>
      </c>
      <c r="I129" s="300" t="s">
        <v>140</v>
      </c>
      <c r="J129" s="303">
        <v>1</v>
      </c>
      <c r="K129" s="304">
        <f t="shared" si="8"/>
        <v>1275</v>
      </c>
      <c r="L129" s="305">
        <v>255</v>
      </c>
      <c r="M129" s="305">
        <v>1020</v>
      </c>
      <c r="N129" s="305"/>
      <c r="O129" s="306" t="e">
        <f>IF(L129="nio",0,IF(L129&gt;0,L129*J129/R129,0))*VLOOKUP(B129,'2-Kosten per locatie'!$A$14:$C$24,3,FALSE)</f>
        <v>#DIV/0!</v>
      </c>
      <c r="P129" s="306" t="e">
        <f>IF(M129&gt;0,M129*J129/S129,0)*VLOOKUP(B129,'2-Kosten per locatie'!$A$14:$C$24,3,FALSE)</f>
        <v>#DIV/0!</v>
      </c>
      <c r="Q129" s="306">
        <f>IF(N129&gt;0,N129*J129/T129,0)*VLOOKUP(B129,'2-Kosten per locatie'!$A$14:$C$24,3,FALSE)</f>
        <v>0</v>
      </c>
      <c r="R129" s="307">
        <f>IF(L129="nio",0,IF(L129&gt;0,VLOOKUP(G129,'3-Productie normen'!A:P,VLOOKUP(L129,'3-Productie normen'!$B$32:$E$37,2,FALSE),FALSE)))</f>
        <v>0</v>
      </c>
      <c r="S129" s="307">
        <f t="shared" si="9"/>
        <v>0</v>
      </c>
      <c r="T129" s="307">
        <f t="shared" si="11"/>
        <v>0</v>
      </c>
      <c r="U129" s="308">
        <f>VLOOKUP(G129,'3-Productie normen'!A:N,10,FALSE)</f>
        <v>0</v>
      </c>
      <c r="V129" s="308"/>
      <c r="X129" s="309">
        <f t="shared" si="12"/>
        <v>1275</v>
      </c>
    </row>
    <row r="130" spans="1:24" ht="14.1" customHeight="1">
      <c r="A130" s="71">
        <v>130</v>
      </c>
      <c r="B130" s="300" t="s">
        <v>49</v>
      </c>
      <c r="C130" s="240" t="s">
        <v>122</v>
      </c>
      <c r="D130" s="301" t="s">
        <v>123</v>
      </c>
      <c r="E130" s="302"/>
      <c r="F130" s="280" t="s">
        <v>139</v>
      </c>
      <c r="G130" s="280" t="s">
        <v>86</v>
      </c>
      <c r="H130" s="280" t="s">
        <v>137</v>
      </c>
      <c r="I130" s="300" t="s">
        <v>140</v>
      </c>
      <c r="J130" s="303">
        <v>5.6</v>
      </c>
      <c r="K130" s="304">
        <f t="shared" si="8"/>
        <v>1275</v>
      </c>
      <c r="L130" s="305">
        <v>255</v>
      </c>
      <c r="M130" s="305">
        <v>1020</v>
      </c>
      <c r="N130" s="305"/>
      <c r="O130" s="306" t="e">
        <f>IF(L130="nio",0,IF(L130&gt;0,L130*J130/R130,0))*VLOOKUP(B130,'2-Kosten per locatie'!$A$14:$C$24,3,FALSE)</f>
        <v>#DIV/0!</v>
      </c>
      <c r="P130" s="306" t="e">
        <f>IF(M130&gt;0,M130*J130/S130,0)*VLOOKUP(B130,'2-Kosten per locatie'!$A$14:$C$24,3,FALSE)</f>
        <v>#DIV/0!</v>
      </c>
      <c r="Q130" s="306">
        <f>IF(N130&gt;0,N130*J130/T130,0)*VLOOKUP(B130,'2-Kosten per locatie'!$A$14:$C$24,3,FALSE)</f>
        <v>0</v>
      </c>
      <c r="R130" s="307">
        <f>IF(L130="nio",0,IF(L130&gt;0,VLOOKUP(G130,'3-Productie normen'!A:P,VLOOKUP(L130,'3-Productie normen'!$B$32:$E$37,2,FALSE),FALSE)))</f>
        <v>0</v>
      </c>
      <c r="S130" s="307">
        <f t="shared" si="9"/>
        <v>0</v>
      </c>
      <c r="T130" s="307">
        <f t="shared" si="11"/>
        <v>0</v>
      </c>
      <c r="U130" s="308">
        <f>VLOOKUP(G130,'3-Productie normen'!A:N,10,FALSE)</f>
        <v>0</v>
      </c>
      <c r="V130" s="308"/>
      <c r="X130" s="309">
        <f t="shared" si="12"/>
        <v>7140</v>
      </c>
    </row>
    <row r="131" spans="1:24" ht="14.1" customHeight="1">
      <c r="A131" s="71">
        <v>131</v>
      </c>
      <c r="B131" s="300" t="s">
        <v>49</v>
      </c>
      <c r="C131" s="240" t="s">
        <v>122</v>
      </c>
      <c r="D131" s="301" t="s">
        <v>123</v>
      </c>
      <c r="E131" s="302"/>
      <c r="F131" s="280" t="s">
        <v>139</v>
      </c>
      <c r="G131" s="280" t="s">
        <v>86</v>
      </c>
      <c r="H131" s="280" t="s">
        <v>137</v>
      </c>
      <c r="I131" s="300" t="s">
        <v>140</v>
      </c>
      <c r="J131" s="303">
        <v>1</v>
      </c>
      <c r="K131" s="304">
        <f t="shared" si="8"/>
        <v>1275</v>
      </c>
      <c r="L131" s="305">
        <v>255</v>
      </c>
      <c r="M131" s="305">
        <v>1020</v>
      </c>
      <c r="N131" s="305"/>
      <c r="O131" s="306" t="e">
        <f>IF(L131="nio",0,IF(L131&gt;0,L131*J131/R131,0))*VLOOKUP(B131,'2-Kosten per locatie'!$A$14:$C$24,3,FALSE)</f>
        <v>#DIV/0!</v>
      </c>
      <c r="P131" s="306" t="e">
        <f>IF(M131&gt;0,M131*J131/S131,0)*VLOOKUP(B131,'2-Kosten per locatie'!$A$14:$C$24,3,FALSE)</f>
        <v>#DIV/0!</v>
      </c>
      <c r="Q131" s="306">
        <f>IF(N131&gt;0,N131*J131/T131,0)*VLOOKUP(B131,'2-Kosten per locatie'!$A$14:$C$24,3,FALSE)</f>
        <v>0</v>
      </c>
      <c r="R131" s="307">
        <f>IF(L131="nio",0,IF(L131&gt;0,VLOOKUP(G131,'3-Productie normen'!A:P,VLOOKUP(L131,'3-Productie normen'!$B$32:$E$37,2,FALSE),FALSE)))</f>
        <v>0</v>
      </c>
      <c r="S131" s="307">
        <f t="shared" si="9"/>
        <v>0</v>
      </c>
      <c r="T131" s="307">
        <f t="shared" si="11"/>
        <v>0</v>
      </c>
      <c r="U131" s="308">
        <f>VLOOKUP(G131,'3-Productie normen'!A:N,10,FALSE)</f>
        <v>0</v>
      </c>
      <c r="V131" s="308"/>
      <c r="X131" s="309">
        <f t="shared" si="12"/>
        <v>1275</v>
      </c>
    </row>
    <row r="132" spans="1:24" ht="14.1" customHeight="1">
      <c r="A132" s="71">
        <v>132</v>
      </c>
      <c r="B132" s="300" t="s">
        <v>49</v>
      </c>
      <c r="C132" s="240" t="s">
        <v>122</v>
      </c>
      <c r="D132" s="301" t="s">
        <v>123</v>
      </c>
      <c r="E132" s="302"/>
      <c r="F132" s="280" t="s">
        <v>142</v>
      </c>
      <c r="G132" s="280" t="s">
        <v>89</v>
      </c>
      <c r="H132" s="280" t="s">
        <v>125</v>
      </c>
      <c r="I132" s="300" t="s">
        <v>126</v>
      </c>
      <c r="J132" s="303">
        <v>29</v>
      </c>
      <c r="K132" s="304">
        <f t="shared" si="8"/>
        <v>255</v>
      </c>
      <c r="L132" s="305">
        <v>255</v>
      </c>
      <c r="M132" s="305"/>
      <c r="N132" s="305"/>
      <c r="O132" s="306" t="e">
        <f>IF(L132="nio",0,IF(L132&gt;0,L132*J132/R132,0))*VLOOKUP(B132,'2-Kosten per locatie'!$A$14:$C$24,3,FALSE)</f>
        <v>#DIV/0!</v>
      </c>
      <c r="P132" s="306">
        <f>IF(M132&gt;0,M132*J132/S132,0)*VLOOKUP(B132,'2-Kosten per locatie'!$A$14:$C$24,3,FALSE)</f>
        <v>0</v>
      </c>
      <c r="Q132" s="306">
        <f>IF(N132&gt;0,N132*J132/T132,0)*VLOOKUP(B132,'2-Kosten per locatie'!$A$14:$C$24,3,FALSE)</f>
        <v>0</v>
      </c>
      <c r="R132" s="307">
        <f>IF(L132="nio",0,IF(L132&gt;0,VLOOKUP(G132,'3-Productie normen'!A:P,VLOOKUP(L132,'3-Productie normen'!$B$32:$E$37,2,FALSE),FALSE)))</f>
        <v>0</v>
      </c>
      <c r="S132" s="307">
        <f t="shared" si="9"/>
        <v>0</v>
      </c>
      <c r="T132" s="307">
        <f t="shared" si="11"/>
        <v>0</v>
      </c>
      <c r="U132" s="308">
        <f>VLOOKUP(G132,'3-Productie normen'!A:N,10,FALSE)</f>
        <v>0</v>
      </c>
      <c r="V132" s="308"/>
      <c r="X132" s="309">
        <f t="shared" si="12"/>
        <v>7395</v>
      </c>
    </row>
    <row r="133" spans="1:24" ht="14.1" customHeight="1">
      <c r="A133" s="71">
        <v>133</v>
      </c>
      <c r="B133" s="300" t="s">
        <v>49</v>
      </c>
      <c r="C133" s="240" t="s">
        <v>122</v>
      </c>
      <c r="D133" s="301" t="s">
        <v>143</v>
      </c>
      <c r="E133" s="302"/>
      <c r="F133" s="280" t="s">
        <v>78</v>
      </c>
      <c r="G133" s="280" t="s">
        <v>78</v>
      </c>
      <c r="H133" s="280" t="s">
        <v>125</v>
      </c>
      <c r="I133" s="300" t="s">
        <v>126</v>
      </c>
      <c r="J133" s="303">
        <v>16</v>
      </c>
      <c r="K133" s="304">
        <f t="shared" si="8"/>
        <v>255</v>
      </c>
      <c r="L133" s="305">
        <v>255</v>
      </c>
      <c r="M133" s="305"/>
      <c r="N133" s="305"/>
      <c r="O133" s="306" t="e">
        <f>IF(L133="nio",0,IF(L133&gt;0,L133*J133/R133,0))*VLOOKUP(B133,'2-Kosten per locatie'!$A$14:$C$24,3,FALSE)</f>
        <v>#DIV/0!</v>
      </c>
      <c r="P133" s="306">
        <f>IF(M133&gt;0,M133*J133/S133,0)*VLOOKUP(B133,'2-Kosten per locatie'!$A$14:$C$24,3,FALSE)</f>
        <v>0</v>
      </c>
      <c r="Q133" s="306">
        <f>IF(N133&gt;0,N133*J133/T133,0)*VLOOKUP(B133,'2-Kosten per locatie'!$A$14:$C$24,3,FALSE)</f>
        <v>0</v>
      </c>
      <c r="R133" s="307">
        <f>IF(L133="nio",0,IF(L133&gt;0,VLOOKUP(G133,'3-Productie normen'!A:P,VLOOKUP(L133,'3-Productie normen'!$B$32:$E$37,2,FALSE),FALSE)))</f>
        <v>0</v>
      </c>
      <c r="S133" s="307">
        <f t="shared" si="9"/>
        <v>0</v>
      </c>
      <c r="T133" s="307">
        <f t="shared" si="11"/>
        <v>0</v>
      </c>
      <c r="U133" s="308">
        <f>VLOOKUP(G133,'3-Productie normen'!A:N,10,FALSE)</f>
        <v>0</v>
      </c>
      <c r="V133" s="308"/>
      <c r="X133" s="309">
        <f t="shared" si="12"/>
        <v>4080</v>
      </c>
    </row>
    <row r="134" spans="1:24" ht="14.1" customHeight="1">
      <c r="A134" s="71">
        <v>134</v>
      </c>
      <c r="B134" s="300" t="s">
        <v>49</v>
      </c>
      <c r="C134" s="240" t="s">
        <v>122</v>
      </c>
      <c r="D134" s="301" t="s">
        <v>143</v>
      </c>
      <c r="E134" s="302"/>
      <c r="F134" s="280" t="s">
        <v>142</v>
      </c>
      <c r="G134" s="280" t="s">
        <v>89</v>
      </c>
      <c r="H134" s="280" t="s">
        <v>125</v>
      </c>
      <c r="I134" s="300" t="s">
        <v>126</v>
      </c>
      <c r="J134" s="303">
        <v>22</v>
      </c>
      <c r="K134" s="304">
        <f t="shared" si="8"/>
        <v>255</v>
      </c>
      <c r="L134" s="305">
        <v>255</v>
      </c>
      <c r="M134" s="305"/>
      <c r="N134" s="305"/>
      <c r="O134" s="306" t="e">
        <f>IF(L134="nio",0,IF(L134&gt;0,L134*J134/R134,0))*VLOOKUP(B134,'2-Kosten per locatie'!$A$14:$C$24,3,FALSE)</f>
        <v>#DIV/0!</v>
      </c>
      <c r="P134" s="306">
        <f>IF(M134&gt;0,M134*J134/S134,0)*VLOOKUP(B134,'2-Kosten per locatie'!$A$14:$C$24,3,FALSE)</f>
        <v>0</v>
      </c>
      <c r="Q134" s="306">
        <f>IF(N134&gt;0,N134*J134/T134,0)*VLOOKUP(B134,'2-Kosten per locatie'!$A$14:$C$24,3,FALSE)</f>
        <v>0</v>
      </c>
      <c r="R134" s="307">
        <f>IF(L134="nio",0,IF(L134&gt;0,VLOOKUP(G134,'3-Productie normen'!A:P,VLOOKUP(L134,'3-Productie normen'!$B$32:$E$37,2,FALSE),FALSE)))</f>
        <v>0</v>
      </c>
      <c r="S134" s="307">
        <f t="shared" si="9"/>
        <v>0</v>
      </c>
      <c r="T134" s="307">
        <f t="shared" si="11"/>
        <v>0</v>
      </c>
      <c r="U134" s="308">
        <f>VLOOKUP(G134,'3-Productie normen'!A:N,10,FALSE)</f>
        <v>0</v>
      </c>
      <c r="V134" s="308"/>
      <c r="X134" s="309">
        <f t="shared" si="12"/>
        <v>5610</v>
      </c>
    </row>
    <row r="135" spans="1:24" ht="14.1" customHeight="1">
      <c r="A135" s="71">
        <v>135</v>
      </c>
      <c r="B135" s="300" t="s">
        <v>49</v>
      </c>
      <c r="C135" s="240" t="s">
        <v>122</v>
      </c>
      <c r="D135" s="301" t="s">
        <v>143</v>
      </c>
      <c r="E135" s="302"/>
      <c r="F135" s="280" t="s">
        <v>139</v>
      </c>
      <c r="G135" s="280" t="s">
        <v>86</v>
      </c>
      <c r="H135" s="280" t="s">
        <v>137</v>
      </c>
      <c r="I135" s="300" t="s">
        <v>140</v>
      </c>
      <c r="J135" s="303">
        <v>5.3</v>
      </c>
      <c r="K135" s="304">
        <f t="shared" si="8"/>
        <v>1275</v>
      </c>
      <c r="L135" s="305">
        <v>255</v>
      </c>
      <c r="M135" s="305">
        <v>1020</v>
      </c>
      <c r="N135" s="305"/>
      <c r="O135" s="306" t="e">
        <f>IF(L135="nio",0,IF(L135&gt;0,L135*J135/R135,0))*VLOOKUP(B135,'2-Kosten per locatie'!$A$14:$C$24,3,FALSE)</f>
        <v>#DIV/0!</v>
      </c>
      <c r="P135" s="306" t="e">
        <f>IF(M135&gt;0,M135*J135/S135,0)*VLOOKUP(B135,'2-Kosten per locatie'!$A$14:$C$24,3,FALSE)</f>
        <v>#DIV/0!</v>
      </c>
      <c r="Q135" s="306">
        <f>IF(N135&gt;0,N135*J135/T135,0)*VLOOKUP(B135,'2-Kosten per locatie'!$A$14:$C$24,3,FALSE)</f>
        <v>0</v>
      </c>
      <c r="R135" s="307">
        <f>IF(L135="nio",0,IF(L135&gt;0,VLOOKUP(G135,'3-Productie normen'!A:P,VLOOKUP(L135,'3-Productie normen'!$B$32:$E$37,2,FALSE),FALSE)))</f>
        <v>0</v>
      </c>
      <c r="S135" s="307">
        <f t="shared" si="9"/>
        <v>0</v>
      </c>
      <c r="T135" s="307">
        <f t="shared" si="11"/>
        <v>0</v>
      </c>
      <c r="U135" s="308">
        <f>VLOOKUP(G135,'3-Productie normen'!A:N,10,FALSE)</f>
        <v>0</v>
      </c>
      <c r="V135" s="308"/>
      <c r="X135" s="309">
        <f t="shared" si="12"/>
        <v>6757.5</v>
      </c>
    </row>
    <row r="136" spans="1:24" ht="14.1" customHeight="1">
      <c r="A136" s="71">
        <v>136</v>
      </c>
      <c r="B136" s="300" t="s">
        <v>49</v>
      </c>
      <c r="C136" s="240" t="s">
        <v>122</v>
      </c>
      <c r="D136" s="301" t="s">
        <v>143</v>
      </c>
      <c r="E136" s="302"/>
      <c r="F136" s="280" t="s">
        <v>139</v>
      </c>
      <c r="G136" s="280" t="s">
        <v>86</v>
      </c>
      <c r="H136" s="280" t="s">
        <v>137</v>
      </c>
      <c r="I136" s="300" t="s">
        <v>140</v>
      </c>
      <c r="J136" s="303">
        <v>7.6</v>
      </c>
      <c r="K136" s="304">
        <f t="shared" si="8"/>
        <v>1275</v>
      </c>
      <c r="L136" s="305">
        <v>255</v>
      </c>
      <c r="M136" s="305">
        <v>1020</v>
      </c>
      <c r="N136" s="305"/>
      <c r="O136" s="306" t="e">
        <f>IF(L136="nio",0,IF(L136&gt;0,L136*J136/R136,0))*VLOOKUP(B136,'2-Kosten per locatie'!$A$14:$C$24,3,FALSE)</f>
        <v>#DIV/0!</v>
      </c>
      <c r="P136" s="306" t="e">
        <f>IF(M136&gt;0,M136*J136/S136,0)*VLOOKUP(B136,'2-Kosten per locatie'!$A$14:$C$24,3,FALSE)</f>
        <v>#DIV/0!</v>
      </c>
      <c r="Q136" s="306">
        <f>IF(N136&gt;0,N136*J136/T136,0)*VLOOKUP(B136,'2-Kosten per locatie'!$A$14:$C$24,3,FALSE)</f>
        <v>0</v>
      </c>
      <c r="R136" s="307">
        <f>IF(L136="nio",0,IF(L136&gt;0,VLOOKUP(G136,'3-Productie normen'!A:P,VLOOKUP(L136,'3-Productie normen'!$B$32:$E$37,2,FALSE),FALSE)))</f>
        <v>0</v>
      </c>
      <c r="S136" s="307">
        <f t="shared" si="9"/>
        <v>0</v>
      </c>
      <c r="T136" s="307">
        <f t="shared" si="11"/>
        <v>0</v>
      </c>
      <c r="U136" s="308">
        <f>VLOOKUP(G136,'3-Productie normen'!A:N,10,FALSE)</f>
        <v>0</v>
      </c>
      <c r="V136" s="308"/>
      <c r="X136" s="309">
        <f t="shared" si="12"/>
        <v>9690</v>
      </c>
    </row>
    <row r="137" spans="1:24" ht="14.1" customHeight="1">
      <c r="A137" s="71">
        <v>137</v>
      </c>
      <c r="B137" s="300" t="s">
        <v>49</v>
      </c>
      <c r="C137" s="240" t="s">
        <v>122</v>
      </c>
      <c r="D137" s="301" t="s">
        <v>143</v>
      </c>
      <c r="E137" s="302"/>
      <c r="F137" s="280" t="s">
        <v>139</v>
      </c>
      <c r="G137" s="280" t="s">
        <v>86</v>
      </c>
      <c r="H137" s="280" t="s">
        <v>137</v>
      </c>
      <c r="I137" s="300" t="s">
        <v>140</v>
      </c>
      <c r="J137" s="303">
        <v>3.6</v>
      </c>
      <c r="K137" s="304">
        <f t="shared" si="8"/>
        <v>1275</v>
      </c>
      <c r="L137" s="305">
        <v>255</v>
      </c>
      <c r="M137" s="305">
        <v>1020</v>
      </c>
      <c r="N137" s="305"/>
      <c r="O137" s="306" t="e">
        <f>IF(L137="nio",0,IF(L137&gt;0,L137*J137/R137,0))*VLOOKUP(B137,'2-Kosten per locatie'!$A$14:$C$24,3,FALSE)</f>
        <v>#DIV/0!</v>
      </c>
      <c r="P137" s="306" t="e">
        <f>IF(M137&gt;0,M137*J137/S137,0)*VLOOKUP(B137,'2-Kosten per locatie'!$A$14:$C$24,3,FALSE)</f>
        <v>#DIV/0!</v>
      </c>
      <c r="Q137" s="306">
        <f>IF(N137&gt;0,N137*J137/T137,0)*VLOOKUP(B137,'2-Kosten per locatie'!$A$14:$C$24,3,FALSE)</f>
        <v>0</v>
      </c>
      <c r="R137" s="307">
        <f>IF(L137="nio",0,IF(L137&gt;0,VLOOKUP(G137,'3-Productie normen'!A:P,VLOOKUP(L137,'3-Productie normen'!$B$32:$E$37,2,FALSE),FALSE)))</f>
        <v>0</v>
      </c>
      <c r="S137" s="307">
        <f t="shared" si="9"/>
        <v>0</v>
      </c>
      <c r="T137" s="307">
        <f t="shared" si="11"/>
        <v>0</v>
      </c>
      <c r="U137" s="308">
        <f>VLOOKUP(G137,'3-Productie normen'!A:N,10,FALSE)</f>
        <v>0</v>
      </c>
      <c r="V137" s="308"/>
      <c r="X137" s="309">
        <f t="shared" si="12"/>
        <v>4590</v>
      </c>
    </row>
    <row r="138" spans="1:24" ht="14.1" customHeight="1">
      <c r="A138" s="71">
        <v>138</v>
      </c>
      <c r="B138" s="300" t="s">
        <v>49</v>
      </c>
      <c r="C138" s="240" t="s">
        <v>122</v>
      </c>
      <c r="D138" s="301" t="s">
        <v>143</v>
      </c>
      <c r="E138" s="302"/>
      <c r="F138" s="280" t="s">
        <v>150</v>
      </c>
      <c r="G138" s="280" t="s">
        <v>84</v>
      </c>
      <c r="H138" s="280" t="s">
        <v>134</v>
      </c>
      <c r="I138" s="300" t="s">
        <v>134</v>
      </c>
      <c r="J138" s="303">
        <v>3</v>
      </c>
      <c r="K138" s="304">
        <f t="shared" ref="K138:K170" si="13">SUM(L138:N138)</f>
        <v>52</v>
      </c>
      <c r="L138" s="305">
        <v>52</v>
      </c>
      <c r="M138" s="305"/>
      <c r="N138" s="305"/>
      <c r="O138" s="306" t="e">
        <f>IF(L138="nio",0,IF(L138&gt;0,L138*J138/R138,0))*VLOOKUP(B138,'2-Kosten per locatie'!$A$14:$C$24,3,FALSE)</f>
        <v>#DIV/0!</v>
      </c>
      <c r="P138" s="306">
        <f>IF(M138&gt;0,M138*J138/S138,0)*VLOOKUP(B138,'2-Kosten per locatie'!$A$14:$C$24,3,FALSE)</f>
        <v>0</v>
      </c>
      <c r="Q138" s="306">
        <f>IF(N138&gt;0,N138*J138/T138,0)*VLOOKUP(B138,'2-Kosten per locatie'!$A$14:$C$24,3,FALSE)</f>
        <v>0</v>
      </c>
      <c r="R138" s="307">
        <f>IF(L138="nio",0,IF(L138&gt;0,VLOOKUP(G138,'3-Productie normen'!A:P,VLOOKUP(L138,'3-Productie normen'!$B$32:$E$37,2,FALSE),FALSE)))</f>
        <v>0</v>
      </c>
      <c r="S138" s="307">
        <f t="shared" ref="S138:S174" si="14">IF(M138&gt;0,R138*$S$8,0)</f>
        <v>0</v>
      </c>
      <c r="T138" s="307">
        <f t="shared" si="11"/>
        <v>0</v>
      </c>
      <c r="U138" s="308">
        <f>VLOOKUP(G138,'3-Productie normen'!A:N,10,FALSE)</f>
        <v>0</v>
      </c>
      <c r="V138" s="308"/>
      <c r="X138" s="309">
        <f t="shared" ref="X138:X174" si="15">K138*J138</f>
        <v>156</v>
      </c>
    </row>
    <row r="139" spans="1:24" ht="14.1" customHeight="1">
      <c r="A139" s="71">
        <v>139</v>
      </c>
      <c r="B139" s="300" t="s">
        <v>49</v>
      </c>
      <c r="C139" s="240" t="s">
        <v>122</v>
      </c>
      <c r="D139" s="301" t="s">
        <v>144</v>
      </c>
      <c r="E139" s="302"/>
      <c r="F139" s="280" t="s">
        <v>128</v>
      </c>
      <c r="G139" s="280" t="s">
        <v>80</v>
      </c>
      <c r="H139" s="280" t="s">
        <v>134</v>
      </c>
      <c r="I139" s="300" t="s">
        <v>134</v>
      </c>
      <c r="J139" s="303">
        <v>44</v>
      </c>
      <c r="K139" s="304">
        <f t="shared" si="13"/>
        <v>255</v>
      </c>
      <c r="L139" s="305">
        <v>255</v>
      </c>
      <c r="M139" s="305"/>
      <c r="N139" s="305"/>
      <c r="O139" s="306" t="e">
        <f>IF(L139="nio",0,IF(L139&gt;0,L139*J139/R139,0))*VLOOKUP(B139,'2-Kosten per locatie'!$A$14:$C$24,3,FALSE)</f>
        <v>#DIV/0!</v>
      </c>
      <c r="P139" s="306">
        <f>IF(M139&gt;0,M139*J139/S139,0)*VLOOKUP(B139,'2-Kosten per locatie'!$A$14:$C$24,3,FALSE)</f>
        <v>0</v>
      </c>
      <c r="Q139" s="306">
        <f>IF(N139&gt;0,N139*J139/T139,0)*VLOOKUP(B139,'2-Kosten per locatie'!$A$14:$C$24,3,FALSE)</f>
        <v>0</v>
      </c>
      <c r="R139" s="307">
        <f>IF(L139="nio",0,IF(L139&gt;0,VLOOKUP(G139,'3-Productie normen'!A:P,VLOOKUP(L139,'3-Productie normen'!$B$32:$E$37,2,FALSE),FALSE)))</f>
        <v>0</v>
      </c>
      <c r="S139" s="307">
        <f t="shared" si="14"/>
        <v>0</v>
      </c>
      <c r="T139" s="307">
        <f t="shared" ref="T139:T174" si="16">IF(N139&gt;0,R139*$T$8,0)</f>
        <v>0</v>
      </c>
      <c r="U139" s="308">
        <f>VLOOKUP(G139,'3-Productie normen'!A:N,10,FALSE)</f>
        <v>0</v>
      </c>
      <c r="V139" s="308"/>
      <c r="X139" s="309">
        <f t="shared" si="15"/>
        <v>11220</v>
      </c>
    </row>
    <row r="140" spans="1:24" ht="14.1" customHeight="1">
      <c r="A140" s="71">
        <v>140</v>
      </c>
      <c r="B140" s="300" t="s">
        <v>49</v>
      </c>
      <c r="C140" s="240" t="s">
        <v>122</v>
      </c>
      <c r="D140" s="301" t="s">
        <v>144</v>
      </c>
      <c r="E140" s="302"/>
      <c r="F140" s="280" t="s">
        <v>145</v>
      </c>
      <c r="G140" s="280" t="s">
        <v>84</v>
      </c>
      <c r="H140" s="280" t="s">
        <v>134</v>
      </c>
      <c r="I140" s="300" t="s">
        <v>134</v>
      </c>
      <c r="J140" s="303">
        <v>235</v>
      </c>
      <c r="K140" s="304">
        <f t="shared" si="13"/>
        <v>52</v>
      </c>
      <c r="L140" s="305">
        <v>52</v>
      </c>
      <c r="M140" s="305"/>
      <c r="N140" s="305"/>
      <c r="O140" s="306" t="e">
        <f>IF(L140="nio",0,IF(L140&gt;0,L140*J140/R140,0))*VLOOKUP(B140,'2-Kosten per locatie'!$A$14:$C$24,3,FALSE)</f>
        <v>#DIV/0!</v>
      </c>
      <c r="P140" s="306">
        <f>IF(M140&gt;0,M140*J140/S140,0)*VLOOKUP(B140,'2-Kosten per locatie'!$A$14:$C$24,3,FALSE)</f>
        <v>0</v>
      </c>
      <c r="Q140" s="306">
        <f>IF(N140&gt;0,N140*J140/T140,0)*VLOOKUP(B140,'2-Kosten per locatie'!$A$14:$C$24,3,FALSE)</f>
        <v>0</v>
      </c>
      <c r="R140" s="307">
        <f>IF(L140="nio",0,IF(L140&gt;0,VLOOKUP(G140,'3-Productie normen'!A:P,VLOOKUP(L140,'3-Productie normen'!$B$32:$E$37,2,FALSE),FALSE)))</f>
        <v>0</v>
      </c>
      <c r="S140" s="307">
        <f t="shared" si="14"/>
        <v>0</v>
      </c>
      <c r="T140" s="307">
        <f t="shared" si="16"/>
        <v>0</v>
      </c>
      <c r="U140" s="308">
        <f>VLOOKUP(G140,'3-Productie normen'!A:N,10,FALSE)</f>
        <v>0</v>
      </c>
      <c r="V140" s="308"/>
      <c r="X140" s="309">
        <f t="shared" si="15"/>
        <v>12220</v>
      </c>
    </row>
    <row r="141" spans="1:24" ht="14.1" customHeight="1">
      <c r="A141" s="71">
        <v>141</v>
      </c>
      <c r="B141" s="300" t="s">
        <v>49</v>
      </c>
      <c r="C141" s="240" t="s">
        <v>122</v>
      </c>
      <c r="D141" s="301" t="s">
        <v>144</v>
      </c>
      <c r="E141" s="302"/>
      <c r="F141" s="280" t="s">
        <v>128</v>
      </c>
      <c r="G141" s="280" t="s">
        <v>80</v>
      </c>
      <c r="H141" s="280" t="s">
        <v>134</v>
      </c>
      <c r="I141" s="300" t="s">
        <v>134</v>
      </c>
      <c r="J141" s="303">
        <v>4.8</v>
      </c>
      <c r="K141" s="304">
        <f t="shared" si="13"/>
        <v>255</v>
      </c>
      <c r="L141" s="305">
        <v>255</v>
      </c>
      <c r="M141" s="305"/>
      <c r="N141" s="305"/>
      <c r="O141" s="306" t="e">
        <f>IF(L141="nio",0,IF(L141&gt;0,L141*J141/R141,0))*VLOOKUP(B141,'2-Kosten per locatie'!$A$14:$C$24,3,FALSE)</f>
        <v>#DIV/0!</v>
      </c>
      <c r="P141" s="306">
        <f>IF(M141&gt;0,M141*J141/S141,0)*VLOOKUP(B141,'2-Kosten per locatie'!$A$14:$C$24,3,FALSE)</f>
        <v>0</v>
      </c>
      <c r="Q141" s="306">
        <f>IF(N141&gt;0,N141*J141/T141,0)*VLOOKUP(B141,'2-Kosten per locatie'!$A$14:$C$24,3,FALSE)</f>
        <v>0</v>
      </c>
      <c r="R141" s="307">
        <f>IF(L141="nio",0,IF(L141&gt;0,VLOOKUP(G141,'3-Productie normen'!A:P,VLOOKUP(L141,'3-Productie normen'!$B$32:$E$37,2,FALSE),FALSE)))</f>
        <v>0</v>
      </c>
      <c r="S141" s="307">
        <f t="shared" si="14"/>
        <v>0</v>
      </c>
      <c r="T141" s="307">
        <f t="shared" si="16"/>
        <v>0</v>
      </c>
      <c r="U141" s="308">
        <f>VLOOKUP(G141,'3-Productie normen'!A:N,10,FALSE)</f>
        <v>0</v>
      </c>
      <c r="V141" s="308"/>
      <c r="X141" s="309">
        <f t="shared" si="15"/>
        <v>1224</v>
      </c>
    </row>
    <row r="142" spans="1:24" ht="14.1" customHeight="1">
      <c r="A142" s="71">
        <v>142</v>
      </c>
      <c r="B142" s="300" t="s">
        <v>49</v>
      </c>
      <c r="C142" s="240" t="s">
        <v>122</v>
      </c>
      <c r="D142" s="301" t="s">
        <v>144</v>
      </c>
      <c r="E142" s="302"/>
      <c r="F142" s="280" t="s">
        <v>151</v>
      </c>
      <c r="G142" s="280" t="s">
        <v>76</v>
      </c>
      <c r="H142" s="280" t="s">
        <v>137</v>
      </c>
      <c r="I142" s="300" t="s">
        <v>140</v>
      </c>
      <c r="J142" s="303">
        <v>4.5</v>
      </c>
      <c r="K142" s="304">
        <f t="shared" si="13"/>
        <v>255</v>
      </c>
      <c r="L142" s="305">
        <v>255</v>
      </c>
      <c r="M142" s="305"/>
      <c r="N142" s="305"/>
      <c r="O142" s="306" t="e">
        <f>IF(L142="nio",0,IF(L142&gt;0,L142*J142/R142,0))*VLOOKUP(B142,'2-Kosten per locatie'!$A$14:$C$24,3,FALSE)</f>
        <v>#DIV/0!</v>
      </c>
      <c r="P142" s="306">
        <f>IF(M142&gt;0,M142*J142/S142,0)*VLOOKUP(B142,'2-Kosten per locatie'!$A$14:$C$24,3,FALSE)</f>
        <v>0</v>
      </c>
      <c r="Q142" s="306">
        <f>IF(N142&gt;0,N142*J142/T142,0)*VLOOKUP(B142,'2-Kosten per locatie'!$A$14:$C$24,3,FALSE)</f>
        <v>0</v>
      </c>
      <c r="R142" s="307">
        <f>IF(L142="nio",0,IF(L142&gt;0,VLOOKUP(G142,'3-Productie normen'!A:P,VLOOKUP(L142,'3-Productie normen'!$B$32:$E$37,2,FALSE),FALSE)))</f>
        <v>0</v>
      </c>
      <c r="S142" s="307">
        <f t="shared" si="14"/>
        <v>0</v>
      </c>
      <c r="T142" s="307">
        <f t="shared" si="16"/>
        <v>0</v>
      </c>
      <c r="U142" s="308">
        <f>VLOOKUP(G142,'3-Productie normen'!A:N,10,FALSE)</f>
        <v>0</v>
      </c>
      <c r="V142" s="308"/>
      <c r="X142" s="309">
        <f t="shared" si="15"/>
        <v>1147.5</v>
      </c>
    </row>
    <row r="143" spans="1:24" ht="14.1" customHeight="1">
      <c r="A143" s="71">
        <v>143</v>
      </c>
      <c r="B143" s="300" t="s">
        <v>49</v>
      </c>
      <c r="C143" s="240" t="s">
        <v>122</v>
      </c>
      <c r="D143" s="301" t="s">
        <v>144</v>
      </c>
      <c r="E143" s="302"/>
      <c r="F143" s="240" t="s">
        <v>151</v>
      </c>
      <c r="G143" s="240" t="s">
        <v>76</v>
      </c>
      <c r="H143" s="280" t="s">
        <v>137</v>
      </c>
      <c r="I143" s="300" t="s">
        <v>140</v>
      </c>
      <c r="J143" s="303">
        <v>7.3</v>
      </c>
      <c r="K143" s="304">
        <f t="shared" si="13"/>
        <v>255</v>
      </c>
      <c r="L143" s="305">
        <v>255</v>
      </c>
      <c r="M143" s="305"/>
      <c r="N143" s="305"/>
      <c r="O143" s="306" t="e">
        <f>IF(L143="nio",0,IF(L143&gt;0,L143*J143/R143,0))*VLOOKUP(B143,'2-Kosten per locatie'!$A$14:$C$24,3,FALSE)</f>
        <v>#DIV/0!</v>
      </c>
      <c r="P143" s="306">
        <f>IF(M143&gt;0,M143*J143/S143,0)*VLOOKUP(B143,'2-Kosten per locatie'!$A$14:$C$24,3,FALSE)</f>
        <v>0</v>
      </c>
      <c r="Q143" s="306">
        <f>IF(N143&gt;0,N143*J143/T143,0)*VLOOKUP(B143,'2-Kosten per locatie'!$A$14:$C$24,3,FALSE)</f>
        <v>0</v>
      </c>
      <c r="R143" s="307">
        <f>IF(L143="nio",0,IF(L143&gt;0,VLOOKUP(G143,'3-Productie normen'!A:P,VLOOKUP(L143,'3-Productie normen'!$B$32:$E$37,2,FALSE),FALSE)))</f>
        <v>0</v>
      </c>
      <c r="S143" s="307">
        <f t="shared" si="14"/>
        <v>0</v>
      </c>
      <c r="T143" s="307">
        <f t="shared" si="16"/>
        <v>0</v>
      </c>
      <c r="U143" s="308">
        <f>VLOOKUP(G143,'3-Productie normen'!A:N,10,FALSE)</f>
        <v>0</v>
      </c>
      <c r="V143" s="308"/>
      <c r="X143" s="309">
        <f t="shared" si="15"/>
        <v>1861.5</v>
      </c>
    </row>
    <row r="144" spans="1:24" ht="14.1" customHeight="1">
      <c r="A144" s="71">
        <v>144</v>
      </c>
      <c r="B144" s="300" t="s">
        <v>49</v>
      </c>
      <c r="C144" s="240" t="s">
        <v>122</v>
      </c>
      <c r="D144" s="301" t="s">
        <v>144</v>
      </c>
      <c r="E144" s="302"/>
      <c r="F144" s="240" t="s">
        <v>128</v>
      </c>
      <c r="G144" s="240" t="s">
        <v>80</v>
      </c>
      <c r="H144" s="280" t="s">
        <v>134</v>
      </c>
      <c r="I144" s="300" t="s">
        <v>134</v>
      </c>
      <c r="J144" s="303">
        <v>16.7</v>
      </c>
      <c r="K144" s="304">
        <f t="shared" si="13"/>
        <v>255</v>
      </c>
      <c r="L144" s="305">
        <v>255</v>
      </c>
      <c r="M144" s="305"/>
      <c r="N144" s="305"/>
      <c r="O144" s="306" t="e">
        <f>IF(L144="nio",0,IF(L144&gt;0,L144*J144/R144,0))*VLOOKUP(B144,'2-Kosten per locatie'!$A$14:$C$24,3,FALSE)</f>
        <v>#DIV/0!</v>
      </c>
      <c r="P144" s="306">
        <f>IF(M144&gt;0,M144*J144/S144,0)*VLOOKUP(B144,'2-Kosten per locatie'!$A$14:$C$24,3,FALSE)</f>
        <v>0</v>
      </c>
      <c r="Q144" s="306">
        <f>IF(N144&gt;0,N144*J144/T144,0)*VLOOKUP(B144,'2-Kosten per locatie'!$A$14:$C$24,3,FALSE)</f>
        <v>0</v>
      </c>
      <c r="R144" s="307">
        <f>IF(L144="nio",0,IF(L144&gt;0,VLOOKUP(G144,'3-Productie normen'!A:P,VLOOKUP(L144,'3-Productie normen'!$B$32:$E$37,2,FALSE),FALSE)))</f>
        <v>0</v>
      </c>
      <c r="S144" s="307">
        <f t="shared" si="14"/>
        <v>0</v>
      </c>
      <c r="T144" s="307">
        <f t="shared" si="16"/>
        <v>0</v>
      </c>
      <c r="U144" s="308">
        <f>VLOOKUP(G144,'3-Productie normen'!A:N,10,FALSE)</f>
        <v>0</v>
      </c>
      <c r="V144" s="308"/>
      <c r="X144" s="309">
        <f t="shared" si="15"/>
        <v>4258.5</v>
      </c>
    </row>
    <row r="145" spans="1:24" ht="14.1" customHeight="1">
      <c r="A145" s="71">
        <v>145</v>
      </c>
      <c r="B145" s="300" t="s">
        <v>49</v>
      </c>
      <c r="C145" s="240" t="s">
        <v>122</v>
      </c>
      <c r="D145" s="301" t="s">
        <v>144</v>
      </c>
      <c r="E145" s="302"/>
      <c r="F145" s="240" t="s">
        <v>128</v>
      </c>
      <c r="G145" s="240" t="s">
        <v>80</v>
      </c>
      <c r="H145" s="280" t="s">
        <v>134</v>
      </c>
      <c r="I145" s="300" t="s">
        <v>134</v>
      </c>
      <c r="J145" s="303">
        <v>10.7</v>
      </c>
      <c r="K145" s="304">
        <f t="shared" si="13"/>
        <v>255</v>
      </c>
      <c r="L145" s="305">
        <v>255</v>
      </c>
      <c r="M145" s="305"/>
      <c r="N145" s="305"/>
      <c r="O145" s="306" t="e">
        <f>IF(L145="nio",0,IF(L145&gt;0,L145*J145/R145,0))*VLOOKUP(B145,'2-Kosten per locatie'!$A$14:$C$24,3,FALSE)</f>
        <v>#DIV/0!</v>
      </c>
      <c r="P145" s="306">
        <f>IF(M145&gt;0,M145*J145/S145,0)*VLOOKUP(B145,'2-Kosten per locatie'!$A$14:$C$24,3,FALSE)</f>
        <v>0</v>
      </c>
      <c r="Q145" s="306">
        <f>IF(N145&gt;0,N145*J145/T145,0)*VLOOKUP(B145,'2-Kosten per locatie'!$A$14:$C$24,3,FALSE)</f>
        <v>0</v>
      </c>
      <c r="R145" s="307">
        <f>IF(L145="nio",0,IF(L145&gt;0,VLOOKUP(G145,'3-Productie normen'!A:P,VLOOKUP(L145,'3-Productie normen'!$B$32:$E$37,2,FALSE),FALSE)))</f>
        <v>0</v>
      </c>
      <c r="S145" s="307">
        <f t="shared" si="14"/>
        <v>0</v>
      </c>
      <c r="T145" s="307">
        <f t="shared" si="16"/>
        <v>0</v>
      </c>
      <c r="U145" s="308">
        <f>VLOOKUP(G145,'3-Productie normen'!A:N,10,FALSE)</f>
        <v>0</v>
      </c>
      <c r="V145" s="308"/>
      <c r="X145" s="309">
        <f t="shared" si="15"/>
        <v>2728.5</v>
      </c>
    </row>
    <row r="146" spans="1:24" ht="14.1" customHeight="1">
      <c r="A146" s="71">
        <v>146</v>
      </c>
      <c r="B146" s="300" t="s">
        <v>49</v>
      </c>
      <c r="C146" s="240" t="s">
        <v>122</v>
      </c>
      <c r="D146" s="301" t="s">
        <v>144</v>
      </c>
      <c r="E146" s="302"/>
      <c r="F146" s="280" t="s">
        <v>145</v>
      </c>
      <c r="G146" s="280" t="s">
        <v>84</v>
      </c>
      <c r="H146" s="280" t="s">
        <v>134</v>
      </c>
      <c r="I146" s="300" t="s">
        <v>134</v>
      </c>
      <c r="J146" s="303">
        <v>35.200000000000003</v>
      </c>
      <c r="K146" s="304">
        <f t="shared" si="13"/>
        <v>52</v>
      </c>
      <c r="L146" s="305">
        <v>52</v>
      </c>
      <c r="M146" s="305"/>
      <c r="N146" s="305"/>
      <c r="O146" s="306" t="e">
        <f>IF(L146="nio",0,IF(L146&gt;0,L146*J146/R146,0))*VLOOKUP(B146,'2-Kosten per locatie'!$A$14:$C$24,3,FALSE)</f>
        <v>#DIV/0!</v>
      </c>
      <c r="P146" s="306">
        <f>IF(M146&gt;0,M146*J146/S146,0)*VLOOKUP(B146,'2-Kosten per locatie'!$A$14:$C$24,3,FALSE)</f>
        <v>0</v>
      </c>
      <c r="Q146" s="306">
        <f>IF(N146&gt;0,N146*J146/T146,0)*VLOOKUP(B146,'2-Kosten per locatie'!$A$14:$C$24,3,FALSE)</f>
        <v>0</v>
      </c>
      <c r="R146" s="307">
        <f>IF(L146="nio",0,IF(L146&gt;0,VLOOKUP(G146,'3-Productie normen'!A:P,VLOOKUP(L146,'3-Productie normen'!$B$32:$E$37,2,FALSE),FALSE)))</f>
        <v>0</v>
      </c>
      <c r="S146" s="307">
        <f t="shared" si="14"/>
        <v>0</v>
      </c>
      <c r="T146" s="307">
        <f t="shared" si="16"/>
        <v>0</v>
      </c>
      <c r="U146" s="308">
        <f>VLOOKUP(G146,'3-Productie normen'!A:N,10,FALSE)</f>
        <v>0</v>
      </c>
      <c r="V146" s="308"/>
      <c r="X146" s="309">
        <f t="shared" si="15"/>
        <v>1830.4</v>
      </c>
    </row>
    <row r="147" spans="1:24" ht="14.1" customHeight="1">
      <c r="A147" s="71">
        <v>147</v>
      </c>
      <c r="B147" s="300" t="s">
        <v>49</v>
      </c>
      <c r="C147" s="240" t="s">
        <v>122</v>
      </c>
      <c r="D147" s="301" t="s">
        <v>123</v>
      </c>
      <c r="E147" s="302"/>
      <c r="F147" s="280" t="s">
        <v>129</v>
      </c>
      <c r="G147" s="280" t="s">
        <v>88</v>
      </c>
      <c r="H147" s="280" t="s">
        <v>125</v>
      </c>
      <c r="I147" s="300" t="s">
        <v>126</v>
      </c>
      <c r="J147" s="303">
        <v>6.8</v>
      </c>
      <c r="K147" s="304">
        <f t="shared" si="13"/>
        <v>255</v>
      </c>
      <c r="L147" s="305">
        <v>255</v>
      </c>
      <c r="M147" s="305"/>
      <c r="N147" s="305"/>
      <c r="O147" s="306" t="e">
        <f>IF(L147="nio",0,IF(L147&gt;0,L147*J147/R147,0))*VLOOKUP(B147,'2-Kosten per locatie'!$A$14:$C$24,3,FALSE)</f>
        <v>#DIV/0!</v>
      </c>
      <c r="P147" s="306">
        <f>IF(M147&gt;0,M147*J147/S147,0)*VLOOKUP(B147,'2-Kosten per locatie'!$A$14:$C$24,3,FALSE)</f>
        <v>0</v>
      </c>
      <c r="Q147" s="306">
        <f>IF(N147&gt;0,N147*J147/T147,0)*VLOOKUP(B147,'2-Kosten per locatie'!$A$14:$C$24,3,FALSE)</f>
        <v>0</v>
      </c>
      <c r="R147" s="307">
        <f>IF(L147="nio",0,IF(L147&gt;0,VLOOKUP(G147,'3-Productie normen'!A:P,VLOOKUP(L147,'3-Productie normen'!$B$32:$E$37,2,FALSE),FALSE)))</f>
        <v>0</v>
      </c>
      <c r="S147" s="307">
        <f t="shared" si="14"/>
        <v>0</v>
      </c>
      <c r="T147" s="307">
        <f t="shared" si="16"/>
        <v>0</v>
      </c>
      <c r="U147" s="308">
        <f>VLOOKUP(G147,'3-Productie normen'!A:N,10,FALSE)</f>
        <v>0</v>
      </c>
      <c r="V147" s="308"/>
      <c r="X147" s="309">
        <f t="shared" si="15"/>
        <v>1734</v>
      </c>
    </row>
    <row r="148" spans="1:24" ht="14.1" customHeight="1">
      <c r="A148" s="71">
        <v>148</v>
      </c>
      <c r="B148" s="300" t="s">
        <v>49</v>
      </c>
      <c r="C148" s="240" t="s">
        <v>122</v>
      </c>
      <c r="D148" s="301" t="s">
        <v>123</v>
      </c>
      <c r="E148" s="302"/>
      <c r="F148" s="280" t="s">
        <v>128</v>
      </c>
      <c r="G148" s="280" t="s">
        <v>80</v>
      </c>
      <c r="H148" s="280" t="s">
        <v>125</v>
      </c>
      <c r="I148" s="300" t="s">
        <v>126</v>
      </c>
      <c r="J148" s="303">
        <v>14.8</v>
      </c>
      <c r="K148" s="304">
        <f t="shared" si="13"/>
        <v>255</v>
      </c>
      <c r="L148" s="305">
        <v>255</v>
      </c>
      <c r="M148" s="305"/>
      <c r="N148" s="305"/>
      <c r="O148" s="306" t="e">
        <f>IF(L148="nio",0,IF(L148&gt;0,L148*J148/R148,0))*VLOOKUP(B148,'2-Kosten per locatie'!$A$14:$C$24,3,FALSE)</f>
        <v>#DIV/0!</v>
      </c>
      <c r="P148" s="306">
        <f>IF(M148&gt;0,M148*J148/S148,0)*VLOOKUP(B148,'2-Kosten per locatie'!$A$14:$C$24,3,FALSE)</f>
        <v>0</v>
      </c>
      <c r="Q148" s="306">
        <f>IF(N148&gt;0,N148*J148/T148,0)*VLOOKUP(B148,'2-Kosten per locatie'!$A$14:$C$24,3,FALSE)</f>
        <v>0</v>
      </c>
      <c r="R148" s="307">
        <f>IF(L148="nio",0,IF(L148&gt;0,VLOOKUP(G148,'3-Productie normen'!A:P,VLOOKUP(L148,'3-Productie normen'!$B$32:$E$37,2,FALSE),FALSE)))</f>
        <v>0</v>
      </c>
      <c r="S148" s="307">
        <f t="shared" si="14"/>
        <v>0</v>
      </c>
      <c r="T148" s="307">
        <f t="shared" si="16"/>
        <v>0</v>
      </c>
      <c r="U148" s="308">
        <f>VLOOKUP(G148,'3-Productie normen'!A:N,10,FALSE)</f>
        <v>0</v>
      </c>
      <c r="V148" s="308"/>
      <c r="X148" s="309">
        <f t="shared" si="15"/>
        <v>3774</v>
      </c>
    </row>
    <row r="149" spans="1:24" ht="14.1" customHeight="1">
      <c r="A149" s="71">
        <v>149</v>
      </c>
      <c r="B149" s="300" t="s">
        <v>50</v>
      </c>
      <c r="C149" s="240" t="s">
        <v>152</v>
      </c>
      <c r="D149" s="301" t="s">
        <v>143</v>
      </c>
      <c r="E149" s="302"/>
      <c r="F149" s="280" t="s">
        <v>78</v>
      </c>
      <c r="G149" s="280" t="s">
        <v>78</v>
      </c>
      <c r="H149" s="280" t="s">
        <v>125</v>
      </c>
      <c r="I149" s="300" t="s">
        <v>126</v>
      </c>
      <c r="J149" s="303">
        <v>3.5</v>
      </c>
      <c r="K149" s="304">
        <f t="shared" si="13"/>
        <v>255</v>
      </c>
      <c r="L149" s="305">
        <v>255</v>
      </c>
      <c r="M149" s="305"/>
      <c r="N149" s="305"/>
      <c r="O149" s="306" t="e">
        <f>IF(L149="nio",0,IF(L149&gt;0,L149*J149/R149,0))*VLOOKUP(B149,'2-Kosten per locatie'!$A$14:$C$24,3,FALSE)</f>
        <v>#DIV/0!</v>
      </c>
      <c r="P149" s="306">
        <f>IF(M149&gt;0,M149*J149/S149,0)*VLOOKUP(B149,'2-Kosten per locatie'!$A$14:$C$24,3,FALSE)</f>
        <v>0</v>
      </c>
      <c r="Q149" s="306">
        <f>IF(N149&gt;0,N149*J149/T149,0)*VLOOKUP(B149,'2-Kosten per locatie'!$A$14:$C$24,3,FALSE)</f>
        <v>0</v>
      </c>
      <c r="R149" s="307">
        <f>IF(L149="nio",0,IF(L149&gt;0,VLOOKUP(G149,'3-Productie normen'!A:P,VLOOKUP(L149,'3-Productie normen'!$B$32:$E$37,2,FALSE),FALSE)))</f>
        <v>0</v>
      </c>
      <c r="S149" s="307">
        <f t="shared" si="14"/>
        <v>0</v>
      </c>
      <c r="T149" s="307">
        <f t="shared" si="16"/>
        <v>0</v>
      </c>
      <c r="U149" s="308">
        <f>VLOOKUP(G149,'3-Productie normen'!A:N,10,FALSE)</f>
        <v>0</v>
      </c>
      <c r="V149" s="308"/>
      <c r="X149" s="309">
        <f t="shared" si="15"/>
        <v>892.5</v>
      </c>
    </row>
    <row r="150" spans="1:24" ht="14.1" customHeight="1">
      <c r="A150" s="71">
        <v>150</v>
      </c>
      <c r="B150" s="300" t="s">
        <v>50</v>
      </c>
      <c r="C150" s="240" t="s">
        <v>152</v>
      </c>
      <c r="D150" s="301" t="s">
        <v>143</v>
      </c>
      <c r="E150" s="302"/>
      <c r="F150" s="280" t="s">
        <v>78</v>
      </c>
      <c r="G150" s="280" t="s">
        <v>78</v>
      </c>
      <c r="H150" s="280" t="s">
        <v>137</v>
      </c>
      <c r="I150" s="300" t="s">
        <v>138</v>
      </c>
      <c r="J150" s="303">
        <v>91</v>
      </c>
      <c r="K150" s="304">
        <f t="shared" si="13"/>
        <v>255</v>
      </c>
      <c r="L150" s="305">
        <v>255</v>
      </c>
      <c r="M150" s="305"/>
      <c r="N150" s="305"/>
      <c r="O150" s="306" t="e">
        <f>IF(L150="nio",0,IF(L150&gt;0,L150*J150/R150,0))*VLOOKUP(B150,'2-Kosten per locatie'!$A$14:$C$24,3,FALSE)</f>
        <v>#DIV/0!</v>
      </c>
      <c r="P150" s="306">
        <f>IF(M150&gt;0,M150*J150/S150,0)*VLOOKUP(B150,'2-Kosten per locatie'!$A$14:$C$24,3,FALSE)</f>
        <v>0</v>
      </c>
      <c r="Q150" s="306">
        <f>IF(N150&gt;0,N150*J150/T150,0)*VLOOKUP(B150,'2-Kosten per locatie'!$A$14:$C$24,3,FALSE)</f>
        <v>0</v>
      </c>
      <c r="R150" s="307">
        <f>IF(L150="nio",0,IF(L150&gt;0,VLOOKUP(G150,'3-Productie normen'!A:P,VLOOKUP(L150,'3-Productie normen'!$B$32:$E$37,2,FALSE),FALSE)))</f>
        <v>0</v>
      </c>
      <c r="S150" s="307">
        <f t="shared" si="14"/>
        <v>0</v>
      </c>
      <c r="T150" s="307">
        <f t="shared" si="16"/>
        <v>0</v>
      </c>
      <c r="U150" s="308">
        <f>VLOOKUP(G150,'3-Productie normen'!A:N,10,FALSE)</f>
        <v>0</v>
      </c>
      <c r="V150" s="308"/>
      <c r="X150" s="309">
        <f t="shared" si="15"/>
        <v>23205</v>
      </c>
    </row>
    <row r="151" spans="1:24" ht="14.1" customHeight="1">
      <c r="A151" s="71">
        <v>151</v>
      </c>
      <c r="B151" s="300" t="s">
        <v>50</v>
      </c>
      <c r="C151" s="240" t="s">
        <v>152</v>
      </c>
      <c r="D151" s="301" t="s">
        <v>143</v>
      </c>
      <c r="E151" s="302"/>
      <c r="F151" s="280" t="s">
        <v>90</v>
      </c>
      <c r="G151" s="280" t="s">
        <v>90</v>
      </c>
      <c r="H151" s="280" t="s">
        <v>153</v>
      </c>
      <c r="I151" s="300" t="s">
        <v>138</v>
      </c>
      <c r="J151" s="303"/>
      <c r="K151" s="304">
        <f t="shared" si="13"/>
        <v>0</v>
      </c>
      <c r="L151" s="305" t="s">
        <v>133</v>
      </c>
      <c r="M151" s="305"/>
      <c r="N151" s="305"/>
      <c r="O151" s="306">
        <f>IF(L151="nio",0,IF(L151&gt;0,L151*J151/R151,0))*VLOOKUP(B151,'2-Kosten per locatie'!$A$14:$C$24,3,FALSE)</f>
        <v>0</v>
      </c>
      <c r="P151" s="306">
        <f>IF(M151&gt;0,M151*J151/S151,0)*VLOOKUP(B151,'2-Kosten per locatie'!$A$14:$C$24,3,FALSE)</f>
        <v>0</v>
      </c>
      <c r="Q151" s="306">
        <f>IF(N151&gt;0,N151*J151/T151,0)*VLOOKUP(B151,'2-Kosten per locatie'!$A$14:$C$24,3,FALSE)</f>
        <v>0</v>
      </c>
      <c r="R151" s="307">
        <f>IF(L151="nio",0,IF(L151&gt;0,VLOOKUP(G151,'3-Productie normen'!A:P,VLOOKUP(L151,'3-Productie normen'!$B$32:$E$37,2,FALSE),FALSE)))</f>
        <v>0</v>
      </c>
      <c r="S151" s="307">
        <f t="shared" si="14"/>
        <v>0</v>
      </c>
      <c r="T151" s="307">
        <f t="shared" si="16"/>
        <v>0</v>
      </c>
      <c r="U151" s="308">
        <f>VLOOKUP(G151,'3-Productie normen'!A:N,10,FALSE)</f>
        <v>0</v>
      </c>
      <c r="V151" s="308"/>
      <c r="X151" s="309">
        <f t="shared" si="15"/>
        <v>0</v>
      </c>
    </row>
    <row r="152" spans="1:24" ht="14.1" customHeight="1">
      <c r="A152" s="71">
        <v>152</v>
      </c>
      <c r="B152" s="300" t="s">
        <v>50</v>
      </c>
      <c r="C152" s="240" t="s">
        <v>152</v>
      </c>
      <c r="D152" s="301" t="s">
        <v>143</v>
      </c>
      <c r="E152" s="302"/>
      <c r="F152" s="280" t="s">
        <v>90</v>
      </c>
      <c r="G152" s="280" t="s">
        <v>90</v>
      </c>
      <c r="H152" s="280" t="s">
        <v>153</v>
      </c>
      <c r="I152" s="300" t="s">
        <v>138</v>
      </c>
      <c r="J152" s="303"/>
      <c r="K152" s="304">
        <f t="shared" si="13"/>
        <v>0</v>
      </c>
      <c r="L152" s="305" t="s">
        <v>133</v>
      </c>
      <c r="M152" s="305"/>
      <c r="N152" s="305"/>
      <c r="O152" s="306">
        <f>IF(L152="nio",0,IF(L152&gt;0,L152*J152/R152,0))*VLOOKUP(B152,'2-Kosten per locatie'!$A$14:$C$24,3,FALSE)</f>
        <v>0</v>
      </c>
      <c r="P152" s="306">
        <f>IF(M152&gt;0,M152*J152/S152,0)*VLOOKUP(B152,'2-Kosten per locatie'!$A$14:$C$24,3,FALSE)</f>
        <v>0</v>
      </c>
      <c r="Q152" s="306">
        <f>IF(N152&gt;0,N152*J152/T152,0)*VLOOKUP(B152,'2-Kosten per locatie'!$A$14:$C$24,3,FALSE)</f>
        <v>0</v>
      </c>
      <c r="R152" s="307">
        <f>IF(L152="nio",0,IF(L152&gt;0,VLOOKUP(G152,'3-Productie normen'!A:P,VLOOKUP(L152,'3-Productie normen'!$B$32:$E$37,2,FALSE),FALSE)))</f>
        <v>0</v>
      </c>
      <c r="S152" s="307">
        <f t="shared" si="14"/>
        <v>0</v>
      </c>
      <c r="T152" s="307">
        <f t="shared" si="16"/>
        <v>0</v>
      </c>
      <c r="U152" s="308">
        <f>VLOOKUP(G152,'3-Productie normen'!A:N,10,FALSE)</f>
        <v>0</v>
      </c>
      <c r="V152" s="308"/>
      <c r="X152" s="309">
        <f t="shared" si="15"/>
        <v>0</v>
      </c>
    </row>
    <row r="153" spans="1:24" ht="14.1" customHeight="1">
      <c r="A153" s="71">
        <v>153</v>
      </c>
      <c r="B153" s="300" t="s">
        <v>50</v>
      </c>
      <c r="C153" s="240" t="s">
        <v>152</v>
      </c>
      <c r="D153" s="301" t="s">
        <v>143</v>
      </c>
      <c r="E153" s="302"/>
      <c r="F153" s="280" t="s">
        <v>124</v>
      </c>
      <c r="G153" s="240" t="s">
        <v>74</v>
      </c>
      <c r="H153" s="280" t="s">
        <v>134</v>
      </c>
      <c r="I153" s="300" t="s">
        <v>134</v>
      </c>
      <c r="J153" s="303">
        <v>15.7</v>
      </c>
      <c r="K153" s="304">
        <f t="shared" si="13"/>
        <v>255</v>
      </c>
      <c r="L153" s="305">
        <v>255</v>
      </c>
      <c r="M153" s="305"/>
      <c r="N153" s="305"/>
      <c r="O153" s="306" t="e">
        <f>IF(L153="nio",0,IF(L153&gt;0,L153*J153/R153,0))*VLOOKUP(B153,'2-Kosten per locatie'!$A$14:$C$24,3,FALSE)</f>
        <v>#DIV/0!</v>
      </c>
      <c r="P153" s="306">
        <f>IF(M153&gt;0,M153*J153/S153,0)*VLOOKUP(B153,'2-Kosten per locatie'!$A$14:$C$24,3,FALSE)</f>
        <v>0</v>
      </c>
      <c r="Q153" s="306">
        <f>IF(N153&gt;0,N153*J153/T153,0)*VLOOKUP(B153,'2-Kosten per locatie'!$A$14:$C$24,3,FALSE)</f>
        <v>0</v>
      </c>
      <c r="R153" s="307">
        <f>IF(L153="nio",0,IF(L153&gt;0,VLOOKUP(G153,'3-Productie normen'!A:P,VLOOKUP(L153,'3-Productie normen'!$B$32:$E$37,2,FALSE),FALSE)))</f>
        <v>0</v>
      </c>
      <c r="S153" s="307">
        <f t="shared" si="14"/>
        <v>0</v>
      </c>
      <c r="T153" s="307">
        <f t="shared" si="16"/>
        <v>0</v>
      </c>
      <c r="U153" s="308">
        <f>VLOOKUP(G153,'3-Productie normen'!A:N,10,FALSE)</f>
        <v>0</v>
      </c>
      <c r="V153" s="308"/>
      <c r="X153" s="309">
        <f t="shared" si="15"/>
        <v>4003.5</v>
      </c>
    </row>
    <row r="154" spans="1:24" ht="14.1" customHeight="1">
      <c r="A154" s="71">
        <v>154</v>
      </c>
      <c r="B154" s="300" t="s">
        <v>50</v>
      </c>
      <c r="C154" s="240" t="s">
        <v>152</v>
      </c>
      <c r="D154" s="301" t="s">
        <v>143</v>
      </c>
      <c r="E154" s="302"/>
      <c r="F154" s="280" t="s">
        <v>90</v>
      </c>
      <c r="G154" s="280" t="s">
        <v>90</v>
      </c>
      <c r="H154" s="280" t="s">
        <v>134</v>
      </c>
      <c r="I154" s="300" t="s">
        <v>134</v>
      </c>
      <c r="J154" s="303"/>
      <c r="K154" s="304">
        <f t="shared" si="13"/>
        <v>0</v>
      </c>
      <c r="L154" s="305" t="s">
        <v>133</v>
      </c>
      <c r="M154" s="305"/>
      <c r="N154" s="305"/>
      <c r="O154" s="306">
        <f>IF(L154="nio",0,IF(L154&gt;0,L154*J154/R154,0))*VLOOKUP(B154,'2-Kosten per locatie'!$A$14:$C$24,3,FALSE)</f>
        <v>0</v>
      </c>
      <c r="P154" s="306">
        <f>IF(M154&gt;0,M154*J154/S154,0)*VLOOKUP(B154,'2-Kosten per locatie'!$A$14:$C$24,3,FALSE)</f>
        <v>0</v>
      </c>
      <c r="Q154" s="306">
        <f>IF(N154&gt;0,N154*J154/T154,0)*VLOOKUP(B154,'2-Kosten per locatie'!$A$14:$C$24,3,FALSE)</f>
        <v>0</v>
      </c>
      <c r="R154" s="307">
        <f>IF(L154="nio",0,IF(L154&gt;0,VLOOKUP(G154,'3-Productie normen'!A:P,VLOOKUP(L154,'3-Productie normen'!$B$32:$E$37,2,FALSE),FALSE)))</f>
        <v>0</v>
      </c>
      <c r="S154" s="307">
        <f t="shared" si="14"/>
        <v>0</v>
      </c>
      <c r="T154" s="307">
        <f t="shared" si="16"/>
        <v>0</v>
      </c>
      <c r="U154" s="308">
        <f>VLOOKUP(G154,'3-Productie normen'!A:N,10,FALSE)</f>
        <v>0</v>
      </c>
      <c r="V154" s="308"/>
      <c r="X154" s="309">
        <f t="shared" si="15"/>
        <v>0</v>
      </c>
    </row>
    <row r="155" spans="1:24" ht="14.1" customHeight="1">
      <c r="A155" s="71">
        <v>155</v>
      </c>
      <c r="B155" s="300" t="s">
        <v>50</v>
      </c>
      <c r="C155" s="240" t="s">
        <v>152</v>
      </c>
      <c r="D155" s="301" t="s">
        <v>143</v>
      </c>
      <c r="E155" s="302"/>
      <c r="F155" s="280" t="s">
        <v>154</v>
      </c>
      <c r="G155" s="280" t="s">
        <v>85</v>
      </c>
      <c r="H155" s="280" t="s">
        <v>137</v>
      </c>
      <c r="I155" s="300" t="s">
        <v>138</v>
      </c>
      <c r="J155" s="303">
        <v>108</v>
      </c>
      <c r="K155" s="304">
        <f t="shared" si="13"/>
        <v>255</v>
      </c>
      <c r="L155" s="305">
        <v>255</v>
      </c>
      <c r="M155" s="305"/>
      <c r="N155" s="305"/>
      <c r="O155" s="306" t="e">
        <f>IF(L155="nio",0,IF(L155&gt;0,L155*J155/R155,0))*VLOOKUP(B155,'2-Kosten per locatie'!$A$14:$C$24,3,FALSE)</f>
        <v>#DIV/0!</v>
      </c>
      <c r="P155" s="306">
        <f>IF(M155&gt;0,M155*J155/S155,0)*VLOOKUP(B155,'2-Kosten per locatie'!$A$14:$C$24,3,FALSE)</f>
        <v>0</v>
      </c>
      <c r="Q155" s="306">
        <f>IF(N155&gt;0,N155*J155/T155,0)*VLOOKUP(B155,'2-Kosten per locatie'!$A$14:$C$24,3,FALSE)</f>
        <v>0</v>
      </c>
      <c r="R155" s="307">
        <f>IF(L155="nio",0,IF(L155&gt;0,VLOOKUP(G155,'3-Productie normen'!A:P,VLOOKUP(L155,'3-Productie normen'!$B$32:$E$37,2,FALSE),FALSE)))</f>
        <v>0</v>
      </c>
      <c r="S155" s="307">
        <f t="shared" si="14"/>
        <v>0</v>
      </c>
      <c r="T155" s="307">
        <f t="shared" si="16"/>
        <v>0</v>
      </c>
      <c r="U155" s="308">
        <f>VLOOKUP(G155,'3-Productie normen'!A:N,10,FALSE)</f>
        <v>0</v>
      </c>
      <c r="V155" s="308"/>
      <c r="X155" s="309">
        <f t="shared" si="15"/>
        <v>27540</v>
      </c>
    </row>
    <row r="156" spans="1:24" ht="14.1" customHeight="1">
      <c r="A156" s="71">
        <v>156</v>
      </c>
      <c r="B156" s="300" t="s">
        <v>50</v>
      </c>
      <c r="C156" s="240" t="s">
        <v>152</v>
      </c>
      <c r="D156" s="301" t="s">
        <v>143</v>
      </c>
      <c r="E156" s="302"/>
      <c r="F156" s="280" t="s">
        <v>136</v>
      </c>
      <c r="G156" s="280" t="s">
        <v>81</v>
      </c>
      <c r="H156" s="280" t="s">
        <v>137</v>
      </c>
      <c r="I156" s="300" t="s">
        <v>138</v>
      </c>
      <c r="J156" s="303">
        <v>13</v>
      </c>
      <c r="K156" s="304">
        <f t="shared" si="13"/>
        <v>255</v>
      </c>
      <c r="L156" s="305">
        <v>255</v>
      </c>
      <c r="M156" s="305"/>
      <c r="N156" s="305"/>
      <c r="O156" s="306" t="e">
        <f>IF(L156="nio",0,IF(L156&gt;0,L156*J156/R156,0))*VLOOKUP(B156,'2-Kosten per locatie'!$A$14:$C$24,3,FALSE)</f>
        <v>#DIV/0!</v>
      </c>
      <c r="P156" s="306">
        <f>IF(M156&gt;0,M156*J156/S156,0)*VLOOKUP(B156,'2-Kosten per locatie'!$A$14:$C$24,3,FALSE)</f>
        <v>0</v>
      </c>
      <c r="Q156" s="306">
        <f>IF(N156&gt;0,N156*J156/T156,0)*VLOOKUP(B156,'2-Kosten per locatie'!$A$14:$C$24,3,FALSE)</f>
        <v>0</v>
      </c>
      <c r="R156" s="307">
        <f>IF(L156="nio",0,IF(L156&gt;0,VLOOKUP(G156,'3-Productie normen'!A:P,VLOOKUP(L156,'3-Productie normen'!$B$32:$E$37,2,FALSE),FALSE)))</f>
        <v>0</v>
      </c>
      <c r="S156" s="307">
        <f t="shared" si="14"/>
        <v>0</v>
      </c>
      <c r="T156" s="307">
        <f t="shared" si="16"/>
        <v>0</v>
      </c>
      <c r="U156" s="308">
        <f>VLOOKUP(G156,'3-Productie normen'!A:N,10,FALSE)</f>
        <v>0</v>
      </c>
      <c r="V156" s="308"/>
      <c r="X156" s="309">
        <f t="shared" si="15"/>
        <v>3315</v>
      </c>
    </row>
    <row r="157" spans="1:24" ht="14.1" customHeight="1">
      <c r="A157" s="71">
        <v>157</v>
      </c>
      <c r="B157" s="300" t="s">
        <v>50</v>
      </c>
      <c r="C157" s="240" t="s">
        <v>152</v>
      </c>
      <c r="D157" s="301" t="s">
        <v>143</v>
      </c>
      <c r="E157" s="302"/>
      <c r="F157" s="280" t="s">
        <v>155</v>
      </c>
      <c r="G157" s="280" t="s">
        <v>84</v>
      </c>
      <c r="H157" s="280" t="s">
        <v>137</v>
      </c>
      <c r="I157" s="300" t="s">
        <v>138</v>
      </c>
      <c r="J157" s="303">
        <v>15</v>
      </c>
      <c r="K157" s="304">
        <f t="shared" si="13"/>
        <v>52</v>
      </c>
      <c r="L157" s="305">
        <v>52</v>
      </c>
      <c r="M157" s="305"/>
      <c r="N157" s="305"/>
      <c r="O157" s="306" t="e">
        <f>IF(L157="nio",0,IF(L157&gt;0,L157*J157/R157,0))*VLOOKUP(B157,'2-Kosten per locatie'!$A$14:$C$24,3,FALSE)</f>
        <v>#DIV/0!</v>
      </c>
      <c r="P157" s="306">
        <f>IF(M157&gt;0,M157*J157/S157,0)*VLOOKUP(B157,'2-Kosten per locatie'!$A$14:$C$24,3,FALSE)</f>
        <v>0</v>
      </c>
      <c r="Q157" s="306">
        <f>IF(N157&gt;0,N157*J157/T157,0)*VLOOKUP(B157,'2-Kosten per locatie'!$A$14:$C$24,3,FALSE)</f>
        <v>0</v>
      </c>
      <c r="R157" s="307">
        <f>IF(L157="nio",0,IF(L157&gt;0,VLOOKUP(G157,'3-Productie normen'!A:P,VLOOKUP(L157,'3-Productie normen'!$B$32:$E$37,2,FALSE),FALSE)))</f>
        <v>0</v>
      </c>
      <c r="S157" s="307">
        <f t="shared" si="14"/>
        <v>0</v>
      </c>
      <c r="T157" s="307">
        <f t="shared" si="16"/>
        <v>0</v>
      </c>
      <c r="U157" s="308">
        <f>VLOOKUP(G157,'3-Productie normen'!A:N,10,FALSE)</f>
        <v>0</v>
      </c>
      <c r="V157" s="308"/>
      <c r="X157" s="309">
        <f t="shared" si="15"/>
        <v>780</v>
      </c>
    </row>
    <row r="158" spans="1:24" ht="14.1" customHeight="1">
      <c r="A158" s="71">
        <v>158</v>
      </c>
      <c r="B158" s="300" t="s">
        <v>50</v>
      </c>
      <c r="C158" s="240" t="s">
        <v>152</v>
      </c>
      <c r="D158" s="301" t="s">
        <v>143</v>
      </c>
      <c r="E158" s="302"/>
      <c r="F158" s="240" t="s">
        <v>139</v>
      </c>
      <c r="G158" s="280" t="s">
        <v>86</v>
      </c>
      <c r="H158" s="280" t="s">
        <v>137</v>
      </c>
      <c r="I158" s="300" t="s">
        <v>140</v>
      </c>
      <c r="J158" s="303">
        <v>8</v>
      </c>
      <c r="K158" s="304">
        <f t="shared" si="13"/>
        <v>255</v>
      </c>
      <c r="L158" s="305">
        <v>255</v>
      </c>
      <c r="M158" s="305"/>
      <c r="N158" s="305"/>
      <c r="O158" s="306" t="e">
        <f>IF(L158="nio",0,IF(L158&gt;0,L158*J158/R158,0))*VLOOKUP(B158,'2-Kosten per locatie'!$A$14:$C$24,3,FALSE)</f>
        <v>#DIV/0!</v>
      </c>
      <c r="P158" s="306">
        <f>IF(M158&gt;0,M158*J158/S158,0)*VLOOKUP(B158,'2-Kosten per locatie'!$A$14:$C$24,3,FALSE)</f>
        <v>0</v>
      </c>
      <c r="Q158" s="306">
        <f>IF(N158&gt;0,N158*J158/T158,0)*VLOOKUP(B158,'2-Kosten per locatie'!$A$14:$C$24,3,FALSE)</f>
        <v>0</v>
      </c>
      <c r="R158" s="307">
        <f>IF(L158="nio",0,IF(L158&gt;0,VLOOKUP(G158,'3-Productie normen'!A:P,VLOOKUP(L158,'3-Productie normen'!$B$32:$E$37,2,FALSE),FALSE)))</f>
        <v>0</v>
      </c>
      <c r="S158" s="307">
        <f t="shared" si="14"/>
        <v>0</v>
      </c>
      <c r="T158" s="307">
        <f t="shared" si="16"/>
        <v>0</v>
      </c>
      <c r="U158" s="308">
        <f>VLOOKUP(G158,'3-Productie normen'!A:N,10,FALSE)</f>
        <v>0</v>
      </c>
      <c r="V158" s="308"/>
      <c r="X158" s="309">
        <f t="shared" si="15"/>
        <v>2040</v>
      </c>
    </row>
    <row r="159" spans="1:24" ht="14.1" customHeight="1">
      <c r="A159" s="71">
        <v>159</v>
      </c>
      <c r="B159" s="300" t="s">
        <v>50</v>
      </c>
      <c r="C159" s="240" t="s">
        <v>152</v>
      </c>
      <c r="D159" s="301" t="s">
        <v>143</v>
      </c>
      <c r="E159" s="302"/>
      <c r="F159" s="240" t="s">
        <v>139</v>
      </c>
      <c r="G159" s="280" t="s">
        <v>86</v>
      </c>
      <c r="H159" s="280" t="s">
        <v>137</v>
      </c>
      <c r="I159" s="300" t="s">
        <v>140</v>
      </c>
      <c r="J159" s="303">
        <v>9.6999999999999993</v>
      </c>
      <c r="K159" s="304">
        <f t="shared" si="13"/>
        <v>255</v>
      </c>
      <c r="L159" s="305">
        <v>255</v>
      </c>
      <c r="M159" s="305"/>
      <c r="N159" s="305"/>
      <c r="O159" s="306" t="e">
        <f>IF(L159="nio",0,IF(L159&gt;0,L159*J159/R159,0))*VLOOKUP(B159,'2-Kosten per locatie'!$A$14:$C$24,3,FALSE)</f>
        <v>#DIV/0!</v>
      </c>
      <c r="P159" s="306">
        <f>IF(M159&gt;0,M159*J159/S159,0)*VLOOKUP(B159,'2-Kosten per locatie'!$A$14:$C$24,3,FALSE)</f>
        <v>0</v>
      </c>
      <c r="Q159" s="306">
        <f>IF(N159&gt;0,N159*J159/T159,0)*VLOOKUP(B159,'2-Kosten per locatie'!$A$14:$C$24,3,FALSE)</f>
        <v>0</v>
      </c>
      <c r="R159" s="307">
        <f>IF(L159="nio",0,IF(L159&gt;0,VLOOKUP(G159,'3-Productie normen'!A:P,VLOOKUP(L159,'3-Productie normen'!$B$32:$E$37,2,FALSE),FALSE)))</f>
        <v>0</v>
      </c>
      <c r="S159" s="307">
        <f t="shared" si="14"/>
        <v>0</v>
      </c>
      <c r="T159" s="307">
        <f t="shared" si="16"/>
        <v>0</v>
      </c>
      <c r="U159" s="308">
        <f>VLOOKUP(G159,'3-Productie normen'!A:N,10,FALSE)</f>
        <v>0</v>
      </c>
      <c r="V159" s="308"/>
      <c r="X159" s="309">
        <f t="shared" si="15"/>
        <v>2473.5</v>
      </c>
    </row>
    <row r="160" spans="1:24" ht="14.1" customHeight="1">
      <c r="A160" s="71">
        <v>160</v>
      </c>
      <c r="B160" s="300" t="s">
        <v>50</v>
      </c>
      <c r="C160" s="240" t="s">
        <v>152</v>
      </c>
      <c r="D160" s="301" t="s">
        <v>143</v>
      </c>
      <c r="E160" s="302"/>
      <c r="F160" s="240" t="s">
        <v>139</v>
      </c>
      <c r="G160" s="280" t="s">
        <v>86</v>
      </c>
      <c r="H160" s="280" t="s">
        <v>137</v>
      </c>
      <c r="I160" s="300" t="s">
        <v>140</v>
      </c>
      <c r="J160" s="303">
        <v>4.3</v>
      </c>
      <c r="K160" s="304">
        <f t="shared" si="13"/>
        <v>255</v>
      </c>
      <c r="L160" s="305">
        <v>255</v>
      </c>
      <c r="M160" s="305"/>
      <c r="N160" s="305"/>
      <c r="O160" s="306" t="e">
        <f>IF(L160="nio",0,IF(L160&gt;0,L160*J160/R160,0))*VLOOKUP(B160,'2-Kosten per locatie'!$A$14:$C$24,3,FALSE)</f>
        <v>#DIV/0!</v>
      </c>
      <c r="P160" s="306">
        <f>IF(M160&gt;0,M160*J160/S160,0)*VLOOKUP(B160,'2-Kosten per locatie'!$A$14:$C$24,3,FALSE)</f>
        <v>0</v>
      </c>
      <c r="Q160" s="306">
        <f>IF(N160&gt;0,N160*J160/T160,0)*VLOOKUP(B160,'2-Kosten per locatie'!$A$14:$C$24,3,FALSE)</f>
        <v>0</v>
      </c>
      <c r="R160" s="307">
        <f>IF(L160="nio",0,IF(L160&gt;0,VLOOKUP(G160,'3-Productie normen'!A:P,VLOOKUP(L160,'3-Productie normen'!$B$32:$E$37,2,FALSE),FALSE)))</f>
        <v>0</v>
      </c>
      <c r="S160" s="307">
        <f t="shared" si="14"/>
        <v>0</v>
      </c>
      <c r="T160" s="307">
        <f t="shared" si="16"/>
        <v>0</v>
      </c>
      <c r="U160" s="308">
        <f>VLOOKUP(G160,'3-Productie normen'!A:N,10,FALSE)</f>
        <v>0</v>
      </c>
      <c r="V160" s="308"/>
      <c r="X160" s="309">
        <f t="shared" si="15"/>
        <v>1096.5</v>
      </c>
    </row>
    <row r="161" spans="1:24" ht="14.1" customHeight="1">
      <c r="A161" s="71">
        <v>161</v>
      </c>
      <c r="B161" s="300" t="s">
        <v>50</v>
      </c>
      <c r="C161" s="240" t="s">
        <v>152</v>
      </c>
      <c r="D161" s="301" t="s">
        <v>143</v>
      </c>
      <c r="E161" s="302"/>
      <c r="F161" s="280" t="s">
        <v>90</v>
      </c>
      <c r="G161" s="280" t="s">
        <v>90</v>
      </c>
      <c r="H161" s="280" t="s">
        <v>137</v>
      </c>
      <c r="I161" s="300" t="s">
        <v>138</v>
      </c>
      <c r="J161" s="303"/>
      <c r="K161" s="304">
        <f t="shared" si="13"/>
        <v>0</v>
      </c>
      <c r="L161" s="305" t="s">
        <v>133</v>
      </c>
      <c r="M161" s="305"/>
      <c r="N161" s="305"/>
      <c r="O161" s="306">
        <f>IF(L161="nio",0,IF(L161&gt;0,L161*J161/R161,0))*VLOOKUP(B161,'2-Kosten per locatie'!$A$14:$C$24,3,FALSE)</f>
        <v>0</v>
      </c>
      <c r="P161" s="306">
        <f>IF(M161&gt;0,M161*J161/S161,0)*VLOOKUP(B161,'2-Kosten per locatie'!$A$14:$C$24,3,FALSE)</f>
        <v>0</v>
      </c>
      <c r="Q161" s="306">
        <f>IF(N161&gt;0,N161*J161/T161,0)*VLOOKUP(B161,'2-Kosten per locatie'!$A$14:$C$24,3,FALSE)</f>
        <v>0</v>
      </c>
      <c r="R161" s="307">
        <f>IF(L161="nio",0,IF(L161&gt;0,VLOOKUP(G161,'3-Productie normen'!A:P,VLOOKUP(L161,'3-Productie normen'!$B$32:$E$37,2,FALSE),FALSE)))</f>
        <v>0</v>
      </c>
      <c r="S161" s="307">
        <f t="shared" si="14"/>
        <v>0</v>
      </c>
      <c r="T161" s="307">
        <f t="shared" si="16"/>
        <v>0</v>
      </c>
      <c r="U161" s="308">
        <f>VLOOKUP(G161,'3-Productie normen'!A:N,10,FALSE)</f>
        <v>0</v>
      </c>
      <c r="V161" s="308"/>
      <c r="X161" s="309">
        <f t="shared" si="15"/>
        <v>0</v>
      </c>
    </row>
    <row r="162" spans="1:24" ht="14.1" customHeight="1">
      <c r="A162" s="71">
        <v>162</v>
      </c>
      <c r="B162" s="300" t="s">
        <v>50</v>
      </c>
      <c r="C162" s="240" t="s">
        <v>152</v>
      </c>
      <c r="D162" s="301" t="s">
        <v>143</v>
      </c>
      <c r="E162" s="302"/>
      <c r="F162" s="280" t="s">
        <v>156</v>
      </c>
      <c r="G162" s="280" t="s">
        <v>82</v>
      </c>
      <c r="H162" s="280" t="s">
        <v>137</v>
      </c>
      <c r="I162" s="300" t="s">
        <v>140</v>
      </c>
      <c r="J162" s="303">
        <v>33.200000000000003</v>
      </c>
      <c r="K162" s="304">
        <f t="shared" si="13"/>
        <v>255</v>
      </c>
      <c r="L162" s="305">
        <v>255</v>
      </c>
      <c r="M162" s="305"/>
      <c r="N162" s="305"/>
      <c r="O162" s="306" t="e">
        <f>IF(L162="nio",0,IF(L162&gt;0,L162*J162/R162,0))*VLOOKUP(B162,'2-Kosten per locatie'!$A$14:$C$24,3,FALSE)</f>
        <v>#DIV/0!</v>
      </c>
      <c r="P162" s="306">
        <f>IF(M162&gt;0,M162*J162/S162,0)*VLOOKUP(B162,'2-Kosten per locatie'!$A$14:$C$24,3,FALSE)</f>
        <v>0</v>
      </c>
      <c r="Q162" s="306">
        <f>IF(N162&gt;0,N162*J162/T162,0)*VLOOKUP(B162,'2-Kosten per locatie'!$A$14:$C$24,3,FALSE)</f>
        <v>0</v>
      </c>
      <c r="R162" s="307">
        <f>IF(L162="nio",0,IF(L162&gt;0,VLOOKUP(G162,'3-Productie normen'!A:P,VLOOKUP(L162,'3-Productie normen'!$B$32:$E$37,2,FALSE),FALSE)))</f>
        <v>0</v>
      </c>
      <c r="S162" s="307">
        <f t="shared" si="14"/>
        <v>0</v>
      </c>
      <c r="T162" s="307">
        <f t="shared" si="16"/>
        <v>0</v>
      </c>
      <c r="U162" s="308">
        <f>VLOOKUP(G162,'3-Productie normen'!A:N,10,FALSE)</f>
        <v>0</v>
      </c>
      <c r="V162" s="308"/>
      <c r="X162" s="309">
        <f t="shared" si="15"/>
        <v>8466</v>
      </c>
    </row>
    <row r="163" spans="1:24" ht="14.1" customHeight="1">
      <c r="A163" s="71">
        <v>163</v>
      </c>
      <c r="B163" s="300" t="s">
        <v>50</v>
      </c>
      <c r="C163" s="240" t="s">
        <v>152</v>
      </c>
      <c r="D163" s="301" t="s">
        <v>143</v>
      </c>
      <c r="E163" s="302"/>
      <c r="F163" s="280" t="s">
        <v>156</v>
      </c>
      <c r="G163" s="280" t="s">
        <v>82</v>
      </c>
      <c r="H163" s="280" t="s">
        <v>137</v>
      </c>
      <c r="I163" s="300" t="s">
        <v>140</v>
      </c>
      <c r="J163" s="303">
        <v>16</v>
      </c>
      <c r="K163" s="304">
        <f t="shared" si="13"/>
        <v>255</v>
      </c>
      <c r="L163" s="305">
        <v>255</v>
      </c>
      <c r="M163" s="305"/>
      <c r="N163" s="305"/>
      <c r="O163" s="306" t="e">
        <f>IF(L163="nio",0,IF(L163&gt;0,L163*J163/R163,0))*VLOOKUP(B163,'2-Kosten per locatie'!$A$14:$C$24,3,FALSE)</f>
        <v>#DIV/0!</v>
      </c>
      <c r="P163" s="306">
        <f>IF(M163&gt;0,M163*J163/S163,0)*VLOOKUP(B163,'2-Kosten per locatie'!$A$14:$C$24,3,FALSE)</f>
        <v>0</v>
      </c>
      <c r="Q163" s="306">
        <f>IF(N163&gt;0,N163*J163/T163,0)*VLOOKUP(B163,'2-Kosten per locatie'!$A$14:$C$24,3,FALSE)</f>
        <v>0</v>
      </c>
      <c r="R163" s="307">
        <f>IF(L163="nio",0,IF(L163&gt;0,VLOOKUP(G163,'3-Productie normen'!A:P,VLOOKUP(L163,'3-Productie normen'!$B$32:$E$37,2,FALSE),FALSE)))</f>
        <v>0</v>
      </c>
      <c r="S163" s="307">
        <f t="shared" si="14"/>
        <v>0</v>
      </c>
      <c r="T163" s="307">
        <f t="shared" si="16"/>
        <v>0</v>
      </c>
      <c r="U163" s="308">
        <f>VLOOKUP(G163,'3-Productie normen'!A:N,10,FALSE)</f>
        <v>0</v>
      </c>
      <c r="V163" s="308"/>
      <c r="X163" s="309">
        <f t="shared" si="15"/>
        <v>4080</v>
      </c>
    </row>
    <row r="164" spans="1:24" ht="14.1" customHeight="1">
      <c r="A164" s="71">
        <v>164</v>
      </c>
      <c r="B164" s="300" t="s">
        <v>50</v>
      </c>
      <c r="C164" s="240" t="s">
        <v>152</v>
      </c>
      <c r="D164" s="301" t="s">
        <v>143</v>
      </c>
      <c r="E164" s="302"/>
      <c r="F164" s="280" t="s">
        <v>128</v>
      </c>
      <c r="G164" s="280" t="s">
        <v>80</v>
      </c>
      <c r="H164" s="280" t="s">
        <v>153</v>
      </c>
      <c r="I164" s="300" t="s">
        <v>138</v>
      </c>
      <c r="J164" s="303">
        <v>29.2</v>
      </c>
      <c r="K164" s="304">
        <f t="shared" si="13"/>
        <v>255</v>
      </c>
      <c r="L164" s="305">
        <v>255</v>
      </c>
      <c r="M164" s="305"/>
      <c r="N164" s="305"/>
      <c r="O164" s="306" t="e">
        <f>IF(L164="nio",0,IF(L164&gt;0,L164*J164/R164,0))*VLOOKUP(B164,'2-Kosten per locatie'!$A$14:$C$24,3,FALSE)</f>
        <v>#DIV/0!</v>
      </c>
      <c r="P164" s="306">
        <f>IF(M164&gt;0,M164*J164/S164,0)*VLOOKUP(B164,'2-Kosten per locatie'!$A$14:$C$24,3,FALSE)</f>
        <v>0</v>
      </c>
      <c r="Q164" s="306">
        <f>IF(N164&gt;0,N164*J164/T164,0)*VLOOKUP(B164,'2-Kosten per locatie'!$A$14:$C$24,3,FALSE)</f>
        <v>0</v>
      </c>
      <c r="R164" s="307">
        <f>IF(L164="nio",0,IF(L164&gt;0,VLOOKUP(G164,'3-Productie normen'!A:P,VLOOKUP(L164,'3-Productie normen'!$B$32:$E$37,2,FALSE),FALSE)))</f>
        <v>0</v>
      </c>
      <c r="S164" s="307">
        <f t="shared" si="14"/>
        <v>0</v>
      </c>
      <c r="T164" s="307">
        <f t="shared" si="16"/>
        <v>0</v>
      </c>
      <c r="U164" s="308">
        <f>VLOOKUP(G164,'3-Productie normen'!A:N,10,FALSE)</f>
        <v>0</v>
      </c>
      <c r="V164" s="308"/>
      <c r="X164" s="309">
        <f t="shared" si="15"/>
        <v>7446</v>
      </c>
    </row>
    <row r="165" spans="1:24" ht="14.1" customHeight="1">
      <c r="A165" s="71">
        <v>165</v>
      </c>
      <c r="B165" s="300" t="s">
        <v>50</v>
      </c>
      <c r="C165" s="240" t="s">
        <v>152</v>
      </c>
      <c r="D165" s="301" t="s">
        <v>143</v>
      </c>
      <c r="E165" s="302"/>
      <c r="F165" s="280" t="s">
        <v>90</v>
      </c>
      <c r="G165" s="280" t="s">
        <v>90</v>
      </c>
      <c r="H165" s="280" t="s">
        <v>153</v>
      </c>
      <c r="I165" s="300" t="s">
        <v>138</v>
      </c>
      <c r="J165" s="303"/>
      <c r="K165" s="304">
        <f t="shared" si="13"/>
        <v>0</v>
      </c>
      <c r="L165" s="305" t="s">
        <v>133</v>
      </c>
      <c r="M165" s="305"/>
      <c r="N165" s="305"/>
      <c r="O165" s="306">
        <f>IF(L165="nio",0,IF(L165&gt;0,L165*J165/R165,0))*VLOOKUP(B165,'2-Kosten per locatie'!$A$14:$C$24,3,FALSE)</f>
        <v>0</v>
      </c>
      <c r="P165" s="306">
        <f>IF(M165&gt;0,M165*J165/S165,0)*VLOOKUP(B165,'2-Kosten per locatie'!$A$14:$C$24,3,FALSE)</f>
        <v>0</v>
      </c>
      <c r="Q165" s="306">
        <f>IF(N165&gt;0,N165*J165/T165,0)*VLOOKUP(B165,'2-Kosten per locatie'!$A$14:$C$24,3,FALSE)</f>
        <v>0</v>
      </c>
      <c r="R165" s="307">
        <f>IF(L165="nio",0,IF(L165&gt;0,VLOOKUP(G165,'3-Productie normen'!A:P,VLOOKUP(L165,'3-Productie normen'!$B$32:$E$37,2,FALSE),FALSE)))</f>
        <v>0</v>
      </c>
      <c r="S165" s="307">
        <f t="shared" si="14"/>
        <v>0</v>
      </c>
      <c r="T165" s="307">
        <f t="shared" si="16"/>
        <v>0</v>
      </c>
      <c r="U165" s="308">
        <f>VLOOKUP(G165,'3-Productie normen'!A:N,10,FALSE)</f>
        <v>0</v>
      </c>
      <c r="V165" s="308"/>
      <c r="X165" s="309">
        <f t="shared" si="15"/>
        <v>0</v>
      </c>
    </row>
    <row r="166" spans="1:24" ht="14.1" customHeight="1">
      <c r="A166" s="71">
        <v>166</v>
      </c>
      <c r="B166" s="300" t="s">
        <v>50</v>
      </c>
      <c r="C166" s="240" t="s">
        <v>152</v>
      </c>
      <c r="D166" s="301" t="s">
        <v>143</v>
      </c>
      <c r="E166" s="302"/>
      <c r="F166" s="280" t="s">
        <v>90</v>
      </c>
      <c r="G166" s="280" t="s">
        <v>90</v>
      </c>
      <c r="H166" s="280" t="s">
        <v>125</v>
      </c>
      <c r="I166" s="300" t="s">
        <v>126</v>
      </c>
      <c r="J166" s="303"/>
      <c r="K166" s="304">
        <f t="shared" si="13"/>
        <v>0</v>
      </c>
      <c r="L166" s="305" t="s">
        <v>133</v>
      </c>
      <c r="M166" s="305"/>
      <c r="N166" s="305"/>
      <c r="O166" s="306">
        <f>IF(L166="nio",0,IF(L166&gt;0,L166*J166/R166,0))*VLOOKUP(B166,'2-Kosten per locatie'!$A$14:$C$24,3,FALSE)</f>
        <v>0</v>
      </c>
      <c r="P166" s="306">
        <f>IF(M166&gt;0,M166*J166/S166,0)*VLOOKUP(B166,'2-Kosten per locatie'!$A$14:$C$24,3,FALSE)</f>
        <v>0</v>
      </c>
      <c r="Q166" s="306">
        <f>IF(N166&gt;0,N166*J166/T166,0)*VLOOKUP(B166,'2-Kosten per locatie'!$A$14:$C$24,3,FALSE)</f>
        <v>0</v>
      </c>
      <c r="R166" s="307">
        <f>IF(L166="nio",0,IF(L166&gt;0,VLOOKUP(G166,'3-Productie normen'!A:P,VLOOKUP(L166,'3-Productie normen'!$B$32:$E$37,2,FALSE),FALSE)))</f>
        <v>0</v>
      </c>
      <c r="S166" s="307">
        <f t="shared" si="14"/>
        <v>0</v>
      </c>
      <c r="T166" s="307">
        <f t="shared" si="16"/>
        <v>0</v>
      </c>
      <c r="U166" s="308">
        <f>VLOOKUP(G166,'3-Productie normen'!A:N,10,FALSE)</f>
        <v>0</v>
      </c>
      <c r="V166" s="308"/>
      <c r="X166" s="309">
        <f t="shared" si="15"/>
        <v>0</v>
      </c>
    </row>
    <row r="167" spans="1:24" ht="14.1" customHeight="1">
      <c r="A167" s="71">
        <v>167</v>
      </c>
      <c r="B167" s="300" t="s">
        <v>50</v>
      </c>
      <c r="C167" s="240" t="s">
        <v>152</v>
      </c>
      <c r="D167" s="301" t="s">
        <v>143</v>
      </c>
      <c r="E167" s="302"/>
      <c r="F167" s="280" t="s">
        <v>90</v>
      </c>
      <c r="G167" s="280" t="s">
        <v>90</v>
      </c>
      <c r="H167" s="280" t="s">
        <v>125</v>
      </c>
      <c r="I167" s="300" t="s">
        <v>126</v>
      </c>
      <c r="J167" s="303"/>
      <c r="K167" s="304">
        <f t="shared" si="13"/>
        <v>0</v>
      </c>
      <c r="L167" s="305" t="s">
        <v>133</v>
      </c>
      <c r="M167" s="305"/>
      <c r="N167" s="305"/>
      <c r="O167" s="306">
        <f>IF(L167="nio",0,IF(L167&gt;0,L167*J167/R167,0))*VLOOKUP(B167,'2-Kosten per locatie'!$A$14:$C$24,3,FALSE)</f>
        <v>0</v>
      </c>
      <c r="P167" s="306">
        <f>IF(M167&gt;0,M167*J167/S167,0)*VLOOKUP(B167,'2-Kosten per locatie'!$A$14:$C$24,3,FALSE)</f>
        <v>0</v>
      </c>
      <c r="Q167" s="306">
        <f>IF(N167&gt;0,N167*J167/T167,0)*VLOOKUP(B167,'2-Kosten per locatie'!$A$14:$C$24,3,FALSE)</f>
        <v>0</v>
      </c>
      <c r="R167" s="307">
        <f>IF(L167="nio",0,IF(L167&gt;0,VLOOKUP(G167,'3-Productie normen'!A:P,VLOOKUP(L167,'3-Productie normen'!$B$32:$E$37,2,FALSE),FALSE)))</f>
        <v>0</v>
      </c>
      <c r="S167" s="307">
        <f t="shared" si="14"/>
        <v>0</v>
      </c>
      <c r="T167" s="307">
        <f t="shared" si="16"/>
        <v>0</v>
      </c>
      <c r="U167" s="308">
        <f>VLOOKUP(G167,'3-Productie normen'!A:N,10,FALSE)</f>
        <v>0</v>
      </c>
      <c r="V167" s="308"/>
      <c r="X167" s="309">
        <f t="shared" si="15"/>
        <v>0</v>
      </c>
    </row>
    <row r="168" spans="1:24" ht="14.1" customHeight="1">
      <c r="A168" s="71">
        <v>168</v>
      </c>
      <c r="B168" s="300" t="s">
        <v>50</v>
      </c>
      <c r="C168" s="240" t="s">
        <v>152</v>
      </c>
      <c r="D168" s="301" t="s">
        <v>143</v>
      </c>
      <c r="E168" s="302"/>
      <c r="F168" s="280" t="s">
        <v>90</v>
      </c>
      <c r="G168" s="280" t="s">
        <v>90</v>
      </c>
      <c r="H168" s="280" t="s">
        <v>125</v>
      </c>
      <c r="I168" s="300" t="s">
        <v>126</v>
      </c>
      <c r="J168" s="303"/>
      <c r="K168" s="304">
        <f t="shared" si="13"/>
        <v>0</v>
      </c>
      <c r="L168" s="305" t="s">
        <v>133</v>
      </c>
      <c r="M168" s="305"/>
      <c r="N168" s="305"/>
      <c r="O168" s="306">
        <f>IF(L168="nio",0,IF(L168&gt;0,L168*J168/R168,0))*VLOOKUP(B168,'2-Kosten per locatie'!$A$14:$C$24,3,FALSE)</f>
        <v>0</v>
      </c>
      <c r="P168" s="306">
        <f>IF(M168&gt;0,M168*J168/S168,0)*VLOOKUP(B168,'2-Kosten per locatie'!$A$14:$C$24,3,FALSE)</f>
        <v>0</v>
      </c>
      <c r="Q168" s="306">
        <f>IF(N168&gt;0,N168*J168/T168,0)*VLOOKUP(B168,'2-Kosten per locatie'!$A$14:$C$24,3,FALSE)</f>
        <v>0</v>
      </c>
      <c r="R168" s="307">
        <f>IF(L168="nio",0,IF(L168&gt;0,VLOOKUP(G168,'3-Productie normen'!A:P,VLOOKUP(L168,'3-Productie normen'!$B$32:$E$37,2,FALSE),FALSE)))</f>
        <v>0</v>
      </c>
      <c r="S168" s="307">
        <f t="shared" si="14"/>
        <v>0</v>
      </c>
      <c r="T168" s="307">
        <f t="shared" si="16"/>
        <v>0</v>
      </c>
      <c r="U168" s="308">
        <f>VLOOKUP(G168,'3-Productie normen'!A:N,10,FALSE)</f>
        <v>0</v>
      </c>
      <c r="V168" s="308"/>
      <c r="X168" s="309">
        <f t="shared" si="15"/>
        <v>0</v>
      </c>
    </row>
    <row r="169" spans="1:24" ht="14.1" customHeight="1">
      <c r="A169" s="71">
        <v>169</v>
      </c>
      <c r="B169" s="300" t="s">
        <v>50</v>
      </c>
      <c r="C169" s="240" t="s">
        <v>152</v>
      </c>
      <c r="D169" s="301" t="s">
        <v>143</v>
      </c>
      <c r="E169" s="302"/>
      <c r="F169" s="280" t="s">
        <v>146</v>
      </c>
      <c r="G169" s="280" t="s">
        <v>80</v>
      </c>
      <c r="H169" s="280" t="s">
        <v>134</v>
      </c>
      <c r="I169" s="300" t="s">
        <v>134</v>
      </c>
      <c r="J169" s="303">
        <v>4.3</v>
      </c>
      <c r="K169" s="304">
        <f t="shared" si="13"/>
        <v>255</v>
      </c>
      <c r="L169" s="305">
        <v>255</v>
      </c>
      <c r="M169" s="305"/>
      <c r="N169" s="305"/>
      <c r="O169" s="306" t="e">
        <f>IF(L169="nio",0,IF(L169&gt;0,L169*J169/R169,0))*VLOOKUP(B169,'2-Kosten per locatie'!$A$14:$C$24,3,FALSE)</f>
        <v>#DIV/0!</v>
      </c>
      <c r="P169" s="306">
        <f>IF(M169&gt;0,M169*J169/S169,0)*VLOOKUP(B169,'2-Kosten per locatie'!$A$14:$C$24,3,FALSE)</f>
        <v>0</v>
      </c>
      <c r="Q169" s="306">
        <f>IF(N169&gt;0,N169*J169/T169,0)*VLOOKUP(B169,'2-Kosten per locatie'!$A$14:$C$24,3,FALSE)</f>
        <v>0</v>
      </c>
      <c r="R169" s="307">
        <f>IF(L169="nio",0,IF(L169&gt;0,VLOOKUP(G169,'3-Productie normen'!A:P,VLOOKUP(L169,'3-Productie normen'!$B$32:$E$37,2,FALSE),FALSE)))</f>
        <v>0</v>
      </c>
      <c r="S169" s="307">
        <f t="shared" si="14"/>
        <v>0</v>
      </c>
      <c r="T169" s="307">
        <f t="shared" si="16"/>
        <v>0</v>
      </c>
      <c r="U169" s="308">
        <f>VLOOKUP(G169,'3-Productie normen'!A:N,10,FALSE)</f>
        <v>0</v>
      </c>
      <c r="V169" s="308"/>
      <c r="X169" s="309">
        <f t="shared" si="15"/>
        <v>1096.5</v>
      </c>
    </row>
    <row r="170" spans="1:24" ht="14.1" customHeight="1">
      <c r="A170" s="71">
        <v>170</v>
      </c>
      <c r="B170" s="300" t="s">
        <v>50</v>
      </c>
      <c r="C170" s="240" t="s">
        <v>152</v>
      </c>
      <c r="D170" s="301" t="s">
        <v>143</v>
      </c>
      <c r="E170" s="302"/>
      <c r="F170" s="280" t="s">
        <v>124</v>
      </c>
      <c r="G170" s="240" t="s">
        <v>74</v>
      </c>
      <c r="H170" s="280" t="s">
        <v>125</v>
      </c>
      <c r="I170" s="300" t="s">
        <v>126</v>
      </c>
      <c r="J170" s="303">
        <v>109.9</v>
      </c>
      <c r="K170" s="304">
        <f t="shared" si="13"/>
        <v>255</v>
      </c>
      <c r="L170" s="305">
        <v>255</v>
      </c>
      <c r="M170" s="305"/>
      <c r="N170" s="305"/>
      <c r="O170" s="306" t="e">
        <f>IF(L170="nio",0,IF(L170&gt;0,L170*J170/R170,0))*VLOOKUP(B170,'2-Kosten per locatie'!$A$14:$C$24,3,FALSE)</f>
        <v>#DIV/0!</v>
      </c>
      <c r="P170" s="306">
        <f>IF(M170&gt;0,M170*J170/S170,0)*VLOOKUP(B170,'2-Kosten per locatie'!$A$14:$C$24,3,FALSE)</f>
        <v>0</v>
      </c>
      <c r="Q170" s="306">
        <f>IF(N170&gt;0,N170*J170/T170,0)*VLOOKUP(B170,'2-Kosten per locatie'!$A$14:$C$24,3,FALSE)</f>
        <v>0</v>
      </c>
      <c r="R170" s="307">
        <f>IF(L170="nio",0,IF(L170&gt;0,VLOOKUP(G170,'3-Productie normen'!A:P,VLOOKUP(L170,'3-Productie normen'!$B$32:$E$37,2,FALSE),FALSE)))</f>
        <v>0</v>
      </c>
      <c r="S170" s="307">
        <f t="shared" si="14"/>
        <v>0</v>
      </c>
      <c r="T170" s="307">
        <f t="shared" si="16"/>
        <v>0</v>
      </c>
      <c r="U170" s="308">
        <f>VLOOKUP(G170,'3-Productie normen'!A:N,10,FALSE)</f>
        <v>0</v>
      </c>
      <c r="V170" s="308"/>
      <c r="X170" s="309">
        <f t="shared" si="15"/>
        <v>28024.5</v>
      </c>
    </row>
    <row r="171" spans="1:24" ht="14.1" customHeight="1">
      <c r="A171" s="71">
        <v>171</v>
      </c>
      <c r="B171" s="300" t="s">
        <v>50</v>
      </c>
      <c r="C171" s="240" t="s">
        <v>152</v>
      </c>
      <c r="D171" s="301" t="s">
        <v>143</v>
      </c>
      <c r="E171" s="302"/>
      <c r="F171" s="280" t="s">
        <v>90</v>
      </c>
      <c r="G171" s="280" t="s">
        <v>90</v>
      </c>
      <c r="H171" s="280" t="s">
        <v>130</v>
      </c>
      <c r="I171" s="300" t="s">
        <v>130</v>
      </c>
      <c r="J171" s="303"/>
      <c r="K171" s="304">
        <f t="shared" ref="K171:K234" si="17">SUM(L171:N171)</f>
        <v>0</v>
      </c>
      <c r="L171" s="305" t="s">
        <v>133</v>
      </c>
      <c r="M171" s="305"/>
      <c r="N171" s="305"/>
      <c r="O171" s="306">
        <f>IF(L171="nio",0,IF(L171&gt;0,L171*J171/R171,0))*VLOOKUP(B171,'2-Kosten per locatie'!$A$14:$C$24,3,FALSE)</f>
        <v>0</v>
      </c>
      <c r="P171" s="306">
        <f>IF(M171&gt;0,M171*J171/S171,0)*VLOOKUP(B171,'2-Kosten per locatie'!$A$14:$C$24,3,FALSE)</f>
        <v>0</v>
      </c>
      <c r="Q171" s="306">
        <f>IF(N171&gt;0,N171*J171/T171,0)*VLOOKUP(B171,'2-Kosten per locatie'!$A$14:$C$24,3,FALSE)</f>
        <v>0</v>
      </c>
      <c r="R171" s="307">
        <f>IF(L171="nio",0,IF(L171&gt;0,VLOOKUP(G171,'3-Productie normen'!A:P,VLOOKUP(L171,'3-Productie normen'!$B$32:$E$37,2,FALSE),FALSE)))</f>
        <v>0</v>
      </c>
      <c r="S171" s="307">
        <f t="shared" si="14"/>
        <v>0</v>
      </c>
      <c r="T171" s="307">
        <f t="shared" si="16"/>
        <v>0</v>
      </c>
      <c r="U171" s="308">
        <f>VLOOKUP(G171,'3-Productie normen'!A:N,10,FALSE)</f>
        <v>0</v>
      </c>
      <c r="V171" s="308"/>
      <c r="X171" s="309">
        <f t="shared" si="15"/>
        <v>0</v>
      </c>
    </row>
    <row r="172" spans="1:24" ht="14.1" customHeight="1">
      <c r="A172" s="71">
        <v>172</v>
      </c>
      <c r="B172" s="300" t="s">
        <v>50</v>
      </c>
      <c r="C172" s="240" t="s">
        <v>152</v>
      </c>
      <c r="D172" s="301" t="s">
        <v>143</v>
      </c>
      <c r="E172" s="302"/>
      <c r="F172" s="280" t="s">
        <v>90</v>
      </c>
      <c r="G172" s="280" t="s">
        <v>90</v>
      </c>
      <c r="H172" s="280" t="s">
        <v>130</v>
      </c>
      <c r="I172" s="300" t="s">
        <v>130</v>
      </c>
      <c r="J172" s="303"/>
      <c r="K172" s="304">
        <f t="shared" si="17"/>
        <v>0</v>
      </c>
      <c r="L172" s="305" t="s">
        <v>133</v>
      </c>
      <c r="M172" s="305"/>
      <c r="N172" s="305"/>
      <c r="O172" s="306">
        <f>IF(L172="nio",0,IF(L172&gt;0,L172*J172/R172,0))*VLOOKUP(B172,'2-Kosten per locatie'!$A$14:$C$24,3,FALSE)</f>
        <v>0</v>
      </c>
      <c r="P172" s="306">
        <f>IF(M172&gt;0,M172*J172/S172,0)*VLOOKUP(B172,'2-Kosten per locatie'!$A$14:$C$24,3,FALSE)</f>
        <v>0</v>
      </c>
      <c r="Q172" s="306">
        <f>IF(N172&gt;0,N172*J172/T172,0)*VLOOKUP(B172,'2-Kosten per locatie'!$A$14:$C$24,3,FALSE)</f>
        <v>0</v>
      </c>
      <c r="R172" s="307">
        <f>IF(L172="nio",0,IF(L172&gt;0,VLOOKUP(G172,'3-Productie normen'!A:P,VLOOKUP(L172,'3-Productie normen'!$B$32:$E$37,2,FALSE),FALSE)))</f>
        <v>0</v>
      </c>
      <c r="S172" s="307">
        <f t="shared" si="14"/>
        <v>0</v>
      </c>
      <c r="T172" s="307">
        <f t="shared" si="16"/>
        <v>0</v>
      </c>
      <c r="U172" s="308">
        <f>VLOOKUP(G172,'3-Productie normen'!A:N,10,FALSE)</f>
        <v>0</v>
      </c>
      <c r="V172" s="308"/>
      <c r="X172" s="309">
        <f t="shared" si="15"/>
        <v>0</v>
      </c>
    </row>
    <row r="173" spans="1:24" ht="14.1" customHeight="1">
      <c r="A173" s="71">
        <v>173</v>
      </c>
      <c r="B173" s="300" t="s">
        <v>50</v>
      </c>
      <c r="C173" s="240" t="s">
        <v>152</v>
      </c>
      <c r="D173" s="301" t="s">
        <v>143</v>
      </c>
      <c r="E173" s="302"/>
      <c r="F173" s="240" t="s">
        <v>90</v>
      </c>
      <c r="G173" s="280" t="s">
        <v>90</v>
      </c>
      <c r="H173" s="280" t="s">
        <v>130</v>
      </c>
      <c r="I173" s="300" t="s">
        <v>130</v>
      </c>
      <c r="J173" s="303"/>
      <c r="K173" s="304">
        <f t="shared" si="17"/>
        <v>0</v>
      </c>
      <c r="L173" s="305" t="s">
        <v>133</v>
      </c>
      <c r="M173" s="305"/>
      <c r="N173" s="305"/>
      <c r="O173" s="306">
        <f>IF(L173="nio",0,IF(L173&gt;0,L173*J173/R173,0))*VLOOKUP(B173,'2-Kosten per locatie'!$A$14:$C$24,3,FALSE)</f>
        <v>0</v>
      </c>
      <c r="P173" s="306">
        <f>IF(M173&gt;0,M173*J173/S173,0)*VLOOKUP(B173,'2-Kosten per locatie'!$A$14:$C$24,3,FALSE)</f>
        <v>0</v>
      </c>
      <c r="Q173" s="306">
        <f>IF(N173&gt;0,N173*J173/T173,0)*VLOOKUP(B173,'2-Kosten per locatie'!$A$14:$C$24,3,FALSE)</f>
        <v>0</v>
      </c>
      <c r="R173" s="307">
        <f>IF(L173="nio",0,IF(L173&gt;0,VLOOKUP(G173,'3-Productie normen'!A:P,VLOOKUP(L173,'3-Productie normen'!$B$32:$E$37,2,FALSE),FALSE)))</f>
        <v>0</v>
      </c>
      <c r="S173" s="307">
        <f t="shared" si="14"/>
        <v>0</v>
      </c>
      <c r="T173" s="307">
        <f t="shared" si="16"/>
        <v>0</v>
      </c>
      <c r="U173" s="308">
        <f>VLOOKUP(G173,'3-Productie normen'!A:N,10,FALSE)</f>
        <v>0</v>
      </c>
      <c r="V173" s="308"/>
      <c r="X173" s="309">
        <f t="shared" si="15"/>
        <v>0</v>
      </c>
    </row>
    <row r="174" spans="1:24" ht="14.1" customHeight="1">
      <c r="A174" s="71">
        <v>174</v>
      </c>
      <c r="B174" s="300" t="s">
        <v>50</v>
      </c>
      <c r="C174" s="240" t="s">
        <v>152</v>
      </c>
      <c r="D174" s="301" t="s">
        <v>143</v>
      </c>
      <c r="E174" s="302"/>
      <c r="F174" s="240" t="s">
        <v>90</v>
      </c>
      <c r="G174" s="280" t="s">
        <v>90</v>
      </c>
      <c r="H174" s="280" t="s">
        <v>134</v>
      </c>
      <c r="I174" s="300" t="s">
        <v>134</v>
      </c>
      <c r="J174" s="303"/>
      <c r="K174" s="304">
        <f t="shared" si="17"/>
        <v>0</v>
      </c>
      <c r="L174" s="305" t="s">
        <v>133</v>
      </c>
      <c r="M174" s="305"/>
      <c r="N174" s="305"/>
      <c r="O174" s="306">
        <f>IF(L174="nio",0,IF(L174&gt;0,L174*J174/R174,0))*VLOOKUP(B174,'2-Kosten per locatie'!$A$14:$C$24,3,FALSE)</f>
        <v>0</v>
      </c>
      <c r="P174" s="306">
        <f>IF(M174&gt;0,M174*J174/S174,0)*VLOOKUP(B174,'2-Kosten per locatie'!$A$14:$C$24,3,FALSE)</f>
        <v>0</v>
      </c>
      <c r="Q174" s="306">
        <f>IF(N174&gt;0,N174*J174/T174,0)*VLOOKUP(B174,'2-Kosten per locatie'!$A$14:$C$24,3,FALSE)</f>
        <v>0</v>
      </c>
      <c r="R174" s="307">
        <f>IF(L174="nio",0,IF(L174&gt;0,VLOOKUP(G174,'3-Productie normen'!A:P,VLOOKUP(L174,'3-Productie normen'!$B$32:$E$37,2,FALSE),FALSE)))</f>
        <v>0</v>
      </c>
      <c r="S174" s="307">
        <f t="shared" si="14"/>
        <v>0</v>
      </c>
      <c r="T174" s="307">
        <f t="shared" si="16"/>
        <v>0</v>
      </c>
      <c r="U174" s="308">
        <f>VLOOKUP(G174,'3-Productie normen'!A:N,10,FALSE)</f>
        <v>0</v>
      </c>
      <c r="V174" s="308"/>
      <c r="X174" s="309">
        <f t="shared" si="15"/>
        <v>0</v>
      </c>
    </row>
    <row r="175" spans="1:24" ht="14.1" customHeight="1">
      <c r="A175" s="71">
        <v>175</v>
      </c>
      <c r="B175" s="300" t="s">
        <v>50</v>
      </c>
      <c r="C175" s="240" t="s">
        <v>152</v>
      </c>
      <c r="D175" s="301" t="s">
        <v>123</v>
      </c>
      <c r="E175" s="302"/>
      <c r="F175" s="240" t="s">
        <v>128</v>
      </c>
      <c r="G175" s="280" t="s">
        <v>80</v>
      </c>
      <c r="H175" s="280" t="s">
        <v>157</v>
      </c>
      <c r="I175" s="300" t="s">
        <v>138</v>
      </c>
      <c r="J175" s="303">
        <v>12</v>
      </c>
      <c r="K175" s="304">
        <f t="shared" si="17"/>
        <v>52</v>
      </c>
      <c r="L175" s="305">
        <v>52</v>
      </c>
      <c r="M175" s="305"/>
      <c r="N175" s="305"/>
      <c r="O175" s="306" t="e">
        <f>IF(L175="nio",0,IF(L175&gt;0,L175*J175/R175,0))*VLOOKUP(B175,'2-Kosten per locatie'!$A$14:$C$24,3,FALSE)</f>
        <v>#DIV/0!</v>
      </c>
      <c r="P175" s="306">
        <f>IF(M175&gt;0,M175*J175/S175,0)*VLOOKUP(B175,'2-Kosten per locatie'!$A$14:$C$24,3,FALSE)</f>
        <v>0</v>
      </c>
      <c r="Q175" s="306">
        <f>IF(N175&gt;0,N175*J175/T175,0)*VLOOKUP(B175,'2-Kosten per locatie'!$A$14:$C$24,3,FALSE)</f>
        <v>0</v>
      </c>
      <c r="R175" s="307">
        <f>IF(L175="nio",0,IF(L175&gt;0,VLOOKUP(G175,'3-Productie normen'!A:P,VLOOKUP(L175,'3-Productie normen'!$B$32:$E$37,2,FALSE),FALSE)))</f>
        <v>0</v>
      </c>
      <c r="S175" s="307">
        <f t="shared" ref="S175:S238" si="18">IF(M175&gt;0,R175*$S$8,0)</f>
        <v>0</v>
      </c>
      <c r="T175" s="307">
        <f t="shared" ref="T175:T238" si="19">IF(N175&gt;0,R175*$T$8,0)</f>
        <v>0</v>
      </c>
      <c r="U175" s="308">
        <f>VLOOKUP(G175,'3-Productie normen'!A:N,10,FALSE)</f>
        <v>0</v>
      </c>
      <c r="V175" s="308"/>
      <c r="X175" s="309">
        <f t="shared" ref="X175:X238" si="20">K175*J175</f>
        <v>624</v>
      </c>
    </row>
    <row r="176" spans="1:24" ht="14.1" customHeight="1">
      <c r="A176" s="71">
        <v>176</v>
      </c>
      <c r="B176" s="300" t="s">
        <v>50</v>
      </c>
      <c r="C176" s="240" t="s">
        <v>152</v>
      </c>
      <c r="D176" s="301" t="s">
        <v>123</v>
      </c>
      <c r="E176" s="302"/>
      <c r="F176" s="240" t="s">
        <v>124</v>
      </c>
      <c r="G176" s="280" t="s">
        <v>74</v>
      </c>
      <c r="H176" s="280" t="s">
        <v>157</v>
      </c>
      <c r="I176" s="300" t="s">
        <v>138</v>
      </c>
      <c r="J176" s="303">
        <v>25</v>
      </c>
      <c r="K176" s="304">
        <f t="shared" si="17"/>
        <v>52</v>
      </c>
      <c r="L176" s="305">
        <v>52</v>
      </c>
      <c r="M176" s="305"/>
      <c r="N176" s="305"/>
      <c r="O176" s="306" t="e">
        <f>IF(L176="nio",0,IF(L176&gt;0,L176*J176/R176,0))*VLOOKUP(B176,'2-Kosten per locatie'!$A$14:$C$24,3,FALSE)</f>
        <v>#DIV/0!</v>
      </c>
      <c r="P176" s="306">
        <f>IF(M176&gt;0,M176*J176/S176,0)*VLOOKUP(B176,'2-Kosten per locatie'!$A$14:$C$24,3,FALSE)</f>
        <v>0</v>
      </c>
      <c r="Q176" s="306">
        <f>IF(N176&gt;0,N176*J176/T176,0)*VLOOKUP(B176,'2-Kosten per locatie'!$A$14:$C$24,3,FALSE)</f>
        <v>0</v>
      </c>
      <c r="R176" s="307">
        <f>IF(L176="nio",0,IF(L176&gt;0,VLOOKUP(G176,'3-Productie normen'!A:P,VLOOKUP(L176,'3-Productie normen'!$B$32:$E$37,2,FALSE),FALSE)))</f>
        <v>0</v>
      </c>
      <c r="S176" s="307">
        <f t="shared" si="18"/>
        <v>0</v>
      </c>
      <c r="T176" s="307">
        <f t="shared" si="19"/>
        <v>0</v>
      </c>
      <c r="U176" s="308">
        <f>VLOOKUP(G176,'3-Productie normen'!A:N,10,FALSE)</f>
        <v>0</v>
      </c>
      <c r="V176" s="308"/>
      <c r="X176" s="309">
        <f t="shared" si="20"/>
        <v>1300</v>
      </c>
    </row>
    <row r="177" spans="1:24" ht="14.1" customHeight="1">
      <c r="A177" s="71">
        <v>177</v>
      </c>
      <c r="B177" s="300" t="s">
        <v>50</v>
      </c>
      <c r="C177" s="240" t="s">
        <v>152</v>
      </c>
      <c r="D177" s="301" t="s">
        <v>123</v>
      </c>
      <c r="E177" s="302"/>
      <c r="F177" s="280" t="s">
        <v>124</v>
      </c>
      <c r="G177" s="280" t="s">
        <v>74</v>
      </c>
      <c r="H177" s="280" t="s">
        <v>157</v>
      </c>
      <c r="I177" s="300" t="s">
        <v>138</v>
      </c>
      <c r="J177" s="303">
        <v>25</v>
      </c>
      <c r="K177" s="304">
        <f t="shared" si="17"/>
        <v>52</v>
      </c>
      <c r="L177" s="305">
        <v>52</v>
      </c>
      <c r="M177" s="305"/>
      <c r="N177" s="305"/>
      <c r="O177" s="306" t="e">
        <f>IF(L177="nio",0,IF(L177&gt;0,L177*J177/R177,0))*VLOOKUP(B177,'2-Kosten per locatie'!$A$14:$C$24,3,FALSE)</f>
        <v>#DIV/0!</v>
      </c>
      <c r="P177" s="306">
        <f>IF(M177&gt;0,M177*J177/S177,0)*VLOOKUP(B177,'2-Kosten per locatie'!$A$14:$C$24,3,FALSE)</f>
        <v>0</v>
      </c>
      <c r="Q177" s="306">
        <f>IF(N177&gt;0,N177*J177/T177,0)*VLOOKUP(B177,'2-Kosten per locatie'!$A$14:$C$24,3,FALSE)</f>
        <v>0</v>
      </c>
      <c r="R177" s="307">
        <f>IF(L177="nio",0,IF(L177&gt;0,VLOOKUP(G177,'3-Productie normen'!A:P,VLOOKUP(L177,'3-Productie normen'!$B$32:$E$37,2,FALSE),FALSE)))</f>
        <v>0</v>
      </c>
      <c r="S177" s="307">
        <f t="shared" si="18"/>
        <v>0</v>
      </c>
      <c r="T177" s="307">
        <f t="shared" si="19"/>
        <v>0</v>
      </c>
      <c r="U177" s="308">
        <f>VLOOKUP(G177,'3-Productie normen'!A:N,10,FALSE)</f>
        <v>0</v>
      </c>
      <c r="V177" s="308"/>
      <c r="X177" s="309">
        <f t="shared" si="20"/>
        <v>1300</v>
      </c>
    </row>
    <row r="178" spans="1:24" ht="14.1" customHeight="1">
      <c r="A178" s="71">
        <v>178</v>
      </c>
      <c r="B178" s="300" t="s">
        <v>50</v>
      </c>
      <c r="C178" s="240" t="s">
        <v>152</v>
      </c>
      <c r="D178" s="301" t="s">
        <v>123</v>
      </c>
      <c r="E178" s="302"/>
      <c r="F178" s="280" t="s">
        <v>124</v>
      </c>
      <c r="G178" s="280" t="s">
        <v>74</v>
      </c>
      <c r="H178" s="280" t="s">
        <v>157</v>
      </c>
      <c r="I178" s="300" t="s">
        <v>138</v>
      </c>
      <c r="J178" s="303">
        <v>25</v>
      </c>
      <c r="K178" s="304">
        <f t="shared" si="17"/>
        <v>52</v>
      </c>
      <c r="L178" s="305">
        <v>52</v>
      </c>
      <c r="M178" s="305"/>
      <c r="N178" s="305"/>
      <c r="O178" s="306" t="e">
        <f>IF(L178="nio",0,IF(L178&gt;0,L178*J178/R178,0))*VLOOKUP(B178,'2-Kosten per locatie'!$A$14:$C$24,3,FALSE)</f>
        <v>#DIV/0!</v>
      </c>
      <c r="P178" s="306">
        <f>IF(M178&gt;0,M178*J178/S178,0)*VLOOKUP(B178,'2-Kosten per locatie'!$A$14:$C$24,3,FALSE)</f>
        <v>0</v>
      </c>
      <c r="Q178" s="306">
        <f>IF(N178&gt;0,N178*J178/T178,0)*VLOOKUP(B178,'2-Kosten per locatie'!$A$14:$C$24,3,FALSE)</f>
        <v>0</v>
      </c>
      <c r="R178" s="307">
        <f>IF(L178="nio",0,IF(L178&gt;0,VLOOKUP(G178,'3-Productie normen'!A:P,VLOOKUP(L178,'3-Productie normen'!$B$32:$E$37,2,FALSE),FALSE)))</f>
        <v>0</v>
      </c>
      <c r="S178" s="307">
        <f t="shared" si="18"/>
        <v>0</v>
      </c>
      <c r="T178" s="307">
        <f t="shared" si="19"/>
        <v>0</v>
      </c>
      <c r="U178" s="308">
        <f>VLOOKUP(G178,'3-Productie normen'!A:N,10,FALSE)</f>
        <v>0</v>
      </c>
      <c r="V178" s="308"/>
      <c r="X178" s="309">
        <f t="shared" si="20"/>
        <v>1300</v>
      </c>
    </row>
    <row r="179" spans="1:24" ht="14.1" customHeight="1">
      <c r="A179" s="71">
        <v>179</v>
      </c>
      <c r="B179" s="300" t="s">
        <v>50</v>
      </c>
      <c r="C179" s="240" t="s">
        <v>152</v>
      </c>
      <c r="D179" s="301" t="s">
        <v>123</v>
      </c>
      <c r="E179" s="302"/>
      <c r="F179" s="280" t="s">
        <v>124</v>
      </c>
      <c r="G179" s="280" t="s">
        <v>74</v>
      </c>
      <c r="H179" s="280" t="s">
        <v>157</v>
      </c>
      <c r="I179" s="300" t="s">
        <v>138</v>
      </c>
      <c r="J179" s="303">
        <v>25</v>
      </c>
      <c r="K179" s="304">
        <f t="shared" si="17"/>
        <v>52</v>
      </c>
      <c r="L179" s="305">
        <v>52</v>
      </c>
      <c r="M179" s="305"/>
      <c r="N179" s="305"/>
      <c r="O179" s="306" t="e">
        <f>IF(L179="nio",0,IF(L179&gt;0,L179*J179/R179,0))*VLOOKUP(B179,'2-Kosten per locatie'!$A$14:$C$24,3,FALSE)</f>
        <v>#DIV/0!</v>
      </c>
      <c r="P179" s="306">
        <f>IF(M179&gt;0,M179*J179/S179,0)*VLOOKUP(B179,'2-Kosten per locatie'!$A$14:$C$24,3,FALSE)</f>
        <v>0</v>
      </c>
      <c r="Q179" s="306">
        <f>IF(N179&gt;0,N179*J179/T179,0)*VLOOKUP(B179,'2-Kosten per locatie'!$A$14:$C$24,3,FALSE)</f>
        <v>0</v>
      </c>
      <c r="R179" s="307">
        <f>IF(L179="nio",0,IF(L179&gt;0,VLOOKUP(G179,'3-Productie normen'!A:P,VLOOKUP(L179,'3-Productie normen'!$B$32:$E$37,2,FALSE),FALSE)))</f>
        <v>0</v>
      </c>
      <c r="S179" s="307">
        <f t="shared" si="18"/>
        <v>0</v>
      </c>
      <c r="T179" s="307">
        <f t="shared" si="19"/>
        <v>0</v>
      </c>
      <c r="U179" s="308">
        <f>VLOOKUP(G179,'3-Productie normen'!A:N,10,FALSE)</f>
        <v>0</v>
      </c>
      <c r="V179" s="308"/>
      <c r="X179" s="309">
        <f t="shared" si="20"/>
        <v>1300</v>
      </c>
    </row>
    <row r="180" spans="1:24" ht="14.1" customHeight="1">
      <c r="A180" s="71">
        <v>180</v>
      </c>
      <c r="B180" s="300" t="s">
        <v>50</v>
      </c>
      <c r="C180" s="240" t="s">
        <v>152</v>
      </c>
      <c r="D180" s="301" t="s">
        <v>123</v>
      </c>
      <c r="E180" s="302"/>
      <c r="F180" s="280" t="s">
        <v>124</v>
      </c>
      <c r="G180" s="280" t="s">
        <v>74</v>
      </c>
      <c r="H180" s="280" t="s">
        <v>157</v>
      </c>
      <c r="I180" s="300" t="s">
        <v>138</v>
      </c>
      <c r="J180" s="303">
        <v>25</v>
      </c>
      <c r="K180" s="304">
        <f t="shared" si="17"/>
        <v>52</v>
      </c>
      <c r="L180" s="305">
        <v>52</v>
      </c>
      <c r="M180" s="305"/>
      <c r="N180" s="305"/>
      <c r="O180" s="306" t="e">
        <f>IF(L180="nio",0,IF(L180&gt;0,L180*J180/R180,0))*VLOOKUP(B180,'2-Kosten per locatie'!$A$14:$C$24,3,FALSE)</f>
        <v>#DIV/0!</v>
      </c>
      <c r="P180" s="306">
        <f>IF(M180&gt;0,M180*J180/S180,0)*VLOOKUP(B180,'2-Kosten per locatie'!$A$14:$C$24,3,FALSE)</f>
        <v>0</v>
      </c>
      <c r="Q180" s="306">
        <f>IF(N180&gt;0,N180*J180/T180,0)*VLOOKUP(B180,'2-Kosten per locatie'!$A$14:$C$24,3,FALSE)</f>
        <v>0</v>
      </c>
      <c r="R180" s="307">
        <f>IF(L180="nio",0,IF(L180&gt;0,VLOOKUP(G180,'3-Productie normen'!A:P,VLOOKUP(L180,'3-Productie normen'!$B$32:$E$37,2,FALSE),FALSE)))</f>
        <v>0</v>
      </c>
      <c r="S180" s="307">
        <f t="shared" si="18"/>
        <v>0</v>
      </c>
      <c r="T180" s="307">
        <f t="shared" si="19"/>
        <v>0</v>
      </c>
      <c r="U180" s="308">
        <f>VLOOKUP(G180,'3-Productie normen'!A:N,10,FALSE)</f>
        <v>0</v>
      </c>
      <c r="V180" s="308"/>
      <c r="X180" s="309">
        <f t="shared" si="20"/>
        <v>1300</v>
      </c>
    </row>
    <row r="181" spans="1:24" ht="14.1" customHeight="1">
      <c r="A181" s="71">
        <v>181</v>
      </c>
      <c r="B181" s="300" t="s">
        <v>50</v>
      </c>
      <c r="C181" s="240" t="s">
        <v>152</v>
      </c>
      <c r="D181" s="301" t="s">
        <v>123</v>
      </c>
      <c r="E181" s="302"/>
      <c r="F181" s="280" t="s">
        <v>124</v>
      </c>
      <c r="G181" s="280" t="s">
        <v>74</v>
      </c>
      <c r="H181" s="280" t="s">
        <v>157</v>
      </c>
      <c r="I181" s="300" t="s">
        <v>138</v>
      </c>
      <c r="J181" s="303">
        <v>10</v>
      </c>
      <c r="K181" s="304">
        <f t="shared" si="17"/>
        <v>52</v>
      </c>
      <c r="L181" s="305">
        <v>52</v>
      </c>
      <c r="M181" s="305"/>
      <c r="N181" s="305"/>
      <c r="O181" s="306" t="e">
        <f>IF(L181="nio",0,IF(L181&gt;0,L181*J181/R181,0))*VLOOKUP(B181,'2-Kosten per locatie'!$A$14:$C$24,3,FALSE)</f>
        <v>#DIV/0!</v>
      </c>
      <c r="P181" s="306">
        <f>IF(M181&gt;0,M181*J181/S181,0)*VLOOKUP(B181,'2-Kosten per locatie'!$A$14:$C$24,3,FALSE)</f>
        <v>0</v>
      </c>
      <c r="Q181" s="306">
        <f>IF(N181&gt;0,N181*J181/T181,0)*VLOOKUP(B181,'2-Kosten per locatie'!$A$14:$C$24,3,FALSE)</f>
        <v>0</v>
      </c>
      <c r="R181" s="307">
        <f>IF(L181="nio",0,IF(L181&gt;0,VLOOKUP(G181,'3-Productie normen'!A:P,VLOOKUP(L181,'3-Productie normen'!$B$32:$E$37,2,FALSE),FALSE)))</f>
        <v>0</v>
      </c>
      <c r="S181" s="307">
        <f t="shared" si="18"/>
        <v>0</v>
      </c>
      <c r="T181" s="307">
        <f t="shared" si="19"/>
        <v>0</v>
      </c>
      <c r="U181" s="308">
        <f>VLOOKUP(G181,'3-Productie normen'!A:N,10,FALSE)</f>
        <v>0</v>
      </c>
      <c r="V181" s="308"/>
      <c r="X181" s="309">
        <f t="shared" si="20"/>
        <v>520</v>
      </c>
    </row>
    <row r="182" spans="1:24" ht="14.1" customHeight="1">
      <c r="A182" s="71">
        <v>182</v>
      </c>
      <c r="B182" s="300" t="s">
        <v>50</v>
      </c>
      <c r="C182" s="240" t="s">
        <v>152</v>
      </c>
      <c r="D182" s="301" t="s">
        <v>123</v>
      </c>
      <c r="E182" s="302"/>
      <c r="F182" s="280" t="s">
        <v>142</v>
      </c>
      <c r="G182" s="280" t="s">
        <v>89</v>
      </c>
      <c r="H182" s="280" t="s">
        <v>157</v>
      </c>
      <c r="I182" s="300" t="s">
        <v>138</v>
      </c>
      <c r="J182" s="303">
        <v>70</v>
      </c>
      <c r="K182" s="304">
        <f t="shared" si="17"/>
        <v>52</v>
      </c>
      <c r="L182" s="305">
        <v>52</v>
      </c>
      <c r="M182" s="305"/>
      <c r="N182" s="305"/>
      <c r="O182" s="306" t="e">
        <f>IF(L182="nio",0,IF(L182&gt;0,L182*J182/R182,0))*VLOOKUP(B182,'2-Kosten per locatie'!$A$14:$C$24,3,FALSE)</f>
        <v>#DIV/0!</v>
      </c>
      <c r="P182" s="306">
        <f>IF(M182&gt;0,M182*J182/S182,0)*VLOOKUP(B182,'2-Kosten per locatie'!$A$14:$C$24,3,FALSE)</f>
        <v>0</v>
      </c>
      <c r="Q182" s="306">
        <f>IF(N182&gt;0,N182*J182/T182,0)*VLOOKUP(B182,'2-Kosten per locatie'!$A$14:$C$24,3,FALSE)</f>
        <v>0</v>
      </c>
      <c r="R182" s="307">
        <f>IF(L182="nio",0,IF(L182&gt;0,VLOOKUP(G182,'3-Productie normen'!A:P,VLOOKUP(L182,'3-Productie normen'!$B$32:$E$37,2,FALSE),FALSE)))</f>
        <v>0</v>
      </c>
      <c r="S182" s="307">
        <f t="shared" si="18"/>
        <v>0</v>
      </c>
      <c r="T182" s="307">
        <f t="shared" si="19"/>
        <v>0</v>
      </c>
      <c r="U182" s="308">
        <f>VLOOKUP(G182,'3-Productie normen'!A:N,10,FALSE)</f>
        <v>0</v>
      </c>
      <c r="V182" s="308"/>
      <c r="X182" s="309">
        <f t="shared" si="20"/>
        <v>3640</v>
      </c>
    </row>
    <row r="183" spans="1:24" ht="14.1" customHeight="1">
      <c r="A183" s="71">
        <v>183</v>
      </c>
      <c r="B183" s="300" t="s">
        <v>44</v>
      </c>
      <c r="C183" s="240" t="s">
        <v>158</v>
      </c>
      <c r="D183" s="301" t="s">
        <v>143</v>
      </c>
      <c r="E183" s="302"/>
      <c r="F183" s="280" t="s">
        <v>78</v>
      </c>
      <c r="G183" s="280" t="s">
        <v>78</v>
      </c>
      <c r="H183" s="280" t="s">
        <v>125</v>
      </c>
      <c r="I183" s="300" t="s">
        <v>126</v>
      </c>
      <c r="J183" s="303">
        <v>15</v>
      </c>
      <c r="K183" s="304">
        <f t="shared" si="17"/>
        <v>307</v>
      </c>
      <c r="L183" s="305">
        <v>255</v>
      </c>
      <c r="M183" s="305"/>
      <c r="N183" s="305">
        <v>52</v>
      </c>
      <c r="O183" s="306" t="e">
        <f>IF(L183="nio",0,IF(L183&gt;0,L183*J183/R183,0))*VLOOKUP(B183,'2-Kosten per locatie'!$A$14:$C$24,3,FALSE)</f>
        <v>#DIV/0!</v>
      </c>
      <c r="P183" s="306">
        <f>IF(M183&gt;0,M183*J183/S183,0)*VLOOKUP(B183,'2-Kosten per locatie'!$A$14:$C$24,3,FALSE)</f>
        <v>0</v>
      </c>
      <c r="Q183" s="306" t="e">
        <f>IF(N183&gt;0,N183*J183/T183,0)*VLOOKUP(B183,'2-Kosten per locatie'!$A$14:$C$24,3,FALSE)</f>
        <v>#DIV/0!</v>
      </c>
      <c r="R183" s="307">
        <f>IF(L183="nio",0,IF(L183&gt;0,VLOOKUP(G183,'3-Productie normen'!A:P,VLOOKUP(L183,'3-Productie normen'!$B$32:$E$37,2,FALSE),FALSE)))</f>
        <v>0</v>
      </c>
      <c r="S183" s="307">
        <f t="shared" si="18"/>
        <v>0</v>
      </c>
      <c r="T183" s="307">
        <f t="shared" si="19"/>
        <v>0</v>
      </c>
      <c r="U183" s="308">
        <f>VLOOKUP(G183,'3-Productie normen'!A:N,10,FALSE)</f>
        <v>0</v>
      </c>
      <c r="V183" s="308"/>
      <c r="X183" s="309">
        <f t="shared" si="20"/>
        <v>4605</v>
      </c>
    </row>
    <row r="184" spans="1:24" ht="14.1" customHeight="1">
      <c r="A184" s="71">
        <v>184</v>
      </c>
      <c r="B184" s="300" t="s">
        <v>44</v>
      </c>
      <c r="C184" s="240" t="s">
        <v>158</v>
      </c>
      <c r="D184" s="301" t="s">
        <v>143</v>
      </c>
      <c r="E184" s="302"/>
      <c r="F184" s="280" t="s">
        <v>78</v>
      </c>
      <c r="G184" s="280" t="s">
        <v>78</v>
      </c>
      <c r="H184" s="280" t="s">
        <v>125</v>
      </c>
      <c r="I184" s="300" t="s">
        <v>126</v>
      </c>
      <c r="J184" s="303">
        <v>188</v>
      </c>
      <c r="K184" s="304">
        <f t="shared" si="17"/>
        <v>307</v>
      </c>
      <c r="L184" s="305">
        <v>255</v>
      </c>
      <c r="M184" s="305"/>
      <c r="N184" s="305">
        <v>52</v>
      </c>
      <c r="O184" s="306" t="e">
        <f>IF(L184="nio",0,IF(L184&gt;0,L184*J184/R184,0))*VLOOKUP(B184,'2-Kosten per locatie'!$A$14:$C$24,3,FALSE)</f>
        <v>#DIV/0!</v>
      </c>
      <c r="P184" s="306">
        <f>IF(M184&gt;0,M184*J184/S184,0)*VLOOKUP(B184,'2-Kosten per locatie'!$A$14:$C$24,3,FALSE)</f>
        <v>0</v>
      </c>
      <c r="Q184" s="306" t="e">
        <f>IF(N184&gt;0,N184*J184/T184,0)*VLOOKUP(B184,'2-Kosten per locatie'!$A$14:$C$24,3,FALSE)</f>
        <v>#DIV/0!</v>
      </c>
      <c r="R184" s="307">
        <f>IF(L184="nio",0,IF(L184&gt;0,VLOOKUP(G184,'3-Productie normen'!A:P,VLOOKUP(L184,'3-Productie normen'!$B$32:$E$37,2,FALSE),FALSE)))</f>
        <v>0</v>
      </c>
      <c r="S184" s="307">
        <f t="shared" si="18"/>
        <v>0</v>
      </c>
      <c r="T184" s="307">
        <f t="shared" si="19"/>
        <v>0</v>
      </c>
      <c r="U184" s="308">
        <f>VLOOKUP(G184,'3-Productie normen'!A:N,10,FALSE)</f>
        <v>0</v>
      </c>
      <c r="V184" s="308"/>
      <c r="X184" s="309">
        <f t="shared" si="20"/>
        <v>57716</v>
      </c>
    </row>
    <row r="185" spans="1:24" ht="14.1" customHeight="1">
      <c r="A185" s="71">
        <v>185</v>
      </c>
      <c r="B185" s="300" t="s">
        <v>44</v>
      </c>
      <c r="C185" s="240" t="s">
        <v>158</v>
      </c>
      <c r="D185" s="301" t="s">
        <v>143</v>
      </c>
      <c r="E185" s="302"/>
      <c r="F185" s="280" t="s">
        <v>44</v>
      </c>
      <c r="G185" s="280" t="s">
        <v>44</v>
      </c>
      <c r="H185" s="280" t="s">
        <v>125</v>
      </c>
      <c r="I185" s="300" t="s">
        <v>126</v>
      </c>
      <c r="J185" s="303">
        <v>112</v>
      </c>
      <c r="K185" s="304">
        <f t="shared" si="17"/>
        <v>255</v>
      </c>
      <c r="L185" s="305">
        <v>255</v>
      </c>
      <c r="M185" s="305"/>
      <c r="N185" s="305"/>
      <c r="O185" s="306" t="e">
        <f>IF(L185="nio",0,IF(L185&gt;0,L185*J185/R185,0))*VLOOKUP(B185,'2-Kosten per locatie'!$A$14:$C$24,3,FALSE)</f>
        <v>#DIV/0!</v>
      </c>
      <c r="P185" s="306">
        <f>IF(M185&gt;0,M185*J185/S185,0)*VLOOKUP(B185,'2-Kosten per locatie'!$A$14:$C$24,3,FALSE)</f>
        <v>0</v>
      </c>
      <c r="Q185" s="306">
        <f>IF(N185&gt;0,N185*J185/T185,0)*VLOOKUP(B185,'2-Kosten per locatie'!$A$14:$C$24,3,FALSE)</f>
        <v>0</v>
      </c>
      <c r="R185" s="307">
        <f>IF(L185="nio",0,IF(L185&gt;0,VLOOKUP(G185,'3-Productie normen'!A:P,VLOOKUP(L185,'3-Productie normen'!$B$32:$E$37,2,FALSE),FALSE)))</f>
        <v>0</v>
      </c>
      <c r="S185" s="307">
        <f t="shared" si="18"/>
        <v>0</v>
      </c>
      <c r="T185" s="307">
        <f t="shared" si="19"/>
        <v>0</v>
      </c>
      <c r="U185" s="308">
        <f>VLOOKUP(G185,'3-Productie normen'!A:N,10,FALSE)</f>
        <v>0</v>
      </c>
      <c r="V185" s="308"/>
      <c r="X185" s="309">
        <f t="shared" si="20"/>
        <v>28560</v>
      </c>
    </row>
    <row r="186" spans="1:24" ht="14.1" customHeight="1">
      <c r="A186" s="71">
        <v>186</v>
      </c>
      <c r="B186" s="300" t="s">
        <v>44</v>
      </c>
      <c r="C186" s="240" t="s">
        <v>158</v>
      </c>
      <c r="D186" s="301" t="s">
        <v>143</v>
      </c>
      <c r="E186" s="302"/>
      <c r="F186" s="280" t="s">
        <v>139</v>
      </c>
      <c r="G186" s="280" t="s">
        <v>86</v>
      </c>
      <c r="H186" s="280" t="s">
        <v>137</v>
      </c>
      <c r="I186" s="300" t="s">
        <v>140</v>
      </c>
      <c r="J186" s="303">
        <v>24</v>
      </c>
      <c r="K186" s="304">
        <f t="shared" si="17"/>
        <v>307</v>
      </c>
      <c r="L186" s="305">
        <v>255</v>
      </c>
      <c r="M186" s="305"/>
      <c r="N186" s="305">
        <v>52</v>
      </c>
      <c r="O186" s="306" t="e">
        <f>IF(L186="nio",0,IF(L186&gt;0,L186*J186/R186,0))*VLOOKUP(B186,'2-Kosten per locatie'!$A$14:$C$24,3,FALSE)</f>
        <v>#DIV/0!</v>
      </c>
      <c r="P186" s="306">
        <f>IF(M186&gt;0,M186*J186/S186,0)*VLOOKUP(B186,'2-Kosten per locatie'!$A$14:$C$24,3,FALSE)</f>
        <v>0</v>
      </c>
      <c r="Q186" s="306" t="e">
        <f>IF(N186&gt;0,N186*J186/T186,0)*VLOOKUP(B186,'2-Kosten per locatie'!$A$14:$C$24,3,FALSE)</f>
        <v>#DIV/0!</v>
      </c>
      <c r="R186" s="307">
        <f>IF(L186="nio",0,IF(L186&gt;0,VLOOKUP(G186,'3-Productie normen'!A:P,VLOOKUP(L186,'3-Productie normen'!$B$32:$E$37,2,FALSE),FALSE)))</f>
        <v>0</v>
      </c>
      <c r="S186" s="307">
        <f t="shared" si="18"/>
        <v>0</v>
      </c>
      <c r="T186" s="307">
        <f t="shared" si="19"/>
        <v>0</v>
      </c>
      <c r="U186" s="308">
        <f>VLOOKUP(G186,'3-Productie normen'!A:N,10,FALSE)</f>
        <v>0</v>
      </c>
      <c r="V186" s="308"/>
      <c r="X186" s="309">
        <f t="shared" si="20"/>
        <v>7368</v>
      </c>
    </row>
    <row r="187" spans="1:24" ht="14.1" customHeight="1">
      <c r="A187" s="71">
        <v>187</v>
      </c>
      <c r="B187" s="300" t="s">
        <v>44</v>
      </c>
      <c r="C187" s="240" t="s">
        <v>158</v>
      </c>
      <c r="D187" s="301" t="s">
        <v>143</v>
      </c>
      <c r="E187" s="302"/>
      <c r="F187" s="280" t="s">
        <v>128</v>
      </c>
      <c r="G187" s="280" t="s">
        <v>80</v>
      </c>
      <c r="H187" s="280" t="s">
        <v>125</v>
      </c>
      <c r="I187" s="300" t="s">
        <v>126</v>
      </c>
      <c r="J187" s="303">
        <v>50</v>
      </c>
      <c r="K187" s="304">
        <f t="shared" si="17"/>
        <v>255</v>
      </c>
      <c r="L187" s="305">
        <v>255</v>
      </c>
      <c r="M187" s="305"/>
      <c r="N187" s="305"/>
      <c r="O187" s="306" t="e">
        <f>IF(L187="nio",0,IF(L187&gt;0,L187*J187/R187,0))*VLOOKUP(B187,'2-Kosten per locatie'!$A$14:$C$24,3,FALSE)</f>
        <v>#DIV/0!</v>
      </c>
      <c r="P187" s="306">
        <f>IF(M187&gt;0,M187*J187/S187,0)*VLOOKUP(B187,'2-Kosten per locatie'!$A$14:$C$24,3,FALSE)</f>
        <v>0</v>
      </c>
      <c r="Q187" s="306">
        <f>IF(N187&gt;0,N187*J187/T187,0)*VLOOKUP(B187,'2-Kosten per locatie'!$A$14:$C$24,3,FALSE)</f>
        <v>0</v>
      </c>
      <c r="R187" s="307">
        <f>IF(L187="nio",0,IF(L187&gt;0,VLOOKUP(G187,'3-Productie normen'!A:P,VLOOKUP(L187,'3-Productie normen'!$B$32:$E$37,2,FALSE),FALSE)))</f>
        <v>0</v>
      </c>
      <c r="S187" s="307">
        <f t="shared" si="18"/>
        <v>0</v>
      </c>
      <c r="T187" s="307">
        <f t="shared" si="19"/>
        <v>0</v>
      </c>
      <c r="U187" s="308">
        <f>VLOOKUP(G187,'3-Productie normen'!A:N,10,FALSE)</f>
        <v>0</v>
      </c>
      <c r="V187" s="308"/>
      <c r="X187" s="309">
        <f t="shared" si="20"/>
        <v>12750</v>
      </c>
    </row>
    <row r="188" spans="1:24" ht="14.1" customHeight="1">
      <c r="A188" s="71">
        <v>188</v>
      </c>
      <c r="B188" s="300" t="s">
        <v>44</v>
      </c>
      <c r="C188" s="240" t="s">
        <v>158</v>
      </c>
      <c r="D188" s="301" t="s">
        <v>143</v>
      </c>
      <c r="E188" s="302"/>
      <c r="F188" s="280" t="s">
        <v>155</v>
      </c>
      <c r="G188" s="280" t="s">
        <v>84</v>
      </c>
      <c r="H188" s="280" t="s">
        <v>137</v>
      </c>
      <c r="I188" s="300" t="s">
        <v>138</v>
      </c>
      <c r="J188" s="303">
        <v>24</v>
      </c>
      <c r="K188" s="304">
        <f t="shared" si="17"/>
        <v>52</v>
      </c>
      <c r="L188" s="305">
        <v>52</v>
      </c>
      <c r="M188" s="305"/>
      <c r="N188" s="305"/>
      <c r="O188" s="306" t="e">
        <f>IF(L188="nio",0,IF(L188&gt;0,L188*J188/R188,0))*VLOOKUP(B188,'2-Kosten per locatie'!$A$14:$C$24,3,FALSE)</f>
        <v>#DIV/0!</v>
      </c>
      <c r="P188" s="306">
        <f>IF(M188&gt;0,M188*J188/S188,0)*VLOOKUP(B188,'2-Kosten per locatie'!$A$14:$C$24,3,FALSE)</f>
        <v>0</v>
      </c>
      <c r="Q188" s="306">
        <f>IF(N188&gt;0,N188*J188/T188,0)*VLOOKUP(B188,'2-Kosten per locatie'!$A$14:$C$24,3,FALSE)</f>
        <v>0</v>
      </c>
      <c r="R188" s="307">
        <f>IF(L188="nio",0,IF(L188&gt;0,VLOOKUP(G188,'3-Productie normen'!A:P,VLOOKUP(L188,'3-Productie normen'!$B$32:$E$37,2,FALSE),FALSE)))</f>
        <v>0</v>
      </c>
      <c r="S188" s="307">
        <f t="shared" si="18"/>
        <v>0</v>
      </c>
      <c r="T188" s="307">
        <f t="shared" si="19"/>
        <v>0</v>
      </c>
      <c r="U188" s="308">
        <f>VLOOKUP(G188,'3-Productie normen'!A:N,10,FALSE)</f>
        <v>0</v>
      </c>
      <c r="V188" s="308"/>
      <c r="X188" s="309">
        <f t="shared" si="20"/>
        <v>1248</v>
      </c>
    </row>
    <row r="189" spans="1:24" ht="14.1" customHeight="1">
      <c r="A189" s="71">
        <v>189</v>
      </c>
      <c r="B189" s="300" t="s">
        <v>44</v>
      </c>
      <c r="C189" s="240" t="s">
        <v>158</v>
      </c>
      <c r="D189" s="301" t="s">
        <v>143</v>
      </c>
      <c r="E189" s="302"/>
      <c r="F189" s="280" t="s">
        <v>44</v>
      </c>
      <c r="G189" s="280" t="s">
        <v>44</v>
      </c>
      <c r="H189" s="280" t="s">
        <v>125</v>
      </c>
      <c r="I189" s="300" t="s">
        <v>126</v>
      </c>
      <c r="J189" s="303">
        <v>72</v>
      </c>
      <c r="K189" s="304">
        <f t="shared" si="17"/>
        <v>255</v>
      </c>
      <c r="L189" s="305">
        <v>255</v>
      </c>
      <c r="M189" s="305"/>
      <c r="N189" s="305"/>
      <c r="O189" s="306" t="e">
        <f>IF(L189="nio",0,IF(L189&gt;0,L189*J189/R189,0))*VLOOKUP(B189,'2-Kosten per locatie'!$A$14:$C$24,3,FALSE)</f>
        <v>#DIV/0!</v>
      </c>
      <c r="P189" s="306">
        <f>IF(M189&gt;0,M189*J189/S189,0)*VLOOKUP(B189,'2-Kosten per locatie'!$A$14:$C$24,3,FALSE)</f>
        <v>0</v>
      </c>
      <c r="Q189" s="306">
        <f>IF(N189&gt;0,N189*J189/T189,0)*VLOOKUP(B189,'2-Kosten per locatie'!$A$14:$C$24,3,FALSE)</f>
        <v>0</v>
      </c>
      <c r="R189" s="307">
        <f>IF(L189="nio",0,IF(L189&gt;0,VLOOKUP(G189,'3-Productie normen'!A:P,VLOOKUP(L189,'3-Productie normen'!$B$32:$E$37,2,FALSE),FALSE)))</f>
        <v>0</v>
      </c>
      <c r="S189" s="307">
        <f t="shared" si="18"/>
        <v>0</v>
      </c>
      <c r="T189" s="307">
        <f t="shared" si="19"/>
        <v>0</v>
      </c>
      <c r="U189" s="308">
        <f>VLOOKUP(G189,'3-Productie normen'!A:N,10,FALSE)</f>
        <v>0</v>
      </c>
      <c r="V189" s="308"/>
      <c r="X189" s="309">
        <f t="shared" si="20"/>
        <v>18360</v>
      </c>
    </row>
    <row r="190" spans="1:24" ht="14.1" customHeight="1">
      <c r="A190" s="71">
        <v>190</v>
      </c>
      <c r="B190" s="300" t="s">
        <v>44</v>
      </c>
      <c r="C190" s="240" t="s">
        <v>158</v>
      </c>
      <c r="D190" s="301" t="s">
        <v>143</v>
      </c>
      <c r="E190" s="302"/>
      <c r="F190" s="280" t="s">
        <v>44</v>
      </c>
      <c r="G190" s="280" t="s">
        <v>44</v>
      </c>
      <c r="H190" s="280" t="s">
        <v>125</v>
      </c>
      <c r="I190" s="300" t="s">
        <v>126</v>
      </c>
      <c r="J190" s="303">
        <v>378</v>
      </c>
      <c r="K190" s="304">
        <f t="shared" si="17"/>
        <v>255</v>
      </c>
      <c r="L190" s="305">
        <v>255</v>
      </c>
      <c r="M190" s="305"/>
      <c r="N190" s="305"/>
      <c r="O190" s="306" t="e">
        <f>IF(L190="nio",0,IF(L190&gt;0,L190*J190/R190,0))*VLOOKUP(B190,'2-Kosten per locatie'!$A$14:$C$24,3,FALSE)</f>
        <v>#DIV/0!</v>
      </c>
      <c r="P190" s="306">
        <f>IF(M190&gt;0,M190*J190/S190,0)*VLOOKUP(B190,'2-Kosten per locatie'!$A$14:$C$24,3,FALSE)</f>
        <v>0</v>
      </c>
      <c r="Q190" s="306">
        <f>IF(N190&gt;0,N190*J190/T190,0)*VLOOKUP(B190,'2-Kosten per locatie'!$A$14:$C$24,3,FALSE)</f>
        <v>0</v>
      </c>
      <c r="R190" s="307">
        <f>IF(L190="nio",0,IF(L190&gt;0,VLOOKUP(G190,'3-Productie normen'!A:P,VLOOKUP(L190,'3-Productie normen'!$B$32:$E$37,2,FALSE),FALSE)))</f>
        <v>0</v>
      </c>
      <c r="S190" s="307">
        <f t="shared" si="18"/>
        <v>0</v>
      </c>
      <c r="T190" s="307">
        <f t="shared" si="19"/>
        <v>0</v>
      </c>
      <c r="U190" s="308">
        <f>VLOOKUP(G190,'3-Productie normen'!A:N,10,FALSE)</f>
        <v>0</v>
      </c>
      <c r="V190" s="308"/>
      <c r="X190" s="309">
        <f t="shared" si="20"/>
        <v>96390</v>
      </c>
    </row>
    <row r="191" spans="1:24" ht="14.1" customHeight="1">
      <c r="A191" s="71">
        <v>191</v>
      </c>
      <c r="B191" s="300" t="s">
        <v>44</v>
      </c>
      <c r="C191" s="240" t="s">
        <v>158</v>
      </c>
      <c r="D191" s="301" t="s">
        <v>123</v>
      </c>
      <c r="E191" s="302"/>
      <c r="F191" s="280" t="s">
        <v>129</v>
      </c>
      <c r="G191" s="280" t="s">
        <v>88</v>
      </c>
      <c r="H191" s="280" t="s">
        <v>137</v>
      </c>
      <c r="I191" s="300" t="s">
        <v>138</v>
      </c>
      <c r="J191" s="303">
        <v>20</v>
      </c>
      <c r="K191" s="304">
        <f t="shared" si="17"/>
        <v>255</v>
      </c>
      <c r="L191" s="305">
        <v>255</v>
      </c>
      <c r="M191" s="305"/>
      <c r="N191" s="305"/>
      <c r="O191" s="306" t="e">
        <f>IF(L191="nio",0,IF(L191&gt;0,L191*J191/R191,0))*VLOOKUP(B191,'2-Kosten per locatie'!$A$14:$C$24,3,FALSE)</f>
        <v>#DIV/0!</v>
      </c>
      <c r="P191" s="306">
        <f>IF(M191&gt;0,M191*J191/S191,0)*VLOOKUP(B191,'2-Kosten per locatie'!$A$14:$C$24,3,FALSE)</f>
        <v>0</v>
      </c>
      <c r="Q191" s="306">
        <f>IF(N191&gt;0,N191*J191/T191,0)*VLOOKUP(B191,'2-Kosten per locatie'!$A$14:$C$24,3,FALSE)</f>
        <v>0</v>
      </c>
      <c r="R191" s="307">
        <f>IF(L191="nio",0,IF(L191&gt;0,VLOOKUP(G191,'3-Productie normen'!A:P,VLOOKUP(L191,'3-Productie normen'!$B$32:$E$37,2,FALSE),FALSE)))</f>
        <v>0</v>
      </c>
      <c r="S191" s="307">
        <f t="shared" si="18"/>
        <v>0</v>
      </c>
      <c r="T191" s="307">
        <f t="shared" si="19"/>
        <v>0</v>
      </c>
      <c r="U191" s="308">
        <f>VLOOKUP(G191,'3-Productie normen'!A:N,10,FALSE)</f>
        <v>0</v>
      </c>
      <c r="V191" s="308"/>
      <c r="X191" s="309">
        <f t="shared" si="20"/>
        <v>5100</v>
      </c>
    </row>
    <row r="192" spans="1:24" ht="14.1" customHeight="1">
      <c r="A192" s="71">
        <v>192</v>
      </c>
      <c r="B192" s="300" t="s">
        <v>44</v>
      </c>
      <c r="C192" s="240" t="s">
        <v>158</v>
      </c>
      <c r="D192" s="301" t="s">
        <v>123</v>
      </c>
      <c r="E192" s="302"/>
      <c r="F192" s="280" t="s">
        <v>44</v>
      </c>
      <c r="G192" s="280" t="s">
        <v>44</v>
      </c>
      <c r="H192" s="280" t="s">
        <v>125</v>
      </c>
      <c r="I192" s="300" t="s">
        <v>126</v>
      </c>
      <c r="J192" s="303">
        <v>225</v>
      </c>
      <c r="K192" s="304">
        <f t="shared" si="17"/>
        <v>255</v>
      </c>
      <c r="L192" s="305">
        <v>255</v>
      </c>
      <c r="M192" s="305"/>
      <c r="N192" s="305"/>
      <c r="O192" s="306" t="e">
        <f>IF(L192="nio",0,IF(L192&gt;0,L192*J192/R192,0))*VLOOKUP(B192,'2-Kosten per locatie'!$A$14:$C$24,3,FALSE)</f>
        <v>#DIV/0!</v>
      </c>
      <c r="P192" s="306">
        <f>IF(M192&gt;0,M192*J192/S192,0)*VLOOKUP(B192,'2-Kosten per locatie'!$A$14:$C$24,3,FALSE)</f>
        <v>0</v>
      </c>
      <c r="Q192" s="306">
        <f>IF(N192&gt;0,N192*J192/T192,0)*VLOOKUP(B192,'2-Kosten per locatie'!$A$14:$C$24,3,FALSE)</f>
        <v>0</v>
      </c>
      <c r="R192" s="307">
        <f>IF(L192="nio",0,IF(L192&gt;0,VLOOKUP(G192,'3-Productie normen'!A:P,VLOOKUP(L192,'3-Productie normen'!$B$32:$E$37,2,FALSE),FALSE)))</f>
        <v>0</v>
      </c>
      <c r="S192" s="307">
        <f t="shared" si="18"/>
        <v>0</v>
      </c>
      <c r="T192" s="307">
        <f t="shared" si="19"/>
        <v>0</v>
      </c>
      <c r="U192" s="308">
        <f>VLOOKUP(G192,'3-Productie normen'!A:N,10,FALSE)</f>
        <v>0</v>
      </c>
      <c r="V192" s="308"/>
      <c r="X192" s="309">
        <f t="shared" si="20"/>
        <v>57375</v>
      </c>
    </row>
    <row r="193" spans="1:24" ht="14.1" customHeight="1">
      <c r="A193" s="71">
        <v>193</v>
      </c>
      <c r="B193" s="300" t="s">
        <v>44</v>
      </c>
      <c r="C193" s="240" t="s">
        <v>158</v>
      </c>
      <c r="D193" s="301" t="s">
        <v>123</v>
      </c>
      <c r="E193" s="302"/>
      <c r="F193" s="280" t="s">
        <v>124</v>
      </c>
      <c r="G193" s="280" t="s">
        <v>74</v>
      </c>
      <c r="H193" s="280" t="s">
        <v>125</v>
      </c>
      <c r="I193" s="300" t="s">
        <v>126</v>
      </c>
      <c r="J193" s="303">
        <v>56</v>
      </c>
      <c r="K193" s="304">
        <f t="shared" si="17"/>
        <v>255</v>
      </c>
      <c r="L193" s="305">
        <v>255</v>
      </c>
      <c r="M193" s="305"/>
      <c r="N193" s="305"/>
      <c r="O193" s="306" t="e">
        <f>IF(L193="nio",0,IF(L193&gt;0,L193*J193/R193,0))*VLOOKUP(B193,'2-Kosten per locatie'!$A$14:$C$24,3,FALSE)</f>
        <v>#DIV/0!</v>
      </c>
      <c r="P193" s="306">
        <f>IF(M193&gt;0,M193*J193/S193,0)*VLOOKUP(B193,'2-Kosten per locatie'!$A$14:$C$24,3,FALSE)</f>
        <v>0</v>
      </c>
      <c r="Q193" s="306">
        <f>IF(N193&gt;0,N193*J193/T193,0)*VLOOKUP(B193,'2-Kosten per locatie'!$A$14:$C$24,3,FALSE)</f>
        <v>0</v>
      </c>
      <c r="R193" s="307">
        <f>IF(L193="nio",0,IF(L193&gt;0,VLOOKUP(G193,'3-Productie normen'!A:P,VLOOKUP(L193,'3-Productie normen'!$B$32:$E$37,2,FALSE),FALSE)))</f>
        <v>0</v>
      </c>
      <c r="S193" s="307">
        <f t="shared" si="18"/>
        <v>0</v>
      </c>
      <c r="T193" s="307">
        <f t="shared" si="19"/>
        <v>0</v>
      </c>
      <c r="U193" s="308">
        <f>VLOOKUP(G193,'3-Productie normen'!A:N,10,FALSE)</f>
        <v>0</v>
      </c>
      <c r="V193" s="308"/>
      <c r="X193" s="309">
        <f t="shared" si="20"/>
        <v>14280</v>
      </c>
    </row>
    <row r="194" spans="1:24" ht="14.1" customHeight="1">
      <c r="A194" s="71">
        <v>194</v>
      </c>
      <c r="B194" s="300" t="s">
        <v>44</v>
      </c>
      <c r="C194" s="240" t="s">
        <v>158</v>
      </c>
      <c r="D194" s="301" t="s">
        <v>123</v>
      </c>
      <c r="E194" s="302"/>
      <c r="F194" s="280" t="s">
        <v>139</v>
      </c>
      <c r="G194" s="280" t="s">
        <v>86</v>
      </c>
      <c r="H194" s="280" t="s">
        <v>137</v>
      </c>
      <c r="I194" s="300" t="s">
        <v>140</v>
      </c>
      <c r="J194" s="303">
        <v>12</v>
      </c>
      <c r="K194" s="304">
        <f t="shared" si="17"/>
        <v>307</v>
      </c>
      <c r="L194" s="305">
        <v>255</v>
      </c>
      <c r="M194" s="305"/>
      <c r="N194" s="305">
        <v>52</v>
      </c>
      <c r="O194" s="306" t="e">
        <f>IF(L194="nio",0,IF(L194&gt;0,L194*J194/R194,0))*VLOOKUP(B194,'2-Kosten per locatie'!$A$14:$C$24,3,FALSE)</f>
        <v>#DIV/0!</v>
      </c>
      <c r="P194" s="306">
        <f>IF(M194&gt;0,M194*J194/S194,0)*VLOOKUP(B194,'2-Kosten per locatie'!$A$14:$C$24,3,FALSE)</f>
        <v>0</v>
      </c>
      <c r="Q194" s="306" t="e">
        <f>IF(N194&gt;0,N194*J194/T194,0)*VLOOKUP(B194,'2-Kosten per locatie'!$A$14:$C$24,3,FALSE)</f>
        <v>#DIV/0!</v>
      </c>
      <c r="R194" s="307">
        <f>IF(L194="nio",0,IF(L194&gt;0,VLOOKUP(G194,'3-Productie normen'!A:P,VLOOKUP(L194,'3-Productie normen'!$B$32:$E$37,2,FALSE),FALSE)))</f>
        <v>0</v>
      </c>
      <c r="S194" s="307">
        <f t="shared" si="18"/>
        <v>0</v>
      </c>
      <c r="T194" s="307">
        <f t="shared" si="19"/>
        <v>0</v>
      </c>
      <c r="U194" s="308">
        <f>VLOOKUP(G194,'3-Productie normen'!A:N,10,FALSE)</f>
        <v>0</v>
      </c>
      <c r="V194" s="308"/>
      <c r="X194" s="309">
        <f t="shared" si="20"/>
        <v>3684</v>
      </c>
    </row>
    <row r="195" spans="1:24" ht="14.1" customHeight="1">
      <c r="A195" s="71">
        <v>195</v>
      </c>
      <c r="B195" s="300" t="s">
        <v>44</v>
      </c>
      <c r="C195" s="240" t="s">
        <v>158</v>
      </c>
      <c r="D195" s="301" t="s">
        <v>123</v>
      </c>
      <c r="E195" s="302"/>
      <c r="F195" s="280" t="s">
        <v>90</v>
      </c>
      <c r="G195" s="280" t="s">
        <v>90</v>
      </c>
      <c r="H195" s="280" t="s">
        <v>125</v>
      </c>
      <c r="I195" s="300" t="s">
        <v>126</v>
      </c>
      <c r="J195" s="303"/>
      <c r="K195" s="304">
        <f t="shared" si="17"/>
        <v>0</v>
      </c>
      <c r="L195" s="305" t="s">
        <v>133</v>
      </c>
      <c r="M195" s="305"/>
      <c r="N195" s="305"/>
      <c r="O195" s="306">
        <f>IF(L195="nio",0,IF(L195&gt;0,L195*J195/R195,0))*VLOOKUP(B195,'2-Kosten per locatie'!$A$14:$C$24,3,FALSE)</f>
        <v>0</v>
      </c>
      <c r="P195" s="306">
        <f>IF(M195&gt;0,M195*J195/S195,0)*VLOOKUP(B195,'2-Kosten per locatie'!$A$14:$C$24,3,FALSE)</f>
        <v>0</v>
      </c>
      <c r="Q195" s="306">
        <f>IF(N195&gt;0,N195*J195/T195,0)*VLOOKUP(B195,'2-Kosten per locatie'!$A$14:$C$24,3,FALSE)</f>
        <v>0</v>
      </c>
      <c r="R195" s="307">
        <f>IF(L195="nio",0,IF(L195&gt;0,VLOOKUP(G195,'3-Productie normen'!A:P,VLOOKUP(L195,'3-Productie normen'!$B$32:$E$37,2,FALSE),FALSE)))</f>
        <v>0</v>
      </c>
      <c r="S195" s="307">
        <f t="shared" si="18"/>
        <v>0</v>
      </c>
      <c r="T195" s="307">
        <f t="shared" si="19"/>
        <v>0</v>
      </c>
      <c r="U195" s="308">
        <f>VLOOKUP(G195,'3-Productie normen'!A:N,10,FALSE)</f>
        <v>0</v>
      </c>
      <c r="V195" s="308"/>
      <c r="X195" s="309">
        <f t="shared" si="20"/>
        <v>0</v>
      </c>
    </row>
    <row r="196" spans="1:24" ht="14.1" customHeight="1">
      <c r="A196" s="71">
        <v>196</v>
      </c>
      <c r="B196" s="300" t="s">
        <v>44</v>
      </c>
      <c r="C196" s="240" t="s">
        <v>158</v>
      </c>
      <c r="D196" s="301" t="s">
        <v>123</v>
      </c>
      <c r="E196" s="302"/>
      <c r="F196" s="280" t="s">
        <v>128</v>
      </c>
      <c r="G196" s="280" t="s">
        <v>80</v>
      </c>
      <c r="H196" s="280" t="s">
        <v>125</v>
      </c>
      <c r="I196" s="300" t="s">
        <v>126</v>
      </c>
      <c r="J196" s="303">
        <v>30</v>
      </c>
      <c r="K196" s="304">
        <f t="shared" si="17"/>
        <v>255</v>
      </c>
      <c r="L196" s="305">
        <v>255</v>
      </c>
      <c r="M196" s="305"/>
      <c r="N196" s="305"/>
      <c r="O196" s="306" t="e">
        <f>IF(L196="nio",0,IF(L196&gt;0,L196*J196/R196,0))*VLOOKUP(B196,'2-Kosten per locatie'!$A$14:$C$24,3,FALSE)</f>
        <v>#DIV/0!</v>
      </c>
      <c r="P196" s="306">
        <f>IF(M196&gt;0,M196*J196/S196,0)*VLOOKUP(B196,'2-Kosten per locatie'!$A$14:$C$24,3,FALSE)</f>
        <v>0</v>
      </c>
      <c r="Q196" s="306">
        <f>IF(N196&gt;0,N196*J196/T196,0)*VLOOKUP(B196,'2-Kosten per locatie'!$A$14:$C$24,3,FALSE)</f>
        <v>0</v>
      </c>
      <c r="R196" s="307">
        <f>IF(L196="nio",0,IF(L196&gt;0,VLOOKUP(G196,'3-Productie normen'!A:P,VLOOKUP(L196,'3-Productie normen'!$B$32:$E$37,2,FALSE),FALSE)))</f>
        <v>0</v>
      </c>
      <c r="S196" s="307">
        <f t="shared" si="18"/>
        <v>0</v>
      </c>
      <c r="T196" s="307">
        <f t="shared" si="19"/>
        <v>0</v>
      </c>
      <c r="U196" s="308">
        <f>VLOOKUP(G196,'3-Productie normen'!A:N,10,FALSE)</f>
        <v>0</v>
      </c>
      <c r="V196" s="308"/>
      <c r="X196" s="309">
        <f t="shared" si="20"/>
        <v>7650</v>
      </c>
    </row>
    <row r="197" spans="1:24" ht="14.1" customHeight="1">
      <c r="A197" s="71">
        <v>197</v>
      </c>
      <c r="B197" s="300" t="s">
        <v>44</v>
      </c>
      <c r="C197" s="240" t="s">
        <v>158</v>
      </c>
      <c r="D197" s="301" t="s">
        <v>123</v>
      </c>
      <c r="E197" s="302"/>
      <c r="F197" s="280" t="s">
        <v>155</v>
      </c>
      <c r="G197" s="280" t="s">
        <v>84</v>
      </c>
      <c r="H197" s="280" t="s">
        <v>134</v>
      </c>
      <c r="I197" s="300" t="s">
        <v>134</v>
      </c>
      <c r="J197" s="303">
        <v>60</v>
      </c>
      <c r="K197" s="304">
        <f t="shared" si="17"/>
        <v>52</v>
      </c>
      <c r="L197" s="305">
        <v>52</v>
      </c>
      <c r="M197" s="305"/>
      <c r="N197" s="305"/>
      <c r="O197" s="306" t="e">
        <f>IF(L197="nio",0,IF(L197&gt;0,L197*J197/R197,0))*VLOOKUP(B197,'2-Kosten per locatie'!$A$14:$C$24,3,FALSE)</f>
        <v>#DIV/0!</v>
      </c>
      <c r="P197" s="306">
        <f>IF(M197&gt;0,M197*J197/S197,0)*VLOOKUP(B197,'2-Kosten per locatie'!$A$14:$C$24,3,FALSE)</f>
        <v>0</v>
      </c>
      <c r="Q197" s="306">
        <f>IF(N197&gt;0,N197*J197/T197,0)*VLOOKUP(B197,'2-Kosten per locatie'!$A$14:$C$24,3,FALSE)</f>
        <v>0</v>
      </c>
      <c r="R197" s="307">
        <f>IF(L197="nio",0,IF(L197&gt;0,VLOOKUP(G197,'3-Productie normen'!A:P,VLOOKUP(L197,'3-Productie normen'!$B$32:$E$37,2,FALSE),FALSE)))</f>
        <v>0</v>
      </c>
      <c r="S197" s="307">
        <f t="shared" si="18"/>
        <v>0</v>
      </c>
      <c r="T197" s="307">
        <f t="shared" si="19"/>
        <v>0</v>
      </c>
      <c r="U197" s="308">
        <f>VLOOKUP(G197,'3-Productie normen'!A:N,10,FALSE)</f>
        <v>0</v>
      </c>
      <c r="V197" s="308"/>
      <c r="X197" s="309">
        <f t="shared" si="20"/>
        <v>3120</v>
      </c>
    </row>
    <row r="198" spans="1:24" ht="14.1" customHeight="1">
      <c r="A198" s="71">
        <v>198</v>
      </c>
      <c r="B198" s="300" t="s">
        <v>44</v>
      </c>
      <c r="C198" s="240" t="s">
        <v>158</v>
      </c>
      <c r="D198" s="301" t="s">
        <v>123</v>
      </c>
      <c r="E198" s="302"/>
      <c r="F198" s="280" t="s">
        <v>129</v>
      </c>
      <c r="G198" s="280" t="s">
        <v>88</v>
      </c>
      <c r="H198" s="280" t="s">
        <v>134</v>
      </c>
      <c r="I198" s="300" t="s">
        <v>134</v>
      </c>
      <c r="J198" s="303">
        <v>15</v>
      </c>
      <c r="K198" s="304">
        <f t="shared" si="17"/>
        <v>255</v>
      </c>
      <c r="L198" s="305">
        <v>255</v>
      </c>
      <c r="M198" s="305"/>
      <c r="N198" s="305"/>
      <c r="O198" s="306" t="e">
        <f>IF(L198="nio",0,IF(L198&gt;0,L198*J198/R198,0))*VLOOKUP(B198,'2-Kosten per locatie'!$A$14:$C$24,3,FALSE)</f>
        <v>#DIV/0!</v>
      </c>
      <c r="P198" s="306">
        <f>IF(M198&gt;0,M198*J198/S198,0)*VLOOKUP(B198,'2-Kosten per locatie'!$A$14:$C$24,3,FALSE)</f>
        <v>0</v>
      </c>
      <c r="Q198" s="306">
        <f>IF(N198&gt;0,N198*J198/T198,0)*VLOOKUP(B198,'2-Kosten per locatie'!$A$14:$C$24,3,FALSE)</f>
        <v>0</v>
      </c>
      <c r="R198" s="307">
        <f>IF(L198="nio",0,IF(L198&gt;0,VLOOKUP(G198,'3-Productie normen'!A:P,VLOOKUP(L198,'3-Productie normen'!$B$32:$E$37,2,FALSE),FALSE)))</f>
        <v>0</v>
      </c>
      <c r="S198" s="307">
        <f t="shared" si="18"/>
        <v>0</v>
      </c>
      <c r="T198" s="307">
        <f t="shared" si="19"/>
        <v>0</v>
      </c>
      <c r="U198" s="308">
        <f>VLOOKUP(G198,'3-Productie normen'!A:N,10,FALSE)</f>
        <v>0</v>
      </c>
      <c r="V198" s="308"/>
      <c r="X198" s="309">
        <f t="shared" si="20"/>
        <v>3825</v>
      </c>
    </row>
    <row r="199" spans="1:24" ht="14.1" customHeight="1">
      <c r="A199" s="71">
        <v>199</v>
      </c>
      <c r="B199" s="300" t="s">
        <v>44</v>
      </c>
      <c r="C199" s="240" t="s">
        <v>158</v>
      </c>
      <c r="D199" s="301" t="s">
        <v>123</v>
      </c>
      <c r="E199" s="302"/>
      <c r="F199" s="280" t="s">
        <v>124</v>
      </c>
      <c r="G199" s="280" t="s">
        <v>74</v>
      </c>
      <c r="H199" s="280" t="s">
        <v>125</v>
      </c>
      <c r="I199" s="300" t="s">
        <v>126</v>
      </c>
      <c r="J199" s="303">
        <v>48</v>
      </c>
      <c r="K199" s="304">
        <f t="shared" si="17"/>
        <v>255</v>
      </c>
      <c r="L199" s="305">
        <v>255</v>
      </c>
      <c r="M199" s="305"/>
      <c r="N199" s="305"/>
      <c r="O199" s="306" t="e">
        <f>IF(L199="nio",0,IF(L199&gt;0,L199*J199/R199,0))*VLOOKUP(B199,'2-Kosten per locatie'!$A$14:$C$24,3,FALSE)</f>
        <v>#DIV/0!</v>
      </c>
      <c r="P199" s="306">
        <f>IF(M199&gt;0,M199*J199/S199,0)*VLOOKUP(B199,'2-Kosten per locatie'!$A$14:$C$24,3,FALSE)</f>
        <v>0</v>
      </c>
      <c r="Q199" s="306">
        <f>IF(N199&gt;0,N199*J199/T199,0)*VLOOKUP(B199,'2-Kosten per locatie'!$A$14:$C$24,3,FALSE)</f>
        <v>0</v>
      </c>
      <c r="R199" s="307">
        <f>IF(L199="nio",0,IF(L199&gt;0,VLOOKUP(G199,'3-Productie normen'!A:P,VLOOKUP(L199,'3-Productie normen'!$B$32:$E$37,2,FALSE),FALSE)))</f>
        <v>0</v>
      </c>
      <c r="S199" s="307">
        <f t="shared" si="18"/>
        <v>0</v>
      </c>
      <c r="T199" s="307">
        <f t="shared" si="19"/>
        <v>0</v>
      </c>
      <c r="U199" s="308">
        <f>VLOOKUP(G199,'3-Productie normen'!A:N,10,FALSE)</f>
        <v>0</v>
      </c>
      <c r="V199" s="308"/>
      <c r="X199" s="309">
        <f t="shared" si="20"/>
        <v>12240</v>
      </c>
    </row>
    <row r="200" spans="1:24" ht="14.1" customHeight="1">
      <c r="A200" s="71">
        <v>200</v>
      </c>
      <c r="B200" s="300" t="s">
        <v>44</v>
      </c>
      <c r="C200" s="240" t="s">
        <v>158</v>
      </c>
      <c r="D200" s="301" t="s">
        <v>123</v>
      </c>
      <c r="E200" s="302"/>
      <c r="F200" s="280" t="s">
        <v>128</v>
      </c>
      <c r="G200" s="280" t="s">
        <v>80</v>
      </c>
      <c r="H200" s="280" t="s">
        <v>125</v>
      </c>
      <c r="I200" s="300" t="s">
        <v>126</v>
      </c>
      <c r="J200" s="303">
        <v>8</v>
      </c>
      <c r="K200" s="304">
        <f t="shared" si="17"/>
        <v>255</v>
      </c>
      <c r="L200" s="305">
        <v>255</v>
      </c>
      <c r="M200" s="305"/>
      <c r="N200" s="305"/>
      <c r="O200" s="306" t="e">
        <f>IF(L200="nio",0,IF(L200&gt;0,L200*J200/R200,0))*VLOOKUP(B200,'2-Kosten per locatie'!$A$14:$C$24,3,FALSE)</f>
        <v>#DIV/0!</v>
      </c>
      <c r="P200" s="306">
        <f>IF(M200&gt;0,M200*J200/S200,0)*VLOOKUP(B200,'2-Kosten per locatie'!$A$14:$C$24,3,FALSE)</f>
        <v>0</v>
      </c>
      <c r="Q200" s="306">
        <f>IF(N200&gt;0,N200*J200/T200,0)*VLOOKUP(B200,'2-Kosten per locatie'!$A$14:$C$24,3,FALSE)</f>
        <v>0</v>
      </c>
      <c r="R200" s="307">
        <f>IF(L200="nio",0,IF(L200&gt;0,VLOOKUP(G200,'3-Productie normen'!A:P,VLOOKUP(L200,'3-Productie normen'!$B$32:$E$37,2,FALSE),FALSE)))</f>
        <v>0</v>
      </c>
      <c r="S200" s="307">
        <f t="shared" si="18"/>
        <v>0</v>
      </c>
      <c r="T200" s="307">
        <f t="shared" si="19"/>
        <v>0</v>
      </c>
      <c r="U200" s="308">
        <f>VLOOKUP(G200,'3-Productie normen'!A:N,10,FALSE)</f>
        <v>0</v>
      </c>
      <c r="V200" s="308"/>
      <c r="X200" s="309">
        <f t="shared" si="20"/>
        <v>2040</v>
      </c>
    </row>
    <row r="201" spans="1:24" ht="14.1" customHeight="1">
      <c r="A201" s="71">
        <v>201</v>
      </c>
      <c r="B201" s="300" t="s">
        <v>44</v>
      </c>
      <c r="C201" s="240" t="s">
        <v>158</v>
      </c>
      <c r="D201" s="301" t="s">
        <v>123</v>
      </c>
      <c r="E201" s="302"/>
      <c r="F201" s="280" t="s">
        <v>136</v>
      </c>
      <c r="G201" s="280" t="s">
        <v>81</v>
      </c>
      <c r="H201" s="280" t="s">
        <v>134</v>
      </c>
      <c r="I201" s="300" t="s">
        <v>134</v>
      </c>
      <c r="J201" s="303">
        <v>24</v>
      </c>
      <c r="K201" s="304">
        <f t="shared" si="17"/>
        <v>307</v>
      </c>
      <c r="L201" s="305">
        <v>255</v>
      </c>
      <c r="M201" s="305"/>
      <c r="N201" s="305">
        <v>52</v>
      </c>
      <c r="O201" s="306" t="e">
        <f>IF(L201="nio",0,IF(L201&gt;0,L201*J201/R201,0))*VLOOKUP(B201,'2-Kosten per locatie'!$A$14:$C$24,3,FALSE)</f>
        <v>#DIV/0!</v>
      </c>
      <c r="P201" s="306">
        <f>IF(M201&gt;0,M201*J201/S201,0)*VLOOKUP(B201,'2-Kosten per locatie'!$A$14:$C$24,3,FALSE)</f>
        <v>0</v>
      </c>
      <c r="Q201" s="306" t="e">
        <f>IF(N201&gt;0,N201*J201/T201,0)*VLOOKUP(B201,'2-Kosten per locatie'!$A$14:$C$24,3,FALSE)</f>
        <v>#DIV/0!</v>
      </c>
      <c r="R201" s="307">
        <f>IF(L201="nio",0,IF(L201&gt;0,VLOOKUP(G201,'3-Productie normen'!A:P,VLOOKUP(L201,'3-Productie normen'!$B$32:$E$37,2,FALSE),FALSE)))</f>
        <v>0</v>
      </c>
      <c r="S201" s="307">
        <f t="shared" si="18"/>
        <v>0</v>
      </c>
      <c r="T201" s="307">
        <f t="shared" si="19"/>
        <v>0</v>
      </c>
      <c r="U201" s="308">
        <f>VLOOKUP(G201,'3-Productie normen'!A:N,10,FALSE)</f>
        <v>0</v>
      </c>
      <c r="V201" s="308"/>
      <c r="X201" s="309">
        <f t="shared" si="20"/>
        <v>7368</v>
      </c>
    </row>
    <row r="202" spans="1:24" ht="14.1" customHeight="1">
      <c r="A202" s="71">
        <v>202</v>
      </c>
      <c r="B202" s="300" t="s">
        <v>44</v>
      </c>
      <c r="C202" s="240" t="s">
        <v>158</v>
      </c>
      <c r="D202" s="301" t="s">
        <v>123</v>
      </c>
      <c r="E202" s="302"/>
      <c r="F202" s="280" t="s">
        <v>124</v>
      </c>
      <c r="G202" s="280" t="s">
        <v>74</v>
      </c>
      <c r="H202" s="280" t="s">
        <v>125</v>
      </c>
      <c r="I202" s="300" t="s">
        <v>126</v>
      </c>
      <c r="J202" s="303">
        <v>35</v>
      </c>
      <c r="K202" s="304">
        <f t="shared" si="17"/>
        <v>255</v>
      </c>
      <c r="L202" s="305">
        <v>255</v>
      </c>
      <c r="M202" s="305"/>
      <c r="N202" s="305"/>
      <c r="O202" s="306" t="e">
        <f>IF(L202="nio",0,IF(L202&gt;0,L202*J202/R202,0))*VLOOKUP(B202,'2-Kosten per locatie'!$A$14:$C$24,3,FALSE)</f>
        <v>#DIV/0!</v>
      </c>
      <c r="P202" s="306">
        <f>IF(M202&gt;0,M202*J202/S202,0)*VLOOKUP(B202,'2-Kosten per locatie'!$A$14:$C$24,3,FALSE)</f>
        <v>0</v>
      </c>
      <c r="Q202" s="306">
        <f>IF(N202&gt;0,N202*J202/T202,0)*VLOOKUP(B202,'2-Kosten per locatie'!$A$14:$C$24,3,FALSE)</f>
        <v>0</v>
      </c>
      <c r="R202" s="307">
        <f>IF(L202="nio",0,IF(L202&gt;0,VLOOKUP(G202,'3-Productie normen'!A:P,VLOOKUP(L202,'3-Productie normen'!$B$32:$E$37,2,FALSE),FALSE)))</f>
        <v>0</v>
      </c>
      <c r="S202" s="307">
        <f t="shared" si="18"/>
        <v>0</v>
      </c>
      <c r="T202" s="307">
        <f t="shared" si="19"/>
        <v>0</v>
      </c>
      <c r="U202" s="308">
        <f>VLOOKUP(G202,'3-Productie normen'!A:N,10,FALSE)</f>
        <v>0</v>
      </c>
      <c r="V202" s="308"/>
      <c r="X202" s="309">
        <f t="shared" si="20"/>
        <v>8925</v>
      </c>
    </row>
    <row r="203" spans="1:24" ht="14.1" customHeight="1">
      <c r="A203" s="71">
        <v>203</v>
      </c>
      <c r="B203" s="300" t="s">
        <v>44</v>
      </c>
      <c r="C203" s="240" t="s">
        <v>158</v>
      </c>
      <c r="D203" s="301" t="s">
        <v>159</v>
      </c>
      <c r="E203" s="302"/>
      <c r="F203" s="280" t="s">
        <v>142</v>
      </c>
      <c r="G203" s="280" t="s">
        <v>89</v>
      </c>
      <c r="H203" s="280" t="s">
        <v>134</v>
      </c>
      <c r="I203" s="300" t="s">
        <v>134</v>
      </c>
      <c r="J203" s="303">
        <v>198</v>
      </c>
      <c r="K203" s="304">
        <f t="shared" si="17"/>
        <v>255</v>
      </c>
      <c r="L203" s="305">
        <v>255</v>
      </c>
      <c r="M203" s="305"/>
      <c r="N203" s="305"/>
      <c r="O203" s="306" t="e">
        <f>IF(L203="nio",0,IF(L203&gt;0,L203*J203/R203,0))*VLOOKUP(B203,'2-Kosten per locatie'!$A$14:$C$24,3,FALSE)</f>
        <v>#DIV/0!</v>
      </c>
      <c r="P203" s="306">
        <f>IF(M203&gt;0,M203*J203/S203,0)*VLOOKUP(B203,'2-Kosten per locatie'!$A$14:$C$24,3,FALSE)</f>
        <v>0</v>
      </c>
      <c r="Q203" s="306">
        <f>IF(N203&gt;0,N203*J203/T203,0)*VLOOKUP(B203,'2-Kosten per locatie'!$A$14:$C$24,3,FALSE)</f>
        <v>0</v>
      </c>
      <c r="R203" s="307">
        <f>IF(L203="nio",0,IF(L203&gt;0,VLOOKUP(G203,'3-Productie normen'!A:P,VLOOKUP(L203,'3-Productie normen'!$B$32:$E$37,2,FALSE),FALSE)))</f>
        <v>0</v>
      </c>
      <c r="S203" s="307">
        <f t="shared" si="18"/>
        <v>0</v>
      </c>
      <c r="T203" s="307">
        <f t="shared" si="19"/>
        <v>0</v>
      </c>
      <c r="U203" s="308">
        <f>VLOOKUP(G203,'3-Productie normen'!A:N,10,FALSE)</f>
        <v>0</v>
      </c>
      <c r="V203" s="308"/>
      <c r="X203" s="309">
        <f t="shared" si="20"/>
        <v>50490</v>
      </c>
    </row>
    <row r="204" spans="1:24" ht="14.1" customHeight="1">
      <c r="A204" s="71">
        <v>204</v>
      </c>
      <c r="B204" s="300" t="s">
        <v>44</v>
      </c>
      <c r="C204" s="240" t="s">
        <v>158</v>
      </c>
      <c r="D204" s="301" t="s">
        <v>159</v>
      </c>
      <c r="E204" s="302"/>
      <c r="F204" s="280" t="s">
        <v>129</v>
      </c>
      <c r="G204" s="280" t="s">
        <v>88</v>
      </c>
      <c r="H204" s="280" t="s">
        <v>130</v>
      </c>
      <c r="I204" s="300" t="s">
        <v>130</v>
      </c>
      <c r="J204" s="303">
        <v>13</v>
      </c>
      <c r="K204" s="304">
        <f t="shared" si="17"/>
        <v>255</v>
      </c>
      <c r="L204" s="305">
        <v>255</v>
      </c>
      <c r="M204" s="305"/>
      <c r="N204" s="305"/>
      <c r="O204" s="306" t="e">
        <f>IF(L204="nio",0,IF(L204&gt;0,L204*J204/R204,0))*VLOOKUP(B204,'2-Kosten per locatie'!$A$14:$C$24,3,FALSE)</f>
        <v>#DIV/0!</v>
      </c>
      <c r="P204" s="306">
        <f>IF(M204&gt;0,M204*J204/S204,0)*VLOOKUP(B204,'2-Kosten per locatie'!$A$14:$C$24,3,FALSE)</f>
        <v>0</v>
      </c>
      <c r="Q204" s="306">
        <f>IF(N204&gt;0,N204*J204/T204,0)*VLOOKUP(B204,'2-Kosten per locatie'!$A$14:$C$24,3,FALSE)</f>
        <v>0</v>
      </c>
      <c r="R204" s="307">
        <f>IF(L204="nio",0,IF(L204&gt;0,VLOOKUP(G204,'3-Productie normen'!A:P,VLOOKUP(L204,'3-Productie normen'!$B$32:$E$37,2,FALSE),FALSE)))</f>
        <v>0</v>
      </c>
      <c r="S204" s="307">
        <f t="shared" si="18"/>
        <v>0</v>
      </c>
      <c r="T204" s="307">
        <f t="shared" si="19"/>
        <v>0</v>
      </c>
      <c r="U204" s="308">
        <f>VLOOKUP(G204,'3-Productie normen'!A:N,10,FALSE)</f>
        <v>0</v>
      </c>
      <c r="V204" s="308"/>
      <c r="X204" s="309">
        <f t="shared" si="20"/>
        <v>3315</v>
      </c>
    </row>
    <row r="205" spans="1:24" ht="14.1" customHeight="1">
      <c r="A205" s="71">
        <v>205</v>
      </c>
      <c r="B205" s="300" t="s">
        <v>44</v>
      </c>
      <c r="C205" s="240" t="s">
        <v>158</v>
      </c>
      <c r="D205" s="301" t="s">
        <v>159</v>
      </c>
      <c r="E205" s="302"/>
      <c r="F205" s="280" t="s">
        <v>83</v>
      </c>
      <c r="G205" s="280" t="s">
        <v>83</v>
      </c>
      <c r="H205" s="280" t="s">
        <v>134</v>
      </c>
      <c r="I205" s="300" t="s">
        <v>134</v>
      </c>
      <c r="J205" s="303">
        <v>2.2000000000000002</v>
      </c>
      <c r="K205" s="304">
        <f t="shared" si="17"/>
        <v>255</v>
      </c>
      <c r="L205" s="305">
        <v>255</v>
      </c>
      <c r="M205" s="305"/>
      <c r="N205" s="305"/>
      <c r="O205" s="306" t="e">
        <f>IF(L205="nio",0,IF(L205&gt;0,L205*J205/R205,0))*VLOOKUP(B205,'2-Kosten per locatie'!$A$14:$C$24,3,FALSE)</f>
        <v>#DIV/0!</v>
      </c>
      <c r="P205" s="306">
        <f>IF(M205&gt;0,M205*J205/S205,0)*VLOOKUP(B205,'2-Kosten per locatie'!$A$14:$C$24,3,FALSE)</f>
        <v>0</v>
      </c>
      <c r="Q205" s="306">
        <f>IF(N205&gt;0,N205*J205/T205,0)*VLOOKUP(B205,'2-Kosten per locatie'!$A$14:$C$24,3,FALSE)</f>
        <v>0</v>
      </c>
      <c r="R205" s="307">
        <f>IF(L205="nio",0,IF(L205&gt;0,VLOOKUP(G205,'3-Productie normen'!A:P,VLOOKUP(L205,'3-Productie normen'!$B$32:$E$37,2,FALSE),FALSE)))</f>
        <v>0</v>
      </c>
      <c r="S205" s="307">
        <f t="shared" si="18"/>
        <v>0</v>
      </c>
      <c r="T205" s="307">
        <f t="shared" si="19"/>
        <v>0</v>
      </c>
      <c r="U205" s="308">
        <f>VLOOKUP(G205,'3-Productie normen'!A:N,10,FALSE)</f>
        <v>0</v>
      </c>
      <c r="V205" s="308"/>
      <c r="X205" s="309">
        <f t="shared" si="20"/>
        <v>561</v>
      </c>
    </row>
    <row r="206" spans="1:24" ht="14.1" customHeight="1">
      <c r="A206" s="71">
        <v>206</v>
      </c>
      <c r="B206" s="300" t="s">
        <v>45</v>
      </c>
      <c r="C206" s="240" t="s">
        <v>160</v>
      </c>
      <c r="D206" s="301" t="s">
        <v>143</v>
      </c>
      <c r="E206" s="302"/>
      <c r="F206" s="280" t="s">
        <v>78</v>
      </c>
      <c r="G206" s="280" t="s">
        <v>78</v>
      </c>
      <c r="H206" s="280" t="s">
        <v>134</v>
      </c>
      <c r="I206" s="300" t="s">
        <v>134</v>
      </c>
      <c r="J206" s="303">
        <v>26</v>
      </c>
      <c r="K206" s="304">
        <f t="shared" si="17"/>
        <v>200</v>
      </c>
      <c r="L206" s="305">
        <v>200</v>
      </c>
      <c r="M206" s="305"/>
      <c r="N206" s="305"/>
      <c r="O206" s="306" t="e">
        <f>IF(L206="nio",0,IF(L206&gt;0,L206*J206/R206,0))*VLOOKUP(B206,'2-Kosten per locatie'!$A$14:$C$24,3,FALSE)</f>
        <v>#DIV/0!</v>
      </c>
      <c r="P206" s="306">
        <f>IF(M206&gt;0,M206*J206/S206,0)*VLOOKUP(B206,'2-Kosten per locatie'!$A$14:$C$24,3,FALSE)</f>
        <v>0</v>
      </c>
      <c r="Q206" s="306">
        <f>IF(N206&gt;0,N206*J206/T206,0)*VLOOKUP(B206,'2-Kosten per locatie'!$A$14:$C$24,3,FALSE)</f>
        <v>0</v>
      </c>
      <c r="R206" s="307">
        <f>IF(L206="nio",0,IF(L206&gt;0,VLOOKUP(G206,'3-Productie normen'!A:P,VLOOKUP(L206,'3-Productie normen'!$B$32:$E$37,2,FALSE),FALSE)))</f>
        <v>0</v>
      </c>
      <c r="S206" s="307">
        <f t="shared" si="18"/>
        <v>0</v>
      </c>
      <c r="T206" s="307">
        <f t="shared" si="19"/>
        <v>0</v>
      </c>
      <c r="U206" s="308">
        <f>VLOOKUP(G206,'3-Productie normen'!A:N,10,FALSE)</f>
        <v>0</v>
      </c>
      <c r="V206" s="308"/>
      <c r="X206" s="309">
        <f t="shared" si="20"/>
        <v>5200</v>
      </c>
    </row>
    <row r="207" spans="1:24" ht="14.1" customHeight="1">
      <c r="A207" s="71">
        <v>207</v>
      </c>
      <c r="B207" s="300" t="s">
        <v>45</v>
      </c>
      <c r="C207" s="240" t="s">
        <v>160</v>
      </c>
      <c r="D207" s="301" t="s">
        <v>143</v>
      </c>
      <c r="E207" s="302"/>
      <c r="F207" s="280" t="s">
        <v>124</v>
      </c>
      <c r="G207" s="280" t="s">
        <v>74</v>
      </c>
      <c r="H207" s="280" t="s">
        <v>134</v>
      </c>
      <c r="I207" s="300" t="s">
        <v>134</v>
      </c>
      <c r="J207" s="303">
        <v>9.4</v>
      </c>
      <c r="K207" s="304">
        <f t="shared" si="17"/>
        <v>200</v>
      </c>
      <c r="L207" s="305">
        <v>200</v>
      </c>
      <c r="M207" s="305"/>
      <c r="N207" s="305"/>
      <c r="O207" s="306" t="e">
        <f>IF(L207="nio",0,IF(L207&gt;0,L207*J207/R207,0))*VLOOKUP(B207,'2-Kosten per locatie'!$A$14:$C$24,3,FALSE)</f>
        <v>#DIV/0!</v>
      </c>
      <c r="P207" s="306">
        <f>IF(M207&gt;0,M207*J207/S207,0)*VLOOKUP(B207,'2-Kosten per locatie'!$A$14:$C$24,3,FALSE)</f>
        <v>0</v>
      </c>
      <c r="Q207" s="306">
        <f>IF(N207&gt;0,N207*J207/T207,0)*VLOOKUP(B207,'2-Kosten per locatie'!$A$14:$C$24,3,FALSE)</f>
        <v>0</v>
      </c>
      <c r="R207" s="307">
        <f>IF(L207="nio",0,IF(L207&gt;0,VLOOKUP(G207,'3-Productie normen'!A:P,VLOOKUP(L207,'3-Productie normen'!$B$32:$E$37,2,FALSE),FALSE)))</f>
        <v>0</v>
      </c>
      <c r="S207" s="307">
        <f t="shared" si="18"/>
        <v>0</v>
      </c>
      <c r="T207" s="307">
        <f t="shared" si="19"/>
        <v>0</v>
      </c>
      <c r="U207" s="308">
        <f>VLOOKUP(G207,'3-Productie normen'!A:N,10,FALSE)</f>
        <v>0</v>
      </c>
      <c r="V207" s="308"/>
      <c r="X207" s="309">
        <f t="shared" si="20"/>
        <v>1880</v>
      </c>
    </row>
    <row r="208" spans="1:24" ht="14.1" customHeight="1">
      <c r="A208" s="71">
        <v>208</v>
      </c>
      <c r="B208" s="300" t="s">
        <v>45</v>
      </c>
      <c r="C208" s="240" t="s">
        <v>160</v>
      </c>
      <c r="D208" s="301" t="s">
        <v>143</v>
      </c>
      <c r="E208" s="302"/>
      <c r="F208" s="280" t="s">
        <v>156</v>
      </c>
      <c r="G208" s="280" t="s">
        <v>82</v>
      </c>
      <c r="H208" s="280" t="s">
        <v>137</v>
      </c>
      <c r="I208" s="300" t="s">
        <v>140</v>
      </c>
      <c r="J208" s="303">
        <v>28.7</v>
      </c>
      <c r="K208" s="304">
        <f t="shared" si="17"/>
        <v>200</v>
      </c>
      <c r="L208" s="305">
        <v>200</v>
      </c>
      <c r="M208" s="305"/>
      <c r="N208" s="305"/>
      <c r="O208" s="306" t="e">
        <f>IF(L208="nio",0,IF(L208&gt;0,L208*J208/R208,0))*VLOOKUP(B208,'2-Kosten per locatie'!$A$14:$C$24,3,FALSE)</f>
        <v>#DIV/0!</v>
      </c>
      <c r="P208" s="306">
        <f>IF(M208&gt;0,M208*J208/S208,0)*VLOOKUP(B208,'2-Kosten per locatie'!$A$14:$C$24,3,FALSE)</f>
        <v>0</v>
      </c>
      <c r="Q208" s="306">
        <f>IF(N208&gt;0,N208*J208/T208,0)*VLOOKUP(B208,'2-Kosten per locatie'!$A$14:$C$24,3,FALSE)</f>
        <v>0</v>
      </c>
      <c r="R208" s="307">
        <f>IF(L208="nio",0,IF(L208&gt;0,VLOOKUP(G208,'3-Productie normen'!A:P,VLOOKUP(L208,'3-Productie normen'!$B$32:$E$37,2,FALSE),FALSE)))</f>
        <v>0</v>
      </c>
      <c r="S208" s="307">
        <f t="shared" si="18"/>
        <v>0</v>
      </c>
      <c r="T208" s="307">
        <f t="shared" si="19"/>
        <v>0</v>
      </c>
      <c r="U208" s="308">
        <f>VLOOKUP(G208,'3-Productie normen'!A:N,10,FALSE)</f>
        <v>0</v>
      </c>
      <c r="V208" s="308"/>
      <c r="X208" s="309">
        <f t="shared" si="20"/>
        <v>5740</v>
      </c>
    </row>
    <row r="209" spans="1:24" ht="14.1" customHeight="1">
      <c r="A209" s="71">
        <v>209</v>
      </c>
      <c r="B209" s="300" t="s">
        <v>45</v>
      </c>
      <c r="C209" s="240" t="s">
        <v>160</v>
      </c>
      <c r="D209" s="301" t="s">
        <v>143</v>
      </c>
      <c r="E209" s="302"/>
      <c r="F209" s="280" t="s">
        <v>161</v>
      </c>
      <c r="G209" s="280" t="s">
        <v>82</v>
      </c>
      <c r="H209" s="280" t="s">
        <v>137</v>
      </c>
      <c r="I209" s="300" t="s">
        <v>140</v>
      </c>
      <c r="J209" s="303">
        <v>15</v>
      </c>
      <c r="K209" s="304">
        <f t="shared" si="17"/>
        <v>200</v>
      </c>
      <c r="L209" s="305">
        <v>200</v>
      </c>
      <c r="M209" s="305"/>
      <c r="N209" s="305"/>
      <c r="O209" s="306" t="e">
        <f>IF(L209="nio",0,IF(L209&gt;0,L209*J209/R209,0))*VLOOKUP(B209,'2-Kosten per locatie'!$A$14:$C$24,3,FALSE)</f>
        <v>#DIV/0!</v>
      </c>
      <c r="P209" s="306">
        <f>IF(M209&gt;0,M209*J209/S209,0)*VLOOKUP(B209,'2-Kosten per locatie'!$A$14:$C$24,3,FALSE)</f>
        <v>0</v>
      </c>
      <c r="Q209" s="306">
        <f>IF(N209&gt;0,N209*J209/T209,0)*VLOOKUP(B209,'2-Kosten per locatie'!$A$14:$C$24,3,FALSE)</f>
        <v>0</v>
      </c>
      <c r="R209" s="307">
        <f>IF(L209="nio",0,IF(L209&gt;0,VLOOKUP(G209,'3-Productie normen'!A:P,VLOOKUP(L209,'3-Productie normen'!$B$32:$E$37,2,FALSE),FALSE)))</f>
        <v>0</v>
      </c>
      <c r="S209" s="307">
        <f t="shared" si="18"/>
        <v>0</v>
      </c>
      <c r="T209" s="307">
        <f t="shared" si="19"/>
        <v>0</v>
      </c>
      <c r="U209" s="308">
        <f>VLOOKUP(G209,'3-Productie normen'!A:N,10,FALSE)</f>
        <v>0</v>
      </c>
      <c r="V209" s="308"/>
      <c r="X209" s="309">
        <f t="shared" si="20"/>
        <v>3000</v>
      </c>
    </row>
    <row r="210" spans="1:24" ht="14.1" customHeight="1">
      <c r="A210" s="71">
        <v>210</v>
      </c>
      <c r="B210" s="300" t="s">
        <v>45</v>
      </c>
      <c r="C210" s="240" t="s">
        <v>160</v>
      </c>
      <c r="D210" s="301" t="s">
        <v>143</v>
      </c>
      <c r="E210" s="302"/>
      <c r="F210" s="280" t="s">
        <v>161</v>
      </c>
      <c r="G210" s="280" t="s">
        <v>82</v>
      </c>
      <c r="H210" s="280" t="s">
        <v>137</v>
      </c>
      <c r="I210" s="300" t="s">
        <v>140</v>
      </c>
      <c r="J210" s="303">
        <v>15</v>
      </c>
      <c r="K210" s="304">
        <f t="shared" si="17"/>
        <v>200</v>
      </c>
      <c r="L210" s="305">
        <v>200</v>
      </c>
      <c r="M210" s="305"/>
      <c r="N210" s="305"/>
      <c r="O210" s="306" t="e">
        <f>IF(L210="nio",0,IF(L210&gt;0,L210*J210/R210,0))*VLOOKUP(B210,'2-Kosten per locatie'!$A$14:$C$24,3,FALSE)</f>
        <v>#DIV/0!</v>
      </c>
      <c r="P210" s="306">
        <f>IF(M210&gt;0,M210*J210/S210,0)*VLOOKUP(B210,'2-Kosten per locatie'!$A$14:$C$24,3,FALSE)</f>
        <v>0</v>
      </c>
      <c r="Q210" s="306">
        <f>IF(N210&gt;0,N210*J210/T210,0)*VLOOKUP(B210,'2-Kosten per locatie'!$A$14:$C$24,3,FALSE)</f>
        <v>0</v>
      </c>
      <c r="R210" s="307">
        <f>IF(L210="nio",0,IF(L210&gt;0,VLOOKUP(G210,'3-Productie normen'!A:P,VLOOKUP(L210,'3-Productie normen'!$B$32:$E$37,2,FALSE),FALSE)))</f>
        <v>0</v>
      </c>
      <c r="S210" s="307">
        <f t="shared" si="18"/>
        <v>0</v>
      </c>
      <c r="T210" s="307">
        <f t="shared" si="19"/>
        <v>0</v>
      </c>
      <c r="U210" s="308">
        <f>VLOOKUP(G210,'3-Productie normen'!A:N,10,FALSE)</f>
        <v>0</v>
      </c>
      <c r="V210" s="308"/>
      <c r="X210" s="309">
        <f t="shared" si="20"/>
        <v>3000</v>
      </c>
    </row>
    <row r="211" spans="1:24" ht="14.1" customHeight="1">
      <c r="A211" s="71">
        <v>211</v>
      </c>
      <c r="B211" s="300" t="s">
        <v>45</v>
      </c>
      <c r="C211" s="240" t="s">
        <v>160</v>
      </c>
      <c r="D211" s="301" t="s">
        <v>143</v>
      </c>
      <c r="E211" s="302"/>
      <c r="F211" s="280" t="s">
        <v>156</v>
      </c>
      <c r="G211" s="280" t="s">
        <v>82</v>
      </c>
      <c r="H211" s="280" t="s">
        <v>137</v>
      </c>
      <c r="I211" s="300" t="s">
        <v>140</v>
      </c>
      <c r="J211" s="303">
        <v>28</v>
      </c>
      <c r="K211" s="304">
        <f t="shared" si="17"/>
        <v>200</v>
      </c>
      <c r="L211" s="305">
        <v>200</v>
      </c>
      <c r="M211" s="305"/>
      <c r="N211" s="305"/>
      <c r="O211" s="306" t="e">
        <f>IF(L211="nio",0,IF(L211&gt;0,L211*J211/R211,0))*VLOOKUP(B211,'2-Kosten per locatie'!$A$14:$C$24,3,FALSE)</f>
        <v>#DIV/0!</v>
      </c>
      <c r="P211" s="306">
        <f>IF(M211&gt;0,M211*J211/S211,0)*VLOOKUP(B211,'2-Kosten per locatie'!$A$14:$C$24,3,FALSE)</f>
        <v>0</v>
      </c>
      <c r="Q211" s="306">
        <f>IF(N211&gt;0,N211*J211/T211,0)*VLOOKUP(B211,'2-Kosten per locatie'!$A$14:$C$24,3,FALSE)</f>
        <v>0</v>
      </c>
      <c r="R211" s="307">
        <f>IF(L211="nio",0,IF(L211&gt;0,VLOOKUP(G211,'3-Productie normen'!A:P,VLOOKUP(L211,'3-Productie normen'!$B$32:$E$37,2,FALSE),FALSE)))</f>
        <v>0</v>
      </c>
      <c r="S211" s="307">
        <f t="shared" si="18"/>
        <v>0</v>
      </c>
      <c r="T211" s="307">
        <f t="shared" si="19"/>
        <v>0</v>
      </c>
      <c r="U211" s="308">
        <f>VLOOKUP(G211,'3-Productie normen'!A:N,10,FALSE)</f>
        <v>0</v>
      </c>
      <c r="V211" s="308"/>
      <c r="X211" s="309">
        <f t="shared" si="20"/>
        <v>5600</v>
      </c>
    </row>
    <row r="212" spans="1:24" ht="14.1" customHeight="1">
      <c r="A212" s="71">
        <v>212</v>
      </c>
      <c r="B212" s="300" t="s">
        <v>45</v>
      </c>
      <c r="C212" s="240" t="s">
        <v>160</v>
      </c>
      <c r="D212" s="301" t="s">
        <v>143</v>
      </c>
      <c r="E212" s="302"/>
      <c r="F212" s="280" t="s">
        <v>155</v>
      </c>
      <c r="G212" s="280" t="s">
        <v>84</v>
      </c>
      <c r="H212" s="280" t="s">
        <v>162</v>
      </c>
      <c r="I212" s="300" t="s">
        <v>138</v>
      </c>
      <c r="J212" s="303">
        <v>35</v>
      </c>
      <c r="K212" s="304">
        <f t="shared" si="17"/>
        <v>40</v>
      </c>
      <c r="L212" s="305">
        <v>40</v>
      </c>
      <c r="M212" s="305"/>
      <c r="N212" s="305"/>
      <c r="O212" s="306" t="e">
        <f>IF(L212="nio",0,IF(L212&gt;0,L212*J212/R212,0))*VLOOKUP(B212,'2-Kosten per locatie'!$A$14:$C$24,3,FALSE)</f>
        <v>#DIV/0!</v>
      </c>
      <c r="P212" s="306">
        <f>IF(M212&gt;0,M212*J212/S212,0)*VLOOKUP(B212,'2-Kosten per locatie'!$A$14:$C$24,3,FALSE)</f>
        <v>0</v>
      </c>
      <c r="Q212" s="306">
        <f>IF(N212&gt;0,N212*J212/T212,0)*VLOOKUP(B212,'2-Kosten per locatie'!$A$14:$C$24,3,FALSE)</f>
        <v>0</v>
      </c>
      <c r="R212" s="307">
        <f>IF(L212="nio",0,IF(L212&gt;0,VLOOKUP(G212,'3-Productie normen'!A:P,VLOOKUP(L212,'3-Productie normen'!$B$32:$E$37,2,FALSE),FALSE)))</f>
        <v>0</v>
      </c>
      <c r="S212" s="307">
        <f t="shared" si="18"/>
        <v>0</v>
      </c>
      <c r="T212" s="307">
        <f t="shared" si="19"/>
        <v>0</v>
      </c>
      <c r="U212" s="308">
        <f>VLOOKUP(G212,'3-Productie normen'!A:N,10,FALSE)</f>
        <v>0</v>
      </c>
      <c r="V212" s="308"/>
      <c r="X212" s="309">
        <f t="shared" si="20"/>
        <v>1400</v>
      </c>
    </row>
    <row r="213" spans="1:24" ht="14.1" customHeight="1">
      <c r="A213" s="71">
        <v>213</v>
      </c>
      <c r="B213" s="300" t="s">
        <v>45</v>
      </c>
      <c r="C213" s="240" t="s">
        <v>160</v>
      </c>
      <c r="D213" s="301" t="s">
        <v>143</v>
      </c>
      <c r="E213" s="302"/>
      <c r="F213" s="280" t="s">
        <v>163</v>
      </c>
      <c r="G213" s="280" t="s">
        <v>87</v>
      </c>
      <c r="H213" s="280" t="s">
        <v>162</v>
      </c>
      <c r="I213" s="300" t="s">
        <v>162</v>
      </c>
      <c r="J213" s="303">
        <v>252</v>
      </c>
      <c r="K213" s="304">
        <f t="shared" si="17"/>
        <v>200</v>
      </c>
      <c r="L213" s="305">
        <v>200</v>
      </c>
      <c r="M213" s="305"/>
      <c r="N213" s="305"/>
      <c r="O213" s="306" t="e">
        <f>IF(L213="nio",0,IF(L213&gt;0,L213*J213/R213,0))*VLOOKUP(B213,'2-Kosten per locatie'!$A$14:$C$24,3,FALSE)</f>
        <v>#DIV/0!</v>
      </c>
      <c r="P213" s="306">
        <f>IF(M213&gt;0,M213*J213/S213,0)*VLOOKUP(B213,'2-Kosten per locatie'!$A$14:$C$24,3,FALSE)</f>
        <v>0</v>
      </c>
      <c r="Q213" s="306">
        <f>IF(N213&gt;0,N213*J213/T213,0)*VLOOKUP(B213,'2-Kosten per locatie'!$A$14:$C$24,3,FALSE)</f>
        <v>0</v>
      </c>
      <c r="R213" s="307">
        <f>IF(L213="nio",0,IF(L213&gt;0,VLOOKUP(G213,'3-Productie normen'!A:P,VLOOKUP(L213,'3-Productie normen'!$B$32:$E$37,2,FALSE),FALSE)))</f>
        <v>0</v>
      </c>
      <c r="S213" s="307">
        <f t="shared" si="18"/>
        <v>0</v>
      </c>
      <c r="T213" s="307">
        <f t="shared" si="19"/>
        <v>0</v>
      </c>
      <c r="U213" s="308">
        <f>VLOOKUP(G213,'3-Productie normen'!A:N,10,FALSE)</f>
        <v>0</v>
      </c>
      <c r="V213" s="308"/>
      <c r="X213" s="309">
        <f t="shared" si="20"/>
        <v>50400</v>
      </c>
    </row>
    <row r="214" spans="1:24" ht="14.1" customHeight="1">
      <c r="A214" s="71">
        <v>214</v>
      </c>
      <c r="B214" s="300" t="s">
        <v>45</v>
      </c>
      <c r="C214" s="240" t="s">
        <v>160</v>
      </c>
      <c r="D214" s="301" t="s">
        <v>143</v>
      </c>
      <c r="E214" s="302"/>
      <c r="F214" s="280" t="s">
        <v>139</v>
      </c>
      <c r="G214" s="280" t="s">
        <v>86</v>
      </c>
      <c r="H214" s="280" t="s">
        <v>137</v>
      </c>
      <c r="I214" s="300" t="s">
        <v>140</v>
      </c>
      <c r="J214" s="303">
        <v>3.3</v>
      </c>
      <c r="K214" s="304">
        <f t="shared" si="17"/>
        <v>200</v>
      </c>
      <c r="L214" s="305">
        <v>200</v>
      </c>
      <c r="M214" s="305"/>
      <c r="N214" s="305"/>
      <c r="O214" s="306" t="e">
        <f>IF(L214="nio",0,IF(L214&gt;0,L214*J214/R214,0))*VLOOKUP(B214,'2-Kosten per locatie'!$A$14:$C$24,3,FALSE)</f>
        <v>#DIV/0!</v>
      </c>
      <c r="P214" s="306">
        <f>IF(M214&gt;0,M214*J214/S214,0)*VLOOKUP(B214,'2-Kosten per locatie'!$A$14:$C$24,3,FALSE)</f>
        <v>0</v>
      </c>
      <c r="Q214" s="306">
        <f>IF(N214&gt;0,N214*J214/T214,0)*VLOOKUP(B214,'2-Kosten per locatie'!$A$14:$C$24,3,FALSE)</f>
        <v>0</v>
      </c>
      <c r="R214" s="307">
        <f>IF(L214="nio",0,IF(L214&gt;0,VLOOKUP(G214,'3-Productie normen'!A:P,VLOOKUP(L214,'3-Productie normen'!$B$32:$E$37,2,FALSE),FALSE)))</f>
        <v>0</v>
      </c>
      <c r="S214" s="307">
        <f t="shared" si="18"/>
        <v>0</v>
      </c>
      <c r="T214" s="307">
        <f t="shared" si="19"/>
        <v>0</v>
      </c>
      <c r="U214" s="308">
        <f>VLOOKUP(G214,'3-Productie normen'!A:N,10,FALSE)</f>
        <v>0</v>
      </c>
      <c r="V214" s="308"/>
      <c r="X214" s="309">
        <f t="shared" si="20"/>
        <v>660</v>
      </c>
    </row>
    <row r="215" spans="1:24" ht="14.1" customHeight="1">
      <c r="A215" s="71">
        <v>215</v>
      </c>
      <c r="B215" s="300" t="s">
        <v>46</v>
      </c>
      <c r="C215" s="240" t="s">
        <v>164</v>
      </c>
      <c r="D215" s="301" t="s">
        <v>143</v>
      </c>
      <c r="E215" s="302"/>
      <c r="F215" s="280" t="s">
        <v>128</v>
      </c>
      <c r="G215" s="280" t="s">
        <v>80</v>
      </c>
      <c r="H215" s="280" t="s">
        <v>134</v>
      </c>
      <c r="I215" s="300" t="s">
        <v>134</v>
      </c>
      <c r="J215" s="303">
        <v>40</v>
      </c>
      <c r="K215" s="304">
        <f t="shared" si="17"/>
        <v>200</v>
      </c>
      <c r="L215" s="305">
        <v>200</v>
      </c>
      <c r="M215" s="305"/>
      <c r="N215" s="305"/>
      <c r="O215" s="306" t="e">
        <f>IF(L215="nio",0,IF(L215&gt;0,L215*J215/R215,0))*VLOOKUP(B215,'2-Kosten per locatie'!$A$14:$C$24,3,FALSE)</f>
        <v>#DIV/0!</v>
      </c>
      <c r="P215" s="306">
        <f>IF(M215&gt;0,M215*J215/S215,0)*VLOOKUP(B215,'2-Kosten per locatie'!$A$14:$C$24,3,FALSE)</f>
        <v>0</v>
      </c>
      <c r="Q215" s="306">
        <f>IF(N215&gt;0,N215*J215/T215,0)*VLOOKUP(B215,'2-Kosten per locatie'!$A$14:$C$24,3,FALSE)</f>
        <v>0</v>
      </c>
      <c r="R215" s="307">
        <f>IF(L215="nio",0,IF(L215&gt;0,VLOOKUP(G215,'3-Productie normen'!A:P,VLOOKUP(L215,'3-Productie normen'!$B$32:$E$37,2,FALSE),FALSE)))</f>
        <v>0</v>
      </c>
      <c r="S215" s="307">
        <f t="shared" si="18"/>
        <v>0</v>
      </c>
      <c r="T215" s="307">
        <f t="shared" si="19"/>
        <v>0</v>
      </c>
      <c r="U215" s="308">
        <f>VLOOKUP(G215,'3-Productie normen'!A:N,10,FALSE)</f>
        <v>0</v>
      </c>
      <c r="V215" s="308"/>
      <c r="X215" s="309">
        <f t="shared" si="20"/>
        <v>8000</v>
      </c>
    </row>
    <row r="216" spans="1:24" ht="14.1" customHeight="1">
      <c r="A216" s="71">
        <v>216</v>
      </c>
      <c r="B216" s="300" t="s">
        <v>46</v>
      </c>
      <c r="C216" s="240" t="s">
        <v>164</v>
      </c>
      <c r="D216" s="301" t="s">
        <v>143</v>
      </c>
      <c r="E216" s="302"/>
      <c r="F216" s="280" t="s">
        <v>124</v>
      </c>
      <c r="G216" s="280" t="s">
        <v>74</v>
      </c>
      <c r="H216" s="280" t="s">
        <v>134</v>
      </c>
      <c r="I216" s="300" t="s">
        <v>134</v>
      </c>
      <c r="J216" s="303">
        <v>12</v>
      </c>
      <c r="K216" s="304">
        <f t="shared" si="17"/>
        <v>200</v>
      </c>
      <c r="L216" s="305">
        <v>200</v>
      </c>
      <c r="M216" s="305"/>
      <c r="N216" s="305"/>
      <c r="O216" s="306" t="e">
        <f>IF(L216="nio",0,IF(L216&gt;0,L216*J216/R216,0))*VLOOKUP(B216,'2-Kosten per locatie'!$A$14:$C$24,3,FALSE)</f>
        <v>#DIV/0!</v>
      </c>
      <c r="P216" s="306">
        <f>IF(M216&gt;0,M216*J216/S216,0)*VLOOKUP(B216,'2-Kosten per locatie'!$A$14:$C$24,3,FALSE)</f>
        <v>0</v>
      </c>
      <c r="Q216" s="306">
        <f>IF(N216&gt;0,N216*J216/T216,0)*VLOOKUP(B216,'2-Kosten per locatie'!$A$14:$C$24,3,FALSE)</f>
        <v>0</v>
      </c>
      <c r="R216" s="307">
        <f>IF(L216="nio",0,IF(L216&gt;0,VLOOKUP(G216,'3-Productie normen'!A:P,VLOOKUP(L216,'3-Productie normen'!$B$32:$E$37,2,FALSE),FALSE)))</f>
        <v>0</v>
      </c>
      <c r="S216" s="307">
        <f t="shared" si="18"/>
        <v>0</v>
      </c>
      <c r="T216" s="307">
        <f t="shared" si="19"/>
        <v>0</v>
      </c>
      <c r="U216" s="308">
        <f>VLOOKUP(G216,'3-Productie normen'!A:N,10,FALSE)</f>
        <v>0</v>
      </c>
      <c r="V216" s="308"/>
      <c r="X216" s="309">
        <f t="shared" si="20"/>
        <v>2400</v>
      </c>
    </row>
    <row r="217" spans="1:24" ht="14.1" customHeight="1">
      <c r="A217" s="71">
        <v>217</v>
      </c>
      <c r="B217" s="300" t="s">
        <v>46</v>
      </c>
      <c r="C217" s="240" t="s">
        <v>164</v>
      </c>
      <c r="D217" s="301" t="s">
        <v>143</v>
      </c>
      <c r="E217" s="302"/>
      <c r="F217" s="280" t="s">
        <v>156</v>
      </c>
      <c r="G217" s="280" t="s">
        <v>82</v>
      </c>
      <c r="H217" s="280" t="s">
        <v>137</v>
      </c>
      <c r="I217" s="300" t="s">
        <v>140</v>
      </c>
      <c r="J217" s="303">
        <v>32</v>
      </c>
      <c r="K217" s="304">
        <f t="shared" si="17"/>
        <v>200</v>
      </c>
      <c r="L217" s="305">
        <v>200</v>
      </c>
      <c r="M217" s="305"/>
      <c r="N217" s="305"/>
      <c r="O217" s="306" t="e">
        <f>IF(L217="nio",0,IF(L217&gt;0,L217*J217/R217,0))*VLOOKUP(B217,'2-Kosten per locatie'!$A$14:$C$24,3,FALSE)</f>
        <v>#DIV/0!</v>
      </c>
      <c r="P217" s="306">
        <f>IF(M217&gt;0,M217*J217/S217,0)*VLOOKUP(B217,'2-Kosten per locatie'!$A$14:$C$24,3,FALSE)</f>
        <v>0</v>
      </c>
      <c r="Q217" s="306">
        <f>IF(N217&gt;0,N217*J217/T217,0)*VLOOKUP(B217,'2-Kosten per locatie'!$A$14:$C$24,3,FALSE)</f>
        <v>0</v>
      </c>
      <c r="R217" s="307">
        <f>IF(L217="nio",0,IF(L217&gt;0,VLOOKUP(G217,'3-Productie normen'!A:P,VLOOKUP(L217,'3-Productie normen'!$B$32:$E$37,2,FALSE),FALSE)))</f>
        <v>0</v>
      </c>
      <c r="S217" s="307">
        <f t="shared" si="18"/>
        <v>0</v>
      </c>
      <c r="T217" s="307">
        <f t="shared" si="19"/>
        <v>0</v>
      </c>
      <c r="U217" s="308">
        <f>VLOOKUP(G217,'3-Productie normen'!A:N,10,FALSE)</f>
        <v>0</v>
      </c>
      <c r="V217" s="308"/>
      <c r="X217" s="309">
        <f t="shared" si="20"/>
        <v>6400</v>
      </c>
    </row>
    <row r="218" spans="1:24" ht="14.1" customHeight="1">
      <c r="A218" s="71">
        <v>218</v>
      </c>
      <c r="B218" s="300" t="s">
        <v>46</v>
      </c>
      <c r="C218" s="240" t="s">
        <v>164</v>
      </c>
      <c r="D218" s="301" t="s">
        <v>143</v>
      </c>
      <c r="E218" s="302"/>
      <c r="F218" s="280" t="s">
        <v>151</v>
      </c>
      <c r="G218" s="280" t="s">
        <v>76</v>
      </c>
      <c r="H218" s="280" t="s">
        <v>137</v>
      </c>
      <c r="I218" s="300" t="s">
        <v>140</v>
      </c>
      <c r="J218" s="303">
        <v>15</v>
      </c>
      <c r="K218" s="304">
        <f t="shared" si="17"/>
        <v>200</v>
      </c>
      <c r="L218" s="305">
        <v>200</v>
      </c>
      <c r="M218" s="305"/>
      <c r="N218" s="305"/>
      <c r="O218" s="306" t="e">
        <f>IF(L218="nio",0,IF(L218&gt;0,L218*J218/R218,0))*VLOOKUP(B218,'2-Kosten per locatie'!$A$14:$C$24,3,FALSE)</f>
        <v>#DIV/0!</v>
      </c>
      <c r="P218" s="306">
        <f>IF(M218&gt;0,M218*J218/S218,0)*VLOOKUP(B218,'2-Kosten per locatie'!$A$14:$C$24,3,FALSE)</f>
        <v>0</v>
      </c>
      <c r="Q218" s="306">
        <f>IF(N218&gt;0,N218*J218/T218,0)*VLOOKUP(B218,'2-Kosten per locatie'!$A$14:$C$24,3,FALSE)</f>
        <v>0</v>
      </c>
      <c r="R218" s="307">
        <f>IF(L218="nio",0,IF(L218&gt;0,VLOOKUP(G218,'3-Productie normen'!A:P,VLOOKUP(L218,'3-Productie normen'!$B$32:$E$37,2,FALSE),FALSE)))</f>
        <v>0</v>
      </c>
      <c r="S218" s="307">
        <f t="shared" si="18"/>
        <v>0</v>
      </c>
      <c r="T218" s="307">
        <f t="shared" si="19"/>
        <v>0</v>
      </c>
      <c r="U218" s="308">
        <f>VLOOKUP(G218,'3-Productie normen'!A:N,10,FALSE)</f>
        <v>0</v>
      </c>
      <c r="V218" s="308"/>
      <c r="X218" s="309">
        <f t="shared" si="20"/>
        <v>3000</v>
      </c>
    </row>
    <row r="219" spans="1:24" ht="14.1" customHeight="1">
      <c r="A219" s="71">
        <v>219</v>
      </c>
      <c r="B219" s="300" t="s">
        <v>46</v>
      </c>
      <c r="C219" s="240" t="s">
        <v>164</v>
      </c>
      <c r="D219" s="301" t="s">
        <v>143</v>
      </c>
      <c r="E219" s="302"/>
      <c r="F219" s="280" t="s">
        <v>151</v>
      </c>
      <c r="G219" s="280" t="s">
        <v>76</v>
      </c>
      <c r="H219" s="280" t="s">
        <v>137</v>
      </c>
      <c r="I219" s="300" t="s">
        <v>140</v>
      </c>
      <c r="J219" s="303">
        <v>15</v>
      </c>
      <c r="K219" s="304">
        <f t="shared" si="17"/>
        <v>200</v>
      </c>
      <c r="L219" s="305">
        <v>200</v>
      </c>
      <c r="M219" s="305"/>
      <c r="N219" s="305"/>
      <c r="O219" s="306" t="e">
        <f>IF(L219="nio",0,IF(L219&gt;0,L219*J219/R219,0))*VLOOKUP(B219,'2-Kosten per locatie'!$A$14:$C$24,3,FALSE)</f>
        <v>#DIV/0!</v>
      </c>
      <c r="P219" s="306">
        <f>IF(M219&gt;0,M219*J219/S219,0)*VLOOKUP(B219,'2-Kosten per locatie'!$A$14:$C$24,3,FALSE)</f>
        <v>0</v>
      </c>
      <c r="Q219" s="306">
        <f>IF(N219&gt;0,N219*J219/T219,0)*VLOOKUP(B219,'2-Kosten per locatie'!$A$14:$C$24,3,FALSE)</f>
        <v>0</v>
      </c>
      <c r="R219" s="307">
        <f>IF(L219="nio",0,IF(L219&gt;0,VLOOKUP(G219,'3-Productie normen'!A:P,VLOOKUP(L219,'3-Productie normen'!$B$32:$E$37,2,FALSE),FALSE)))</f>
        <v>0</v>
      </c>
      <c r="S219" s="307">
        <f t="shared" si="18"/>
        <v>0</v>
      </c>
      <c r="T219" s="307">
        <f t="shared" si="19"/>
        <v>0</v>
      </c>
      <c r="U219" s="308">
        <f>VLOOKUP(G219,'3-Productie normen'!A:N,10,FALSE)</f>
        <v>0</v>
      </c>
      <c r="V219" s="308"/>
      <c r="X219" s="309">
        <f t="shared" si="20"/>
        <v>3000</v>
      </c>
    </row>
    <row r="220" spans="1:24" ht="14.1" customHeight="1">
      <c r="A220" s="71">
        <v>220</v>
      </c>
      <c r="B220" s="300" t="s">
        <v>46</v>
      </c>
      <c r="C220" s="240" t="s">
        <v>164</v>
      </c>
      <c r="D220" s="301" t="s">
        <v>143</v>
      </c>
      <c r="E220" s="302"/>
      <c r="F220" s="280" t="s">
        <v>156</v>
      </c>
      <c r="G220" s="280" t="s">
        <v>82</v>
      </c>
      <c r="H220" s="280" t="s">
        <v>137</v>
      </c>
      <c r="I220" s="300" t="s">
        <v>140</v>
      </c>
      <c r="J220" s="303">
        <v>30</v>
      </c>
      <c r="K220" s="304">
        <f t="shared" si="17"/>
        <v>200</v>
      </c>
      <c r="L220" s="305">
        <v>200</v>
      </c>
      <c r="M220" s="305"/>
      <c r="N220" s="305"/>
      <c r="O220" s="306" t="e">
        <f>IF(L220="nio",0,IF(L220&gt;0,L220*J220/R220,0))*VLOOKUP(B220,'2-Kosten per locatie'!$A$14:$C$24,3,FALSE)</f>
        <v>#DIV/0!</v>
      </c>
      <c r="P220" s="306">
        <f>IF(M220&gt;0,M220*J220/S220,0)*VLOOKUP(B220,'2-Kosten per locatie'!$A$14:$C$24,3,FALSE)</f>
        <v>0</v>
      </c>
      <c r="Q220" s="306">
        <f>IF(N220&gt;0,N220*J220/T220,0)*VLOOKUP(B220,'2-Kosten per locatie'!$A$14:$C$24,3,FALSE)</f>
        <v>0</v>
      </c>
      <c r="R220" s="307">
        <f>IF(L220="nio",0,IF(L220&gt;0,VLOOKUP(G220,'3-Productie normen'!A:P,VLOOKUP(L220,'3-Productie normen'!$B$32:$E$37,2,FALSE),FALSE)))</f>
        <v>0</v>
      </c>
      <c r="S220" s="307">
        <f t="shared" si="18"/>
        <v>0</v>
      </c>
      <c r="T220" s="307">
        <f t="shared" si="19"/>
        <v>0</v>
      </c>
      <c r="U220" s="308">
        <f>VLOOKUP(G220,'3-Productie normen'!A:N,10,FALSE)</f>
        <v>0</v>
      </c>
      <c r="V220" s="308"/>
      <c r="X220" s="309">
        <f t="shared" si="20"/>
        <v>6000</v>
      </c>
    </row>
    <row r="221" spans="1:24" ht="14.1" customHeight="1">
      <c r="A221" s="71">
        <v>221</v>
      </c>
      <c r="B221" s="300" t="s">
        <v>46</v>
      </c>
      <c r="C221" s="240" t="s">
        <v>164</v>
      </c>
      <c r="D221" s="301" t="s">
        <v>143</v>
      </c>
      <c r="E221" s="302"/>
      <c r="F221" s="280" t="s">
        <v>155</v>
      </c>
      <c r="G221" s="280" t="s">
        <v>84</v>
      </c>
      <c r="H221" s="280" t="s">
        <v>162</v>
      </c>
      <c r="I221" s="300" t="s">
        <v>138</v>
      </c>
      <c r="J221" s="303">
        <v>37</v>
      </c>
      <c r="K221" s="304">
        <f t="shared" si="17"/>
        <v>40</v>
      </c>
      <c r="L221" s="305">
        <v>40</v>
      </c>
      <c r="M221" s="305"/>
      <c r="N221" s="305"/>
      <c r="O221" s="306" t="e">
        <f>IF(L221="nio",0,IF(L221&gt;0,L221*J221/R221,0))*VLOOKUP(B221,'2-Kosten per locatie'!$A$14:$C$24,3,FALSE)</f>
        <v>#DIV/0!</v>
      </c>
      <c r="P221" s="306">
        <f>IF(M221&gt;0,M221*J221/S221,0)*VLOOKUP(B221,'2-Kosten per locatie'!$A$14:$C$24,3,FALSE)</f>
        <v>0</v>
      </c>
      <c r="Q221" s="306">
        <f>IF(N221&gt;0,N221*J221/T221,0)*VLOOKUP(B221,'2-Kosten per locatie'!$A$14:$C$24,3,FALSE)</f>
        <v>0</v>
      </c>
      <c r="R221" s="307">
        <f>IF(L221="nio",0,IF(L221&gt;0,VLOOKUP(G221,'3-Productie normen'!A:P,VLOOKUP(L221,'3-Productie normen'!$B$32:$E$37,2,FALSE),FALSE)))</f>
        <v>0</v>
      </c>
      <c r="S221" s="307">
        <f t="shared" si="18"/>
        <v>0</v>
      </c>
      <c r="T221" s="307">
        <f t="shared" si="19"/>
        <v>0</v>
      </c>
      <c r="U221" s="308">
        <f>VLOOKUP(G221,'3-Productie normen'!A:N,10,FALSE)</f>
        <v>0</v>
      </c>
      <c r="V221" s="308"/>
      <c r="X221" s="309">
        <f t="shared" si="20"/>
        <v>1480</v>
      </c>
    </row>
    <row r="222" spans="1:24" ht="14.1" customHeight="1">
      <c r="A222" s="71">
        <v>222</v>
      </c>
      <c r="B222" s="300" t="s">
        <v>46</v>
      </c>
      <c r="C222" s="240" t="s">
        <v>164</v>
      </c>
      <c r="D222" s="301" t="s">
        <v>143</v>
      </c>
      <c r="E222" s="302"/>
      <c r="F222" s="280" t="s">
        <v>163</v>
      </c>
      <c r="G222" s="280" t="s">
        <v>87</v>
      </c>
      <c r="H222" s="280" t="s">
        <v>162</v>
      </c>
      <c r="I222" s="300" t="s">
        <v>162</v>
      </c>
      <c r="J222" s="303">
        <v>252</v>
      </c>
      <c r="K222" s="304">
        <f t="shared" si="17"/>
        <v>200</v>
      </c>
      <c r="L222" s="305">
        <v>200</v>
      </c>
      <c r="M222" s="305"/>
      <c r="N222" s="305"/>
      <c r="O222" s="306" t="e">
        <f>IF(L222="nio",0,IF(L222&gt;0,L222*J222/R222,0))*VLOOKUP(B222,'2-Kosten per locatie'!$A$14:$C$24,3,FALSE)</f>
        <v>#DIV/0!</v>
      </c>
      <c r="P222" s="306">
        <f>IF(M222&gt;0,M222*J222/S222,0)*VLOOKUP(B222,'2-Kosten per locatie'!$A$14:$C$24,3,FALSE)</f>
        <v>0</v>
      </c>
      <c r="Q222" s="306">
        <f>IF(N222&gt;0,N222*J222/T222,0)*VLOOKUP(B222,'2-Kosten per locatie'!$A$14:$C$24,3,FALSE)</f>
        <v>0</v>
      </c>
      <c r="R222" s="307">
        <f>IF(L222="nio",0,IF(L222&gt;0,VLOOKUP(G222,'3-Productie normen'!A:P,VLOOKUP(L222,'3-Productie normen'!$B$32:$E$37,2,FALSE),FALSE)))</f>
        <v>0</v>
      </c>
      <c r="S222" s="307">
        <f t="shared" si="18"/>
        <v>0</v>
      </c>
      <c r="T222" s="307">
        <f t="shared" si="19"/>
        <v>0</v>
      </c>
      <c r="U222" s="308">
        <f>VLOOKUP(G222,'3-Productie normen'!A:N,10,FALSE)</f>
        <v>0</v>
      </c>
      <c r="V222" s="308"/>
      <c r="X222" s="309">
        <f t="shared" si="20"/>
        <v>50400</v>
      </c>
    </row>
    <row r="223" spans="1:24" ht="14.1" customHeight="1">
      <c r="A223" s="71">
        <v>223</v>
      </c>
      <c r="B223" s="300" t="s">
        <v>48</v>
      </c>
      <c r="C223" s="240" t="s">
        <v>165</v>
      </c>
      <c r="D223" s="301" t="s">
        <v>143</v>
      </c>
      <c r="E223" s="302"/>
      <c r="F223" s="280" t="s">
        <v>139</v>
      </c>
      <c r="G223" s="280" t="s">
        <v>86</v>
      </c>
      <c r="H223" s="280" t="s">
        <v>137</v>
      </c>
      <c r="I223" s="300" t="s">
        <v>140</v>
      </c>
      <c r="J223" s="303">
        <v>2.5</v>
      </c>
      <c r="K223" s="304">
        <f t="shared" si="17"/>
        <v>156</v>
      </c>
      <c r="L223" s="305">
        <v>156</v>
      </c>
      <c r="M223" s="305"/>
      <c r="N223" s="305"/>
      <c r="O223" s="306" t="e">
        <f>IF(L223="nio",0,IF(L223&gt;0,L223*J223/R223,0))*VLOOKUP(B223,'2-Kosten per locatie'!$A$14:$C$24,3,FALSE)</f>
        <v>#DIV/0!</v>
      </c>
      <c r="P223" s="306">
        <f>IF(M223&gt;0,M223*J223/S223,0)*VLOOKUP(B223,'2-Kosten per locatie'!$A$14:$C$24,3,FALSE)</f>
        <v>0</v>
      </c>
      <c r="Q223" s="306">
        <f>IF(N223&gt;0,N223*J223/T223,0)*VLOOKUP(B223,'2-Kosten per locatie'!$A$14:$C$24,3,FALSE)</f>
        <v>0</v>
      </c>
      <c r="R223" s="307">
        <f>IF(L223="nio",0,IF(L223&gt;0,VLOOKUP(G223,'3-Productie normen'!A:P,VLOOKUP(L223,'3-Productie normen'!$B$32:$E$37,2,FALSE),FALSE)))</f>
        <v>0</v>
      </c>
      <c r="S223" s="307">
        <f t="shared" si="18"/>
        <v>0</v>
      </c>
      <c r="T223" s="307">
        <f t="shared" si="19"/>
        <v>0</v>
      </c>
      <c r="U223" s="308">
        <f>VLOOKUP(G223,'3-Productie normen'!A:N,10,FALSE)</f>
        <v>0</v>
      </c>
      <c r="V223" s="308"/>
      <c r="X223" s="309">
        <f t="shared" si="20"/>
        <v>390</v>
      </c>
    </row>
    <row r="224" spans="1:24" ht="14.1" customHeight="1">
      <c r="A224" s="71">
        <v>224</v>
      </c>
      <c r="B224" s="300" t="s">
        <v>48</v>
      </c>
      <c r="C224" s="240" t="s">
        <v>165</v>
      </c>
      <c r="D224" s="301" t="s">
        <v>143</v>
      </c>
      <c r="E224" s="302"/>
      <c r="F224" s="280" t="s">
        <v>166</v>
      </c>
      <c r="G224" s="280" t="s">
        <v>80</v>
      </c>
      <c r="H224" s="280" t="s">
        <v>137</v>
      </c>
      <c r="I224" s="300" t="s">
        <v>138</v>
      </c>
      <c r="J224" s="303">
        <v>1</v>
      </c>
      <c r="K224" s="304">
        <f t="shared" si="17"/>
        <v>156</v>
      </c>
      <c r="L224" s="305">
        <v>156</v>
      </c>
      <c r="M224" s="305"/>
      <c r="N224" s="305"/>
      <c r="O224" s="306" t="e">
        <f>IF(L224="nio",0,IF(L224&gt;0,L224*J224/R224,0))*VLOOKUP(B224,'2-Kosten per locatie'!$A$14:$C$24,3,FALSE)</f>
        <v>#DIV/0!</v>
      </c>
      <c r="P224" s="306">
        <f>IF(M224&gt;0,M224*J224/S224,0)*VLOOKUP(B224,'2-Kosten per locatie'!$A$14:$C$24,3,FALSE)</f>
        <v>0</v>
      </c>
      <c r="Q224" s="306">
        <f>IF(N224&gt;0,N224*J224/T224,0)*VLOOKUP(B224,'2-Kosten per locatie'!$A$14:$C$24,3,FALSE)</f>
        <v>0</v>
      </c>
      <c r="R224" s="307">
        <f>IF(L224="nio",0,IF(L224&gt;0,VLOOKUP(G224,'3-Productie normen'!A:P,VLOOKUP(L224,'3-Productie normen'!$B$32:$E$37,2,FALSE),FALSE)))</f>
        <v>0</v>
      </c>
      <c r="S224" s="307">
        <f t="shared" si="18"/>
        <v>0</v>
      </c>
      <c r="T224" s="307">
        <f t="shared" si="19"/>
        <v>0</v>
      </c>
      <c r="U224" s="308">
        <f>VLOOKUP(G224,'3-Productie normen'!A:N,10,FALSE)</f>
        <v>0</v>
      </c>
      <c r="V224" s="308"/>
      <c r="X224" s="309">
        <f t="shared" si="20"/>
        <v>156</v>
      </c>
    </row>
    <row r="225" spans="1:25" ht="14.1" customHeight="1">
      <c r="A225" s="71">
        <v>225</v>
      </c>
      <c r="B225" s="300" t="s">
        <v>48</v>
      </c>
      <c r="C225" s="240" t="s">
        <v>165</v>
      </c>
      <c r="D225" s="301" t="s">
        <v>143</v>
      </c>
      <c r="E225" s="302"/>
      <c r="F225" s="280" t="s">
        <v>156</v>
      </c>
      <c r="G225" s="280" t="s">
        <v>82</v>
      </c>
      <c r="H225" s="280" t="s">
        <v>137</v>
      </c>
      <c r="I225" s="300" t="s">
        <v>140</v>
      </c>
      <c r="J225" s="303">
        <v>16</v>
      </c>
      <c r="K225" s="304">
        <f t="shared" si="17"/>
        <v>156</v>
      </c>
      <c r="L225" s="305">
        <v>156</v>
      </c>
      <c r="M225" s="305"/>
      <c r="N225" s="305"/>
      <c r="O225" s="306" t="e">
        <f>IF(L225="nio",0,IF(L225&gt;0,L225*J225/R225,0))*VLOOKUP(B225,'2-Kosten per locatie'!$A$14:$C$24,3,FALSE)</f>
        <v>#DIV/0!</v>
      </c>
      <c r="P225" s="306">
        <f>IF(M225&gt;0,M225*J225/S225,0)*VLOOKUP(B225,'2-Kosten per locatie'!$A$14:$C$24,3,FALSE)</f>
        <v>0</v>
      </c>
      <c r="Q225" s="306">
        <f>IF(N225&gt;0,N225*J225/T225,0)*VLOOKUP(B225,'2-Kosten per locatie'!$A$14:$C$24,3,FALSE)</f>
        <v>0</v>
      </c>
      <c r="R225" s="307">
        <f>IF(L225="nio",0,IF(L225&gt;0,VLOOKUP(G225,'3-Productie normen'!A:P,VLOOKUP(L225,'3-Productie normen'!$B$32:$E$37,2,FALSE),FALSE)))</f>
        <v>0</v>
      </c>
      <c r="S225" s="307">
        <f t="shared" si="18"/>
        <v>0</v>
      </c>
      <c r="T225" s="307">
        <f t="shared" si="19"/>
        <v>0</v>
      </c>
      <c r="U225" s="308">
        <f>VLOOKUP(G225,'3-Productie normen'!A:N,10,FALSE)</f>
        <v>0</v>
      </c>
      <c r="V225" s="308"/>
      <c r="X225" s="309">
        <f t="shared" si="20"/>
        <v>2496</v>
      </c>
    </row>
    <row r="226" spans="1:25" ht="14.1" customHeight="1">
      <c r="A226" s="71">
        <v>226</v>
      </c>
      <c r="B226" s="300" t="s">
        <v>48</v>
      </c>
      <c r="C226" s="240" t="s">
        <v>165</v>
      </c>
      <c r="D226" s="301" t="s">
        <v>143</v>
      </c>
      <c r="E226" s="302"/>
      <c r="F226" s="280" t="s">
        <v>139</v>
      </c>
      <c r="G226" s="280" t="s">
        <v>86</v>
      </c>
      <c r="H226" s="280" t="s">
        <v>137</v>
      </c>
      <c r="I226" s="300" t="s">
        <v>140</v>
      </c>
      <c r="J226" s="303">
        <v>1.5</v>
      </c>
      <c r="K226" s="304">
        <f t="shared" si="17"/>
        <v>156</v>
      </c>
      <c r="L226" s="305">
        <v>156</v>
      </c>
      <c r="M226" s="305"/>
      <c r="N226" s="305"/>
      <c r="O226" s="306" t="e">
        <f>IF(L226="nio",0,IF(L226&gt;0,L226*J226/R226,0))*VLOOKUP(B226,'2-Kosten per locatie'!$A$14:$C$24,3,FALSE)</f>
        <v>#DIV/0!</v>
      </c>
      <c r="P226" s="306">
        <f>IF(M226&gt;0,M226*J226/S226,0)*VLOOKUP(B226,'2-Kosten per locatie'!$A$14:$C$24,3,FALSE)</f>
        <v>0</v>
      </c>
      <c r="Q226" s="306">
        <f>IF(N226&gt;0,N226*J226/T226,0)*VLOOKUP(B226,'2-Kosten per locatie'!$A$14:$C$24,3,FALSE)</f>
        <v>0</v>
      </c>
      <c r="R226" s="307">
        <f>IF(L226="nio",0,IF(L226&gt;0,VLOOKUP(G226,'3-Productie normen'!A:P,VLOOKUP(L226,'3-Productie normen'!$B$32:$E$37,2,FALSE),FALSE)))</f>
        <v>0</v>
      </c>
      <c r="S226" s="307">
        <f t="shared" si="18"/>
        <v>0</v>
      </c>
      <c r="T226" s="307">
        <f t="shared" si="19"/>
        <v>0</v>
      </c>
      <c r="U226" s="308">
        <f>VLOOKUP(G226,'3-Productie normen'!A:N,10,FALSE)</f>
        <v>0</v>
      </c>
      <c r="V226" s="308"/>
      <c r="X226" s="309">
        <f t="shared" si="20"/>
        <v>234</v>
      </c>
    </row>
    <row r="227" spans="1:25" ht="14.1" customHeight="1">
      <c r="A227" s="71">
        <v>227</v>
      </c>
      <c r="B227" s="300" t="s">
        <v>48</v>
      </c>
      <c r="C227" s="240" t="s">
        <v>165</v>
      </c>
      <c r="D227" s="301" t="s">
        <v>143</v>
      </c>
      <c r="E227" s="302"/>
      <c r="F227" s="280" t="s">
        <v>154</v>
      </c>
      <c r="G227" s="280" t="s">
        <v>85</v>
      </c>
      <c r="H227" s="280" t="s">
        <v>137</v>
      </c>
      <c r="I227" s="300" t="s">
        <v>140</v>
      </c>
      <c r="J227" s="303">
        <v>24</v>
      </c>
      <c r="K227" s="304">
        <f t="shared" si="17"/>
        <v>156</v>
      </c>
      <c r="L227" s="305">
        <v>156</v>
      </c>
      <c r="M227" s="305"/>
      <c r="N227" s="305"/>
      <c r="O227" s="306" t="e">
        <f>IF(L227="nio",0,IF(L227&gt;0,L227*J227/R227,0))*VLOOKUP(B227,'2-Kosten per locatie'!$A$14:$C$24,3,FALSE)</f>
        <v>#DIV/0!</v>
      </c>
      <c r="P227" s="306">
        <f>IF(M227&gt;0,M227*J227/S227,0)*VLOOKUP(B227,'2-Kosten per locatie'!$A$14:$C$24,3,FALSE)</f>
        <v>0</v>
      </c>
      <c r="Q227" s="306">
        <f>IF(N227&gt;0,N227*J227/T227,0)*VLOOKUP(B227,'2-Kosten per locatie'!$A$14:$C$24,3,FALSE)</f>
        <v>0</v>
      </c>
      <c r="R227" s="307">
        <f>IF(L227="nio",0,IF(L227&gt;0,VLOOKUP(G227,'3-Productie normen'!A:P,VLOOKUP(L227,'3-Productie normen'!$B$32:$E$37,2,FALSE),FALSE)))</f>
        <v>0</v>
      </c>
      <c r="S227" s="307">
        <f t="shared" si="18"/>
        <v>0</v>
      </c>
      <c r="T227" s="307">
        <f t="shared" si="19"/>
        <v>0</v>
      </c>
      <c r="U227" s="308">
        <f>VLOOKUP(G227,'3-Productie normen'!A:N,10,FALSE)</f>
        <v>0</v>
      </c>
      <c r="V227" s="308"/>
      <c r="X227" s="309">
        <f t="shared" si="20"/>
        <v>3744</v>
      </c>
    </row>
    <row r="228" spans="1:25" ht="14.1" customHeight="1">
      <c r="A228" s="71">
        <v>228</v>
      </c>
      <c r="B228" s="300" t="s">
        <v>43</v>
      </c>
      <c r="C228" s="240" t="s">
        <v>167</v>
      </c>
      <c r="D228" s="301" t="s">
        <v>143</v>
      </c>
      <c r="E228" s="302"/>
      <c r="F228" s="280" t="s">
        <v>136</v>
      </c>
      <c r="G228" s="280" t="s">
        <v>81</v>
      </c>
      <c r="H228" s="280" t="s">
        <v>168</v>
      </c>
      <c r="I228" s="300" t="s">
        <v>138</v>
      </c>
      <c r="J228" s="303">
        <v>10.5</v>
      </c>
      <c r="K228" s="304">
        <f t="shared" si="17"/>
        <v>156</v>
      </c>
      <c r="L228" s="305">
        <v>156</v>
      </c>
      <c r="M228" s="305"/>
      <c r="N228" s="305"/>
      <c r="O228" s="306" t="e">
        <f>IF(L228="nio",0,IF(L228&gt;0,L228*J228/R228,0))*VLOOKUP(B228,'2-Kosten per locatie'!$A$14:$C$24,3,FALSE)</f>
        <v>#DIV/0!</v>
      </c>
      <c r="P228" s="306">
        <f>IF(M228&gt;0,M228*J228/S228,0)*VLOOKUP(B228,'2-Kosten per locatie'!$A$14:$C$24,3,FALSE)</f>
        <v>0</v>
      </c>
      <c r="Q228" s="306">
        <f>IF(N228&gt;0,N228*J228/T228,0)*VLOOKUP(B228,'2-Kosten per locatie'!$A$14:$C$24,3,FALSE)</f>
        <v>0</v>
      </c>
      <c r="R228" s="307">
        <f>IF(L228="nio",0,IF(L228&gt;0,VLOOKUP(G228,'3-Productie normen'!A:P,VLOOKUP(L228,'3-Productie normen'!$B$32:$E$37,2,FALSE),FALSE)))</f>
        <v>0</v>
      </c>
      <c r="S228" s="307">
        <f t="shared" si="18"/>
        <v>0</v>
      </c>
      <c r="T228" s="307">
        <f t="shared" si="19"/>
        <v>0</v>
      </c>
      <c r="U228" s="308">
        <f>VLOOKUP(G228,'3-Productie normen'!A:N,10,FALSE)</f>
        <v>0</v>
      </c>
      <c r="V228" s="308"/>
      <c r="X228" s="309">
        <f t="shared" si="20"/>
        <v>1638</v>
      </c>
    </row>
    <row r="229" spans="1:25" ht="14.1" customHeight="1">
      <c r="A229" s="71">
        <v>229</v>
      </c>
      <c r="B229" s="300" t="s">
        <v>43</v>
      </c>
      <c r="C229" s="240" t="s">
        <v>167</v>
      </c>
      <c r="D229" s="301" t="s">
        <v>143</v>
      </c>
      <c r="E229" s="302"/>
      <c r="F229" s="280" t="s">
        <v>139</v>
      </c>
      <c r="G229" s="280" t="s">
        <v>86</v>
      </c>
      <c r="H229" s="280" t="s">
        <v>137</v>
      </c>
      <c r="I229" s="300" t="s">
        <v>140</v>
      </c>
      <c r="J229" s="303">
        <v>5</v>
      </c>
      <c r="K229" s="304">
        <f t="shared" si="17"/>
        <v>156</v>
      </c>
      <c r="L229" s="305">
        <v>156</v>
      </c>
      <c r="M229" s="305"/>
      <c r="N229" s="305"/>
      <c r="O229" s="306" t="e">
        <f>IF(L229="nio",0,IF(L229&gt;0,L229*J229/R229,0))*VLOOKUP(B229,'2-Kosten per locatie'!$A$14:$C$24,3,FALSE)</f>
        <v>#DIV/0!</v>
      </c>
      <c r="P229" s="306">
        <f>IF(M229&gt;0,M229*J229/S229,0)*VLOOKUP(B229,'2-Kosten per locatie'!$A$14:$C$24,3,FALSE)</f>
        <v>0</v>
      </c>
      <c r="Q229" s="306">
        <f>IF(N229&gt;0,N229*J229/T229,0)*VLOOKUP(B229,'2-Kosten per locatie'!$A$14:$C$24,3,FALSE)</f>
        <v>0</v>
      </c>
      <c r="R229" s="307">
        <f>IF(L229="nio",0,IF(L229&gt;0,VLOOKUP(G229,'3-Productie normen'!A:P,VLOOKUP(L229,'3-Productie normen'!$B$32:$E$37,2,FALSE),FALSE)))</f>
        <v>0</v>
      </c>
      <c r="S229" s="307">
        <f t="shared" si="18"/>
        <v>0</v>
      </c>
      <c r="T229" s="307">
        <f t="shared" si="19"/>
        <v>0</v>
      </c>
      <c r="U229" s="308">
        <f>VLOOKUP(G229,'3-Productie normen'!A:N,10,FALSE)</f>
        <v>0</v>
      </c>
      <c r="V229" s="308"/>
      <c r="X229" s="309">
        <f t="shared" si="20"/>
        <v>780</v>
      </c>
    </row>
    <row r="230" spans="1:25" ht="14.1" customHeight="1">
      <c r="A230" s="71">
        <v>230</v>
      </c>
      <c r="B230" s="300" t="s">
        <v>43</v>
      </c>
      <c r="C230" s="240" t="s">
        <v>167</v>
      </c>
      <c r="D230" s="301" t="s">
        <v>143</v>
      </c>
      <c r="E230" s="302"/>
      <c r="F230" s="280" t="s">
        <v>139</v>
      </c>
      <c r="G230" s="280" t="s">
        <v>86</v>
      </c>
      <c r="H230" s="280" t="s">
        <v>137</v>
      </c>
      <c r="I230" s="300" t="s">
        <v>140</v>
      </c>
      <c r="J230" s="303">
        <v>1.5</v>
      </c>
      <c r="K230" s="304">
        <f t="shared" si="17"/>
        <v>156</v>
      </c>
      <c r="L230" s="305">
        <v>156</v>
      </c>
      <c r="M230" s="305"/>
      <c r="N230" s="305"/>
      <c r="O230" s="306" t="e">
        <f>IF(L230="nio",0,IF(L230&gt;0,L230*J230/R230,0))*VLOOKUP(B230,'2-Kosten per locatie'!$A$14:$C$24,3,FALSE)</f>
        <v>#DIV/0!</v>
      </c>
      <c r="P230" s="306">
        <f>IF(M230&gt;0,M230*J230/S230,0)*VLOOKUP(B230,'2-Kosten per locatie'!$A$14:$C$24,3,FALSE)</f>
        <v>0</v>
      </c>
      <c r="Q230" s="306">
        <f>IF(N230&gt;0,N230*J230/T230,0)*VLOOKUP(B230,'2-Kosten per locatie'!$A$14:$C$24,3,FALSE)</f>
        <v>0</v>
      </c>
      <c r="R230" s="307">
        <f>IF(L230="nio",0,IF(L230&gt;0,VLOOKUP(G230,'3-Productie normen'!A:P,VLOOKUP(L230,'3-Productie normen'!$B$32:$E$37,2,FALSE),FALSE)))</f>
        <v>0</v>
      </c>
      <c r="S230" s="307">
        <f t="shared" si="18"/>
        <v>0</v>
      </c>
      <c r="T230" s="307">
        <f t="shared" si="19"/>
        <v>0</v>
      </c>
      <c r="U230" s="308">
        <f>VLOOKUP(G230,'3-Productie normen'!A:N,10,FALSE)</f>
        <v>0</v>
      </c>
      <c r="V230" s="308"/>
      <c r="X230" s="309">
        <f t="shared" si="20"/>
        <v>234</v>
      </c>
    </row>
    <row r="231" spans="1:25" ht="14.1" customHeight="1">
      <c r="A231" s="71">
        <v>231</v>
      </c>
      <c r="B231" s="300" t="s">
        <v>43</v>
      </c>
      <c r="C231" s="240" t="s">
        <v>167</v>
      </c>
      <c r="D231" s="301" t="s">
        <v>143</v>
      </c>
      <c r="E231" s="302"/>
      <c r="F231" s="280" t="s">
        <v>139</v>
      </c>
      <c r="G231" s="280" t="s">
        <v>86</v>
      </c>
      <c r="H231" s="280" t="s">
        <v>137</v>
      </c>
      <c r="I231" s="300" t="s">
        <v>140</v>
      </c>
      <c r="J231" s="303">
        <v>1.5</v>
      </c>
      <c r="K231" s="304">
        <f t="shared" si="17"/>
        <v>156</v>
      </c>
      <c r="L231" s="305">
        <v>156</v>
      </c>
      <c r="M231" s="305"/>
      <c r="N231" s="305"/>
      <c r="O231" s="306" t="e">
        <f>IF(L231="nio",0,IF(L231&gt;0,L231*J231/R231,0))*VLOOKUP(B231,'2-Kosten per locatie'!$A$14:$C$24,3,FALSE)</f>
        <v>#DIV/0!</v>
      </c>
      <c r="P231" s="306">
        <f>IF(M231&gt;0,M231*J231/S231,0)*VLOOKUP(B231,'2-Kosten per locatie'!$A$14:$C$24,3,FALSE)</f>
        <v>0</v>
      </c>
      <c r="Q231" s="306">
        <f>IF(N231&gt;0,N231*J231/T231,0)*VLOOKUP(B231,'2-Kosten per locatie'!$A$14:$C$24,3,FALSE)</f>
        <v>0</v>
      </c>
      <c r="R231" s="307">
        <f>IF(L231="nio",0,IF(L231&gt;0,VLOOKUP(G231,'3-Productie normen'!A:P,VLOOKUP(L231,'3-Productie normen'!$B$32:$E$37,2,FALSE),FALSE)))</f>
        <v>0</v>
      </c>
      <c r="S231" s="307">
        <f t="shared" si="18"/>
        <v>0</v>
      </c>
      <c r="T231" s="307">
        <f t="shared" si="19"/>
        <v>0</v>
      </c>
      <c r="U231" s="308">
        <f>VLOOKUP(G231,'3-Productie normen'!A:N,10,FALSE)</f>
        <v>0</v>
      </c>
      <c r="V231" s="308"/>
      <c r="X231" s="309">
        <f t="shared" si="20"/>
        <v>234</v>
      </c>
    </row>
    <row r="232" spans="1:25" ht="14.1" customHeight="1">
      <c r="A232" s="71">
        <v>232</v>
      </c>
      <c r="B232" s="300" t="s">
        <v>43</v>
      </c>
      <c r="C232" s="240" t="s">
        <v>167</v>
      </c>
      <c r="D232" s="301" t="s">
        <v>143</v>
      </c>
      <c r="E232" s="302"/>
      <c r="F232" s="280" t="s">
        <v>128</v>
      </c>
      <c r="G232" s="280" t="s">
        <v>80</v>
      </c>
      <c r="H232" s="280" t="s">
        <v>137</v>
      </c>
      <c r="I232" s="300" t="s">
        <v>140</v>
      </c>
      <c r="J232" s="303">
        <v>9</v>
      </c>
      <c r="K232" s="304">
        <f t="shared" si="17"/>
        <v>156</v>
      </c>
      <c r="L232" s="305">
        <v>156</v>
      </c>
      <c r="M232" s="305"/>
      <c r="N232" s="305"/>
      <c r="O232" s="306" t="e">
        <f>IF(L232="nio",0,IF(L232&gt;0,L232*J232/R232,0))*VLOOKUP(B232,'2-Kosten per locatie'!$A$14:$C$24,3,FALSE)</f>
        <v>#DIV/0!</v>
      </c>
      <c r="P232" s="306">
        <f>IF(M232&gt;0,M232*J232/S232,0)*VLOOKUP(B232,'2-Kosten per locatie'!$A$14:$C$24,3,FALSE)</f>
        <v>0</v>
      </c>
      <c r="Q232" s="306">
        <f>IF(N232&gt;0,N232*J232/T232,0)*VLOOKUP(B232,'2-Kosten per locatie'!$A$14:$C$24,3,FALSE)</f>
        <v>0</v>
      </c>
      <c r="R232" s="307">
        <f>IF(L232="nio",0,IF(L232&gt;0,VLOOKUP(G232,'3-Productie normen'!A:P,VLOOKUP(L232,'3-Productie normen'!$B$32:$E$37,2,FALSE),FALSE)))</f>
        <v>0</v>
      </c>
      <c r="S232" s="307">
        <f t="shared" si="18"/>
        <v>0</v>
      </c>
      <c r="T232" s="307">
        <f t="shared" si="19"/>
        <v>0</v>
      </c>
      <c r="U232" s="308">
        <f>VLOOKUP(G232,'3-Productie normen'!A:N,10,FALSE)</f>
        <v>0</v>
      </c>
      <c r="V232" s="308"/>
      <c r="X232" s="309">
        <f t="shared" si="20"/>
        <v>1404</v>
      </c>
    </row>
    <row r="233" spans="1:25" ht="14.1" customHeight="1">
      <c r="A233" s="71">
        <v>233</v>
      </c>
      <c r="B233" s="300" t="s">
        <v>43</v>
      </c>
      <c r="C233" s="240" t="s">
        <v>167</v>
      </c>
      <c r="D233" s="301" t="s">
        <v>143</v>
      </c>
      <c r="E233" s="302"/>
      <c r="F233" s="280" t="s">
        <v>129</v>
      </c>
      <c r="G233" s="280" t="s">
        <v>88</v>
      </c>
      <c r="H233" s="280" t="s">
        <v>130</v>
      </c>
      <c r="I233" s="300" t="s">
        <v>130</v>
      </c>
      <c r="J233" s="303">
        <v>6</v>
      </c>
      <c r="K233" s="304">
        <f t="shared" si="17"/>
        <v>156</v>
      </c>
      <c r="L233" s="305">
        <v>156</v>
      </c>
      <c r="M233" s="305"/>
      <c r="N233" s="305"/>
      <c r="O233" s="306" t="e">
        <f>IF(L233="nio",0,IF(L233&gt;0,L233*J233/R233,0))*VLOOKUP(B233,'2-Kosten per locatie'!$A$14:$C$24,3,FALSE)</f>
        <v>#DIV/0!</v>
      </c>
      <c r="P233" s="306">
        <f>IF(M233&gt;0,M233*J233/S233,0)*VLOOKUP(B233,'2-Kosten per locatie'!$A$14:$C$24,3,FALSE)</f>
        <v>0</v>
      </c>
      <c r="Q233" s="306">
        <f>IF(N233&gt;0,N233*J233/T233,0)*VLOOKUP(B233,'2-Kosten per locatie'!$A$14:$C$24,3,FALSE)</f>
        <v>0</v>
      </c>
      <c r="R233" s="307">
        <f>IF(L233="nio",0,IF(L233&gt;0,VLOOKUP(G233,'3-Productie normen'!A:P,VLOOKUP(L233,'3-Productie normen'!$B$32:$E$37,2,FALSE),FALSE)))</f>
        <v>0</v>
      </c>
      <c r="S233" s="307">
        <f t="shared" si="18"/>
        <v>0</v>
      </c>
      <c r="T233" s="307">
        <f t="shared" si="19"/>
        <v>0</v>
      </c>
      <c r="U233" s="308">
        <f>VLOOKUP(G233,'3-Productie normen'!A:N,10,FALSE)</f>
        <v>0</v>
      </c>
      <c r="V233" s="308"/>
      <c r="X233" s="309">
        <f t="shared" si="20"/>
        <v>936</v>
      </c>
    </row>
    <row r="234" spans="1:25" ht="14.1" customHeight="1">
      <c r="A234" s="71">
        <v>234</v>
      </c>
      <c r="B234" s="300" t="s">
        <v>43</v>
      </c>
      <c r="C234" s="240" t="s">
        <v>167</v>
      </c>
      <c r="D234" s="301" t="s">
        <v>123</v>
      </c>
      <c r="E234" s="302"/>
      <c r="F234" s="280" t="s">
        <v>169</v>
      </c>
      <c r="G234" s="280" t="s">
        <v>89</v>
      </c>
      <c r="H234" s="280" t="s">
        <v>130</v>
      </c>
      <c r="I234" s="300" t="s">
        <v>130</v>
      </c>
      <c r="J234" s="303">
        <v>163</v>
      </c>
      <c r="K234" s="304">
        <f t="shared" si="17"/>
        <v>156</v>
      </c>
      <c r="L234" s="305">
        <v>156</v>
      </c>
      <c r="M234" s="305"/>
      <c r="N234" s="305"/>
      <c r="O234" s="306" t="e">
        <f>IF(L234="nio",0,IF(L234&gt;0,L234*J234/R234,0))*VLOOKUP(B234,'2-Kosten per locatie'!$A$14:$C$24,3,FALSE)</f>
        <v>#DIV/0!</v>
      </c>
      <c r="P234" s="306">
        <f>IF(M234&gt;0,M234*J234/S234,0)*VLOOKUP(B234,'2-Kosten per locatie'!$A$14:$C$24,3,FALSE)</f>
        <v>0</v>
      </c>
      <c r="Q234" s="306">
        <f>IF(N234&gt;0,N234*J234/T234,0)*VLOOKUP(B234,'2-Kosten per locatie'!$A$14:$C$24,3,FALSE)</f>
        <v>0</v>
      </c>
      <c r="R234" s="307">
        <f>IF(L234="nio",0,IF(L234&gt;0,VLOOKUP(G234,'3-Productie normen'!A:P,VLOOKUP(L234,'3-Productie normen'!$B$32:$E$37,2,FALSE),FALSE)))</f>
        <v>0</v>
      </c>
      <c r="S234" s="307">
        <f t="shared" si="18"/>
        <v>0</v>
      </c>
      <c r="T234" s="307">
        <f t="shared" si="19"/>
        <v>0</v>
      </c>
      <c r="U234" s="308">
        <f>VLOOKUP(G234,'3-Productie normen'!A:N,10,FALSE)</f>
        <v>0</v>
      </c>
      <c r="V234" s="308"/>
      <c r="X234" s="309">
        <f t="shared" si="20"/>
        <v>25428</v>
      </c>
    </row>
    <row r="235" spans="1:25" ht="14.1" customHeight="1">
      <c r="A235" s="71">
        <v>235</v>
      </c>
      <c r="B235" s="300" t="s">
        <v>43</v>
      </c>
      <c r="C235" s="240" t="s">
        <v>167</v>
      </c>
      <c r="D235" s="301" t="s">
        <v>123</v>
      </c>
      <c r="E235" s="302"/>
      <c r="F235" s="280" t="s">
        <v>170</v>
      </c>
      <c r="G235" s="280" t="s">
        <v>89</v>
      </c>
      <c r="H235" s="280" t="s">
        <v>171</v>
      </c>
      <c r="I235" s="300" t="s">
        <v>130</v>
      </c>
      <c r="J235" s="303">
        <v>33</v>
      </c>
      <c r="K235" s="304">
        <f t="shared" ref="K235:K243" si="21">SUM(L235:N235)</f>
        <v>156</v>
      </c>
      <c r="L235" s="305">
        <v>156</v>
      </c>
      <c r="M235" s="305"/>
      <c r="N235" s="305"/>
      <c r="O235" s="306" t="e">
        <f>IF(L235="nio",0,IF(L235&gt;0,L235*J235/R235,0))*VLOOKUP(B235,'2-Kosten per locatie'!$A$14:$C$24,3,FALSE)</f>
        <v>#DIV/0!</v>
      </c>
      <c r="P235" s="306">
        <f>IF(M235&gt;0,M235*J235/S235,0)*VLOOKUP(B235,'2-Kosten per locatie'!$A$14:$C$24,3,FALSE)</f>
        <v>0</v>
      </c>
      <c r="Q235" s="306">
        <f>IF(N235&gt;0,N235*J235/T235,0)*VLOOKUP(B235,'2-Kosten per locatie'!$A$14:$C$24,3,FALSE)</f>
        <v>0</v>
      </c>
      <c r="R235" s="307">
        <f>IF(L235="nio",0,IF(L235&gt;0,VLOOKUP(G235,'3-Productie normen'!A:P,VLOOKUP(L235,'3-Productie normen'!$B$32:$E$37,2,FALSE),FALSE)))</f>
        <v>0</v>
      </c>
      <c r="S235" s="307">
        <f t="shared" si="18"/>
        <v>0</v>
      </c>
      <c r="T235" s="307">
        <f t="shared" si="19"/>
        <v>0</v>
      </c>
      <c r="U235" s="308">
        <f>VLOOKUP(G235,'3-Productie normen'!A:N,10,FALSE)</f>
        <v>0</v>
      </c>
      <c r="V235" s="308"/>
      <c r="X235" s="309">
        <f t="shared" si="20"/>
        <v>5148</v>
      </c>
    </row>
    <row r="236" spans="1:25" ht="14.1" customHeight="1">
      <c r="A236" s="71">
        <v>236</v>
      </c>
      <c r="B236" s="300" t="s">
        <v>42</v>
      </c>
      <c r="C236" s="240" t="s">
        <v>167</v>
      </c>
      <c r="D236" s="301" t="s">
        <v>143</v>
      </c>
      <c r="E236" s="302"/>
      <c r="F236" s="280" t="s">
        <v>172</v>
      </c>
      <c r="G236" s="280" t="s">
        <v>85</v>
      </c>
      <c r="H236" s="280" t="s">
        <v>134</v>
      </c>
      <c r="I236" s="300" t="s">
        <v>134</v>
      </c>
      <c r="J236" s="303">
        <v>18.5</v>
      </c>
      <c r="K236" s="304">
        <f t="shared" si="21"/>
        <v>156</v>
      </c>
      <c r="L236" s="305">
        <v>156</v>
      </c>
      <c r="M236" s="305"/>
      <c r="N236" s="305"/>
      <c r="O236" s="306" t="e">
        <f>IF(L236="nio",0,IF(L236&gt;0,L236*J236/R236,0))*VLOOKUP(B236,'2-Kosten per locatie'!$A$14:$C$24,3,FALSE)</f>
        <v>#DIV/0!</v>
      </c>
      <c r="P236" s="306">
        <f>IF(M236&gt;0,M236*J236/S236,0)*VLOOKUP(B236,'2-Kosten per locatie'!$A$14:$C$24,3,FALSE)</f>
        <v>0</v>
      </c>
      <c r="Q236" s="306">
        <f>IF(N236&gt;0,N236*J236/T236,0)*VLOOKUP(B236,'2-Kosten per locatie'!$A$14:$C$24,3,FALSE)</f>
        <v>0</v>
      </c>
      <c r="R236" s="307">
        <f>IF(L236="nio",0,IF(L236&gt;0,VLOOKUP(G236,'3-Productie normen'!A:P,VLOOKUP(L236,'3-Productie normen'!$B$32:$E$37,2,FALSE),FALSE)))</f>
        <v>0</v>
      </c>
      <c r="S236" s="307">
        <f t="shared" si="18"/>
        <v>0</v>
      </c>
      <c r="T236" s="307">
        <f t="shared" si="19"/>
        <v>0</v>
      </c>
      <c r="U236" s="308">
        <f>VLOOKUP(G236,'3-Productie normen'!A:N,10,FALSE)</f>
        <v>0</v>
      </c>
      <c r="V236" s="308"/>
      <c r="X236" s="309">
        <f t="shared" si="20"/>
        <v>2886</v>
      </c>
    </row>
    <row r="237" spans="1:25" ht="14.1" customHeight="1">
      <c r="A237" s="71">
        <v>237</v>
      </c>
      <c r="B237" s="300" t="s">
        <v>42</v>
      </c>
      <c r="C237" s="240" t="s">
        <v>167</v>
      </c>
      <c r="D237" s="301" t="s">
        <v>143</v>
      </c>
      <c r="E237" s="302"/>
      <c r="F237" s="280" t="s">
        <v>139</v>
      </c>
      <c r="G237" s="280" t="s">
        <v>86</v>
      </c>
      <c r="H237" s="280" t="s">
        <v>137</v>
      </c>
      <c r="I237" s="300" t="s">
        <v>140</v>
      </c>
      <c r="J237" s="303">
        <v>1.5</v>
      </c>
      <c r="K237" s="304">
        <f t="shared" si="21"/>
        <v>156</v>
      </c>
      <c r="L237" s="305">
        <v>156</v>
      </c>
      <c r="M237" s="305"/>
      <c r="N237" s="305"/>
      <c r="O237" s="306" t="e">
        <f>IF(L237="nio",0,IF(L237&gt;0,L237*J237/R237,0))*VLOOKUP(B237,'2-Kosten per locatie'!$A$14:$C$24,3,FALSE)</f>
        <v>#DIV/0!</v>
      </c>
      <c r="P237" s="306">
        <f>IF(M237&gt;0,M237*J237/S237,0)*VLOOKUP(B237,'2-Kosten per locatie'!$A$14:$C$24,3,FALSE)</f>
        <v>0</v>
      </c>
      <c r="Q237" s="306">
        <f>IF(N237&gt;0,N237*J237/T237,0)*VLOOKUP(B237,'2-Kosten per locatie'!$A$14:$C$24,3,FALSE)</f>
        <v>0</v>
      </c>
      <c r="R237" s="307">
        <f>IF(L237="nio",0,IF(L237&gt;0,VLOOKUP(G237,'3-Productie normen'!A:P,VLOOKUP(L237,'3-Productie normen'!$B$32:$E$37,2,FALSE),FALSE)))</f>
        <v>0</v>
      </c>
      <c r="S237" s="307">
        <f t="shared" si="18"/>
        <v>0</v>
      </c>
      <c r="T237" s="307">
        <f t="shared" si="19"/>
        <v>0</v>
      </c>
      <c r="U237" s="308">
        <f>VLOOKUP(G237,'3-Productie normen'!A:N,10,FALSE)</f>
        <v>0</v>
      </c>
      <c r="V237" s="308"/>
      <c r="X237" s="309">
        <f t="shared" si="20"/>
        <v>234</v>
      </c>
      <c r="Y237" s="14"/>
    </row>
    <row r="238" spans="1:25" ht="14.1" customHeight="1">
      <c r="A238" s="71">
        <v>238</v>
      </c>
      <c r="B238" s="300" t="s">
        <v>42</v>
      </c>
      <c r="C238" s="240" t="s">
        <v>167</v>
      </c>
      <c r="D238" s="301" t="s">
        <v>143</v>
      </c>
      <c r="E238" s="302"/>
      <c r="F238" s="280" t="s">
        <v>136</v>
      </c>
      <c r="G238" s="280" t="s">
        <v>81</v>
      </c>
      <c r="H238" s="280" t="s">
        <v>134</v>
      </c>
      <c r="I238" s="300" t="s">
        <v>134</v>
      </c>
      <c r="J238" s="303">
        <v>6.5</v>
      </c>
      <c r="K238" s="304">
        <f t="shared" si="21"/>
        <v>156</v>
      </c>
      <c r="L238" s="305">
        <v>156</v>
      </c>
      <c r="M238" s="305"/>
      <c r="N238" s="305"/>
      <c r="O238" s="306" t="e">
        <f>IF(L238="nio",0,IF(L238&gt;0,L238*J238/R238,0))*VLOOKUP(B238,'2-Kosten per locatie'!$A$14:$C$24,3,FALSE)</f>
        <v>#DIV/0!</v>
      </c>
      <c r="P238" s="306">
        <f>IF(M238&gt;0,M238*J238/S238,0)*VLOOKUP(B238,'2-Kosten per locatie'!$A$14:$C$24,3,FALSE)</f>
        <v>0</v>
      </c>
      <c r="Q238" s="306">
        <f>IF(N238&gt;0,N238*J238/T238,0)*VLOOKUP(B238,'2-Kosten per locatie'!$A$14:$C$24,3,FALSE)</f>
        <v>0</v>
      </c>
      <c r="R238" s="307">
        <f>IF(L238="nio",0,IF(L238&gt;0,VLOOKUP(G238,'3-Productie normen'!A:P,VLOOKUP(L238,'3-Productie normen'!$B$32:$E$37,2,FALSE),FALSE)))</f>
        <v>0</v>
      </c>
      <c r="S238" s="307">
        <f t="shared" si="18"/>
        <v>0</v>
      </c>
      <c r="T238" s="307">
        <f t="shared" si="19"/>
        <v>0</v>
      </c>
      <c r="U238" s="308">
        <f>VLOOKUP(G238,'3-Productie normen'!A:N,10,FALSE)</f>
        <v>0</v>
      </c>
      <c r="V238" s="308"/>
      <c r="X238" s="309">
        <f t="shared" si="20"/>
        <v>1014</v>
      </c>
      <c r="Y238" s="14"/>
    </row>
    <row r="239" spans="1:25" ht="14.1" customHeight="1">
      <c r="A239" s="71">
        <v>239</v>
      </c>
      <c r="B239" s="300" t="s">
        <v>42</v>
      </c>
      <c r="C239" s="240" t="s">
        <v>167</v>
      </c>
      <c r="D239" s="301" t="s">
        <v>143</v>
      </c>
      <c r="E239" s="302"/>
      <c r="F239" s="280" t="s">
        <v>124</v>
      </c>
      <c r="G239" s="280" t="s">
        <v>74</v>
      </c>
      <c r="H239" s="280" t="s">
        <v>134</v>
      </c>
      <c r="I239" s="300" t="s">
        <v>134</v>
      </c>
      <c r="J239" s="303">
        <v>11</v>
      </c>
      <c r="K239" s="304">
        <f t="shared" si="21"/>
        <v>156</v>
      </c>
      <c r="L239" s="305">
        <v>156</v>
      </c>
      <c r="M239" s="305"/>
      <c r="N239" s="305"/>
      <c r="O239" s="306" t="e">
        <f>IF(L239="nio",0,IF(L239&gt;0,L239*J239/R239,0))*VLOOKUP(B239,'2-Kosten per locatie'!$A$14:$C$24,3,FALSE)</f>
        <v>#DIV/0!</v>
      </c>
      <c r="P239" s="306">
        <f>IF(M239&gt;0,M239*J239/S239,0)*VLOOKUP(B239,'2-Kosten per locatie'!$A$14:$C$24,3,FALSE)</f>
        <v>0</v>
      </c>
      <c r="Q239" s="306">
        <f>IF(N239&gt;0,N239*J239/T239,0)*VLOOKUP(B239,'2-Kosten per locatie'!$A$14:$C$24,3,FALSE)</f>
        <v>0</v>
      </c>
      <c r="R239" s="307">
        <f>IF(L239="nio",0,IF(L239&gt;0,VLOOKUP(G239,'3-Productie normen'!A:P,VLOOKUP(L239,'3-Productie normen'!$B$32:$E$37,2,FALSE),FALSE)))</f>
        <v>0</v>
      </c>
      <c r="S239" s="307">
        <f t="shared" ref="S239:S243" si="22">IF(M239&gt;0,R239*$S$8,0)</f>
        <v>0</v>
      </c>
      <c r="T239" s="307">
        <f t="shared" ref="T239:T243" si="23">IF(N239&gt;0,R239*$T$8,0)</f>
        <v>0</v>
      </c>
      <c r="U239" s="308">
        <f>VLOOKUP(G239,'3-Productie normen'!A:N,10,FALSE)</f>
        <v>0</v>
      </c>
      <c r="V239" s="308"/>
      <c r="X239" s="309">
        <f t="shared" ref="X239:X243" si="24">K239*J239</f>
        <v>1716</v>
      </c>
      <c r="Y239" s="14"/>
    </row>
    <row r="240" spans="1:25" ht="14.1" customHeight="1">
      <c r="A240" s="71">
        <v>240</v>
      </c>
      <c r="B240" s="300" t="s">
        <v>42</v>
      </c>
      <c r="C240" s="240" t="s">
        <v>167</v>
      </c>
      <c r="D240" s="301" t="s">
        <v>143</v>
      </c>
      <c r="E240" s="302"/>
      <c r="F240" s="280" t="s">
        <v>128</v>
      </c>
      <c r="G240" s="280" t="s">
        <v>80</v>
      </c>
      <c r="H240" s="280" t="s">
        <v>125</v>
      </c>
      <c r="I240" s="300" t="s">
        <v>126</v>
      </c>
      <c r="J240" s="303">
        <v>1</v>
      </c>
      <c r="K240" s="304">
        <f t="shared" si="21"/>
        <v>156</v>
      </c>
      <c r="L240" s="305">
        <v>156</v>
      </c>
      <c r="M240" s="305"/>
      <c r="N240" s="305"/>
      <c r="O240" s="306" t="e">
        <f>IF(L240="nio",0,IF(L240&gt;0,L240*J240/R240,0))*VLOOKUP(B240,'2-Kosten per locatie'!$A$14:$C$24,3,FALSE)</f>
        <v>#DIV/0!</v>
      </c>
      <c r="P240" s="306">
        <f>IF(M240&gt;0,M240*J240/S240,0)*VLOOKUP(B240,'2-Kosten per locatie'!$A$14:$C$24,3,FALSE)</f>
        <v>0</v>
      </c>
      <c r="Q240" s="306">
        <f>IF(N240&gt;0,N240*J240/T240,0)*VLOOKUP(B240,'2-Kosten per locatie'!$A$14:$C$24,3,FALSE)</f>
        <v>0</v>
      </c>
      <c r="R240" s="307">
        <f>IF(L240="nio",0,IF(L240&gt;0,VLOOKUP(G240,'3-Productie normen'!A:P,VLOOKUP(L240,'3-Productie normen'!$B$32:$E$37,2,FALSE),FALSE)))</f>
        <v>0</v>
      </c>
      <c r="S240" s="307">
        <f t="shared" si="22"/>
        <v>0</v>
      </c>
      <c r="T240" s="307">
        <f t="shared" si="23"/>
        <v>0</v>
      </c>
      <c r="U240" s="308">
        <f>VLOOKUP(G240,'3-Productie normen'!A:N,10,FALSE)</f>
        <v>0</v>
      </c>
      <c r="V240" s="308"/>
      <c r="X240" s="309">
        <f t="shared" si="24"/>
        <v>156</v>
      </c>
    </row>
    <row r="241" spans="1:24" ht="14.1" customHeight="1">
      <c r="A241" s="71">
        <v>241</v>
      </c>
      <c r="B241" s="300" t="s">
        <v>42</v>
      </c>
      <c r="C241" s="240" t="s">
        <v>167</v>
      </c>
      <c r="D241" s="301" t="s">
        <v>143</v>
      </c>
      <c r="E241" s="302"/>
      <c r="F241" s="280" t="s">
        <v>139</v>
      </c>
      <c r="G241" s="280" t="s">
        <v>86</v>
      </c>
      <c r="H241" s="280" t="s">
        <v>137</v>
      </c>
      <c r="I241" s="300" t="s">
        <v>140</v>
      </c>
      <c r="J241" s="303">
        <v>2.5</v>
      </c>
      <c r="K241" s="304">
        <f t="shared" si="21"/>
        <v>156</v>
      </c>
      <c r="L241" s="305">
        <v>156</v>
      </c>
      <c r="M241" s="305"/>
      <c r="N241" s="305"/>
      <c r="O241" s="306" t="e">
        <f>IF(L241="nio",0,IF(L241&gt;0,L241*J241/R241,0))*VLOOKUP(B241,'2-Kosten per locatie'!$A$14:$C$24,3,FALSE)</f>
        <v>#DIV/0!</v>
      </c>
      <c r="P241" s="306">
        <f>IF(M241&gt;0,M241*J241/S241,0)*VLOOKUP(B241,'2-Kosten per locatie'!$A$14:$C$24,3,FALSE)</f>
        <v>0</v>
      </c>
      <c r="Q241" s="306">
        <f>IF(N241&gt;0,N241*J241/T241,0)*VLOOKUP(B241,'2-Kosten per locatie'!$A$14:$C$24,3,FALSE)</f>
        <v>0</v>
      </c>
      <c r="R241" s="307">
        <f>IF(L241="nio",0,IF(L241&gt;0,VLOOKUP(G241,'3-Productie normen'!A:P,VLOOKUP(L241,'3-Productie normen'!$B$32:$E$37,2,FALSE),FALSE)))</f>
        <v>0</v>
      </c>
      <c r="S241" s="307">
        <f t="shared" si="22"/>
        <v>0</v>
      </c>
      <c r="T241" s="307">
        <f t="shared" si="23"/>
        <v>0</v>
      </c>
      <c r="U241" s="308">
        <f>VLOOKUP(G241,'3-Productie normen'!A:N,10,FALSE)</f>
        <v>0</v>
      </c>
      <c r="V241" s="308"/>
      <c r="X241" s="309">
        <f t="shared" si="24"/>
        <v>390</v>
      </c>
    </row>
    <row r="242" spans="1:24" ht="14.1" customHeight="1">
      <c r="A242" s="71">
        <v>242</v>
      </c>
      <c r="B242" s="300" t="s">
        <v>42</v>
      </c>
      <c r="C242" s="240" t="s">
        <v>167</v>
      </c>
      <c r="D242" s="301" t="s">
        <v>143</v>
      </c>
      <c r="E242" s="302"/>
      <c r="F242" s="280" t="s">
        <v>173</v>
      </c>
      <c r="G242" s="280" t="s">
        <v>86</v>
      </c>
      <c r="H242" s="280" t="s">
        <v>137</v>
      </c>
      <c r="I242" s="300" t="s">
        <v>140</v>
      </c>
      <c r="J242" s="303">
        <v>2.5</v>
      </c>
      <c r="K242" s="304">
        <f t="shared" si="21"/>
        <v>156</v>
      </c>
      <c r="L242" s="305">
        <v>156</v>
      </c>
      <c r="M242" s="305"/>
      <c r="N242" s="305"/>
      <c r="O242" s="306" t="e">
        <f>IF(L242="nio",0,IF(L242&gt;0,L242*J242/R242,0))*VLOOKUP(B242,'2-Kosten per locatie'!$A$14:$C$24,3,FALSE)</f>
        <v>#DIV/0!</v>
      </c>
      <c r="P242" s="306">
        <f>IF(M242&gt;0,M242*J242/S242,0)*VLOOKUP(B242,'2-Kosten per locatie'!$A$14:$C$24,3,FALSE)</f>
        <v>0</v>
      </c>
      <c r="Q242" s="306">
        <f>IF(N242&gt;0,N242*J242/T242,0)*VLOOKUP(B242,'2-Kosten per locatie'!$A$14:$C$24,3,FALSE)</f>
        <v>0</v>
      </c>
      <c r="R242" s="307">
        <f>IF(L242="nio",0,IF(L242&gt;0,VLOOKUP(G242,'3-Productie normen'!A:P,VLOOKUP(L242,'3-Productie normen'!$B$32:$E$37,2,FALSE),FALSE)))</f>
        <v>0</v>
      </c>
      <c r="S242" s="307">
        <f t="shared" si="22"/>
        <v>0</v>
      </c>
      <c r="T242" s="307">
        <f t="shared" si="23"/>
        <v>0</v>
      </c>
      <c r="U242" s="308">
        <f>VLOOKUP(G242,'3-Productie normen'!A:N,10,FALSE)</f>
        <v>0</v>
      </c>
      <c r="V242" s="308"/>
      <c r="X242" s="309">
        <f t="shared" si="24"/>
        <v>390</v>
      </c>
    </row>
    <row r="243" spans="1:24" ht="14.1" customHeight="1">
      <c r="A243" s="71">
        <v>243</v>
      </c>
      <c r="B243" s="300" t="s">
        <v>47</v>
      </c>
      <c r="C243" s="240" t="s">
        <v>174</v>
      </c>
      <c r="D243" s="301" t="s">
        <v>143</v>
      </c>
      <c r="E243" s="302"/>
      <c r="F243" s="280" t="s">
        <v>175</v>
      </c>
      <c r="G243" s="280" t="s">
        <v>86</v>
      </c>
      <c r="H243" s="280" t="s">
        <v>176</v>
      </c>
      <c r="I243" s="300" t="s">
        <v>140</v>
      </c>
      <c r="J243" s="303">
        <v>4</v>
      </c>
      <c r="K243" s="304">
        <f t="shared" si="21"/>
        <v>143</v>
      </c>
      <c r="L243" s="305">
        <v>117</v>
      </c>
      <c r="M243" s="305"/>
      <c r="N243" s="305">
        <v>26</v>
      </c>
      <c r="O243" s="306" t="e">
        <f>IF(L243="nio",0,IF(L243&gt;0,L243*J243/R243,0))*VLOOKUP(B243,'2-Kosten per locatie'!$A$14:$C$24,3,FALSE)</f>
        <v>#DIV/0!</v>
      </c>
      <c r="P243" s="306">
        <f>IF(M243&gt;0,M243*J243/S243,0)*VLOOKUP(B243,'2-Kosten per locatie'!$A$14:$C$24,3,FALSE)</f>
        <v>0</v>
      </c>
      <c r="Q243" s="306" t="e">
        <f>IF(N243&gt;0,N243*J243/T243,0)*VLOOKUP(B243,'2-Kosten per locatie'!$A$14:$C$24,3,FALSE)</f>
        <v>#DIV/0!</v>
      </c>
      <c r="R243" s="307">
        <f>IF(L243="nio",0,IF(L243&gt;0,VLOOKUP(G243,'3-Productie normen'!A:P,VLOOKUP(L243,'3-Productie normen'!$B$32:$E$37,2,FALSE),FALSE)))</f>
        <v>0</v>
      </c>
      <c r="S243" s="307">
        <f t="shared" si="22"/>
        <v>0</v>
      </c>
      <c r="T243" s="307">
        <f t="shared" si="23"/>
        <v>0</v>
      </c>
      <c r="U243" s="308">
        <f>VLOOKUP(G243,'3-Productie normen'!A:N,10,FALSE)</f>
        <v>0</v>
      </c>
      <c r="V243" s="308"/>
      <c r="X243" s="309">
        <f t="shared" si="24"/>
        <v>572</v>
      </c>
    </row>
    <row r="244" spans="1:24" ht="14.1" customHeight="1">
      <c r="K244" s="86"/>
      <c r="L244" s="87"/>
      <c r="M244" s="87"/>
      <c r="N244" s="87"/>
      <c r="O244" s="88"/>
      <c r="P244" s="88"/>
      <c r="Q244" s="80"/>
      <c r="R244" s="80"/>
      <c r="S244" s="80"/>
      <c r="T244" s="80"/>
      <c r="U244" s="81"/>
      <c r="V244" s="81"/>
    </row>
    <row r="245" spans="1:24" ht="14.1" customHeight="1">
      <c r="K245" s="86"/>
      <c r="L245" s="87"/>
      <c r="M245" s="87"/>
      <c r="N245" s="87"/>
      <c r="O245" s="88"/>
      <c r="P245" s="88"/>
      <c r="Q245" s="80"/>
      <c r="R245" s="80"/>
      <c r="S245" s="80"/>
      <c r="T245" s="80"/>
      <c r="U245" s="81"/>
      <c r="V245" s="81"/>
    </row>
    <row r="246" spans="1:24" ht="14.1" customHeight="1">
      <c r="C246" s="82"/>
      <c r="D246" s="83"/>
      <c r="E246" s="187"/>
      <c r="F246" s="84"/>
      <c r="G246" s="84"/>
      <c r="J246" s="85"/>
      <c r="K246" s="86"/>
      <c r="L246" s="87"/>
      <c r="M246" s="87"/>
      <c r="N246" s="87"/>
      <c r="O246" s="88"/>
      <c r="P246" s="88"/>
      <c r="Q246" s="80"/>
      <c r="R246" s="80"/>
      <c r="S246" s="80"/>
      <c r="T246" s="80"/>
      <c r="U246" s="81"/>
      <c r="V246" s="81"/>
    </row>
    <row r="247" spans="1:24" ht="14.1" customHeight="1">
      <c r="C247" s="82"/>
      <c r="D247" s="83"/>
      <c r="E247" s="187"/>
      <c r="F247" s="84"/>
      <c r="G247" s="84"/>
      <c r="J247" s="85"/>
      <c r="K247" s="86"/>
      <c r="L247" s="87"/>
      <c r="M247" s="87"/>
      <c r="N247" s="87"/>
      <c r="O247" s="88"/>
      <c r="P247" s="88"/>
      <c r="Q247" s="80"/>
      <c r="R247" s="80"/>
      <c r="S247" s="80"/>
      <c r="T247" s="80"/>
      <c r="U247" s="81"/>
      <c r="V247" s="81"/>
    </row>
    <row r="248" spans="1:24" ht="14.1" customHeight="1">
      <c r="C248" s="82"/>
      <c r="D248" s="83"/>
      <c r="E248" s="187"/>
      <c r="F248" s="84"/>
      <c r="G248" s="84"/>
      <c r="J248" s="85"/>
      <c r="K248" s="86"/>
      <c r="L248" s="87"/>
      <c r="M248" s="87"/>
      <c r="N248" s="87"/>
      <c r="O248" s="88"/>
      <c r="P248" s="88"/>
      <c r="Q248" s="80"/>
      <c r="R248" s="80"/>
      <c r="S248" s="80"/>
      <c r="T248" s="80"/>
      <c r="U248" s="81"/>
      <c r="V248" s="81"/>
    </row>
    <row r="249" spans="1:24" ht="14.1" customHeight="1">
      <c r="C249" s="82"/>
      <c r="D249" s="83"/>
      <c r="E249" s="187"/>
      <c r="F249" s="84"/>
      <c r="G249" s="84"/>
      <c r="J249" s="85"/>
      <c r="K249" s="86"/>
      <c r="L249" s="87"/>
      <c r="M249" s="87"/>
      <c r="N249" s="87"/>
      <c r="O249" s="88"/>
      <c r="P249" s="88"/>
      <c r="Q249" s="80"/>
      <c r="R249" s="80"/>
      <c r="S249" s="80"/>
      <c r="T249" s="80"/>
      <c r="U249" s="81"/>
      <c r="V249" s="81"/>
    </row>
    <row r="250" spans="1:24" ht="14.1" customHeight="1">
      <c r="C250" s="82"/>
      <c r="D250" s="83"/>
      <c r="E250" s="187"/>
      <c r="F250" s="84"/>
      <c r="G250" s="84"/>
      <c r="J250" s="85"/>
      <c r="K250" s="86"/>
      <c r="L250" s="87"/>
      <c r="M250" s="87"/>
      <c r="N250" s="87"/>
      <c r="O250" s="88"/>
      <c r="P250" s="88"/>
      <c r="Q250" s="80"/>
      <c r="R250" s="80"/>
      <c r="S250" s="80"/>
      <c r="T250" s="80"/>
      <c r="U250" s="81"/>
      <c r="V250" s="81"/>
    </row>
    <row r="251" spans="1:24" ht="14.1" customHeight="1">
      <c r="C251" s="82"/>
      <c r="D251" s="83"/>
      <c r="E251" s="187"/>
      <c r="F251" s="84"/>
      <c r="G251" s="84"/>
      <c r="J251" s="85"/>
      <c r="K251" s="86"/>
      <c r="L251" s="87"/>
      <c r="M251" s="87"/>
      <c r="N251" s="87"/>
      <c r="O251" s="88"/>
      <c r="P251" s="88"/>
      <c r="Q251" s="80"/>
      <c r="R251" s="80"/>
      <c r="S251" s="80"/>
      <c r="T251" s="80"/>
      <c r="U251" s="81"/>
      <c r="V251" s="81"/>
    </row>
    <row r="252" spans="1:24" ht="14.1" customHeight="1">
      <c r="C252" s="82"/>
      <c r="D252" s="83"/>
      <c r="E252" s="187"/>
      <c r="F252" s="84"/>
      <c r="G252" s="84"/>
      <c r="J252" s="85"/>
      <c r="K252" s="86"/>
      <c r="L252" s="87"/>
      <c r="M252" s="87"/>
      <c r="N252" s="87"/>
      <c r="O252" s="88"/>
      <c r="P252" s="88"/>
      <c r="Q252" s="80"/>
      <c r="R252" s="80"/>
      <c r="S252" s="80"/>
      <c r="T252" s="80"/>
      <c r="U252" s="81"/>
      <c r="V252" s="81"/>
    </row>
    <row r="253" spans="1:24" ht="14.1" customHeight="1">
      <c r="C253" s="82"/>
      <c r="D253" s="83"/>
      <c r="E253" s="187"/>
      <c r="F253" s="84"/>
      <c r="G253" s="84"/>
      <c r="J253" s="85"/>
      <c r="K253" s="86"/>
      <c r="L253" s="87"/>
      <c r="M253" s="87"/>
      <c r="N253" s="87"/>
      <c r="O253" s="88"/>
      <c r="P253" s="88"/>
      <c r="Q253" s="80"/>
      <c r="R253" s="80"/>
      <c r="S253" s="80"/>
      <c r="T253" s="80"/>
      <c r="U253" s="81"/>
      <c r="V253" s="81"/>
    </row>
    <row r="254" spans="1:24" ht="14.1" customHeight="1">
      <c r="C254" s="82"/>
      <c r="D254" s="83"/>
      <c r="E254" s="187"/>
      <c r="F254" s="84"/>
      <c r="G254" s="84"/>
      <c r="J254" s="85"/>
      <c r="K254" s="86"/>
      <c r="L254" s="87"/>
      <c r="M254" s="87"/>
      <c r="N254" s="87"/>
      <c r="O254" s="88"/>
      <c r="P254" s="88"/>
      <c r="Q254" s="80"/>
      <c r="R254" s="80"/>
      <c r="S254" s="80"/>
      <c r="T254" s="80"/>
      <c r="U254" s="81"/>
      <c r="V254" s="81"/>
    </row>
    <row r="255" spans="1:24" ht="14.1" customHeight="1">
      <c r="C255" s="82"/>
      <c r="D255" s="83"/>
      <c r="E255" s="187"/>
      <c r="F255" s="84"/>
      <c r="G255" s="84"/>
      <c r="J255" s="85"/>
      <c r="K255" s="86"/>
      <c r="L255" s="87"/>
      <c r="M255" s="87"/>
      <c r="N255" s="87"/>
      <c r="O255" s="88"/>
      <c r="P255" s="88"/>
      <c r="Q255" s="80"/>
      <c r="R255" s="80"/>
      <c r="S255" s="80"/>
      <c r="T255" s="80"/>
      <c r="U255" s="81"/>
      <c r="V255" s="81"/>
    </row>
    <row r="256" spans="1:24" ht="14.1" customHeight="1">
      <c r="C256" s="82"/>
      <c r="D256" s="83"/>
      <c r="E256" s="187"/>
      <c r="F256" s="84"/>
      <c r="G256" s="84"/>
      <c r="J256" s="85"/>
      <c r="K256" s="86"/>
      <c r="L256" s="87"/>
      <c r="M256" s="87"/>
      <c r="N256" s="87"/>
      <c r="O256" s="88"/>
      <c r="P256" s="88"/>
      <c r="Q256" s="80"/>
      <c r="R256" s="80"/>
      <c r="S256" s="80"/>
      <c r="T256" s="80"/>
      <c r="U256" s="81"/>
      <c r="V256" s="81"/>
    </row>
    <row r="257" spans="3:22" ht="14.1" customHeight="1">
      <c r="C257" s="82"/>
      <c r="D257" s="83"/>
      <c r="E257" s="187"/>
      <c r="F257" s="84"/>
      <c r="G257" s="84"/>
      <c r="J257" s="85"/>
      <c r="K257" s="86"/>
      <c r="L257" s="87"/>
      <c r="M257" s="87"/>
      <c r="N257" s="87"/>
      <c r="O257" s="88"/>
      <c r="P257" s="88"/>
      <c r="Q257" s="80"/>
      <c r="R257" s="80"/>
      <c r="S257" s="80"/>
      <c r="T257" s="80"/>
      <c r="U257" s="81"/>
      <c r="V257" s="81"/>
    </row>
    <row r="258" spans="3:22" ht="14.1" customHeight="1">
      <c r="C258" s="82"/>
      <c r="D258" s="83"/>
      <c r="E258" s="187"/>
      <c r="F258" s="84"/>
      <c r="G258" s="84"/>
      <c r="J258" s="85"/>
      <c r="K258" s="86"/>
      <c r="L258" s="87"/>
      <c r="M258" s="87"/>
      <c r="N258" s="87"/>
      <c r="O258" s="88"/>
      <c r="P258" s="88"/>
      <c r="Q258" s="80"/>
      <c r="R258" s="80"/>
      <c r="S258" s="80"/>
      <c r="T258" s="80"/>
      <c r="U258" s="81"/>
      <c r="V258" s="81"/>
    </row>
    <row r="259" spans="3:22" ht="14.1" customHeight="1">
      <c r="C259" s="82"/>
      <c r="D259" s="83"/>
      <c r="E259" s="187"/>
      <c r="F259" s="84"/>
      <c r="G259" s="84"/>
      <c r="J259" s="85"/>
      <c r="K259" s="86"/>
      <c r="L259" s="87"/>
      <c r="M259" s="87"/>
      <c r="N259" s="87"/>
      <c r="O259" s="88"/>
      <c r="P259" s="88"/>
      <c r="Q259" s="80"/>
      <c r="R259" s="80"/>
      <c r="S259" s="80"/>
      <c r="T259" s="80"/>
      <c r="U259" s="81"/>
      <c r="V259" s="81"/>
    </row>
    <row r="260" spans="3:22" ht="14.1" customHeight="1">
      <c r="C260" s="82"/>
      <c r="D260" s="83"/>
      <c r="E260" s="187"/>
      <c r="F260" s="84"/>
      <c r="G260" s="84"/>
      <c r="J260" s="85"/>
      <c r="K260" s="86"/>
      <c r="L260" s="87"/>
      <c r="M260" s="87"/>
      <c r="N260" s="87"/>
      <c r="O260" s="88"/>
      <c r="P260" s="88"/>
      <c r="Q260" s="80"/>
      <c r="R260" s="80"/>
      <c r="S260" s="80"/>
      <c r="T260" s="80"/>
      <c r="U260" s="81"/>
      <c r="V260" s="81"/>
    </row>
    <row r="261" spans="3:22" ht="14.1" customHeight="1">
      <c r="C261" s="82"/>
      <c r="D261" s="83"/>
      <c r="E261" s="187"/>
      <c r="F261" s="84"/>
      <c r="G261" s="84"/>
      <c r="J261" s="85"/>
      <c r="K261" s="86"/>
      <c r="L261" s="87"/>
      <c r="M261" s="87"/>
      <c r="N261" s="87"/>
      <c r="O261" s="88"/>
      <c r="P261" s="88"/>
      <c r="Q261" s="80"/>
      <c r="R261" s="80"/>
      <c r="S261" s="80"/>
      <c r="T261" s="80"/>
      <c r="U261" s="81"/>
      <c r="V261" s="81"/>
    </row>
    <row r="262" spans="3:22" ht="14.1" customHeight="1">
      <c r="C262" s="82"/>
      <c r="D262" s="83"/>
      <c r="E262" s="187"/>
      <c r="F262" s="84"/>
      <c r="G262" s="84"/>
      <c r="J262" s="85"/>
      <c r="K262" s="86"/>
      <c r="L262" s="87"/>
      <c r="M262" s="87"/>
      <c r="N262" s="87"/>
      <c r="O262" s="88"/>
      <c r="P262" s="88"/>
      <c r="Q262" s="80"/>
      <c r="R262" s="80"/>
      <c r="S262" s="80"/>
      <c r="T262" s="80"/>
      <c r="U262" s="81"/>
      <c r="V262" s="81"/>
    </row>
    <row r="263" spans="3:22" ht="14.1" customHeight="1">
      <c r="C263" s="82"/>
      <c r="D263" s="83"/>
      <c r="E263" s="187"/>
      <c r="F263" s="84"/>
      <c r="G263" s="84"/>
      <c r="J263" s="85"/>
      <c r="K263" s="86"/>
      <c r="L263" s="87"/>
      <c r="M263" s="87"/>
      <c r="N263" s="87"/>
      <c r="O263" s="88"/>
      <c r="P263" s="88"/>
      <c r="Q263" s="80"/>
      <c r="R263" s="80"/>
      <c r="S263" s="80"/>
      <c r="T263" s="80"/>
      <c r="U263" s="81"/>
      <c r="V263" s="81"/>
    </row>
    <row r="264" spans="3:22" ht="14.1" customHeight="1">
      <c r="C264" s="82"/>
      <c r="D264" s="83"/>
      <c r="E264" s="187"/>
      <c r="F264" s="84"/>
      <c r="G264" s="84"/>
      <c r="J264" s="85"/>
      <c r="K264" s="86"/>
      <c r="L264" s="87"/>
      <c r="M264" s="87"/>
      <c r="N264" s="87"/>
      <c r="O264" s="88"/>
      <c r="P264" s="88"/>
      <c r="Q264" s="80"/>
      <c r="R264" s="80"/>
      <c r="S264" s="80"/>
      <c r="T264" s="80"/>
      <c r="U264" s="81"/>
      <c r="V264" s="81"/>
    </row>
    <row r="265" spans="3:22" ht="14.1" customHeight="1">
      <c r="C265" s="82"/>
      <c r="D265" s="83"/>
      <c r="E265" s="187"/>
      <c r="F265" s="84"/>
      <c r="G265" s="84"/>
      <c r="J265" s="85"/>
      <c r="K265" s="86"/>
      <c r="L265" s="87"/>
      <c r="M265" s="87"/>
      <c r="N265" s="87"/>
      <c r="O265" s="88"/>
      <c r="P265" s="88"/>
      <c r="Q265" s="80"/>
      <c r="R265" s="80"/>
      <c r="S265" s="80"/>
      <c r="T265" s="80"/>
      <c r="U265" s="81"/>
      <c r="V265" s="81"/>
    </row>
    <row r="266" spans="3:22" ht="14.1" customHeight="1">
      <c r="C266" s="82"/>
      <c r="D266" s="83"/>
      <c r="E266" s="187"/>
      <c r="F266" s="84"/>
      <c r="G266" s="84"/>
      <c r="J266" s="85"/>
      <c r="K266" s="86"/>
      <c r="L266" s="87"/>
      <c r="M266" s="87"/>
      <c r="N266" s="87"/>
      <c r="O266" s="88"/>
      <c r="P266" s="88"/>
      <c r="Q266" s="80"/>
      <c r="R266" s="80"/>
      <c r="S266" s="80"/>
      <c r="T266" s="80"/>
      <c r="U266" s="81"/>
      <c r="V266" s="81"/>
    </row>
    <row r="267" spans="3:22" ht="14.1" customHeight="1">
      <c r="C267" s="82"/>
      <c r="D267" s="83"/>
      <c r="E267" s="187"/>
      <c r="F267" s="84"/>
      <c r="G267" s="84"/>
      <c r="J267" s="85"/>
      <c r="K267" s="86"/>
      <c r="L267" s="87"/>
      <c r="M267" s="87"/>
      <c r="N267" s="87"/>
      <c r="O267" s="88"/>
      <c r="P267" s="88"/>
      <c r="Q267" s="80"/>
      <c r="R267" s="80"/>
      <c r="S267" s="80"/>
      <c r="T267" s="80"/>
      <c r="U267" s="81"/>
      <c r="V267" s="81"/>
    </row>
    <row r="268" spans="3:22" ht="14.1" customHeight="1">
      <c r="C268" s="82"/>
      <c r="D268" s="83"/>
      <c r="E268" s="187"/>
      <c r="F268" s="84"/>
      <c r="G268" s="84"/>
      <c r="J268" s="85"/>
      <c r="K268" s="86"/>
      <c r="L268" s="87"/>
      <c r="M268" s="87"/>
      <c r="N268" s="87"/>
      <c r="O268" s="88"/>
      <c r="P268" s="88"/>
      <c r="Q268" s="80"/>
      <c r="R268" s="80"/>
      <c r="S268" s="80"/>
      <c r="T268" s="80"/>
      <c r="U268" s="81"/>
      <c r="V268" s="81"/>
    </row>
    <row r="269" spans="3:22" ht="14.1" customHeight="1">
      <c r="C269" s="82"/>
      <c r="D269" s="83"/>
      <c r="E269" s="187"/>
      <c r="F269" s="84"/>
      <c r="G269" s="84"/>
      <c r="J269" s="85"/>
      <c r="K269" s="86"/>
      <c r="L269" s="87"/>
      <c r="M269" s="87"/>
      <c r="N269" s="87"/>
      <c r="O269" s="88"/>
      <c r="P269" s="88"/>
      <c r="Q269" s="80"/>
      <c r="R269" s="80"/>
      <c r="S269" s="80"/>
      <c r="T269" s="80"/>
      <c r="U269" s="81"/>
      <c r="V269" s="81"/>
    </row>
    <row r="270" spans="3:22" ht="14.1" customHeight="1">
      <c r="C270" s="82"/>
      <c r="D270" s="83"/>
      <c r="E270" s="187"/>
      <c r="F270" s="84"/>
      <c r="G270" s="84"/>
      <c r="J270" s="85"/>
      <c r="K270" s="86"/>
      <c r="L270" s="87"/>
      <c r="M270" s="87"/>
      <c r="N270" s="87"/>
      <c r="O270" s="88"/>
      <c r="P270" s="88"/>
      <c r="Q270" s="80"/>
      <c r="R270" s="80"/>
      <c r="S270" s="80"/>
      <c r="T270" s="80"/>
      <c r="U270" s="81"/>
      <c r="V270" s="81"/>
    </row>
    <row r="271" spans="3:22" ht="14.1" customHeight="1">
      <c r="C271" s="82"/>
      <c r="D271" s="83"/>
      <c r="E271" s="187"/>
      <c r="F271" s="84"/>
      <c r="G271" s="84"/>
      <c r="J271" s="85"/>
      <c r="K271" s="86"/>
      <c r="L271" s="87"/>
      <c r="M271" s="87"/>
      <c r="N271" s="87"/>
      <c r="O271" s="88"/>
      <c r="P271" s="88"/>
      <c r="Q271" s="80"/>
      <c r="R271" s="80"/>
      <c r="S271" s="80"/>
      <c r="T271" s="80"/>
      <c r="U271" s="81"/>
      <c r="V271" s="81"/>
    </row>
    <row r="272" spans="3:22" ht="14.1" customHeight="1">
      <c r="C272" s="82"/>
      <c r="D272" s="83"/>
      <c r="E272" s="187"/>
      <c r="F272" s="84"/>
      <c r="G272" s="84"/>
      <c r="J272" s="85"/>
      <c r="K272" s="86"/>
      <c r="L272" s="87"/>
      <c r="M272" s="87"/>
      <c r="N272" s="87"/>
      <c r="O272" s="88"/>
      <c r="P272" s="88"/>
      <c r="Q272" s="80"/>
      <c r="R272" s="80"/>
      <c r="S272" s="80"/>
      <c r="T272" s="80"/>
      <c r="U272" s="81"/>
      <c r="V272" s="81"/>
    </row>
    <row r="273" spans="3:22" ht="14.1" customHeight="1">
      <c r="C273" s="82"/>
      <c r="D273" s="83"/>
      <c r="E273" s="187"/>
      <c r="F273" s="84"/>
      <c r="G273" s="84"/>
      <c r="J273" s="85"/>
      <c r="K273" s="86"/>
      <c r="L273" s="87"/>
      <c r="M273" s="87"/>
      <c r="N273" s="87"/>
      <c r="O273" s="88"/>
      <c r="P273" s="88"/>
      <c r="Q273" s="80"/>
      <c r="R273" s="80"/>
      <c r="S273" s="80"/>
      <c r="T273" s="80"/>
      <c r="U273" s="81"/>
      <c r="V273" s="81"/>
    </row>
    <row r="274" spans="3:22" ht="14.1" customHeight="1">
      <c r="C274" s="82"/>
      <c r="D274" s="83"/>
      <c r="E274" s="187"/>
      <c r="F274" s="84"/>
      <c r="G274" s="84"/>
      <c r="J274" s="85"/>
      <c r="K274" s="86"/>
      <c r="L274" s="87"/>
      <c r="M274" s="87"/>
      <c r="N274" s="87"/>
      <c r="O274" s="88"/>
      <c r="P274" s="88"/>
      <c r="Q274" s="80"/>
      <c r="R274" s="80"/>
      <c r="S274" s="80"/>
      <c r="T274" s="80"/>
      <c r="U274" s="81"/>
      <c r="V274" s="81"/>
    </row>
    <row r="275" spans="3:22" ht="14.1" customHeight="1">
      <c r="C275" s="82"/>
      <c r="D275" s="83"/>
      <c r="E275" s="187"/>
      <c r="F275" s="84"/>
      <c r="G275" s="84"/>
      <c r="J275" s="85"/>
      <c r="K275" s="86"/>
      <c r="L275" s="87"/>
      <c r="M275" s="87"/>
      <c r="N275" s="87"/>
      <c r="O275" s="88"/>
      <c r="P275" s="88"/>
      <c r="Q275" s="80"/>
      <c r="R275" s="80"/>
      <c r="S275" s="80"/>
      <c r="T275" s="80"/>
      <c r="U275" s="81"/>
      <c r="V275" s="81"/>
    </row>
    <row r="276" spans="3:22" ht="14.1" customHeight="1">
      <c r="C276" s="82"/>
      <c r="D276" s="83"/>
      <c r="E276" s="187"/>
      <c r="F276" s="84"/>
      <c r="G276" s="84"/>
      <c r="J276" s="85"/>
      <c r="K276" s="86"/>
      <c r="L276" s="87"/>
      <c r="M276" s="87"/>
      <c r="N276" s="87"/>
      <c r="O276" s="88"/>
      <c r="P276" s="88"/>
      <c r="Q276" s="80"/>
      <c r="R276" s="80"/>
      <c r="S276" s="80"/>
      <c r="T276" s="80"/>
      <c r="U276" s="81"/>
      <c r="V276" s="81"/>
    </row>
    <row r="277" spans="3:22" ht="14.1" customHeight="1">
      <c r="C277" s="82"/>
      <c r="D277" s="83"/>
      <c r="E277" s="187"/>
      <c r="F277" s="84"/>
      <c r="G277" s="84"/>
      <c r="J277" s="85"/>
      <c r="K277" s="86"/>
      <c r="L277" s="87"/>
      <c r="M277" s="87"/>
      <c r="N277" s="87"/>
      <c r="O277" s="88"/>
      <c r="P277" s="88"/>
      <c r="Q277" s="80"/>
      <c r="R277" s="80"/>
      <c r="S277" s="80"/>
      <c r="T277" s="80"/>
      <c r="U277" s="81"/>
      <c r="V277" s="81"/>
    </row>
    <row r="278" spans="3:22" ht="14.1" customHeight="1">
      <c r="C278" s="82"/>
      <c r="D278" s="83"/>
      <c r="E278" s="187"/>
      <c r="F278" s="84"/>
      <c r="G278" s="84"/>
      <c r="J278" s="85"/>
      <c r="K278" s="86"/>
      <c r="L278" s="87"/>
      <c r="M278" s="87"/>
      <c r="N278" s="87"/>
      <c r="O278" s="88"/>
      <c r="P278" s="88"/>
      <c r="Q278" s="80"/>
      <c r="R278" s="80"/>
      <c r="S278" s="80"/>
      <c r="T278" s="80"/>
      <c r="U278" s="81"/>
      <c r="V278" s="81"/>
    </row>
    <row r="279" spans="3:22" ht="14.1" customHeight="1">
      <c r="C279" s="82"/>
      <c r="D279" s="83"/>
      <c r="E279" s="187"/>
      <c r="F279" s="84"/>
      <c r="G279" s="84"/>
      <c r="J279" s="85"/>
      <c r="K279" s="86"/>
      <c r="L279" s="87"/>
      <c r="M279" s="87"/>
      <c r="N279" s="87"/>
      <c r="O279" s="88"/>
      <c r="P279" s="88"/>
      <c r="Q279" s="80"/>
      <c r="R279" s="80"/>
      <c r="S279" s="80"/>
      <c r="T279" s="80"/>
      <c r="U279" s="81"/>
      <c r="V279" s="81"/>
    </row>
    <row r="280" spans="3:22" ht="14.1" customHeight="1">
      <c r="C280" s="82"/>
      <c r="D280" s="83"/>
      <c r="E280" s="187"/>
      <c r="F280" s="84"/>
      <c r="G280" s="84"/>
      <c r="J280" s="85"/>
      <c r="K280" s="86"/>
      <c r="L280" s="87"/>
      <c r="M280" s="87"/>
      <c r="N280" s="87"/>
      <c r="O280" s="88"/>
      <c r="P280" s="88"/>
      <c r="Q280" s="80"/>
      <c r="R280" s="80"/>
      <c r="S280" s="80"/>
      <c r="T280" s="80"/>
      <c r="U280" s="81"/>
      <c r="V280" s="81"/>
    </row>
    <row r="281" spans="3:22" ht="14.1" customHeight="1">
      <c r="C281" s="82"/>
      <c r="D281" s="83"/>
      <c r="E281" s="187"/>
      <c r="F281" s="84"/>
      <c r="G281" s="84"/>
      <c r="J281" s="85"/>
      <c r="K281" s="86"/>
      <c r="L281" s="87"/>
      <c r="M281" s="87"/>
      <c r="N281" s="87"/>
      <c r="O281" s="88"/>
      <c r="P281" s="88"/>
      <c r="Q281" s="80"/>
      <c r="R281" s="80"/>
      <c r="S281" s="80"/>
      <c r="T281" s="80"/>
      <c r="U281" s="81"/>
      <c r="V281" s="81"/>
    </row>
    <row r="282" spans="3:22" ht="14.1" customHeight="1">
      <c r="C282" s="82"/>
      <c r="D282" s="83"/>
      <c r="E282" s="187"/>
      <c r="F282" s="84"/>
      <c r="G282" s="84"/>
      <c r="J282" s="85"/>
      <c r="K282" s="86"/>
      <c r="L282" s="87"/>
      <c r="M282" s="87"/>
      <c r="N282" s="87"/>
      <c r="O282" s="88"/>
      <c r="P282" s="88"/>
      <c r="Q282" s="80"/>
      <c r="R282" s="80"/>
      <c r="S282" s="80"/>
      <c r="T282" s="80"/>
      <c r="U282" s="81"/>
      <c r="V282" s="81"/>
    </row>
    <row r="283" spans="3:22" ht="14.1" customHeight="1">
      <c r="C283" s="82"/>
      <c r="D283" s="83"/>
      <c r="E283" s="187"/>
      <c r="F283" s="84"/>
      <c r="G283" s="84"/>
      <c r="J283" s="85"/>
      <c r="K283" s="86"/>
      <c r="L283" s="87"/>
      <c r="M283" s="87"/>
      <c r="N283" s="87"/>
      <c r="O283" s="88"/>
      <c r="P283" s="88"/>
      <c r="Q283" s="80"/>
      <c r="R283" s="80"/>
      <c r="S283" s="80"/>
      <c r="T283" s="80"/>
      <c r="U283" s="81"/>
      <c r="V283" s="81"/>
    </row>
    <row r="284" spans="3:22" ht="14.1" customHeight="1">
      <c r="C284" s="82"/>
      <c r="D284" s="83"/>
      <c r="E284" s="187"/>
      <c r="F284" s="84"/>
      <c r="G284" s="84"/>
      <c r="J284" s="85"/>
      <c r="K284" s="86"/>
      <c r="L284" s="87"/>
      <c r="M284" s="87"/>
      <c r="N284" s="87"/>
      <c r="O284" s="88"/>
      <c r="P284" s="88"/>
      <c r="Q284" s="80"/>
      <c r="R284" s="80"/>
      <c r="S284" s="80"/>
      <c r="T284" s="80"/>
      <c r="U284" s="81"/>
      <c r="V284" s="81"/>
    </row>
    <row r="285" spans="3:22" ht="14.1" customHeight="1">
      <c r="C285" s="82"/>
      <c r="D285" s="83"/>
      <c r="E285" s="187"/>
      <c r="F285" s="84"/>
      <c r="G285" s="84"/>
      <c r="J285" s="85"/>
      <c r="K285" s="86"/>
      <c r="L285" s="87"/>
      <c r="M285" s="87"/>
      <c r="N285" s="87"/>
      <c r="O285" s="88"/>
      <c r="P285" s="88"/>
      <c r="Q285" s="80"/>
      <c r="R285" s="80"/>
      <c r="S285" s="80"/>
      <c r="T285" s="80"/>
      <c r="U285" s="81"/>
      <c r="V285" s="81"/>
    </row>
    <row r="286" spans="3:22" ht="14.1" customHeight="1">
      <c r="C286" s="82"/>
      <c r="D286" s="83"/>
      <c r="E286" s="187"/>
      <c r="F286" s="84"/>
      <c r="G286" s="84"/>
      <c r="J286" s="85"/>
      <c r="K286" s="86"/>
      <c r="L286" s="87"/>
      <c r="M286" s="87"/>
      <c r="N286" s="87"/>
      <c r="O286" s="88"/>
      <c r="P286" s="88"/>
      <c r="Q286" s="80"/>
      <c r="R286" s="80"/>
      <c r="S286" s="80"/>
      <c r="T286" s="80"/>
      <c r="U286" s="81"/>
      <c r="V286" s="81"/>
    </row>
    <row r="287" spans="3:22" ht="14.1" customHeight="1">
      <c r="C287" s="82"/>
      <c r="D287" s="83"/>
      <c r="E287" s="187"/>
      <c r="F287" s="84"/>
      <c r="G287" s="84"/>
      <c r="J287" s="85"/>
      <c r="K287" s="86"/>
      <c r="L287" s="87"/>
      <c r="M287" s="87"/>
      <c r="N287" s="87"/>
      <c r="O287" s="88"/>
      <c r="P287" s="88"/>
      <c r="Q287" s="80"/>
      <c r="R287" s="80"/>
      <c r="S287" s="80"/>
      <c r="T287" s="80"/>
      <c r="U287" s="81"/>
      <c r="V287" s="81"/>
    </row>
    <row r="288" spans="3:22" ht="14.1" customHeight="1">
      <c r="C288" s="82"/>
      <c r="D288" s="83"/>
      <c r="E288" s="187"/>
      <c r="F288" s="84"/>
      <c r="G288" s="84"/>
      <c r="J288" s="85"/>
      <c r="K288" s="86"/>
      <c r="L288" s="87"/>
      <c r="M288" s="87"/>
      <c r="N288" s="87"/>
      <c r="O288" s="88"/>
      <c r="P288" s="88"/>
      <c r="Q288" s="80"/>
      <c r="R288" s="80"/>
      <c r="S288" s="80"/>
      <c r="T288" s="80"/>
      <c r="U288" s="81"/>
      <c r="V288" s="81"/>
    </row>
    <row r="289" spans="3:22" ht="14.1" customHeight="1">
      <c r="C289" s="82"/>
      <c r="D289" s="83"/>
      <c r="E289" s="187"/>
      <c r="F289" s="84"/>
      <c r="G289" s="84"/>
      <c r="J289" s="85"/>
      <c r="K289" s="86"/>
      <c r="L289" s="87"/>
      <c r="M289" s="87"/>
      <c r="N289" s="87"/>
      <c r="O289" s="88"/>
      <c r="P289" s="88"/>
      <c r="Q289" s="80"/>
      <c r="R289" s="80"/>
      <c r="S289" s="80"/>
      <c r="T289" s="80"/>
      <c r="U289" s="81"/>
      <c r="V289" s="81"/>
    </row>
    <row r="290" spans="3:22" ht="14.1" customHeight="1">
      <c r="C290" s="82"/>
      <c r="D290" s="83"/>
      <c r="E290" s="187"/>
      <c r="F290" s="84"/>
      <c r="G290" s="84"/>
      <c r="J290" s="85"/>
      <c r="K290" s="86"/>
      <c r="L290" s="87"/>
      <c r="M290" s="87"/>
      <c r="N290" s="87"/>
      <c r="O290" s="88"/>
      <c r="P290" s="88"/>
      <c r="Q290" s="80"/>
      <c r="R290" s="80"/>
      <c r="S290" s="80"/>
      <c r="T290" s="80"/>
      <c r="U290" s="81"/>
      <c r="V290" s="81"/>
    </row>
    <row r="291" spans="3:22" ht="14.1" customHeight="1">
      <c r="C291" s="82"/>
      <c r="D291" s="83"/>
      <c r="E291" s="187"/>
      <c r="F291" s="84"/>
      <c r="G291" s="84"/>
      <c r="J291" s="85"/>
      <c r="K291" s="86"/>
      <c r="L291" s="87"/>
      <c r="M291" s="87"/>
      <c r="N291" s="87"/>
      <c r="O291" s="88"/>
      <c r="P291" s="88"/>
      <c r="Q291" s="80"/>
      <c r="R291" s="80"/>
      <c r="S291" s="80"/>
      <c r="T291" s="80"/>
      <c r="U291" s="81"/>
      <c r="V291" s="81"/>
    </row>
    <row r="292" spans="3:22" ht="14.1" customHeight="1">
      <c r="C292" s="82"/>
      <c r="D292" s="83"/>
      <c r="E292" s="187"/>
      <c r="F292" s="84"/>
      <c r="G292" s="84"/>
      <c r="J292" s="85"/>
      <c r="K292" s="86"/>
      <c r="L292" s="87"/>
      <c r="M292" s="87"/>
      <c r="N292" s="87"/>
      <c r="O292" s="88"/>
      <c r="P292" s="88"/>
      <c r="Q292" s="80"/>
      <c r="R292" s="80"/>
      <c r="S292" s="80"/>
      <c r="T292" s="80"/>
      <c r="U292" s="81"/>
      <c r="V292" s="81"/>
    </row>
    <row r="293" spans="3:22" ht="14.1" customHeight="1">
      <c r="C293" s="82"/>
      <c r="D293" s="83"/>
      <c r="E293" s="187"/>
      <c r="F293" s="84"/>
      <c r="G293" s="84"/>
      <c r="J293" s="85"/>
      <c r="K293" s="86"/>
      <c r="L293" s="87"/>
      <c r="M293" s="87"/>
      <c r="N293" s="87"/>
      <c r="O293" s="88"/>
      <c r="P293" s="88"/>
      <c r="Q293" s="80"/>
      <c r="R293" s="80"/>
      <c r="S293" s="80"/>
      <c r="T293" s="80"/>
      <c r="U293" s="81"/>
      <c r="V293" s="81"/>
    </row>
    <row r="294" spans="3:22" ht="14.1" customHeight="1">
      <c r="C294" s="82"/>
      <c r="D294" s="83"/>
      <c r="E294" s="187"/>
      <c r="F294" s="84"/>
      <c r="G294" s="84"/>
      <c r="J294" s="85"/>
      <c r="K294" s="86"/>
      <c r="L294" s="87"/>
      <c r="M294" s="87"/>
      <c r="N294" s="87"/>
      <c r="O294" s="88"/>
      <c r="P294" s="88"/>
      <c r="Q294" s="80"/>
      <c r="R294" s="80"/>
      <c r="S294" s="80"/>
      <c r="T294" s="80"/>
      <c r="U294" s="81"/>
      <c r="V294" s="81"/>
    </row>
    <row r="295" spans="3:22" ht="14.1" customHeight="1">
      <c r="C295" s="82"/>
      <c r="D295" s="83"/>
      <c r="E295" s="187"/>
      <c r="F295" s="84"/>
      <c r="G295" s="84"/>
      <c r="J295" s="85"/>
      <c r="K295" s="86"/>
      <c r="L295" s="87"/>
      <c r="M295" s="87"/>
      <c r="N295" s="87"/>
      <c r="O295" s="88"/>
      <c r="P295" s="88"/>
      <c r="Q295" s="80"/>
      <c r="R295" s="80"/>
      <c r="S295" s="80"/>
      <c r="T295" s="80"/>
      <c r="U295" s="81"/>
      <c r="V295" s="81"/>
    </row>
    <row r="296" spans="3:22" ht="14.1" customHeight="1">
      <c r="C296" s="82"/>
      <c r="D296" s="83"/>
      <c r="E296" s="187"/>
      <c r="F296" s="84"/>
      <c r="G296" s="84"/>
      <c r="J296" s="85"/>
      <c r="K296" s="86"/>
      <c r="L296" s="87"/>
      <c r="M296" s="87"/>
      <c r="N296" s="87"/>
      <c r="O296" s="88"/>
      <c r="P296" s="88"/>
      <c r="Q296" s="80"/>
      <c r="R296" s="80"/>
      <c r="S296" s="80"/>
      <c r="T296" s="80"/>
      <c r="U296" s="81"/>
      <c r="V296" s="81"/>
    </row>
    <row r="297" spans="3:22" ht="14.1" customHeight="1">
      <c r="C297" s="82"/>
      <c r="D297" s="83"/>
      <c r="E297" s="187"/>
      <c r="F297" s="84"/>
      <c r="G297" s="84"/>
      <c r="J297" s="85"/>
      <c r="K297" s="86"/>
      <c r="L297" s="87"/>
      <c r="M297" s="87"/>
      <c r="N297" s="87"/>
      <c r="O297" s="88"/>
      <c r="P297" s="88"/>
      <c r="Q297" s="80"/>
      <c r="R297" s="80"/>
      <c r="S297" s="80"/>
      <c r="T297" s="80"/>
      <c r="U297" s="81"/>
      <c r="V297" s="81"/>
    </row>
    <row r="298" spans="3:22" ht="14.1" customHeight="1">
      <c r="C298" s="82"/>
      <c r="D298" s="83"/>
      <c r="E298" s="187"/>
      <c r="F298" s="84"/>
      <c r="G298" s="84"/>
      <c r="J298" s="85"/>
      <c r="K298" s="86"/>
      <c r="L298" s="87"/>
      <c r="M298" s="87"/>
      <c r="N298" s="87"/>
      <c r="O298" s="88"/>
      <c r="P298" s="88"/>
      <c r="Q298" s="80"/>
      <c r="R298" s="80"/>
      <c r="S298" s="80"/>
      <c r="T298" s="80"/>
      <c r="U298" s="81"/>
      <c r="V298" s="81"/>
    </row>
    <row r="299" spans="3:22" ht="14.1" customHeight="1">
      <c r="C299" s="82"/>
      <c r="D299" s="83"/>
      <c r="E299" s="187"/>
      <c r="F299" s="84"/>
      <c r="G299" s="84"/>
      <c r="J299" s="85"/>
      <c r="K299" s="86"/>
      <c r="L299" s="87"/>
      <c r="M299" s="87"/>
      <c r="N299" s="87"/>
      <c r="O299" s="88"/>
      <c r="P299" s="88"/>
      <c r="Q299" s="80"/>
      <c r="R299" s="80"/>
      <c r="S299" s="80"/>
      <c r="T299" s="80"/>
      <c r="U299" s="81"/>
      <c r="V299" s="81"/>
    </row>
    <row r="300" spans="3:22" ht="14.1" customHeight="1">
      <c r="C300" s="82"/>
      <c r="D300" s="83"/>
      <c r="E300" s="187"/>
      <c r="F300" s="84"/>
      <c r="G300" s="84"/>
      <c r="J300" s="85"/>
      <c r="K300" s="86"/>
      <c r="L300" s="87"/>
      <c r="M300" s="87"/>
      <c r="N300" s="87"/>
      <c r="O300" s="88"/>
      <c r="P300" s="88"/>
      <c r="Q300" s="80"/>
      <c r="R300" s="80"/>
      <c r="S300" s="80"/>
      <c r="T300" s="80"/>
      <c r="U300" s="81"/>
      <c r="V300" s="81"/>
    </row>
    <row r="301" spans="3:22" ht="14.1" customHeight="1">
      <c r="C301" s="82"/>
      <c r="D301" s="83"/>
      <c r="E301" s="187"/>
      <c r="F301" s="84"/>
      <c r="G301" s="84"/>
      <c r="J301" s="85"/>
      <c r="K301" s="86"/>
      <c r="L301" s="87"/>
      <c r="M301" s="87"/>
      <c r="N301" s="87"/>
      <c r="O301" s="88"/>
      <c r="P301" s="88"/>
      <c r="Q301" s="80"/>
      <c r="R301" s="80"/>
      <c r="S301" s="80"/>
      <c r="T301" s="80"/>
      <c r="U301" s="81"/>
      <c r="V301" s="81"/>
    </row>
    <row r="302" spans="3:22" ht="14.1" customHeight="1">
      <c r="C302" s="82"/>
      <c r="D302" s="83"/>
      <c r="E302" s="187"/>
      <c r="F302" s="84"/>
      <c r="G302" s="84"/>
      <c r="J302" s="85"/>
      <c r="K302" s="86"/>
      <c r="L302" s="87"/>
      <c r="M302" s="87"/>
      <c r="N302" s="87"/>
      <c r="O302" s="88"/>
      <c r="P302" s="88"/>
      <c r="Q302" s="80"/>
      <c r="R302" s="80"/>
      <c r="S302" s="80"/>
      <c r="T302" s="80"/>
      <c r="U302" s="81"/>
      <c r="V302" s="81"/>
    </row>
    <row r="303" spans="3:22" ht="14.1" customHeight="1">
      <c r="C303" s="82"/>
      <c r="D303" s="83"/>
      <c r="E303" s="187"/>
      <c r="F303" s="84"/>
      <c r="G303" s="84"/>
      <c r="J303" s="85"/>
      <c r="K303" s="86"/>
      <c r="L303" s="87"/>
      <c r="M303" s="87"/>
      <c r="N303" s="87"/>
      <c r="O303" s="88"/>
      <c r="P303" s="88"/>
      <c r="Q303" s="80"/>
      <c r="R303" s="80"/>
      <c r="S303" s="80"/>
      <c r="T303" s="80"/>
      <c r="U303" s="81"/>
      <c r="V303" s="81"/>
    </row>
    <row r="304" spans="3:22" ht="14.1" customHeight="1">
      <c r="C304" s="82"/>
      <c r="D304" s="83"/>
      <c r="E304" s="187"/>
      <c r="F304" s="84"/>
      <c r="G304" s="84"/>
      <c r="J304" s="85"/>
      <c r="K304" s="86"/>
      <c r="L304" s="87"/>
      <c r="M304" s="87"/>
      <c r="N304" s="87"/>
      <c r="O304" s="88"/>
      <c r="P304" s="88"/>
      <c r="Q304" s="80"/>
      <c r="R304" s="80"/>
      <c r="S304" s="80"/>
      <c r="T304" s="80"/>
      <c r="U304" s="81"/>
      <c r="V304" s="81"/>
    </row>
    <row r="305" spans="3:22" ht="14.1" customHeight="1">
      <c r="C305" s="82"/>
      <c r="D305" s="83"/>
      <c r="E305" s="187"/>
      <c r="F305" s="84"/>
      <c r="G305" s="84"/>
      <c r="J305" s="85"/>
      <c r="K305" s="86"/>
      <c r="L305" s="87"/>
      <c r="M305" s="87"/>
      <c r="N305" s="87"/>
      <c r="O305" s="88"/>
      <c r="P305" s="88"/>
      <c r="Q305" s="80"/>
      <c r="R305" s="80"/>
      <c r="S305" s="80"/>
      <c r="T305" s="80"/>
      <c r="U305" s="81"/>
      <c r="V305" s="81"/>
    </row>
    <row r="306" spans="3:22" ht="14.1" customHeight="1">
      <c r="C306" s="82"/>
      <c r="D306" s="83"/>
      <c r="E306" s="187"/>
      <c r="F306" s="84"/>
      <c r="G306" s="84"/>
      <c r="J306" s="85"/>
      <c r="K306" s="86"/>
      <c r="L306" s="87"/>
      <c r="M306" s="87"/>
      <c r="N306" s="87"/>
      <c r="O306" s="88"/>
      <c r="P306" s="88"/>
      <c r="Q306" s="80"/>
      <c r="R306" s="80"/>
      <c r="S306" s="80"/>
      <c r="T306" s="80"/>
      <c r="U306" s="81"/>
      <c r="V306" s="81"/>
    </row>
    <row r="307" spans="3:22" ht="14.1" customHeight="1">
      <c r="C307" s="82"/>
      <c r="D307" s="83"/>
      <c r="E307" s="187"/>
      <c r="F307" s="84"/>
      <c r="G307" s="84"/>
      <c r="J307" s="85"/>
      <c r="K307" s="86"/>
      <c r="L307" s="87"/>
      <c r="M307" s="87"/>
      <c r="N307" s="87"/>
      <c r="O307" s="88"/>
      <c r="P307" s="88"/>
      <c r="Q307" s="80"/>
      <c r="R307" s="80"/>
      <c r="S307" s="80"/>
      <c r="T307" s="80"/>
      <c r="U307" s="81"/>
      <c r="V307" s="81"/>
    </row>
    <row r="308" spans="3:22" ht="14.1" customHeight="1">
      <c r="C308" s="82"/>
      <c r="D308" s="83"/>
      <c r="E308" s="187"/>
      <c r="F308" s="84"/>
      <c r="G308" s="84"/>
      <c r="J308" s="85"/>
      <c r="K308" s="86"/>
      <c r="L308" s="87"/>
      <c r="M308" s="87"/>
      <c r="N308" s="87"/>
      <c r="O308" s="88"/>
      <c r="P308" s="88"/>
      <c r="Q308" s="80"/>
      <c r="R308" s="80"/>
      <c r="S308" s="80"/>
      <c r="T308" s="80"/>
      <c r="U308" s="81"/>
      <c r="V308" s="81"/>
    </row>
    <row r="309" spans="3:22" ht="14.1" customHeight="1">
      <c r="C309" s="82"/>
      <c r="D309" s="83"/>
      <c r="E309" s="187"/>
      <c r="F309" s="84"/>
      <c r="G309" s="84"/>
      <c r="J309" s="85"/>
      <c r="K309" s="86"/>
      <c r="L309" s="87"/>
      <c r="M309" s="87"/>
      <c r="N309" s="87"/>
      <c r="O309" s="88"/>
      <c r="P309" s="88"/>
      <c r="Q309" s="80"/>
      <c r="R309" s="80"/>
      <c r="S309" s="80"/>
      <c r="T309" s="80"/>
      <c r="U309" s="81"/>
      <c r="V309" s="81"/>
    </row>
    <row r="310" spans="3:22" ht="14.1" customHeight="1">
      <c r="C310" s="82"/>
      <c r="D310" s="83"/>
      <c r="E310" s="187"/>
      <c r="F310" s="84"/>
      <c r="G310" s="84"/>
      <c r="J310" s="85"/>
      <c r="K310" s="86"/>
      <c r="L310" s="87"/>
      <c r="M310" s="87"/>
      <c r="N310" s="87"/>
      <c r="O310" s="88"/>
      <c r="P310" s="88"/>
      <c r="Q310" s="80"/>
      <c r="R310" s="80"/>
      <c r="S310" s="80"/>
      <c r="T310" s="80"/>
      <c r="U310" s="81"/>
      <c r="V310" s="81"/>
    </row>
    <row r="311" spans="3:22" ht="14.1" customHeight="1">
      <c r="C311" s="82"/>
      <c r="D311" s="83"/>
      <c r="E311" s="187"/>
      <c r="F311" s="84"/>
      <c r="G311" s="84"/>
      <c r="J311" s="85"/>
      <c r="K311" s="86"/>
      <c r="L311" s="87"/>
      <c r="M311" s="87"/>
      <c r="N311" s="87"/>
      <c r="O311" s="88"/>
      <c r="P311" s="88"/>
      <c r="Q311" s="80"/>
      <c r="R311" s="80"/>
      <c r="S311" s="80"/>
      <c r="T311" s="80"/>
      <c r="U311" s="81"/>
      <c r="V311" s="81"/>
    </row>
    <row r="312" spans="3:22" ht="14.1" customHeight="1">
      <c r="C312" s="82"/>
      <c r="D312" s="83"/>
      <c r="E312" s="187"/>
      <c r="F312" s="84"/>
      <c r="G312" s="84"/>
      <c r="J312" s="85"/>
      <c r="K312" s="86"/>
      <c r="L312" s="87"/>
      <c r="M312" s="87"/>
      <c r="N312" s="87"/>
      <c r="O312" s="88"/>
      <c r="P312" s="88"/>
      <c r="Q312" s="80"/>
      <c r="R312" s="80"/>
      <c r="S312" s="80"/>
      <c r="T312" s="80"/>
      <c r="U312" s="81"/>
      <c r="V312" s="81"/>
    </row>
    <row r="313" spans="3:22" ht="14.1" customHeight="1">
      <c r="C313" s="82"/>
      <c r="D313" s="83"/>
      <c r="E313" s="187"/>
      <c r="F313" s="84"/>
      <c r="G313" s="84"/>
      <c r="J313" s="85"/>
      <c r="K313" s="86"/>
      <c r="L313" s="87"/>
      <c r="M313" s="87"/>
      <c r="N313" s="87"/>
      <c r="O313" s="88"/>
      <c r="P313" s="88"/>
      <c r="Q313" s="80"/>
      <c r="R313" s="80"/>
      <c r="S313" s="80"/>
      <c r="T313" s="80"/>
      <c r="U313" s="81"/>
      <c r="V313" s="81"/>
    </row>
    <row r="314" spans="3:22" ht="14.1" customHeight="1">
      <c r="C314" s="82"/>
      <c r="D314" s="83"/>
      <c r="E314" s="187"/>
      <c r="F314" s="84"/>
      <c r="G314" s="84"/>
      <c r="J314" s="85"/>
      <c r="K314" s="86"/>
      <c r="L314" s="87"/>
      <c r="M314" s="87"/>
      <c r="N314" s="87"/>
      <c r="O314" s="88"/>
      <c r="P314" s="88"/>
      <c r="Q314" s="80"/>
      <c r="R314" s="80"/>
      <c r="S314" s="80"/>
      <c r="T314" s="80"/>
      <c r="U314" s="81"/>
      <c r="V314" s="81"/>
    </row>
    <row r="315" spans="3:22" ht="14.1" customHeight="1">
      <c r="C315" s="82"/>
      <c r="D315" s="83"/>
      <c r="E315" s="187"/>
      <c r="F315" s="84"/>
      <c r="G315" s="84"/>
      <c r="J315" s="85"/>
      <c r="K315" s="86"/>
      <c r="L315" s="87"/>
      <c r="M315" s="87"/>
      <c r="N315" s="87"/>
      <c r="O315" s="88"/>
      <c r="P315" s="88"/>
      <c r="Q315" s="80"/>
      <c r="R315" s="80"/>
      <c r="S315" s="80"/>
      <c r="T315" s="80"/>
      <c r="U315" s="81"/>
      <c r="V315" s="81"/>
    </row>
    <row r="316" spans="3:22" ht="14.1" customHeight="1">
      <c r="C316" s="82"/>
      <c r="D316" s="83"/>
      <c r="E316" s="187"/>
      <c r="F316" s="84"/>
      <c r="G316" s="84"/>
      <c r="J316" s="85"/>
      <c r="K316" s="86"/>
      <c r="L316" s="87"/>
      <c r="M316" s="87"/>
      <c r="N316" s="87"/>
      <c r="O316" s="88"/>
      <c r="P316" s="88"/>
      <c r="Q316" s="80"/>
      <c r="R316" s="80"/>
      <c r="S316" s="80"/>
      <c r="T316" s="80"/>
      <c r="U316" s="81"/>
      <c r="V316" s="81"/>
    </row>
    <row r="317" spans="3:22" ht="14.1" customHeight="1">
      <c r="C317" s="82"/>
      <c r="D317" s="83"/>
      <c r="E317" s="187"/>
      <c r="F317" s="84"/>
      <c r="G317" s="84"/>
      <c r="J317" s="85"/>
      <c r="K317" s="86"/>
      <c r="L317" s="87"/>
      <c r="M317" s="87"/>
      <c r="N317" s="87"/>
      <c r="O317" s="88"/>
      <c r="P317" s="88"/>
      <c r="Q317" s="80"/>
      <c r="R317" s="80"/>
      <c r="S317" s="80"/>
      <c r="T317" s="80"/>
      <c r="U317" s="81"/>
      <c r="V317" s="81"/>
    </row>
    <row r="318" spans="3:22" ht="14.1" customHeight="1">
      <c r="C318" s="82"/>
      <c r="D318" s="83"/>
      <c r="E318" s="187"/>
      <c r="F318" s="84"/>
      <c r="G318" s="84"/>
      <c r="J318" s="85"/>
      <c r="K318" s="86"/>
      <c r="L318" s="87"/>
      <c r="M318" s="87"/>
      <c r="N318" s="87"/>
      <c r="O318" s="88"/>
      <c r="P318" s="88"/>
      <c r="Q318" s="80"/>
      <c r="R318" s="80"/>
      <c r="S318" s="80"/>
      <c r="T318" s="80"/>
      <c r="U318" s="81"/>
      <c r="V318" s="81"/>
    </row>
    <row r="319" spans="3:22" ht="14.1" customHeight="1">
      <c r="C319" s="82"/>
      <c r="D319" s="83"/>
      <c r="E319" s="187"/>
      <c r="F319" s="84"/>
      <c r="G319" s="84"/>
      <c r="J319" s="85"/>
      <c r="K319" s="86"/>
      <c r="L319" s="87"/>
      <c r="M319" s="87"/>
      <c r="N319" s="87"/>
      <c r="O319" s="88"/>
      <c r="P319" s="88"/>
      <c r="Q319" s="80"/>
      <c r="R319" s="80"/>
      <c r="S319" s="80"/>
      <c r="T319" s="80"/>
      <c r="U319" s="81"/>
      <c r="V319" s="81"/>
    </row>
    <row r="320" spans="3:22" ht="14.1" customHeight="1">
      <c r="C320" s="82"/>
      <c r="D320" s="83"/>
      <c r="E320" s="187"/>
      <c r="F320" s="84"/>
      <c r="G320" s="84"/>
      <c r="J320" s="85"/>
      <c r="K320" s="86"/>
      <c r="L320" s="87"/>
      <c r="M320" s="87"/>
      <c r="N320" s="87"/>
      <c r="O320" s="88"/>
      <c r="P320" s="88"/>
      <c r="Q320" s="80"/>
      <c r="R320" s="80"/>
      <c r="S320" s="80"/>
      <c r="T320" s="80"/>
      <c r="U320" s="81"/>
      <c r="V320" s="81"/>
    </row>
    <row r="321" spans="3:22" ht="14.1" customHeight="1">
      <c r="C321" s="82"/>
      <c r="D321" s="83"/>
      <c r="E321" s="187"/>
      <c r="F321" s="84"/>
      <c r="G321" s="84"/>
      <c r="J321" s="85"/>
      <c r="K321" s="86"/>
      <c r="L321" s="87"/>
      <c r="M321" s="87"/>
      <c r="N321" s="87"/>
      <c r="O321" s="88"/>
      <c r="P321" s="88"/>
      <c r="Q321" s="80"/>
      <c r="R321" s="80"/>
      <c r="S321" s="80"/>
      <c r="T321" s="80"/>
      <c r="U321" s="81"/>
      <c r="V321" s="81"/>
    </row>
    <row r="322" spans="3:22" ht="14.1" customHeight="1">
      <c r="C322" s="82"/>
      <c r="D322" s="83"/>
      <c r="E322" s="187"/>
      <c r="F322" s="84"/>
      <c r="G322" s="84"/>
      <c r="J322" s="85"/>
      <c r="K322" s="86"/>
      <c r="L322" s="87"/>
      <c r="M322" s="87"/>
      <c r="N322" s="87"/>
      <c r="O322" s="88"/>
      <c r="P322" s="88"/>
      <c r="Q322" s="80"/>
      <c r="R322" s="80"/>
      <c r="S322" s="80"/>
      <c r="T322" s="80"/>
      <c r="U322" s="81"/>
      <c r="V322" s="81"/>
    </row>
    <row r="323" spans="3:22" ht="14.1" customHeight="1">
      <c r="C323" s="82"/>
      <c r="D323" s="83"/>
      <c r="E323" s="187"/>
      <c r="F323" s="84"/>
      <c r="G323" s="84"/>
      <c r="J323" s="85"/>
      <c r="K323" s="86"/>
      <c r="L323" s="87"/>
      <c r="M323" s="87"/>
      <c r="N323" s="87"/>
      <c r="O323" s="88"/>
      <c r="P323" s="88"/>
      <c r="Q323" s="80"/>
      <c r="R323" s="80"/>
      <c r="S323" s="80"/>
      <c r="T323" s="80"/>
      <c r="U323" s="81"/>
      <c r="V323" s="81"/>
    </row>
    <row r="324" spans="3:22" ht="14.1" customHeight="1">
      <c r="C324" s="82"/>
      <c r="D324" s="83"/>
      <c r="E324" s="187"/>
      <c r="F324" s="84"/>
      <c r="G324" s="84"/>
      <c r="J324" s="85"/>
      <c r="K324" s="86"/>
      <c r="L324" s="87"/>
      <c r="M324" s="87"/>
      <c r="N324" s="87"/>
      <c r="O324" s="88"/>
      <c r="P324" s="88"/>
      <c r="Q324" s="80"/>
      <c r="R324" s="80"/>
      <c r="S324" s="80"/>
      <c r="T324" s="80"/>
      <c r="U324" s="81"/>
      <c r="V324" s="81"/>
    </row>
    <row r="325" spans="3:22" ht="14.1" customHeight="1">
      <c r="C325" s="82"/>
      <c r="D325" s="83"/>
      <c r="E325" s="187"/>
      <c r="F325" s="84"/>
      <c r="G325" s="84"/>
      <c r="J325" s="85"/>
      <c r="K325" s="86"/>
      <c r="L325" s="87"/>
      <c r="M325" s="87"/>
      <c r="N325" s="87"/>
      <c r="O325" s="88"/>
      <c r="P325" s="88"/>
      <c r="Q325" s="80"/>
      <c r="R325" s="80"/>
      <c r="S325" s="80"/>
      <c r="T325" s="80"/>
      <c r="U325" s="81"/>
      <c r="V325" s="81"/>
    </row>
    <row r="326" spans="3:22" ht="14.1" customHeight="1">
      <c r="C326" s="82"/>
      <c r="D326" s="83"/>
      <c r="E326" s="187"/>
      <c r="F326" s="84"/>
      <c r="G326" s="84"/>
      <c r="J326" s="85"/>
      <c r="K326" s="86"/>
      <c r="L326" s="87"/>
      <c r="M326" s="87"/>
      <c r="N326" s="87"/>
      <c r="O326" s="88"/>
      <c r="P326" s="88"/>
      <c r="Q326" s="80"/>
      <c r="R326" s="80"/>
      <c r="S326" s="80"/>
      <c r="T326" s="80"/>
      <c r="U326" s="81"/>
      <c r="V326" s="81"/>
    </row>
    <row r="327" spans="3:22" ht="14.1" customHeight="1">
      <c r="C327" s="82"/>
      <c r="D327" s="83"/>
      <c r="E327" s="187"/>
      <c r="F327" s="84"/>
      <c r="G327" s="84"/>
      <c r="J327" s="85"/>
      <c r="K327" s="86"/>
      <c r="L327" s="87"/>
      <c r="M327" s="87"/>
      <c r="N327" s="87"/>
      <c r="O327" s="88"/>
      <c r="P327" s="88"/>
      <c r="Q327" s="80"/>
      <c r="R327" s="80"/>
      <c r="S327" s="80"/>
      <c r="T327" s="80"/>
      <c r="U327" s="81"/>
      <c r="V327" s="81"/>
    </row>
    <row r="328" spans="3:22" ht="14.1" customHeight="1">
      <c r="C328" s="82"/>
      <c r="D328" s="83"/>
      <c r="E328" s="187"/>
      <c r="F328" s="84"/>
      <c r="G328" s="84"/>
      <c r="J328" s="85"/>
      <c r="K328" s="86"/>
      <c r="L328" s="87"/>
      <c r="M328" s="87"/>
      <c r="N328" s="87"/>
      <c r="O328" s="88"/>
      <c r="P328" s="88"/>
      <c r="Q328" s="80"/>
      <c r="R328" s="80"/>
      <c r="S328" s="80"/>
      <c r="T328" s="80"/>
      <c r="U328" s="81"/>
      <c r="V328" s="81"/>
    </row>
    <row r="329" spans="3:22" ht="14.1" customHeight="1">
      <c r="C329" s="82"/>
      <c r="D329" s="83"/>
      <c r="E329" s="187"/>
      <c r="F329" s="84"/>
      <c r="G329" s="84"/>
      <c r="J329" s="85"/>
      <c r="K329" s="86"/>
      <c r="L329" s="87"/>
      <c r="M329" s="87"/>
      <c r="N329" s="87"/>
      <c r="O329" s="88"/>
      <c r="P329" s="88"/>
      <c r="Q329" s="80"/>
      <c r="R329" s="80"/>
      <c r="S329" s="80"/>
      <c r="T329" s="80"/>
      <c r="U329" s="81"/>
      <c r="V329" s="81"/>
    </row>
    <row r="330" spans="3:22" ht="14.1" customHeight="1">
      <c r="C330" s="82"/>
      <c r="D330" s="83"/>
      <c r="E330" s="187"/>
      <c r="F330" s="84"/>
      <c r="G330" s="84"/>
      <c r="J330" s="85"/>
      <c r="K330" s="86"/>
      <c r="L330" s="87"/>
      <c r="M330" s="87"/>
      <c r="N330" s="87"/>
      <c r="O330" s="88"/>
      <c r="P330" s="88"/>
      <c r="Q330" s="80"/>
      <c r="R330" s="80"/>
      <c r="S330" s="80"/>
      <c r="T330" s="80"/>
      <c r="U330" s="81"/>
      <c r="V330" s="81"/>
    </row>
    <row r="331" spans="3:22" ht="14.1" customHeight="1">
      <c r="C331" s="82"/>
      <c r="D331" s="83"/>
      <c r="E331" s="187"/>
      <c r="F331" s="84"/>
      <c r="G331" s="84"/>
      <c r="J331" s="85"/>
      <c r="K331" s="86"/>
      <c r="L331" s="87"/>
      <c r="M331" s="87"/>
      <c r="N331" s="87"/>
      <c r="O331" s="88"/>
      <c r="P331" s="88"/>
      <c r="Q331" s="80"/>
      <c r="R331" s="80"/>
      <c r="S331" s="80"/>
      <c r="T331" s="80"/>
      <c r="U331" s="81"/>
      <c r="V331" s="81"/>
    </row>
    <row r="332" spans="3:22" ht="14.1" customHeight="1">
      <c r="C332" s="82"/>
      <c r="D332" s="83"/>
      <c r="E332" s="187"/>
      <c r="F332" s="84"/>
      <c r="G332" s="84"/>
      <c r="J332" s="85"/>
      <c r="K332" s="86"/>
      <c r="L332" s="87"/>
      <c r="M332" s="87"/>
      <c r="N332" s="87"/>
      <c r="O332" s="88"/>
      <c r="P332" s="88"/>
      <c r="Q332" s="80"/>
      <c r="R332" s="80"/>
      <c r="S332" s="80"/>
      <c r="T332" s="80"/>
      <c r="U332" s="81"/>
      <c r="V332" s="81"/>
    </row>
    <row r="333" spans="3:22" ht="14.1" customHeight="1">
      <c r="C333" s="82"/>
      <c r="D333" s="83"/>
      <c r="E333" s="187"/>
      <c r="F333" s="84"/>
      <c r="G333" s="84"/>
      <c r="J333" s="85"/>
      <c r="K333" s="86"/>
      <c r="L333" s="87"/>
      <c r="M333" s="87"/>
      <c r="N333" s="87"/>
      <c r="O333" s="88"/>
      <c r="P333" s="88"/>
      <c r="Q333" s="80"/>
      <c r="R333" s="80"/>
      <c r="S333" s="80"/>
      <c r="T333" s="80"/>
      <c r="U333" s="81"/>
      <c r="V333" s="81"/>
    </row>
    <row r="334" spans="3:22" ht="14.1" customHeight="1">
      <c r="C334" s="82"/>
      <c r="D334" s="83"/>
      <c r="E334" s="187"/>
      <c r="F334" s="84"/>
      <c r="G334" s="84"/>
      <c r="J334" s="85"/>
      <c r="K334" s="86"/>
      <c r="L334" s="87"/>
      <c r="M334" s="87"/>
      <c r="N334" s="87"/>
      <c r="O334" s="88"/>
      <c r="P334" s="88"/>
      <c r="Q334" s="80"/>
      <c r="R334" s="80"/>
      <c r="S334" s="80"/>
      <c r="T334" s="80"/>
      <c r="U334" s="81"/>
      <c r="V334" s="81"/>
    </row>
    <row r="335" spans="3:22" ht="14.1" customHeight="1">
      <c r="C335" s="82"/>
      <c r="D335" s="83"/>
      <c r="E335" s="187"/>
      <c r="F335" s="84"/>
      <c r="G335" s="84"/>
      <c r="J335" s="85"/>
      <c r="K335" s="86"/>
      <c r="L335" s="87"/>
      <c r="M335" s="87"/>
      <c r="N335" s="87"/>
      <c r="O335" s="88"/>
      <c r="P335" s="88"/>
      <c r="Q335" s="80"/>
      <c r="R335" s="80"/>
      <c r="S335" s="80"/>
      <c r="T335" s="80"/>
      <c r="U335" s="81"/>
      <c r="V335" s="81"/>
    </row>
    <row r="336" spans="3:22" ht="14.1" customHeight="1">
      <c r="C336" s="82"/>
      <c r="D336" s="83"/>
      <c r="E336" s="187"/>
      <c r="F336" s="84"/>
      <c r="G336" s="84"/>
      <c r="J336" s="85"/>
      <c r="K336" s="86"/>
      <c r="L336" s="87"/>
      <c r="M336" s="87"/>
      <c r="N336" s="87"/>
      <c r="O336" s="88"/>
      <c r="P336" s="88"/>
      <c r="Q336" s="80"/>
      <c r="R336" s="80"/>
      <c r="S336" s="80"/>
      <c r="T336" s="80"/>
      <c r="U336" s="81"/>
      <c r="V336" s="81"/>
    </row>
    <row r="337" spans="3:22" ht="14.1" customHeight="1">
      <c r="C337" s="82"/>
      <c r="D337" s="83"/>
      <c r="E337" s="187"/>
      <c r="F337" s="84"/>
      <c r="G337" s="84"/>
      <c r="J337" s="85"/>
      <c r="K337" s="86"/>
      <c r="L337" s="87"/>
      <c r="M337" s="87"/>
      <c r="N337" s="87"/>
      <c r="O337" s="88"/>
      <c r="P337" s="88"/>
      <c r="Q337" s="80"/>
      <c r="R337" s="80"/>
      <c r="S337" s="80"/>
      <c r="T337" s="80"/>
      <c r="U337" s="81"/>
      <c r="V337" s="81"/>
    </row>
    <row r="338" spans="3:22" ht="14.1" customHeight="1">
      <c r="C338" s="82"/>
      <c r="D338" s="83"/>
      <c r="E338" s="187"/>
      <c r="F338" s="84"/>
      <c r="G338" s="84"/>
      <c r="J338" s="85"/>
      <c r="K338" s="86"/>
      <c r="L338" s="87"/>
      <c r="M338" s="87"/>
      <c r="N338" s="87"/>
      <c r="O338" s="88"/>
      <c r="P338" s="88"/>
      <c r="Q338" s="80"/>
      <c r="R338" s="80"/>
      <c r="S338" s="80"/>
      <c r="T338" s="80"/>
      <c r="U338" s="81"/>
      <c r="V338" s="81"/>
    </row>
    <row r="339" spans="3:22" ht="14.1" customHeight="1">
      <c r="C339" s="82"/>
      <c r="D339" s="83"/>
      <c r="E339" s="187"/>
      <c r="F339" s="84"/>
      <c r="G339" s="84"/>
      <c r="J339" s="85"/>
      <c r="K339" s="86"/>
      <c r="L339" s="87"/>
      <c r="M339" s="87"/>
      <c r="N339" s="87"/>
      <c r="O339" s="88"/>
      <c r="P339" s="88"/>
      <c r="Q339" s="80"/>
      <c r="R339" s="80"/>
      <c r="S339" s="80"/>
      <c r="T339" s="80"/>
      <c r="U339" s="81"/>
      <c r="V339" s="81"/>
    </row>
    <row r="340" spans="3:22" ht="14.1" customHeight="1">
      <c r="C340" s="82"/>
      <c r="D340" s="83"/>
      <c r="E340" s="187"/>
      <c r="F340" s="84"/>
      <c r="G340" s="84"/>
      <c r="J340" s="85"/>
      <c r="K340" s="86"/>
      <c r="L340" s="87"/>
      <c r="M340" s="87"/>
      <c r="N340" s="87"/>
      <c r="O340" s="88"/>
      <c r="P340" s="88"/>
      <c r="Q340" s="80"/>
      <c r="R340" s="80"/>
      <c r="S340" s="80"/>
      <c r="T340" s="80"/>
      <c r="U340" s="81"/>
      <c r="V340" s="81"/>
    </row>
    <row r="341" spans="3:22" ht="14.1" customHeight="1">
      <c r="C341" s="82"/>
      <c r="D341" s="83"/>
      <c r="E341" s="187"/>
      <c r="F341" s="84"/>
      <c r="G341" s="84"/>
      <c r="J341" s="85"/>
      <c r="K341" s="86"/>
      <c r="L341" s="87"/>
      <c r="M341" s="87"/>
      <c r="N341" s="87"/>
      <c r="O341" s="88"/>
      <c r="P341" s="88"/>
      <c r="Q341" s="80"/>
      <c r="R341" s="80"/>
      <c r="S341" s="80"/>
      <c r="T341" s="80"/>
      <c r="U341" s="81"/>
      <c r="V341" s="81"/>
    </row>
    <row r="342" spans="3:22" ht="14.1" customHeight="1">
      <c r="C342" s="82"/>
      <c r="D342" s="83"/>
      <c r="E342" s="187"/>
      <c r="F342" s="84"/>
      <c r="G342" s="84"/>
      <c r="J342" s="85"/>
      <c r="K342" s="86"/>
      <c r="L342" s="87"/>
      <c r="M342" s="87"/>
      <c r="N342" s="87"/>
      <c r="O342" s="88"/>
      <c r="P342" s="88"/>
      <c r="Q342" s="80"/>
      <c r="R342" s="80"/>
      <c r="S342" s="80"/>
      <c r="T342" s="80"/>
      <c r="U342" s="81"/>
      <c r="V342" s="81"/>
    </row>
    <row r="343" spans="3:22" ht="14.1" customHeight="1">
      <c r="C343" s="82"/>
      <c r="D343" s="83"/>
      <c r="E343" s="187"/>
      <c r="F343" s="84"/>
      <c r="G343" s="84"/>
      <c r="J343" s="85"/>
      <c r="K343" s="86"/>
      <c r="L343" s="87"/>
      <c r="M343" s="87"/>
      <c r="N343" s="87"/>
      <c r="O343" s="88"/>
      <c r="P343" s="88"/>
      <c r="Q343" s="80"/>
      <c r="R343" s="80"/>
      <c r="S343" s="80"/>
      <c r="T343" s="80"/>
      <c r="U343" s="81"/>
      <c r="V343" s="81"/>
    </row>
    <row r="344" spans="3:22" ht="14.1" customHeight="1">
      <c r="C344" s="82"/>
      <c r="D344" s="83"/>
      <c r="E344" s="187"/>
      <c r="F344" s="84"/>
      <c r="G344" s="84"/>
      <c r="J344" s="85"/>
      <c r="K344" s="86"/>
      <c r="L344" s="87"/>
      <c r="M344" s="87"/>
      <c r="N344" s="87"/>
      <c r="O344" s="88"/>
      <c r="P344" s="88"/>
      <c r="Q344" s="80"/>
      <c r="R344" s="80"/>
      <c r="S344" s="80"/>
      <c r="T344" s="80"/>
      <c r="U344" s="81"/>
      <c r="V344" s="81"/>
    </row>
    <row r="345" spans="3:22" ht="14.1" customHeight="1">
      <c r="C345" s="82"/>
      <c r="D345" s="83"/>
      <c r="E345" s="187"/>
      <c r="F345" s="84"/>
      <c r="G345" s="84"/>
      <c r="J345" s="85"/>
      <c r="K345" s="86"/>
      <c r="L345" s="87"/>
      <c r="M345" s="87"/>
      <c r="N345" s="87"/>
      <c r="O345" s="88"/>
      <c r="P345" s="88"/>
      <c r="Q345" s="80"/>
      <c r="R345" s="80"/>
      <c r="S345" s="80"/>
      <c r="T345" s="80"/>
      <c r="U345" s="81"/>
      <c r="V345" s="81"/>
    </row>
    <row r="346" spans="3:22" ht="14.1" customHeight="1">
      <c r="C346" s="82"/>
      <c r="D346" s="83"/>
      <c r="E346" s="187"/>
      <c r="F346" s="84"/>
      <c r="G346" s="84"/>
      <c r="J346" s="85"/>
      <c r="K346" s="86"/>
      <c r="L346" s="87"/>
      <c r="M346" s="87"/>
      <c r="N346" s="87"/>
      <c r="O346" s="88"/>
      <c r="P346" s="88"/>
      <c r="Q346" s="80"/>
      <c r="R346" s="80"/>
      <c r="S346" s="80"/>
      <c r="T346" s="80"/>
      <c r="U346" s="81"/>
      <c r="V346" s="81"/>
    </row>
    <row r="347" spans="3:22" ht="14.1" customHeight="1">
      <c r="C347" s="82"/>
      <c r="D347" s="83"/>
      <c r="E347" s="187"/>
      <c r="F347" s="84"/>
      <c r="G347" s="84"/>
      <c r="J347" s="85"/>
      <c r="K347" s="86"/>
      <c r="L347" s="87"/>
      <c r="M347" s="87"/>
      <c r="N347" s="87"/>
      <c r="O347" s="88"/>
      <c r="P347" s="88"/>
      <c r="Q347" s="80"/>
      <c r="R347" s="80"/>
      <c r="S347" s="80"/>
      <c r="T347" s="80"/>
      <c r="U347" s="81"/>
      <c r="V347" s="81"/>
    </row>
    <row r="348" spans="3:22" ht="14.1" customHeight="1">
      <c r="C348" s="82"/>
      <c r="D348" s="83"/>
      <c r="E348" s="187"/>
      <c r="F348" s="84"/>
      <c r="G348" s="84"/>
      <c r="J348" s="85"/>
      <c r="K348" s="86"/>
      <c r="L348" s="87"/>
      <c r="M348" s="87"/>
      <c r="N348" s="87"/>
      <c r="O348" s="88"/>
      <c r="P348" s="88"/>
      <c r="Q348" s="80"/>
      <c r="R348" s="80"/>
      <c r="S348" s="80"/>
      <c r="T348" s="80"/>
      <c r="U348" s="81"/>
      <c r="V348" s="81"/>
    </row>
    <row r="349" spans="3:22" ht="14.1" customHeight="1">
      <c r="C349" s="82"/>
      <c r="D349" s="83"/>
      <c r="E349" s="187"/>
      <c r="F349" s="84"/>
      <c r="G349" s="84"/>
      <c r="J349" s="85"/>
      <c r="K349" s="86"/>
      <c r="L349" s="87"/>
      <c r="M349" s="87"/>
      <c r="N349" s="87"/>
      <c r="O349" s="88"/>
      <c r="P349" s="88"/>
      <c r="Q349" s="80"/>
      <c r="R349" s="80"/>
      <c r="S349" s="80"/>
      <c r="T349" s="80"/>
      <c r="U349" s="81"/>
      <c r="V349" s="81"/>
    </row>
    <row r="350" spans="3:22" ht="14.1" customHeight="1">
      <c r="C350" s="82"/>
      <c r="D350" s="83"/>
      <c r="E350" s="187"/>
      <c r="F350" s="84"/>
      <c r="G350" s="84"/>
      <c r="J350" s="85"/>
      <c r="K350" s="86"/>
      <c r="L350" s="87"/>
      <c r="M350" s="87"/>
      <c r="N350" s="87"/>
      <c r="O350" s="88"/>
      <c r="P350" s="88"/>
      <c r="Q350" s="80"/>
      <c r="R350" s="80"/>
      <c r="S350" s="80"/>
      <c r="T350" s="80"/>
      <c r="U350" s="81"/>
      <c r="V350" s="81"/>
    </row>
    <row r="351" spans="3:22" ht="14.1" customHeight="1">
      <c r="C351" s="82"/>
      <c r="D351" s="83"/>
      <c r="E351" s="187"/>
      <c r="F351" s="84"/>
      <c r="G351" s="84"/>
      <c r="J351" s="85"/>
      <c r="K351" s="86"/>
      <c r="L351" s="87"/>
      <c r="M351" s="87"/>
      <c r="N351" s="87"/>
      <c r="O351" s="88"/>
      <c r="P351" s="88"/>
      <c r="Q351" s="80"/>
      <c r="R351" s="80"/>
      <c r="S351" s="80"/>
      <c r="T351" s="80"/>
      <c r="U351" s="81"/>
      <c r="V351" s="81"/>
    </row>
    <row r="352" spans="3:22" ht="14.1" customHeight="1">
      <c r="C352" s="82"/>
      <c r="D352" s="83"/>
      <c r="E352" s="187"/>
      <c r="F352" s="84"/>
      <c r="G352" s="84"/>
      <c r="J352" s="85"/>
      <c r="K352" s="86"/>
      <c r="L352" s="87"/>
      <c r="M352" s="87"/>
      <c r="N352" s="87"/>
      <c r="O352" s="88"/>
      <c r="P352" s="88"/>
      <c r="Q352" s="80"/>
      <c r="R352" s="80"/>
      <c r="S352" s="80"/>
      <c r="T352" s="80"/>
      <c r="U352" s="81"/>
      <c r="V352" s="81"/>
    </row>
    <row r="353" spans="3:22" ht="14.1" customHeight="1">
      <c r="C353" s="82"/>
      <c r="D353" s="83"/>
      <c r="E353" s="187"/>
      <c r="F353" s="84"/>
      <c r="G353" s="84"/>
      <c r="J353" s="85"/>
      <c r="K353" s="86"/>
      <c r="L353" s="87"/>
      <c r="M353" s="87"/>
      <c r="N353" s="87"/>
      <c r="O353" s="88"/>
      <c r="P353" s="88"/>
      <c r="Q353" s="80"/>
      <c r="R353" s="80"/>
      <c r="S353" s="80"/>
      <c r="T353" s="80"/>
      <c r="U353" s="81"/>
      <c r="V353" s="81"/>
    </row>
    <row r="354" spans="3:22" ht="14.1" customHeight="1">
      <c r="C354" s="82"/>
      <c r="D354" s="83"/>
      <c r="E354" s="187"/>
      <c r="F354" s="84"/>
      <c r="G354" s="84"/>
      <c r="J354" s="85"/>
      <c r="K354" s="86"/>
      <c r="L354" s="87"/>
      <c r="M354" s="87"/>
      <c r="N354" s="87"/>
      <c r="O354" s="88"/>
      <c r="P354" s="88"/>
      <c r="Q354" s="80"/>
      <c r="R354" s="80"/>
      <c r="S354" s="80"/>
      <c r="T354" s="80"/>
      <c r="U354" s="81"/>
      <c r="V354" s="81"/>
    </row>
    <row r="355" spans="3:22" ht="14.1" customHeight="1">
      <c r="C355" s="82"/>
      <c r="D355" s="83"/>
      <c r="E355" s="187"/>
      <c r="F355" s="84"/>
      <c r="G355" s="84"/>
      <c r="J355" s="85"/>
      <c r="K355" s="86"/>
      <c r="L355" s="87"/>
      <c r="M355" s="87"/>
      <c r="N355" s="87"/>
      <c r="O355" s="88"/>
      <c r="P355" s="88"/>
      <c r="Q355" s="80"/>
      <c r="R355" s="80"/>
      <c r="S355" s="80"/>
      <c r="T355" s="80"/>
      <c r="U355" s="81"/>
      <c r="V355" s="81"/>
    </row>
    <row r="356" spans="3:22" ht="14.1" customHeight="1">
      <c r="C356" s="82"/>
      <c r="D356" s="83"/>
      <c r="E356" s="187"/>
      <c r="F356" s="84"/>
      <c r="G356" s="84"/>
      <c r="J356" s="85"/>
      <c r="K356" s="86"/>
      <c r="L356" s="87"/>
      <c r="M356" s="87"/>
      <c r="N356" s="87"/>
      <c r="O356" s="88"/>
      <c r="P356" s="88"/>
      <c r="Q356" s="80"/>
      <c r="R356" s="80"/>
      <c r="S356" s="80"/>
      <c r="T356" s="80"/>
      <c r="U356" s="81"/>
      <c r="V356" s="81"/>
    </row>
    <row r="357" spans="3:22" ht="14.1" customHeight="1">
      <c r="C357" s="82"/>
      <c r="D357" s="83"/>
      <c r="E357" s="187"/>
      <c r="F357" s="84"/>
      <c r="G357" s="84"/>
      <c r="J357" s="85"/>
      <c r="K357" s="86"/>
      <c r="L357" s="87"/>
      <c r="M357" s="87"/>
      <c r="N357" s="87"/>
      <c r="O357" s="88"/>
      <c r="P357" s="88"/>
      <c r="Q357" s="80"/>
      <c r="R357" s="80"/>
      <c r="S357" s="80"/>
      <c r="T357" s="80"/>
      <c r="U357" s="81"/>
      <c r="V357" s="81"/>
    </row>
    <row r="358" spans="3:22" ht="14.1" customHeight="1">
      <c r="C358" s="82"/>
      <c r="D358" s="83"/>
      <c r="E358" s="187"/>
      <c r="F358" s="84"/>
      <c r="G358" s="84"/>
      <c r="J358" s="85"/>
      <c r="K358" s="86"/>
      <c r="L358" s="87"/>
      <c r="M358" s="87"/>
      <c r="N358" s="87"/>
      <c r="O358" s="88"/>
      <c r="P358" s="88"/>
      <c r="Q358" s="80"/>
      <c r="R358" s="80"/>
      <c r="S358" s="80"/>
      <c r="T358" s="80"/>
      <c r="U358" s="81"/>
      <c r="V358" s="81"/>
    </row>
    <row r="359" spans="3:22" ht="14.1" customHeight="1">
      <c r="C359" s="82"/>
      <c r="D359" s="83"/>
      <c r="E359" s="187"/>
      <c r="F359" s="84"/>
      <c r="G359" s="84"/>
      <c r="J359" s="85"/>
      <c r="K359" s="86"/>
      <c r="L359" s="87"/>
      <c r="M359" s="87"/>
      <c r="N359" s="87"/>
      <c r="O359" s="88"/>
      <c r="P359" s="88"/>
      <c r="Q359" s="80"/>
      <c r="R359" s="80"/>
      <c r="S359" s="80"/>
      <c r="T359" s="80"/>
      <c r="U359" s="81"/>
      <c r="V359" s="81"/>
    </row>
    <row r="360" spans="3:22" ht="14.1" customHeight="1">
      <c r="C360" s="82"/>
      <c r="D360" s="83"/>
      <c r="E360" s="187"/>
      <c r="F360" s="84"/>
      <c r="G360" s="84"/>
      <c r="J360" s="85"/>
      <c r="K360" s="86"/>
      <c r="L360" s="87"/>
      <c r="M360" s="87"/>
      <c r="N360" s="87"/>
      <c r="O360" s="88"/>
      <c r="P360" s="88"/>
      <c r="Q360" s="80"/>
      <c r="R360" s="80"/>
      <c r="S360" s="80"/>
      <c r="T360" s="80"/>
      <c r="U360" s="81"/>
      <c r="V360" s="81"/>
    </row>
    <row r="361" spans="3:22" ht="14.1" customHeight="1">
      <c r="C361" s="82"/>
      <c r="D361" s="83"/>
      <c r="E361" s="187"/>
      <c r="F361" s="84"/>
      <c r="G361" s="84"/>
      <c r="J361" s="85"/>
      <c r="K361" s="86"/>
      <c r="L361" s="87"/>
      <c r="M361" s="87"/>
      <c r="N361" s="87"/>
      <c r="O361" s="88"/>
      <c r="P361" s="88"/>
      <c r="Q361" s="80"/>
      <c r="R361" s="80"/>
      <c r="S361" s="80"/>
      <c r="T361" s="80"/>
      <c r="U361" s="81"/>
      <c r="V361" s="81"/>
    </row>
    <row r="362" spans="3:22" ht="14.1" customHeight="1">
      <c r="C362" s="82"/>
      <c r="D362" s="83"/>
      <c r="E362" s="187"/>
      <c r="F362" s="84"/>
      <c r="G362" s="84"/>
      <c r="J362" s="85"/>
      <c r="K362" s="86"/>
      <c r="L362" s="87"/>
      <c r="M362" s="87"/>
      <c r="N362" s="87"/>
      <c r="O362" s="88"/>
      <c r="P362" s="88"/>
      <c r="Q362" s="80"/>
      <c r="R362" s="80"/>
      <c r="S362" s="80"/>
      <c r="T362" s="80"/>
      <c r="U362" s="81"/>
      <c r="V362" s="81"/>
    </row>
    <row r="363" spans="3:22" ht="14.1" customHeight="1">
      <c r="C363" s="82"/>
      <c r="D363" s="83"/>
      <c r="E363" s="187"/>
      <c r="F363" s="84"/>
      <c r="G363" s="84"/>
      <c r="J363" s="85"/>
      <c r="K363" s="86"/>
      <c r="L363" s="87"/>
      <c r="M363" s="87"/>
      <c r="N363" s="87"/>
      <c r="O363" s="88"/>
      <c r="P363" s="88"/>
      <c r="Q363" s="80"/>
      <c r="R363" s="80"/>
      <c r="S363" s="80"/>
      <c r="T363" s="80"/>
      <c r="U363" s="81"/>
      <c r="V363" s="81"/>
    </row>
    <row r="364" spans="3:22" ht="14.1" customHeight="1">
      <c r="C364" s="82"/>
      <c r="D364" s="83"/>
      <c r="E364" s="187"/>
      <c r="F364" s="84"/>
      <c r="G364" s="84"/>
      <c r="J364" s="85"/>
      <c r="K364" s="86"/>
      <c r="L364" s="87"/>
      <c r="M364" s="87"/>
      <c r="N364" s="87"/>
      <c r="O364" s="88"/>
      <c r="P364" s="88"/>
      <c r="Q364" s="80"/>
      <c r="R364" s="80"/>
      <c r="S364" s="80"/>
      <c r="T364" s="80"/>
      <c r="U364" s="81"/>
      <c r="V364" s="81"/>
    </row>
    <row r="365" spans="3:22" ht="14.1" customHeight="1">
      <c r="C365" s="82"/>
      <c r="D365" s="83"/>
      <c r="E365" s="187"/>
      <c r="F365" s="84"/>
      <c r="G365" s="84"/>
      <c r="J365" s="85"/>
      <c r="K365" s="86"/>
      <c r="L365" s="87"/>
      <c r="M365" s="87"/>
      <c r="N365" s="87"/>
      <c r="O365" s="88"/>
      <c r="P365" s="88"/>
      <c r="Q365" s="80"/>
      <c r="R365" s="80"/>
      <c r="S365" s="80"/>
      <c r="T365" s="80"/>
      <c r="U365" s="81"/>
      <c r="V365" s="81"/>
    </row>
    <row r="366" spans="3:22" ht="14.1" customHeight="1">
      <c r="C366" s="82"/>
      <c r="D366" s="83"/>
      <c r="E366" s="187"/>
      <c r="F366" s="84"/>
      <c r="G366" s="84"/>
      <c r="J366" s="85"/>
      <c r="K366" s="86"/>
      <c r="L366" s="87"/>
      <c r="M366" s="87"/>
      <c r="N366" s="87"/>
      <c r="O366" s="88"/>
      <c r="P366" s="88"/>
      <c r="Q366" s="80"/>
      <c r="R366" s="80"/>
      <c r="S366" s="80"/>
      <c r="T366" s="80"/>
      <c r="U366" s="81"/>
      <c r="V366" s="81"/>
    </row>
    <row r="367" spans="3:22" ht="14.1" customHeight="1">
      <c r="C367" s="82"/>
      <c r="D367" s="83"/>
      <c r="E367" s="187"/>
      <c r="F367" s="84"/>
      <c r="G367" s="84"/>
      <c r="J367" s="85"/>
      <c r="K367" s="86"/>
      <c r="L367" s="87"/>
      <c r="M367" s="87"/>
      <c r="N367" s="87"/>
      <c r="O367" s="88"/>
      <c r="P367" s="88"/>
      <c r="Q367" s="80"/>
      <c r="R367" s="80"/>
      <c r="S367" s="80"/>
      <c r="T367" s="80"/>
      <c r="U367" s="81"/>
      <c r="V367" s="81"/>
    </row>
    <row r="368" spans="3:22" ht="14.1" customHeight="1">
      <c r="C368" s="82"/>
      <c r="D368" s="83"/>
      <c r="E368" s="187"/>
      <c r="F368" s="84"/>
      <c r="G368" s="84"/>
      <c r="J368" s="85"/>
      <c r="K368" s="86"/>
      <c r="L368" s="87"/>
      <c r="M368" s="87"/>
      <c r="N368" s="87"/>
      <c r="O368" s="88"/>
      <c r="P368" s="88"/>
      <c r="Q368" s="80"/>
      <c r="R368" s="80"/>
      <c r="S368" s="80"/>
      <c r="T368" s="80"/>
      <c r="U368" s="81"/>
      <c r="V368" s="81"/>
    </row>
    <row r="369" spans="3:22" ht="14.1" customHeight="1">
      <c r="C369" s="82"/>
      <c r="D369" s="83"/>
      <c r="E369" s="187"/>
      <c r="F369" s="84"/>
      <c r="G369" s="84"/>
      <c r="J369" s="85"/>
      <c r="K369" s="86"/>
      <c r="L369" s="87"/>
      <c r="M369" s="87"/>
      <c r="N369" s="87"/>
      <c r="O369" s="88"/>
      <c r="P369" s="88"/>
      <c r="Q369" s="80"/>
      <c r="R369" s="80"/>
      <c r="S369" s="80"/>
      <c r="T369" s="80"/>
      <c r="U369" s="81"/>
      <c r="V369" s="81"/>
    </row>
    <row r="370" spans="3:22" ht="14.1" customHeight="1">
      <c r="C370" s="82"/>
      <c r="D370" s="83"/>
      <c r="E370" s="187"/>
      <c r="F370" s="84"/>
      <c r="G370" s="84"/>
      <c r="J370" s="85"/>
      <c r="K370" s="86"/>
      <c r="L370" s="87"/>
      <c r="M370" s="87"/>
      <c r="N370" s="87"/>
      <c r="O370" s="88"/>
      <c r="P370" s="88"/>
      <c r="Q370" s="80"/>
      <c r="R370" s="80"/>
      <c r="S370" s="80"/>
      <c r="T370" s="80"/>
      <c r="U370" s="81"/>
      <c r="V370" s="81"/>
    </row>
    <row r="371" spans="3:22" ht="14.1" customHeight="1">
      <c r="C371" s="82"/>
      <c r="D371" s="83"/>
      <c r="E371" s="187"/>
      <c r="F371" s="84"/>
      <c r="G371" s="84"/>
      <c r="J371" s="85"/>
      <c r="K371" s="86"/>
      <c r="L371" s="87"/>
      <c r="M371" s="87"/>
      <c r="N371" s="87"/>
      <c r="O371" s="88"/>
      <c r="P371" s="88"/>
      <c r="Q371" s="80"/>
      <c r="R371" s="80"/>
      <c r="S371" s="80"/>
      <c r="T371" s="80"/>
      <c r="U371" s="81"/>
      <c r="V371" s="81"/>
    </row>
    <row r="372" spans="3:22" ht="14.1" customHeight="1">
      <c r="C372" s="82"/>
      <c r="D372" s="83"/>
      <c r="E372" s="187"/>
      <c r="F372" s="84"/>
      <c r="G372" s="84"/>
      <c r="J372" s="85"/>
      <c r="K372" s="86"/>
      <c r="L372" s="87"/>
      <c r="M372" s="87"/>
      <c r="N372" s="87"/>
      <c r="O372" s="88"/>
      <c r="P372" s="88"/>
      <c r="Q372" s="80"/>
      <c r="R372" s="80"/>
      <c r="S372" s="80"/>
      <c r="T372" s="80"/>
      <c r="U372" s="81"/>
      <c r="V372" s="81"/>
    </row>
    <row r="373" spans="3:22" ht="14.1" customHeight="1">
      <c r="C373" s="82"/>
      <c r="D373" s="83"/>
      <c r="E373" s="187"/>
      <c r="F373" s="84"/>
      <c r="G373" s="84"/>
      <c r="J373" s="85"/>
      <c r="K373" s="86"/>
      <c r="L373" s="87"/>
      <c r="M373" s="87"/>
      <c r="N373" s="87"/>
      <c r="O373" s="88"/>
      <c r="P373" s="88"/>
      <c r="Q373" s="80"/>
      <c r="R373" s="80"/>
      <c r="S373" s="80"/>
      <c r="T373" s="80"/>
      <c r="U373" s="81"/>
      <c r="V373" s="81"/>
    </row>
    <row r="374" spans="3:22" ht="14.1" customHeight="1">
      <c r="C374" s="82"/>
      <c r="D374" s="83"/>
      <c r="E374" s="187"/>
      <c r="F374" s="84"/>
      <c r="G374" s="84"/>
      <c r="J374" s="85"/>
      <c r="K374" s="86"/>
      <c r="L374" s="87"/>
      <c r="M374" s="87"/>
      <c r="N374" s="87"/>
      <c r="O374" s="88"/>
      <c r="P374" s="88"/>
      <c r="Q374" s="80"/>
      <c r="R374" s="80"/>
      <c r="S374" s="80"/>
      <c r="T374" s="80"/>
      <c r="U374" s="81"/>
      <c r="V374" s="81"/>
    </row>
    <row r="375" spans="3:22" ht="14.1" customHeight="1">
      <c r="C375" s="82"/>
      <c r="D375" s="83"/>
      <c r="E375" s="187"/>
      <c r="F375" s="84"/>
      <c r="G375" s="84"/>
      <c r="J375" s="85"/>
      <c r="K375" s="86"/>
      <c r="L375" s="87"/>
      <c r="M375" s="87"/>
      <c r="N375" s="87"/>
      <c r="O375" s="88"/>
      <c r="P375" s="88"/>
      <c r="Q375" s="80"/>
      <c r="R375" s="80"/>
      <c r="S375" s="80"/>
      <c r="T375" s="80"/>
      <c r="U375" s="81"/>
      <c r="V375" s="81"/>
    </row>
    <row r="376" spans="3:22" ht="14.1" customHeight="1">
      <c r="C376" s="82"/>
      <c r="D376" s="83"/>
      <c r="E376" s="187"/>
      <c r="F376" s="84"/>
      <c r="G376" s="84"/>
      <c r="J376" s="85"/>
      <c r="K376" s="86"/>
      <c r="L376" s="87"/>
      <c r="M376" s="87"/>
      <c r="N376" s="87"/>
      <c r="O376" s="88"/>
      <c r="P376" s="88"/>
      <c r="Q376" s="80"/>
      <c r="R376" s="80"/>
      <c r="S376" s="80"/>
      <c r="T376" s="80"/>
      <c r="U376" s="81"/>
      <c r="V376" s="81"/>
    </row>
    <row r="377" spans="3:22" ht="14.1" customHeight="1">
      <c r="C377" s="82"/>
      <c r="D377" s="83"/>
      <c r="E377" s="187"/>
      <c r="F377" s="84"/>
      <c r="G377" s="84"/>
      <c r="J377" s="85"/>
      <c r="K377" s="86"/>
      <c r="L377" s="87"/>
      <c r="M377" s="87"/>
      <c r="N377" s="87"/>
      <c r="O377" s="88"/>
      <c r="P377" s="88"/>
      <c r="Q377" s="80"/>
      <c r="R377" s="80"/>
      <c r="S377" s="80"/>
      <c r="T377" s="80"/>
      <c r="U377" s="81"/>
      <c r="V377" s="81"/>
    </row>
    <row r="378" spans="3:22" ht="14.1" customHeight="1">
      <c r="C378" s="82"/>
      <c r="D378" s="83"/>
      <c r="E378" s="187"/>
      <c r="F378" s="84"/>
      <c r="G378" s="84"/>
      <c r="J378" s="85"/>
      <c r="K378" s="86"/>
      <c r="L378" s="87"/>
      <c r="M378" s="87"/>
      <c r="N378" s="87"/>
      <c r="O378" s="88"/>
      <c r="P378" s="88"/>
      <c r="Q378" s="80"/>
      <c r="R378" s="80"/>
      <c r="S378" s="80"/>
      <c r="T378" s="80"/>
      <c r="U378" s="81"/>
      <c r="V378" s="81"/>
    </row>
    <row r="379" spans="3:22" ht="14.1" customHeight="1">
      <c r="C379" s="82"/>
      <c r="D379" s="83"/>
      <c r="E379" s="187"/>
      <c r="F379" s="84"/>
      <c r="G379" s="84"/>
      <c r="J379" s="85"/>
      <c r="K379" s="86"/>
      <c r="L379" s="87"/>
      <c r="M379" s="87"/>
      <c r="N379" s="87"/>
      <c r="O379" s="88"/>
      <c r="P379" s="88"/>
      <c r="Q379" s="80"/>
      <c r="R379" s="80"/>
      <c r="S379" s="80"/>
      <c r="T379" s="80"/>
      <c r="U379" s="81"/>
      <c r="V379" s="81"/>
    </row>
    <row r="380" spans="3:22" ht="14.1" customHeight="1">
      <c r="C380" s="82"/>
      <c r="D380" s="83"/>
      <c r="E380" s="187"/>
      <c r="F380" s="84"/>
      <c r="G380" s="84"/>
      <c r="J380" s="85"/>
      <c r="K380" s="86"/>
      <c r="L380" s="87"/>
      <c r="M380" s="87"/>
      <c r="N380" s="87"/>
      <c r="O380" s="88"/>
      <c r="P380" s="88"/>
      <c r="Q380" s="80"/>
      <c r="R380" s="80"/>
      <c r="S380" s="80"/>
      <c r="T380" s="80"/>
      <c r="U380" s="81"/>
      <c r="V380" s="81"/>
    </row>
    <row r="381" spans="3:22" ht="14.1" customHeight="1">
      <c r="C381" s="82"/>
      <c r="D381" s="83"/>
      <c r="E381" s="187"/>
      <c r="F381" s="84"/>
      <c r="G381" s="84"/>
      <c r="J381" s="85"/>
      <c r="K381" s="86"/>
      <c r="L381" s="87"/>
      <c r="M381" s="87"/>
      <c r="N381" s="87"/>
      <c r="O381" s="88"/>
      <c r="P381" s="88"/>
      <c r="Q381" s="80"/>
      <c r="R381" s="80"/>
      <c r="S381" s="80"/>
      <c r="T381" s="80"/>
      <c r="U381" s="81"/>
      <c r="V381" s="81"/>
    </row>
    <row r="382" spans="3:22" ht="14.1" customHeight="1">
      <c r="C382" s="82"/>
      <c r="D382" s="83"/>
      <c r="E382" s="187"/>
      <c r="F382" s="84"/>
      <c r="G382" s="84"/>
      <c r="J382" s="85"/>
      <c r="K382" s="86"/>
      <c r="L382" s="87"/>
      <c r="M382" s="87"/>
      <c r="N382" s="87"/>
      <c r="O382" s="88"/>
      <c r="P382" s="88"/>
      <c r="Q382" s="80"/>
      <c r="R382" s="80"/>
      <c r="S382" s="80"/>
      <c r="T382" s="80"/>
      <c r="U382" s="81"/>
      <c r="V382" s="81"/>
    </row>
    <row r="383" spans="3:22" ht="14.1" customHeight="1">
      <c r="C383" s="82"/>
      <c r="D383" s="83"/>
      <c r="E383" s="187"/>
      <c r="F383" s="84"/>
      <c r="G383" s="84"/>
      <c r="J383" s="85"/>
      <c r="K383" s="86"/>
      <c r="L383" s="87"/>
      <c r="M383" s="87"/>
      <c r="N383" s="87"/>
      <c r="O383" s="88"/>
      <c r="P383" s="88"/>
      <c r="Q383" s="80"/>
      <c r="R383" s="80"/>
      <c r="S383" s="80"/>
      <c r="T383" s="80"/>
      <c r="U383" s="81"/>
      <c r="V383" s="81"/>
    </row>
    <row r="384" spans="3:22" ht="14.1" customHeight="1">
      <c r="C384" s="82"/>
      <c r="D384" s="83"/>
      <c r="E384" s="187"/>
      <c r="F384" s="84"/>
      <c r="G384" s="84"/>
      <c r="J384" s="85"/>
      <c r="K384" s="86"/>
      <c r="L384" s="87"/>
      <c r="M384" s="87"/>
      <c r="N384" s="87"/>
      <c r="O384" s="88"/>
      <c r="P384" s="88"/>
      <c r="Q384" s="80"/>
      <c r="R384" s="80"/>
      <c r="S384" s="80"/>
      <c r="T384" s="80"/>
      <c r="U384" s="81"/>
      <c r="V384" s="81"/>
    </row>
    <row r="385" spans="3:22" ht="14.1" customHeight="1">
      <c r="C385" s="82"/>
      <c r="D385" s="83"/>
      <c r="E385" s="187"/>
      <c r="F385" s="84"/>
      <c r="G385" s="84"/>
      <c r="J385" s="85"/>
      <c r="K385" s="86"/>
      <c r="L385" s="87"/>
      <c r="M385" s="87"/>
      <c r="N385" s="87"/>
      <c r="O385" s="88"/>
      <c r="P385" s="88"/>
      <c r="Q385" s="80"/>
      <c r="R385" s="80"/>
      <c r="S385" s="80"/>
      <c r="T385" s="80"/>
      <c r="U385" s="81"/>
      <c r="V385" s="81"/>
    </row>
    <row r="386" spans="3:22" ht="14.1" customHeight="1">
      <c r="C386" s="82"/>
      <c r="D386" s="83"/>
      <c r="E386" s="187"/>
      <c r="F386" s="84"/>
      <c r="G386" s="84"/>
      <c r="J386" s="85"/>
      <c r="K386" s="86"/>
      <c r="L386" s="87"/>
      <c r="M386" s="87"/>
      <c r="N386" s="87"/>
      <c r="O386" s="88"/>
      <c r="P386" s="88"/>
      <c r="Q386" s="80"/>
      <c r="R386" s="80"/>
      <c r="S386" s="80"/>
      <c r="T386" s="80"/>
      <c r="U386" s="81"/>
      <c r="V386" s="81"/>
    </row>
    <row r="387" spans="3:22" ht="14.1" customHeight="1">
      <c r="C387" s="82"/>
      <c r="D387" s="83"/>
      <c r="E387" s="187"/>
      <c r="F387" s="84"/>
      <c r="G387" s="84"/>
      <c r="J387" s="85"/>
      <c r="K387" s="86"/>
      <c r="L387" s="87"/>
      <c r="M387" s="87"/>
      <c r="N387" s="87"/>
      <c r="O387" s="88"/>
      <c r="P387" s="88"/>
      <c r="Q387" s="80"/>
      <c r="R387" s="80"/>
      <c r="S387" s="80"/>
      <c r="T387" s="80"/>
      <c r="U387" s="81"/>
      <c r="V387" s="81"/>
    </row>
    <row r="388" spans="3:22" ht="14.1" customHeight="1">
      <c r="C388" s="82"/>
      <c r="D388" s="83"/>
      <c r="E388" s="187"/>
      <c r="F388" s="84"/>
      <c r="G388" s="84"/>
      <c r="J388" s="85"/>
      <c r="K388" s="86"/>
      <c r="L388" s="87"/>
      <c r="M388" s="87"/>
      <c r="N388" s="87"/>
      <c r="O388" s="88"/>
      <c r="P388" s="88"/>
      <c r="Q388" s="80"/>
      <c r="R388" s="80"/>
      <c r="S388" s="80"/>
      <c r="T388" s="80"/>
      <c r="U388" s="81"/>
      <c r="V388" s="81"/>
    </row>
    <row r="389" spans="3:22" ht="14.1" customHeight="1">
      <c r="C389" s="82"/>
      <c r="D389" s="83"/>
      <c r="E389" s="187"/>
      <c r="F389" s="84"/>
      <c r="G389" s="84"/>
      <c r="J389" s="85"/>
      <c r="K389" s="86"/>
      <c r="L389" s="87"/>
      <c r="M389" s="87"/>
      <c r="N389" s="87"/>
      <c r="O389" s="88"/>
      <c r="P389" s="88"/>
      <c r="Q389" s="80"/>
      <c r="R389" s="80"/>
      <c r="S389" s="80"/>
      <c r="T389" s="80"/>
      <c r="U389" s="81"/>
      <c r="V389" s="81"/>
    </row>
    <row r="390" spans="3:22" ht="14.1" customHeight="1">
      <c r="C390" s="82"/>
      <c r="D390" s="83"/>
      <c r="E390" s="187"/>
      <c r="F390" s="84"/>
      <c r="G390" s="84"/>
      <c r="J390" s="85"/>
      <c r="K390" s="86"/>
      <c r="L390" s="87"/>
      <c r="M390" s="87"/>
      <c r="N390" s="87"/>
      <c r="O390" s="88"/>
      <c r="P390" s="88"/>
      <c r="Q390" s="80"/>
      <c r="R390" s="80"/>
      <c r="S390" s="80"/>
      <c r="T390" s="80"/>
      <c r="U390" s="81"/>
      <c r="V390" s="81"/>
    </row>
    <row r="391" spans="3:22" ht="14.1" customHeight="1">
      <c r="C391" s="82"/>
      <c r="D391" s="83"/>
      <c r="E391" s="187"/>
      <c r="F391" s="84"/>
      <c r="G391" s="84"/>
      <c r="J391" s="85"/>
      <c r="K391" s="86"/>
      <c r="L391" s="87"/>
      <c r="M391" s="87"/>
      <c r="N391" s="87"/>
      <c r="O391" s="88"/>
      <c r="P391" s="88"/>
      <c r="Q391" s="80"/>
      <c r="R391" s="80"/>
      <c r="S391" s="80"/>
      <c r="T391" s="80"/>
      <c r="U391" s="81"/>
      <c r="V391" s="81"/>
    </row>
    <row r="392" spans="3:22" ht="14.1" customHeight="1">
      <c r="C392" s="82"/>
      <c r="D392" s="83"/>
      <c r="E392" s="187"/>
      <c r="F392" s="84"/>
      <c r="G392" s="84"/>
      <c r="J392" s="85"/>
      <c r="K392" s="86"/>
      <c r="L392" s="87"/>
      <c r="M392" s="87"/>
      <c r="N392" s="87"/>
      <c r="O392" s="88"/>
      <c r="P392" s="88"/>
      <c r="Q392" s="80"/>
      <c r="R392" s="80"/>
      <c r="S392" s="80"/>
      <c r="T392" s="80"/>
      <c r="U392" s="81"/>
      <c r="V392" s="81"/>
    </row>
    <row r="393" spans="3:22" ht="14.1" customHeight="1">
      <c r="C393" s="82"/>
      <c r="D393" s="83"/>
      <c r="E393" s="187"/>
      <c r="F393" s="84"/>
      <c r="G393" s="84"/>
      <c r="J393" s="85"/>
      <c r="K393" s="86"/>
      <c r="L393" s="87"/>
      <c r="M393" s="87"/>
      <c r="N393" s="87"/>
      <c r="O393" s="88"/>
      <c r="P393" s="88"/>
      <c r="Q393" s="80"/>
      <c r="R393" s="80"/>
      <c r="S393" s="80"/>
      <c r="T393" s="80"/>
      <c r="U393" s="81"/>
      <c r="V393" s="81"/>
    </row>
    <row r="394" spans="3:22" ht="14.1" customHeight="1">
      <c r="C394" s="82"/>
      <c r="D394" s="83"/>
      <c r="E394" s="187"/>
      <c r="F394" s="84"/>
      <c r="G394" s="84"/>
      <c r="J394" s="85"/>
      <c r="K394" s="86"/>
      <c r="L394" s="87"/>
      <c r="M394" s="87"/>
      <c r="N394" s="87"/>
      <c r="O394" s="88"/>
      <c r="P394" s="88"/>
      <c r="Q394" s="80"/>
      <c r="R394" s="80"/>
      <c r="S394" s="80"/>
      <c r="T394" s="80"/>
      <c r="U394" s="81"/>
      <c r="V394" s="81"/>
    </row>
    <row r="395" spans="3:22" ht="14.1" customHeight="1">
      <c r="C395" s="82"/>
      <c r="D395" s="83"/>
      <c r="E395" s="187"/>
      <c r="F395" s="84"/>
      <c r="G395" s="84"/>
      <c r="J395" s="85"/>
      <c r="K395" s="86"/>
      <c r="L395" s="87"/>
      <c r="M395" s="87"/>
      <c r="N395" s="87"/>
      <c r="O395" s="88"/>
      <c r="P395" s="88"/>
      <c r="Q395" s="80"/>
      <c r="R395" s="80"/>
      <c r="S395" s="80"/>
      <c r="T395" s="80"/>
      <c r="U395" s="81"/>
      <c r="V395" s="81"/>
    </row>
    <row r="396" spans="3:22" ht="14.1" customHeight="1">
      <c r="C396" s="82"/>
      <c r="D396" s="83"/>
      <c r="E396" s="187"/>
      <c r="F396" s="84"/>
      <c r="G396" s="84"/>
      <c r="J396" s="85"/>
      <c r="K396" s="86"/>
      <c r="L396" s="87"/>
      <c r="M396" s="87"/>
      <c r="N396" s="87"/>
      <c r="O396" s="88"/>
      <c r="P396" s="88"/>
      <c r="Q396" s="80"/>
      <c r="R396" s="80"/>
      <c r="S396" s="80"/>
      <c r="T396" s="80"/>
      <c r="U396" s="81"/>
      <c r="V396" s="81"/>
    </row>
    <row r="397" spans="3:22" ht="14.1" customHeight="1">
      <c r="C397" s="82"/>
      <c r="D397" s="83"/>
      <c r="E397" s="187"/>
      <c r="F397" s="84"/>
      <c r="G397" s="84"/>
      <c r="J397" s="85"/>
      <c r="K397" s="86"/>
      <c r="L397" s="87"/>
      <c r="M397" s="87"/>
      <c r="N397" s="87"/>
      <c r="O397" s="88"/>
      <c r="P397" s="88"/>
      <c r="Q397" s="80"/>
      <c r="R397" s="80"/>
      <c r="S397" s="80"/>
      <c r="T397" s="80"/>
      <c r="U397" s="81"/>
      <c r="V397" s="81"/>
    </row>
    <row r="398" spans="3:22" ht="14.1" customHeight="1">
      <c r="C398" s="82"/>
      <c r="D398" s="83"/>
      <c r="E398" s="187"/>
      <c r="F398" s="84"/>
      <c r="G398" s="84"/>
      <c r="J398" s="85"/>
      <c r="K398" s="86"/>
      <c r="L398" s="87"/>
      <c r="M398" s="87"/>
      <c r="N398" s="87"/>
      <c r="O398" s="88"/>
      <c r="P398" s="88"/>
      <c r="Q398" s="80"/>
      <c r="R398" s="80"/>
      <c r="S398" s="80"/>
      <c r="T398" s="80"/>
      <c r="U398" s="81"/>
      <c r="V398" s="81"/>
    </row>
    <row r="399" spans="3:22" ht="14.1" customHeight="1">
      <c r="C399" s="82"/>
      <c r="D399" s="83"/>
      <c r="E399" s="187"/>
      <c r="F399" s="84"/>
      <c r="G399" s="84"/>
      <c r="J399" s="85"/>
      <c r="K399" s="86"/>
      <c r="L399" s="87"/>
      <c r="M399" s="87"/>
      <c r="N399" s="87"/>
      <c r="O399" s="88"/>
      <c r="P399" s="88"/>
      <c r="Q399" s="80"/>
      <c r="R399" s="80"/>
      <c r="S399" s="80"/>
      <c r="T399" s="80"/>
      <c r="U399" s="81"/>
      <c r="V399" s="81"/>
    </row>
    <row r="400" spans="3:22" ht="14.1" customHeight="1">
      <c r="C400" s="82"/>
      <c r="D400" s="83"/>
      <c r="E400" s="187"/>
      <c r="F400" s="84"/>
      <c r="G400" s="84"/>
      <c r="J400" s="85"/>
      <c r="K400" s="86"/>
      <c r="L400" s="87"/>
      <c r="M400" s="87"/>
      <c r="N400" s="87"/>
      <c r="O400" s="88"/>
      <c r="P400" s="88"/>
      <c r="Q400" s="80"/>
      <c r="R400" s="80"/>
      <c r="S400" s="80"/>
      <c r="T400" s="80"/>
      <c r="U400" s="81"/>
      <c r="V400" s="81"/>
    </row>
    <row r="401" spans="3:22" ht="14.1" customHeight="1">
      <c r="C401" s="82"/>
      <c r="D401" s="83"/>
      <c r="E401" s="187"/>
      <c r="F401" s="84"/>
      <c r="G401" s="84"/>
      <c r="J401" s="85"/>
      <c r="K401" s="86"/>
      <c r="L401" s="87"/>
      <c r="M401" s="87"/>
      <c r="N401" s="87"/>
      <c r="O401" s="88"/>
      <c r="P401" s="88"/>
      <c r="Q401" s="80"/>
      <c r="R401" s="80"/>
      <c r="S401" s="80"/>
      <c r="T401" s="80"/>
      <c r="U401" s="81"/>
      <c r="V401" s="81"/>
    </row>
    <row r="402" spans="3:22" ht="14.1" customHeight="1">
      <c r="C402" s="82"/>
      <c r="D402" s="83"/>
      <c r="E402" s="187"/>
      <c r="F402" s="84"/>
      <c r="G402" s="84"/>
      <c r="J402" s="85"/>
      <c r="K402" s="86"/>
      <c r="L402" s="87"/>
      <c r="M402" s="87"/>
      <c r="N402" s="87"/>
      <c r="O402" s="88"/>
      <c r="P402" s="88"/>
      <c r="Q402" s="80"/>
      <c r="R402" s="80"/>
      <c r="S402" s="80"/>
      <c r="T402" s="80"/>
      <c r="U402" s="81"/>
      <c r="V402" s="81"/>
    </row>
    <row r="403" spans="3:22" ht="14.1" customHeight="1">
      <c r="C403" s="82"/>
      <c r="D403" s="83"/>
      <c r="E403" s="187"/>
      <c r="F403" s="84"/>
      <c r="G403" s="84"/>
      <c r="J403" s="85"/>
      <c r="K403" s="86"/>
      <c r="L403" s="87"/>
      <c r="M403" s="87"/>
      <c r="N403" s="87"/>
      <c r="O403" s="88"/>
      <c r="P403" s="88"/>
      <c r="Q403" s="80"/>
      <c r="R403" s="80"/>
      <c r="S403" s="80"/>
      <c r="T403" s="80"/>
      <c r="U403" s="81"/>
      <c r="V403" s="81"/>
    </row>
    <row r="404" spans="3:22" ht="14.1" customHeight="1">
      <c r="C404" s="82"/>
      <c r="D404" s="83"/>
      <c r="E404" s="187"/>
      <c r="F404" s="84"/>
      <c r="G404" s="84"/>
      <c r="J404" s="85"/>
      <c r="K404" s="86"/>
      <c r="L404" s="87"/>
      <c r="M404" s="87"/>
      <c r="N404" s="87"/>
      <c r="O404" s="88"/>
      <c r="P404" s="88"/>
      <c r="Q404" s="80"/>
      <c r="R404" s="80"/>
      <c r="S404" s="80"/>
      <c r="T404" s="80"/>
      <c r="U404" s="81"/>
      <c r="V404" s="81"/>
    </row>
    <row r="405" spans="3:22" ht="14.1" customHeight="1">
      <c r="C405" s="82"/>
      <c r="D405" s="83"/>
      <c r="E405" s="187"/>
      <c r="F405" s="84"/>
      <c r="G405" s="84"/>
      <c r="J405" s="85"/>
      <c r="K405" s="86"/>
      <c r="L405" s="87"/>
      <c r="M405" s="87"/>
      <c r="N405" s="87"/>
      <c r="O405" s="88"/>
      <c r="P405" s="88"/>
      <c r="Q405" s="80"/>
      <c r="R405" s="80"/>
      <c r="S405" s="80"/>
      <c r="T405" s="80"/>
      <c r="U405" s="81"/>
      <c r="V405" s="81"/>
    </row>
    <row r="406" spans="3:22" ht="14.1" customHeight="1">
      <c r="C406" s="82"/>
      <c r="D406" s="83"/>
      <c r="E406" s="187"/>
      <c r="F406" s="84"/>
      <c r="G406" s="84"/>
      <c r="J406" s="85"/>
      <c r="K406" s="86"/>
      <c r="L406" s="87"/>
      <c r="M406" s="87"/>
      <c r="N406" s="87"/>
      <c r="O406" s="88"/>
      <c r="P406" s="88"/>
      <c r="Q406" s="80"/>
      <c r="R406" s="80"/>
      <c r="S406" s="80"/>
      <c r="T406" s="80"/>
      <c r="U406" s="81"/>
      <c r="V406" s="81"/>
    </row>
    <row r="407" spans="3:22" ht="14.1" customHeight="1">
      <c r="C407" s="82"/>
      <c r="D407" s="83"/>
      <c r="E407" s="187"/>
      <c r="F407" s="84"/>
      <c r="G407" s="84"/>
      <c r="J407" s="85"/>
      <c r="K407" s="86"/>
      <c r="L407" s="87"/>
      <c r="M407" s="87"/>
      <c r="N407" s="87"/>
      <c r="O407" s="88"/>
      <c r="P407" s="88"/>
      <c r="Q407" s="80"/>
      <c r="R407" s="80"/>
      <c r="S407" s="80"/>
      <c r="T407" s="80"/>
      <c r="U407" s="81"/>
      <c r="V407" s="81"/>
    </row>
    <row r="408" spans="3:22" ht="14.1" customHeight="1">
      <c r="C408" s="82"/>
      <c r="D408" s="83"/>
      <c r="E408" s="187"/>
      <c r="F408" s="84"/>
      <c r="G408" s="84"/>
      <c r="J408" s="85"/>
      <c r="K408" s="86"/>
      <c r="L408" s="87"/>
      <c r="M408" s="87"/>
      <c r="N408" s="87"/>
      <c r="O408" s="88"/>
      <c r="P408" s="88"/>
      <c r="Q408" s="80"/>
      <c r="R408" s="80"/>
      <c r="S408" s="80"/>
      <c r="T408" s="80"/>
      <c r="U408" s="81"/>
      <c r="V408" s="81"/>
    </row>
    <row r="409" spans="3:22" ht="14.1" customHeight="1">
      <c r="C409" s="82"/>
      <c r="D409" s="83"/>
      <c r="E409" s="187"/>
      <c r="F409" s="84"/>
      <c r="G409" s="84"/>
      <c r="J409" s="85"/>
      <c r="K409" s="86"/>
      <c r="L409" s="87"/>
      <c r="M409" s="87"/>
      <c r="N409" s="87"/>
      <c r="O409" s="88"/>
      <c r="P409" s="88"/>
      <c r="Q409" s="80"/>
      <c r="R409" s="80"/>
      <c r="S409" s="80"/>
      <c r="T409" s="80"/>
      <c r="U409" s="81"/>
      <c r="V409" s="81"/>
    </row>
    <row r="410" spans="3:22" ht="14.1" customHeight="1">
      <c r="C410" s="82"/>
      <c r="D410" s="83"/>
      <c r="E410" s="187"/>
      <c r="F410" s="84"/>
      <c r="G410" s="84"/>
      <c r="J410" s="85"/>
      <c r="K410" s="86"/>
      <c r="L410" s="87"/>
      <c r="M410" s="87"/>
      <c r="N410" s="87"/>
      <c r="O410" s="88"/>
      <c r="P410" s="88"/>
      <c r="Q410" s="80"/>
      <c r="R410" s="80"/>
      <c r="S410" s="80"/>
      <c r="T410" s="80"/>
      <c r="U410" s="81"/>
      <c r="V410" s="81"/>
    </row>
    <row r="411" spans="3:22" ht="14.1" customHeight="1">
      <c r="C411" s="82"/>
      <c r="D411" s="83"/>
      <c r="E411" s="187"/>
      <c r="F411" s="84"/>
      <c r="G411" s="84"/>
      <c r="J411" s="85"/>
      <c r="K411" s="86"/>
      <c r="L411" s="87"/>
      <c r="M411" s="87"/>
      <c r="N411" s="87"/>
      <c r="O411" s="88"/>
      <c r="P411" s="88"/>
      <c r="Q411" s="80"/>
      <c r="R411" s="80"/>
      <c r="S411" s="80"/>
      <c r="T411" s="80"/>
      <c r="U411" s="81"/>
      <c r="V411" s="81"/>
    </row>
    <row r="412" spans="3:22" ht="14.1" customHeight="1">
      <c r="C412" s="82"/>
      <c r="D412" s="83"/>
      <c r="E412" s="187"/>
      <c r="F412" s="84"/>
      <c r="G412" s="84"/>
      <c r="J412" s="85"/>
      <c r="K412" s="86"/>
      <c r="L412" s="87"/>
      <c r="M412" s="87"/>
      <c r="N412" s="87"/>
      <c r="O412" s="88"/>
      <c r="P412" s="88"/>
      <c r="Q412" s="80"/>
      <c r="R412" s="80"/>
      <c r="S412" s="80"/>
      <c r="T412" s="80"/>
      <c r="U412" s="81"/>
      <c r="V412" s="81"/>
    </row>
    <row r="413" spans="3:22" ht="14.1" customHeight="1">
      <c r="C413" s="82"/>
      <c r="D413" s="83"/>
      <c r="E413" s="187"/>
      <c r="F413" s="84"/>
      <c r="G413" s="84"/>
      <c r="J413" s="85"/>
      <c r="K413" s="86"/>
      <c r="L413" s="87"/>
      <c r="M413" s="87"/>
      <c r="N413" s="87"/>
      <c r="O413" s="88"/>
      <c r="P413" s="88"/>
      <c r="Q413" s="80"/>
      <c r="R413" s="80"/>
      <c r="S413" s="80"/>
      <c r="T413" s="80"/>
      <c r="U413" s="81"/>
      <c r="V413" s="81"/>
    </row>
    <row r="414" spans="3:22" ht="14.1" customHeight="1">
      <c r="C414" s="82"/>
      <c r="D414" s="83"/>
      <c r="E414" s="187"/>
      <c r="F414" s="84"/>
      <c r="G414" s="84"/>
      <c r="J414" s="85"/>
      <c r="K414" s="86"/>
      <c r="L414" s="87"/>
      <c r="M414" s="87"/>
      <c r="N414" s="87"/>
      <c r="O414" s="88"/>
      <c r="P414" s="88"/>
      <c r="Q414" s="80"/>
      <c r="R414" s="80"/>
      <c r="S414" s="80"/>
      <c r="T414" s="80"/>
      <c r="U414" s="81"/>
      <c r="V414" s="81"/>
    </row>
    <row r="415" spans="3:22" ht="14.1" customHeight="1">
      <c r="C415" s="82"/>
      <c r="D415" s="83"/>
      <c r="E415" s="187"/>
      <c r="F415" s="84"/>
      <c r="G415" s="84"/>
      <c r="J415" s="85"/>
      <c r="K415" s="86"/>
      <c r="L415" s="87"/>
      <c r="M415" s="87"/>
      <c r="N415" s="87"/>
      <c r="O415" s="88"/>
      <c r="P415" s="88"/>
      <c r="Q415" s="80"/>
      <c r="R415" s="80"/>
      <c r="S415" s="80"/>
      <c r="T415" s="80"/>
      <c r="U415" s="81"/>
      <c r="V415" s="81"/>
    </row>
    <row r="416" spans="3:22" ht="14.1" customHeight="1">
      <c r="C416" s="82"/>
      <c r="D416" s="83"/>
      <c r="E416" s="187"/>
      <c r="F416" s="84"/>
      <c r="G416" s="84"/>
      <c r="J416" s="85"/>
      <c r="K416" s="86"/>
      <c r="L416" s="87"/>
      <c r="M416" s="87"/>
      <c r="N416" s="87"/>
      <c r="O416" s="88"/>
      <c r="P416" s="88"/>
      <c r="Q416" s="80"/>
      <c r="R416" s="80"/>
      <c r="S416" s="80"/>
      <c r="T416" s="80"/>
      <c r="U416" s="81"/>
      <c r="V416" s="81"/>
    </row>
    <row r="417" spans="3:22" ht="14.1" customHeight="1">
      <c r="C417" s="82"/>
      <c r="D417" s="83"/>
      <c r="E417" s="187"/>
      <c r="F417" s="84"/>
      <c r="G417" s="84"/>
      <c r="J417" s="85"/>
      <c r="K417" s="86"/>
      <c r="L417" s="87"/>
      <c r="M417" s="87"/>
      <c r="N417" s="87"/>
      <c r="O417" s="88"/>
      <c r="P417" s="88"/>
      <c r="Q417" s="80"/>
      <c r="R417" s="80"/>
      <c r="S417" s="80"/>
      <c r="T417" s="80"/>
      <c r="U417" s="81"/>
      <c r="V417" s="81"/>
    </row>
    <row r="418" spans="3:22" ht="14.1" customHeight="1">
      <c r="C418" s="82"/>
      <c r="D418" s="83"/>
      <c r="E418" s="187"/>
      <c r="F418" s="84"/>
      <c r="G418" s="84"/>
      <c r="J418" s="85"/>
      <c r="K418" s="86"/>
      <c r="L418" s="87"/>
      <c r="M418" s="87"/>
      <c r="N418" s="87"/>
      <c r="O418" s="88"/>
      <c r="P418" s="88"/>
      <c r="Q418" s="80"/>
      <c r="R418" s="80"/>
      <c r="S418" s="80"/>
      <c r="T418" s="80"/>
      <c r="U418" s="81"/>
      <c r="V418" s="81"/>
    </row>
    <row r="419" spans="3:22" ht="14.1" customHeight="1">
      <c r="C419" s="82"/>
      <c r="D419" s="83"/>
      <c r="E419" s="187"/>
      <c r="F419" s="84"/>
      <c r="G419" s="84"/>
      <c r="J419" s="85"/>
      <c r="K419" s="86"/>
      <c r="L419" s="87"/>
      <c r="M419" s="87"/>
      <c r="N419" s="87"/>
      <c r="O419" s="88"/>
      <c r="P419" s="88"/>
      <c r="Q419" s="80"/>
      <c r="R419" s="80"/>
      <c r="S419" s="80"/>
      <c r="T419" s="80"/>
      <c r="U419" s="81"/>
      <c r="V419" s="81"/>
    </row>
    <row r="420" spans="3:22" ht="14.1" customHeight="1">
      <c r="C420" s="82"/>
      <c r="D420" s="83"/>
      <c r="E420" s="187"/>
      <c r="F420" s="84"/>
      <c r="G420" s="84"/>
      <c r="J420" s="85"/>
      <c r="K420" s="86"/>
      <c r="L420" s="87"/>
      <c r="M420" s="87"/>
      <c r="N420" s="87"/>
      <c r="O420" s="88"/>
      <c r="P420" s="88"/>
      <c r="Q420" s="80"/>
      <c r="R420" s="80"/>
      <c r="S420" s="80"/>
      <c r="T420" s="80"/>
      <c r="U420" s="81"/>
      <c r="V420" s="81"/>
    </row>
    <row r="421" spans="3:22" ht="14.1" customHeight="1">
      <c r="C421" s="82"/>
      <c r="D421" s="83"/>
      <c r="E421" s="187"/>
      <c r="F421" s="84"/>
      <c r="G421" s="84"/>
      <c r="J421" s="85"/>
      <c r="K421" s="86"/>
      <c r="L421" s="87"/>
      <c r="M421" s="87"/>
      <c r="N421" s="87"/>
      <c r="O421" s="88"/>
      <c r="P421" s="88"/>
      <c r="Q421" s="80"/>
      <c r="R421" s="80"/>
      <c r="S421" s="80"/>
      <c r="T421" s="80"/>
      <c r="U421" s="81"/>
      <c r="V421" s="81"/>
    </row>
    <row r="422" spans="3:22" ht="14.1" customHeight="1">
      <c r="C422" s="82"/>
      <c r="D422" s="83"/>
      <c r="E422" s="187"/>
      <c r="F422" s="84"/>
      <c r="G422" s="84"/>
      <c r="J422" s="85"/>
      <c r="K422" s="86"/>
      <c r="L422" s="87"/>
      <c r="M422" s="87"/>
      <c r="N422" s="87"/>
      <c r="O422" s="88"/>
      <c r="P422" s="88"/>
      <c r="Q422" s="80"/>
      <c r="R422" s="80"/>
      <c r="S422" s="80"/>
      <c r="T422" s="80"/>
      <c r="U422" s="81"/>
      <c r="V422" s="81"/>
    </row>
    <row r="423" spans="3:22" ht="14.1" customHeight="1">
      <c r="C423" s="82"/>
      <c r="D423" s="83"/>
      <c r="E423" s="187"/>
      <c r="F423" s="84"/>
      <c r="G423" s="84"/>
      <c r="J423" s="85"/>
      <c r="K423" s="86"/>
      <c r="L423" s="87"/>
      <c r="M423" s="87"/>
      <c r="N423" s="87"/>
      <c r="O423" s="88"/>
      <c r="P423" s="88"/>
      <c r="Q423" s="80"/>
      <c r="R423" s="80"/>
      <c r="S423" s="80"/>
      <c r="T423" s="80"/>
      <c r="U423" s="81"/>
      <c r="V423" s="81"/>
    </row>
    <row r="424" spans="3:22" ht="14.1" customHeight="1">
      <c r="C424" s="82"/>
      <c r="D424" s="83"/>
      <c r="E424" s="187"/>
      <c r="F424" s="84"/>
      <c r="G424" s="84"/>
      <c r="J424" s="85"/>
      <c r="K424" s="86"/>
      <c r="L424" s="87"/>
      <c r="M424" s="87"/>
      <c r="N424" s="87"/>
      <c r="O424" s="88"/>
      <c r="P424" s="88"/>
      <c r="Q424" s="80"/>
      <c r="R424" s="80"/>
      <c r="S424" s="80"/>
      <c r="T424" s="80"/>
      <c r="U424" s="81"/>
      <c r="V424" s="81"/>
    </row>
    <row r="425" spans="3:22" ht="14.1" customHeight="1">
      <c r="C425" s="82"/>
      <c r="D425" s="83"/>
      <c r="E425" s="187"/>
      <c r="F425" s="84"/>
      <c r="G425" s="84"/>
      <c r="J425" s="85"/>
      <c r="K425" s="86"/>
      <c r="L425" s="87"/>
      <c r="M425" s="87"/>
      <c r="N425" s="87"/>
      <c r="O425" s="88"/>
      <c r="P425" s="88"/>
      <c r="Q425" s="80"/>
      <c r="R425" s="80"/>
      <c r="S425" s="80"/>
      <c r="T425" s="80"/>
      <c r="U425" s="81"/>
      <c r="V425" s="81"/>
    </row>
    <row r="426" spans="3:22" ht="14.1" customHeight="1">
      <c r="C426" s="82"/>
      <c r="D426" s="83"/>
      <c r="E426" s="187"/>
      <c r="F426" s="84"/>
      <c r="G426" s="84"/>
      <c r="J426" s="85"/>
      <c r="K426" s="86"/>
      <c r="L426" s="87"/>
      <c r="M426" s="87"/>
      <c r="N426" s="87"/>
      <c r="O426" s="88"/>
      <c r="P426" s="88"/>
      <c r="Q426" s="80"/>
      <c r="R426" s="80"/>
      <c r="S426" s="80"/>
      <c r="T426" s="80"/>
      <c r="U426" s="81"/>
      <c r="V426" s="81"/>
    </row>
    <row r="427" spans="3:22" ht="14.1" customHeight="1">
      <c r="C427" s="82"/>
      <c r="D427" s="83"/>
      <c r="E427" s="187"/>
      <c r="F427" s="84"/>
      <c r="G427" s="84"/>
      <c r="J427" s="85"/>
      <c r="K427" s="86"/>
      <c r="L427" s="87"/>
      <c r="M427" s="87"/>
      <c r="N427" s="87"/>
      <c r="O427" s="88"/>
      <c r="P427" s="88"/>
      <c r="Q427" s="80"/>
      <c r="R427" s="80"/>
      <c r="S427" s="80"/>
      <c r="T427" s="80"/>
      <c r="U427" s="81"/>
      <c r="V427" s="81"/>
    </row>
    <row r="428" spans="3:22" ht="14.1" customHeight="1">
      <c r="C428" s="82"/>
      <c r="D428" s="83"/>
      <c r="E428" s="187"/>
      <c r="F428" s="84"/>
      <c r="G428" s="84"/>
      <c r="J428" s="85"/>
      <c r="K428" s="86"/>
      <c r="L428" s="87"/>
      <c r="M428" s="87"/>
      <c r="N428" s="87"/>
      <c r="O428" s="88"/>
      <c r="P428" s="88"/>
      <c r="Q428" s="80"/>
      <c r="R428" s="80"/>
      <c r="S428" s="80"/>
      <c r="T428" s="80"/>
      <c r="U428" s="81"/>
      <c r="V428" s="81"/>
    </row>
    <row r="429" spans="3:22" ht="14.1" customHeight="1">
      <c r="C429" s="82"/>
      <c r="D429" s="83"/>
      <c r="E429" s="187"/>
      <c r="F429" s="84"/>
      <c r="G429" s="84"/>
      <c r="J429" s="85"/>
      <c r="K429" s="86"/>
      <c r="L429" s="87"/>
      <c r="M429" s="87"/>
      <c r="N429" s="87"/>
      <c r="O429" s="88"/>
      <c r="P429" s="88"/>
      <c r="Q429" s="80"/>
      <c r="R429" s="80"/>
      <c r="S429" s="80"/>
      <c r="T429" s="80"/>
      <c r="U429" s="81"/>
      <c r="V429" s="81"/>
    </row>
    <row r="430" spans="3:22" ht="14.1" customHeight="1">
      <c r="C430" s="82"/>
      <c r="D430" s="83"/>
      <c r="E430" s="187"/>
      <c r="F430" s="84"/>
      <c r="G430" s="84"/>
      <c r="J430" s="85"/>
      <c r="K430" s="86"/>
      <c r="L430" s="87"/>
      <c r="M430" s="87"/>
      <c r="N430" s="87"/>
      <c r="O430" s="88"/>
      <c r="P430" s="88"/>
      <c r="Q430" s="80"/>
      <c r="R430" s="80"/>
      <c r="S430" s="80"/>
      <c r="T430" s="80"/>
      <c r="U430" s="81"/>
      <c r="V430" s="81"/>
    </row>
    <row r="431" spans="3:22" ht="14.1" customHeight="1">
      <c r="C431" s="82"/>
      <c r="D431" s="83"/>
      <c r="E431" s="187"/>
      <c r="F431" s="84"/>
      <c r="G431" s="84"/>
      <c r="J431" s="85"/>
      <c r="K431" s="86"/>
      <c r="L431" s="87"/>
      <c r="M431" s="87"/>
      <c r="N431" s="87"/>
      <c r="O431" s="88"/>
      <c r="P431" s="88"/>
      <c r="Q431" s="80"/>
      <c r="R431" s="80"/>
      <c r="S431" s="80"/>
      <c r="T431" s="80"/>
      <c r="U431" s="81"/>
      <c r="V431" s="81"/>
    </row>
    <row r="432" spans="3:22" ht="14.1" customHeight="1">
      <c r="C432" s="82"/>
      <c r="D432" s="83"/>
      <c r="E432" s="187"/>
      <c r="F432" s="84"/>
      <c r="G432" s="84"/>
      <c r="J432" s="85"/>
      <c r="K432" s="86"/>
      <c r="L432" s="87"/>
      <c r="M432" s="87"/>
      <c r="N432" s="87"/>
      <c r="O432" s="88"/>
      <c r="P432" s="88"/>
      <c r="Q432" s="80"/>
      <c r="R432" s="80"/>
      <c r="S432" s="80"/>
      <c r="T432" s="80"/>
      <c r="U432" s="81"/>
      <c r="V432" s="81"/>
    </row>
    <row r="433" spans="3:22" ht="14.1" customHeight="1">
      <c r="C433" s="82"/>
      <c r="D433" s="83"/>
      <c r="E433" s="187"/>
      <c r="F433" s="84"/>
      <c r="G433" s="84"/>
      <c r="J433" s="85"/>
      <c r="K433" s="86"/>
      <c r="L433" s="87"/>
      <c r="M433" s="87"/>
      <c r="N433" s="87"/>
      <c r="O433" s="88"/>
      <c r="P433" s="88"/>
      <c r="Q433" s="80"/>
      <c r="R433" s="80"/>
      <c r="S433" s="80"/>
      <c r="T433" s="80"/>
      <c r="U433" s="81"/>
      <c r="V433" s="81"/>
    </row>
    <row r="434" spans="3:22" ht="14.1" customHeight="1">
      <c r="C434" s="82"/>
      <c r="D434" s="83"/>
      <c r="E434" s="187"/>
      <c r="F434" s="84"/>
      <c r="G434" s="84"/>
      <c r="J434" s="85"/>
      <c r="K434" s="86"/>
      <c r="L434" s="87"/>
      <c r="M434" s="87"/>
      <c r="N434" s="87"/>
      <c r="O434" s="88"/>
      <c r="P434" s="88"/>
      <c r="Q434" s="80"/>
      <c r="R434" s="80"/>
      <c r="S434" s="80"/>
      <c r="T434" s="80"/>
      <c r="U434" s="81"/>
      <c r="V434" s="81"/>
    </row>
    <row r="435" spans="3:22" ht="14.1" customHeight="1">
      <c r="C435" s="82"/>
      <c r="D435" s="83"/>
      <c r="E435" s="187"/>
      <c r="F435" s="84"/>
      <c r="G435" s="84"/>
      <c r="J435" s="85"/>
      <c r="K435" s="86"/>
      <c r="L435" s="87"/>
      <c r="M435" s="87"/>
      <c r="N435" s="87"/>
      <c r="O435" s="88"/>
      <c r="P435" s="88"/>
      <c r="Q435" s="80"/>
      <c r="R435" s="80"/>
      <c r="S435" s="80"/>
      <c r="T435" s="80"/>
      <c r="U435" s="81"/>
      <c r="V435" s="81"/>
    </row>
    <row r="436" spans="3:22" ht="14.1" customHeight="1">
      <c r="C436" s="82"/>
      <c r="D436" s="83"/>
      <c r="E436" s="187"/>
      <c r="F436" s="84"/>
      <c r="G436" s="84"/>
      <c r="J436" s="85"/>
      <c r="K436" s="86"/>
      <c r="L436" s="87"/>
      <c r="M436" s="87"/>
      <c r="N436" s="87"/>
      <c r="O436" s="88"/>
      <c r="P436" s="88"/>
      <c r="Q436" s="80"/>
      <c r="R436" s="80"/>
      <c r="S436" s="80"/>
      <c r="T436" s="80"/>
      <c r="U436" s="81"/>
      <c r="V436" s="81"/>
    </row>
    <row r="437" spans="3:22" ht="14.1" customHeight="1">
      <c r="C437" s="82"/>
      <c r="D437" s="83"/>
      <c r="E437" s="187"/>
      <c r="F437" s="84"/>
      <c r="G437" s="84"/>
      <c r="J437" s="85"/>
      <c r="K437" s="86"/>
      <c r="L437" s="87"/>
      <c r="M437" s="87"/>
      <c r="N437" s="87"/>
      <c r="O437" s="88"/>
      <c r="P437" s="88"/>
      <c r="Q437" s="80"/>
      <c r="R437" s="80"/>
      <c r="S437" s="80"/>
      <c r="T437" s="80"/>
      <c r="U437" s="81"/>
      <c r="V437" s="81"/>
    </row>
    <row r="438" spans="3:22" ht="14.1" customHeight="1">
      <c r="C438" s="82"/>
      <c r="D438" s="83"/>
      <c r="E438" s="187"/>
      <c r="F438" s="84"/>
      <c r="G438" s="84"/>
      <c r="J438" s="85"/>
      <c r="K438" s="86"/>
      <c r="L438" s="87"/>
      <c r="M438" s="87"/>
      <c r="N438" s="87"/>
      <c r="O438" s="88"/>
      <c r="P438" s="88"/>
      <c r="Q438" s="80"/>
      <c r="R438" s="80"/>
      <c r="S438" s="80"/>
      <c r="T438" s="80"/>
      <c r="U438" s="81"/>
      <c r="V438" s="81"/>
    </row>
    <row r="439" spans="3:22" ht="14.1" customHeight="1">
      <c r="C439" s="82"/>
      <c r="D439" s="83"/>
      <c r="E439" s="187"/>
      <c r="F439" s="84"/>
      <c r="G439" s="84"/>
      <c r="J439" s="85"/>
      <c r="K439" s="86"/>
      <c r="L439" s="87"/>
      <c r="M439" s="87"/>
      <c r="N439" s="87"/>
      <c r="O439" s="88"/>
      <c r="P439" s="88"/>
      <c r="Q439" s="80"/>
      <c r="R439" s="80"/>
      <c r="S439" s="80"/>
      <c r="T439" s="80"/>
      <c r="U439" s="81"/>
      <c r="V439" s="81"/>
    </row>
    <row r="440" spans="3:22" ht="14.1" customHeight="1">
      <c r="C440" s="82"/>
      <c r="D440" s="83"/>
      <c r="E440" s="187"/>
      <c r="F440" s="84"/>
      <c r="G440" s="84"/>
      <c r="J440" s="85"/>
      <c r="K440" s="86"/>
      <c r="L440" s="87"/>
      <c r="M440" s="87"/>
      <c r="N440" s="87"/>
      <c r="O440" s="88"/>
      <c r="P440" s="88"/>
      <c r="Q440" s="80"/>
      <c r="R440" s="80"/>
      <c r="S440" s="80"/>
      <c r="T440" s="80"/>
      <c r="U440" s="81"/>
      <c r="V440" s="81"/>
    </row>
    <row r="441" spans="3:22" ht="14.1" customHeight="1">
      <c r="C441" s="82"/>
      <c r="D441" s="83"/>
      <c r="E441" s="187"/>
      <c r="F441" s="84"/>
      <c r="G441" s="84"/>
      <c r="J441" s="85"/>
      <c r="K441" s="86"/>
      <c r="L441" s="87"/>
      <c r="M441" s="87"/>
      <c r="N441" s="87"/>
      <c r="O441" s="88"/>
      <c r="P441" s="88"/>
      <c r="Q441" s="80"/>
      <c r="R441" s="80"/>
      <c r="S441" s="80"/>
      <c r="T441" s="80"/>
      <c r="U441" s="81"/>
      <c r="V441" s="81"/>
    </row>
    <row r="442" spans="3:22" ht="14.1" customHeight="1">
      <c r="C442" s="82"/>
      <c r="D442" s="83"/>
      <c r="E442" s="187"/>
      <c r="F442" s="84"/>
      <c r="G442" s="84"/>
      <c r="J442" s="85"/>
      <c r="K442" s="86"/>
      <c r="L442" s="87"/>
      <c r="M442" s="87"/>
      <c r="N442" s="87"/>
      <c r="O442" s="88"/>
      <c r="P442" s="88"/>
      <c r="Q442" s="80"/>
      <c r="R442" s="80"/>
      <c r="S442" s="80"/>
      <c r="T442" s="80"/>
      <c r="U442" s="81"/>
      <c r="V442" s="81"/>
    </row>
    <row r="443" spans="3:22" ht="14.1" customHeight="1">
      <c r="C443" s="82"/>
      <c r="D443" s="83"/>
      <c r="E443" s="187"/>
      <c r="F443" s="84"/>
      <c r="G443" s="84"/>
      <c r="J443" s="85"/>
      <c r="K443" s="86"/>
      <c r="L443" s="87"/>
      <c r="M443" s="87"/>
      <c r="N443" s="87"/>
      <c r="O443" s="88"/>
      <c r="P443" s="88"/>
      <c r="Q443" s="80"/>
      <c r="R443" s="80"/>
      <c r="S443" s="80"/>
      <c r="T443" s="80"/>
      <c r="U443" s="81"/>
      <c r="V443" s="81"/>
    </row>
    <row r="444" spans="3:22" ht="14.1" customHeight="1">
      <c r="C444" s="82"/>
      <c r="D444" s="83"/>
      <c r="E444" s="187"/>
      <c r="F444" s="84"/>
      <c r="G444" s="84"/>
      <c r="J444" s="85"/>
      <c r="K444" s="86"/>
      <c r="L444" s="87"/>
      <c r="M444" s="87"/>
      <c r="N444" s="87"/>
      <c r="O444" s="88"/>
      <c r="P444" s="88"/>
      <c r="Q444" s="80"/>
      <c r="R444" s="80"/>
      <c r="S444" s="80"/>
      <c r="T444" s="80"/>
      <c r="U444" s="81"/>
      <c r="V444" s="81"/>
    </row>
    <row r="445" spans="3:22" ht="14.1" customHeight="1">
      <c r="C445" s="82"/>
      <c r="D445" s="83"/>
      <c r="E445" s="187"/>
      <c r="F445" s="84"/>
      <c r="G445" s="84"/>
      <c r="J445" s="85"/>
      <c r="K445" s="86"/>
      <c r="L445" s="87"/>
      <c r="M445" s="87"/>
      <c r="N445" s="87"/>
      <c r="O445" s="88"/>
      <c r="P445" s="88"/>
      <c r="Q445" s="80"/>
      <c r="R445" s="80"/>
      <c r="S445" s="80"/>
      <c r="T445" s="80"/>
      <c r="U445" s="81"/>
      <c r="V445" s="81"/>
    </row>
    <row r="446" spans="3:22" ht="14.1" customHeight="1">
      <c r="C446" s="82"/>
      <c r="D446" s="83"/>
      <c r="E446" s="187"/>
      <c r="F446" s="84"/>
      <c r="G446" s="84"/>
      <c r="J446" s="85"/>
      <c r="K446" s="86"/>
      <c r="L446" s="87"/>
      <c r="M446" s="87"/>
      <c r="N446" s="87"/>
      <c r="O446" s="88"/>
      <c r="P446" s="88"/>
      <c r="Q446" s="80"/>
      <c r="R446" s="80"/>
      <c r="S446" s="80"/>
      <c r="T446" s="80"/>
      <c r="U446" s="81"/>
      <c r="V446" s="81"/>
    </row>
    <row r="447" spans="3:22" ht="14.1" customHeight="1">
      <c r="C447" s="82"/>
      <c r="D447" s="83"/>
      <c r="E447" s="187"/>
      <c r="F447" s="84"/>
      <c r="G447" s="84"/>
      <c r="J447" s="85"/>
      <c r="K447" s="86"/>
      <c r="L447" s="87"/>
      <c r="M447" s="87"/>
      <c r="N447" s="87"/>
      <c r="O447" s="88"/>
      <c r="P447" s="88"/>
      <c r="Q447" s="80"/>
      <c r="R447" s="80"/>
      <c r="S447" s="80"/>
      <c r="T447" s="80"/>
      <c r="U447" s="81"/>
      <c r="V447" s="81"/>
    </row>
    <row r="448" spans="3:22" ht="14.1" customHeight="1">
      <c r="C448" s="82"/>
      <c r="D448" s="83"/>
      <c r="E448" s="187"/>
      <c r="F448" s="84"/>
      <c r="G448" s="84"/>
      <c r="J448" s="85"/>
      <c r="K448" s="86"/>
      <c r="L448" s="87"/>
      <c r="M448" s="87"/>
      <c r="N448" s="87"/>
      <c r="O448" s="88"/>
      <c r="P448" s="88"/>
      <c r="Q448" s="80"/>
      <c r="R448" s="80"/>
      <c r="S448" s="80"/>
      <c r="T448" s="80"/>
      <c r="U448" s="81"/>
      <c r="V448" s="81"/>
    </row>
    <row r="449" spans="3:22" ht="14.1" customHeight="1">
      <c r="C449" s="82"/>
      <c r="D449" s="83"/>
      <c r="E449" s="187"/>
      <c r="F449" s="84"/>
      <c r="G449" s="84"/>
      <c r="J449" s="85"/>
      <c r="K449" s="86"/>
      <c r="L449" s="87"/>
      <c r="M449" s="87"/>
      <c r="N449" s="87"/>
      <c r="O449" s="88"/>
      <c r="P449" s="88"/>
      <c r="Q449" s="80"/>
      <c r="R449" s="80"/>
      <c r="S449" s="80"/>
      <c r="T449" s="80"/>
      <c r="U449" s="81"/>
      <c r="V449" s="81"/>
    </row>
    <row r="450" spans="3:22" ht="14.1" customHeight="1">
      <c r="C450" s="82"/>
      <c r="D450" s="83"/>
      <c r="E450" s="187"/>
      <c r="F450" s="84"/>
      <c r="G450" s="84"/>
      <c r="J450" s="85"/>
      <c r="K450" s="86"/>
      <c r="L450" s="87"/>
      <c r="M450" s="87"/>
      <c r="N450" s="87"/>
      <c r="O450" s="88"/>
      <c r="P450" s="88"/>
      <c r="Q450" s="80"/>
      <c r="R450" s="80"/>
      <c r="S450" s="80"/>
      <c r="T450" s="80"/>
      <c r="U450" s="81"/>
      <c r="V450" s="81"/>
    </row>
    <row r="451" spans="3:22" ht="14.1" customHeight="1">
      <c r="C451" s="82"/>
      <c r="D451" s="83"/>
      <c r="E451" s="187"/>
      <c r="F451" s="84"/>
      <c r="G451" s="84"/>
      <c r="J451" s="85"/>
      <c r="K451" s="86"/>
      <c r="L451" s="87"/>
      <c r="M451" s="87"/>
      <c r="N451" s="87"/>
      <c r="O451" s="88"/>
      <c r="P451" s="88"/>
      <c r="Q451" s="80"/>
      <c r="R451" s="80"/>
      <c r="S451" s="80"/>
      <c r="T451" s="80"/>
      <c r="U451" s="81"/>
      <c r="V451" s="81"/>
    </row>
    <row r="452" spans="3:22" ht="14.1" customHeight="1">
      <c r="C452" s="82"/>
      <c r="D452" s="83"/>
      <c r="E452" s="187"/>
      <c r="F452" s="84"/>
      <c r="G452" s="84"/>
      <c r="J452" s="85"/>
      <c r="K452" s="86"/>
      <c r="L452" s="87"/>
      <c r="M452" s="87"/>
      <c r="N452" s="87"/>
      <c r="O452" s="88"/>
      <c r="P452" s="88"/>
      <c r="Q452" s="80"/>
      <c r="R452" s="80"/>
      <c r="S452" s="80"/>
      <c r="T452" s="80"/>
      <c r="U452" s="81"/>
      <c r="V452" s="81"/>
    </row>
    <row r="453" spans="3:22" ht="14.1" customHeight="1">
      <c r="C453" s="82"/>
      <c r="D453" s="83"/>
      <c r="E453" s="187"/>
      <c r="F453" s="84"/>
      <c r="G453" s="84"/>
      <c r="J453" s="85"/>
      <c r="K453" s="86"/>
      <c r="L453" s="87"/>
      <c r="M453" s="87"/>
      <c r="N453" s="87"/>
      <c r="O453" s="88"/>
      <c r="P453" s="88"/>
      <c r="Q453" s="80"/>
      <c r="R453" s="80"/>
      <c r="S453" s="80"/>
      <c r="T453" s="80"/>
      <c r="U453" s="81"/>
      <c r="V453" s="81"/>
    </row>
    <row r="454" spans="3:22" ht="14.1" customHeight="1">
      <c r="C454" s="82"/>
      <c r="D454" s="83"/>
      <c r="E454" s="187"/>
      <c r="F454" s="84"/>
      <c r="G454" s="84"/>
      <c r="J454" s="85"/>
      <c r="K454" s="86"/>
      <c r="L454" s="87"/>
      <c r="M454" s="87"/>
      <c r="N454" s="87"/>
      <c r="O454" s="88"/>
      <c r="P454" s="88"/>
      <c r="Q454" s="80"/>
      <c r="R454" s="80"/>
      <c r="S454" s="80"/>
      <c r="T454" s="80"/>
      <c r="U454" s="81"/>
      <c r="V454" s="81"/>
    </row>
    <row r="455" spans="3:22" ht="14.1" customHeight="1">
      <c r="C455" s="82"/>
      <c r="D455" s="83"/>
      <c r="E455" s="187"/>
      <c r="F455" s="84"/>
      <c r="G455" s="84"/>
      <c r="J455" s="85"/>
      <c r="K455" s="86"/>
      <c r="L455" s="87"/>
      <c r="M455" s="87"/>
      <c r="N455" s="87"/>
      <c r="O455" s="88"/>
      <c r="P455" s="88"/>
      <c r="Q455" s="80"/>
      <c r="R455" s="80"/>
      <c r="S455" s="80"/>
      <c r="T455" s="80"/>
      <c r="U455" s="81"/>
      <c r="V455" s="81"/>
    </row>
    <row r="456" spans="3:22" ht="14.1" customHeight="1">
      <c r="C456" s="82"/>
      <c r="D456" s="83"/>
      <c r="E456" s="187"/>
      <c r="F456" s="84"/>
      <c r="G456" s="84"/>
      <c r="J456" s="85"/>
      <c r="K456" s="86"/>
      <c r="L456" s="87"/>
      <c r="M456" s="87"/>
      <c r="N456" s="87"/>
      <c r="O456" s="88"/>
      <c r="P456" s="88"/>
      <c r="Q456" s="80"/>
      <c r="R456" s="80"/>
      <c r="S456" s="80"/>
      <c r="T456" s="80"/>
      <c r="U456" s="81"/>
      <c r="V456" s="81"/>
    </row>
    <row r="457" spans="3:22" ht="14.1" customHeight="1">
      <c r="C457" s="82"/>
      <c r="D457" s="83"/>
      <c r="E457" s="187"/>
      <c r="F457" s="84"/>
      <c r="G457" s="84"/>
      <c r="J457" s="85"/>
      <c r="K457" s="86"/>
      <c r="L457" s="87"/>
      <c r="M457" s="87"/>
      <c r="N457" s="87"/>
      <c r="O457" s="88"/>
      <c r="P457" s="88"/>
      <c r="Q457" s="80"/>
      <c r="R457" s="80"/>
      <c r="S457" s="80"/>
      <c r="T457" s="80"/>
      <c r="U457" s="81"/>
      <c r="V457" s="81"/>
    </row>
    <row r="458" spans="3:22" ht="14.1" customHeight="1">
      <c r="C458" s="82"/>
      <c r="D458" s="83"/>
      <c r="E458" s="187"/>
      <c r="F458" s="84"/>
      <c r="G458" s="84"/>
      <c r="J458" s="85"/>
      <c r="K458" s="86"/>
      <c r="L458" s="87"/>
      <c r="M458" s="87"/>
      <c r="N458" s="87"/>
      <c r="O458" s="88"/>
      <c r="P458" s="88"/>
      <c r="Q458" s="80"/>
      <c r="R458" s="80"/>
      <c r="S458" s="80"/>
      <c r="T458" s="80"/>
      <c r="U458" s="81"/>
      <c r="V458" s="81"/>
    </row>
    <row r="459" spans="3:22" ht="14.1" customHeight="1">
      <c r="C459" s="82"/>
      <c r="D459" s="83"/>
      <c r="E459" s="187"/>
      <c r="F459" s="84"/>
      <c r="G459" s="84"/>
      <c r="J459" s="85"/>
      <c r="K459" s="86"/>
      <c r="L459" s="87"/>
      <c r="M459" s="87"/>
      <c r="N459" s="87"/>
      <c r="O459" s="88"/>
      <c r="P459" s="88"/>
      <c r="Q459" s="80"/>
      <c r="R459" s="80"/>
      <c r="S459" s="80"/>
      <c r="T459" s="80"/>
      <c r="U459" s="81"/>
      <c r="V459" s="81"/>
    </row>
    <row r="460" spans="3:22" ht="14.1" customHeight="1">
      <c r="C460" s="82"/>
      <c r="D460" s="83"/>
      <c r="E460" s="187"/>
      <c r="F460" s="84"/>
      <c r="G460" s="84"/>
      <c r="J460" s="85"/>
      <c r="K460" s="86"/>
      <c r="L460" s="87"/>
      <c r="M460" s="87"/>
      <c r="N460" s="87"/>
      <c r="O460" s="88"/>
      <c r="P460" s="88"/>
      <c r="Q460" s="80"/>
      <c r="R460" s="80"/>
      <c r="S460" s="80"/>
      <c r="T460" s="80"/>
      <c r="U460" s="81"/>
      <c r="V460" s="81"/>
    </row>
    <row r="461" spans="3:22" ht="14.1" customHeight="1">
      <c r="C461" s="82"/>
      <c r="D461" s="83"/>
      <c r="E461" s="187"/>
      <c r="F461" s="84"/>
      <c r="G461" s="84"/>
      <c r="J461" s="85"/>
      <c r="K461" s="86"/>
      <c r="L461" s="87"/>
      <c r="M461" s="87"/>
      <c r="N461" s="87"/>
      <c r="O461" s="88"/>
      <c r="P461" s="88"/>
      <c r="Q461" s="80"/>
      <c r="R461" s="80"/>
      <c r="S461" s="80"/>
      <c r="T461" s="80"/>
      <c r="U461" s="81"/>
      <c r="V461" s="81"/>
    </row>
    <row r="462" spans="3:22" ht="14.1" customHeight="1">
      <c r="C462" s="82"/>
      <c r="D462" s="83"/>
      <c r="E462" s="187"/>
      <c r="F462" s="84"/>
      <c r="G462" s="84"/>
      <c r="J462" s="85"/>
      <c r="K462" s="86"/>
      <c r="L462" s="87"/>
      <c r="M462" s="87"/>
      <c r="N462" s="87"/>
      <c r="O462" s="88"/>
      <c r="P462" s="88"/>
      <c r="Q462" s="80"/>
      <c r="R462" s="80"/>
      <c r="S462" s="80"/>
      <c r="T462" s="80"/>
      <c r="U462" s="81"/>
      <c r="V462" s="81"/>
    </row>
    <row r="463" spans="3:22" ht="14.1" customHeight="1">
      <c r="C463" s="82"/>
      <c r="D463" s="83"/>
      <c r="E463" s="187"/>
      <c r="F463" s="84"/>
      <c r="G463" s="84"/>
      <c r="J463" s="85"/>
      <c r="K463" s="86"/>
      <c r="L463" s="87"/>
      <c r="M463" s="87"/>
      <c r="N463" s="87"/>
      <c r="O463" s="88"/>
      <c r="P463" s="88"/>
      <c r="Q463" s="80"/>
      <c r="R463" s="80"/>
      <c r="S463" s="80"/>
      <c r="T463" s="80"/>
      <c r="U463" s="81"/>
      <c r="V463" s="81"/>
    </row>
    <row r="464" spans="3:22" ht="14.1" customHeight="1">
      <c r="C464" s="82"/>
      <c r="D464" s="83"/>
      <c r="E464" s="187"/>
      <c r="F464" s="84"/>
      <c r="G464" s="84"/>
      <c r="J464" s="85"/>
      <c r="K464" s="86"/>
      <c r="L464" s="87"/>
      <c r="M464" s="87"/>
      <c r="N464" s="87"/>
      <c r="O464" s="88"/>
      <c r="P464" s="88"/>
      <c r="Q464" s="80"/>
      <c r="R464" s="80"/>
      <c r="S464" s="80"/>
      <c r="T464" s="80"/>
      <c r="U464" s="81"/>
      <c r="V464" s="81"/>
    </row>
    <row r="465" spans="3:22" ht="14.1" customHeight="1">
      <c r="C465" s="82"/>
      <c r="D465" s="83"/>
      <c r="E465" s="187"/>
      <c r="F465" s="84"/>
      <c r="G465" s="84"/>
      <c r="J465" s="85"/>
      <c r="K465" s="86"/>
      <c r="L465" s="87"/>
      <c r="M465" s="87"/>
      <c r="N465" s="87"/>
      <c r="O465" s="88"/>
      <c r="P465" s="88"/>
      <c r="Q465" s="80"/>
      <c r="R465" s="80"/>
      <c r="S465" s="80"/>
      <c r="T465" s="80"/>
      <c r="U465" s="81"/>
      <c r="V465" s="81"/>
    </row>
    <row r="466" spans="3:22" ht="14.1" customHeight="1">
      <c r="C466" s="82"/>
      <c r="D466" s="83"/>
      <c r="E466" s="187"/>
      <c r="F466" s="84"/>
      <c r="G466" s="84"/>
      <c r="J466" s="85"/>
      <c r="K466" s="86"/>
      <c r="L466" s="87"/>
      <c r="M466" s="87"/>
      <c r="N466" s="87"/>
      <c r="O466" s="88"/>
      <c r="P466" s="88"/>
      <c r="Q466" s="80"/>
      <c r="R466" s="80"/>
      <c r="S466" s="80"/>
      <c r="T466" s="80"/>
      <c r="U466" s="81"/>
      <c r="V466" s="81"/>
    </row>
    <row r="467" spans="3:22" ht="14.1" customHeight="1">
      <c r="C467" s="82"/>
      <c r="D467" s="83"/>
      <c r="E467" s="187"/>
      <c r="F467" s="84"/>
      <c r="G467" s="84"/>
      <c r="J467" s="85"/>
      <c r="K467" s="86"/>
      <c r="L467" s="87"/>
      <c r="M467" s="87"/>
      <c r="N467" s="87"/>
      <c r="O467" s="88"/>
      <c r="P467" s="88"/>
      <c r="Q467" s="80"/>
      <c r="R467" s="80"/>
      <c r="S467" s="80"/>
      <c r="T467" s="80"/>
      <c r="U467" s="81"/>
      <c r="V467" s="81"/>
    </row>
    <row r="468" spans="3:22" ht="14.1" customHeight="1">
      <c r="C468" s="82"/>
      <c r="D468" s="83"/>
      <c r="E468" s="187"/>
      <c r="F468" s="84"/>
      <c r="G468" s="84"/>
      <c r="J468" s="85"/>
      <c r="K468" s="86"/>
      <c r="L468" s="87"/>
      <c r="M468" s="87"/>
      <c r="N468" s="87"/>
      <c r="O468" s="88"/>
      <c r="P468" s="88"/>
      <c r="Q468" s="80"/>
      <c r="R468" s="80"/>
      <c r="S468" s="80"/>
      <c r="T468" s="80"/>
      <c r="U468" s="81"/>
      <c r="V468" s="81"/>
    </row>
    <row r="469" spans="3:22" ht="14.1" customHeight="1">
      <c r="C469" s="82"/>
      <c r="D469" s="83"/>
      <c r="E469" s="187"/>
      <c r="F469" s="84"/>
      <c r="G469" s="84"/>
      <c r="J469" s="85"/>
      <c r="K469" s="86"/>
      <c r="L469" s="87"/>
      <c r="M469" s="87"/>
      <c r="N469" s="87"/>
      <c r="O469" s="88"/>
      <c r="P469" s="88"/>
      <c r="Q469" s="80"/>
      <c r="R469" s="80"/>
      <c r="S469" s="80"/>
      <c r="T469" s="80"/>
      <c r="U469" s="81"/>
      <c r="V469" s="81"/>
    </row>
    <row r="470" spans="3:22" ht="14.1" customHeight="1">
      <c r="C470" s="82"/>
      <c r="D470" s="83"/>
      <c r="E470" s="187"/>
      <c r="F470" s="84"/>
      <c r="G470" s="84"/>
      <c r="J470" s="85"/>
      <c r="K470" s="86"/>
      <c r="L470" s="87"/>
      <c r="M470" s="87"/>
      <c r="N470" s="87"/>
      <c r="O470" s="88"/>
      <c r="P470" s="88"/>
      <c r="Q470" s="80"/>
      <c r="R470" s="80"/>
      <c r="S470" s="80"/>
      <c r="T470" s="80"/>
      <c r="U470" s="81"/>
      <c r="V470" s="81"/>
    </row>
    <row r="471" spans="3:22" ht="14.1" customHeight="1">
      <c r="C471" s="82"/>
      <c r="D471" s="83"/>
      <c r="E471" s="187"/>
      <c r="F471" s="84"/>
      <c r="G471" s="84"/>
      <c r="J471" s="85"/>
      <c r="K471" s="86"/>
      <c r="L471" s="87"/>
      <c r="M471" s="87"/>
      <c r="N471" s="87"/>
      <c r="O471" s="88"/>
      <c r="P471" s="88"/>
      <c r="Q471" s="80"/>
      <c r="R471" s="80"/>
      <c r="S471" s="80"/>
      <c r="T471" s="80"/>
      <c r="U471" s="81"/>
      <c r="V471" s="81"/>
    </row>
    <row r="472" spans="3:22" ht="14.1" customHeight="1">
      <c r="C472" s="82"/>
      <c r="D472" s="83"/>
      <c r="E472" s="187"/>
      <c r="F472" s="84"/>
      <c r="G472" s="84"/>
      <c r="J472" s="85"/>
      <c r="K472" s="86"/>
      <c r="L472" s="87"/>
      <c r="M472" s="87"/>
      <c r="N472" s="87"/>
      <c r="O472" s="88"/>
      <c r="P472" s="88"/>
      <c r="Q472" s="80"/>
      <c r="R472" s="80"/>
      <c r="S472" s="80"/>
      <c r="T472" s="80"/>
      <c r="U472" s="81"/>
      <c r="V472" s="81"/>
    </row>
    <row r="473" spans="3:22" ht="14.1" customHeight="1">
      <c r="C473" s="82"/>
      <c r="D473" s="83"/>
      <c r="E473" s="187"/>
      <c r="F473" s="84"/>
      <c r="G473" s="84"/>
      <c r="J473" s="85"/>
      <c r="K473" s="86"/>
      <c r="L473" s="87"/>
      <c r="M473" s="87"/>
      <c r="N473" s="87"/>
      <c r="O473" s="88"/>
      <c r="P473" s="88"/>
      <c r="Q473" s="80"/>
      <c r="R473" s="80"/>
      <c r="S473" s="80"/>
      <c r="T473" s="80"/>
      <c r="U473" s="81"/>
      <c r="V473" s="81"/>
    </row>
    <row r="474" spans="3:22" ht="14.1" customHeight="1">
      <c r="C474" s="82"/>
      <c r="D474" s="83"/>
      <c r="E474" s="187"/>
      <c r="F474" s="84"/>
      <c r="G474" s="84"/>
      <c r="J474" s="85"/>
      <c r="K474" s="86"/>
      <c r="L474" s="87"/>
      <c r="M474" s="87"/>
      <c r="N474" s="87"/>
      <c r="O474" s="88"/>
      <c r="P474" s="88"/>
      <c r="Q474" s="80"/>
      <c r="R474" s="80"/>
      <c r="S474" s="80"/>
      <c r="T474" s="80"/>
      <c r="U474" s="81"/>
      <c r="V474" s="81"/>
    </row>
    <row r="475" spans="3:22" ht="14.1" customHeight="1">
      <c r="C475" s="82"/>
      <c r="D475" s="83"/>
      <c r="E475" s="187"/>
      <c r="F475" s="84"/>
      <c r="G475" s="84"/>
      <c r="J475" s="85"/>
      <c r="K475" s="86"/>
      <c r="L475" s="87"/>
      <c r="M475" s="87"/>
      <c r="N475" s="87"/>
      <c r="O475" s="88"/>
      <c r="P475" s="88"/>
      <c r="Q475" s="80"/>
      <c r="R475" s="80"/>
      <c r="S475" s="80"/>
      <c r="T475" s="80"/>
      <c r="U475" s="81"/>
      <c r="V475" s="81"/>
    </row>
    <row r="476" spans="3:22" ht="14.1" customHeight="1">
      <c r="C476" s="82"/>
      <c r="D476" s="83"/>
      <c r="E476" s="187"/>
      <c r="F476" s="84"/>
      <c r="G476" s="84"/>
      <c r="J476" s="85"/>
      <c r="K476" s="86"/>
      <c r="L476" s="87"/>
      <c r="M476" s="87"/>
      <c r="N476" s="87"/>
      <c r="O476" s="88"/>
      <c r="P476" s="88"/>
      <c r="Q476" s="80"/>
      <c r="R476" s="80"/>
      <c r="S476" s="80"/>
      <c r="T476" s="80"/>
      <c r="U476" s="81"/>
      <c r="V476" s="81"/>
    </row>
    <row r="477" spans="3:22" ht="14.1" customHeight="1">
      <c r="C477" s="82"/>
      <c r="D477" s="83"/>
      <c r="E477" s="187"/>
      <c r="F477" s="84"/>
      <c r="G477" s="84"/>
      <c r="J477" s="85"/>
      <c r="K477" s="86"/>
      <c r="L477" s="87"/>
      <c r="M477" s="87"/>
      <c r="N477" s="87"/>
      <c r="O477" s="88"/>
      <c r="P477" s="88"/>
      <c r="Q477" s="80"/>
      <c r="R477" s="80"/>
      <c r="S477" s="80"/>
      <c r="T477" s="80"/>
      <c r="U477" s="81"/>
      <c r="V477" s="81"/>
    </row>
    <row r="478" spans="3:22" ht="14.1" customHeight="1">
      <c r="C478" s="82"/>
      <c r="D478" s="83"/>
      <c r="E478" s="187"/>
      <c r="F478" s="84"/>
      <c r="G478" s="84"/>
      <c r="J478" s="85"/>
      <c r="K478" s="86"/>
      <c r="L478" s="87"/>
      <c r="M478" s="87"/>
      <c r="N478" s="87"/>
      <c r="O478" s="88"/>
      <c r="P478" s="88"/>
      <c r="Q478" s="80"/>
      <c r="R478" s="80"/>
      <c r="S478" s="80"/>
      <c r="T478" s="80"/>
      <c r="U478" s="81"/>
      <c r="V478" s="81"/>
    </row>
    <row r="479" spans="3:22" ht="14.1" customHeight="1">
      <c r="C479" s="82"/>
      <c r="D479" s="83"/>
      <c r="E479" s="187"/>
      <c r="F479" s="84"/>
      <c r="G479" s="84"/>
      <c r="J479" s="85"/>
      <c r="K479" s="86"/>
      <c r="L479" s="87"/>
      <c r="M479" s="87"/>
      <c r="N479" s="87"/>
      <c r="O479" s="88"/>
      <c r="P479" s="88"/>
      <c r="Q479" s="80"/>
      <c r="R479" s="80"/>
      <c r="S479" s="80"/>
      <c r="T479" s="80"/>
      <c r="U479" s="81"/>
      <c r="V479" s="81"/>
    </row>
    <row r="480" spans="3:22" ht="14.1" customHeight="1">
      <c r="C480" s="82"/>
      <c r="D480" s="83"/>
      <c r="E480" s="187"/>
      <c r="F480" s="84"/>
      <c r="G480" s="84"/>
      <c r="J480" s="85"/>
      <c r="K480" s="86"/>
      <c r="L480" s="87"/>
      <c r="M480" s="87"/>
      <c r="N480" s="87"/>
      <c r="O480" s="88"/>
      <c r="P480" s="88"/>
      <c r="Q480" s="80"/>
      <c r="R480" s="80"/>
      <c r="S480" s="80"/>
      <c r="T480" s="80"/>
      <c r="U480" s="81"/>
      <c r="V480" s="81"/>
    </row>
    <row r="481" spans="3:22" ht="14.1" customHeight="1">
      <c r="C481" s="82"/>
      <c r="D481" s="83"/>
      <c r="E481" s="187"/>
      <c r="F481" s="84"/>
      <c r="G481" s="84"/>
      <c r="J481" s="85"/>
      <c r="K481" s="86"/>
      <c r="L481" s="87"/>
      <c r="M481" s="87"/>
      <c r="N481" s="87"/>
      <c r="O481" s="88"/>
      <c r="P481" s="88"/>
      <c r="Q481" s="80"/>
      <c r="R481" s="80"/>
      <c r="S481" s="80"/>
      <c r="T481" s="80"/>
      <c r="U481" s="81"/>
      <c r="V481" s="81"/>
    </row>
    <row r="482" spans="3:22" ht="14.1" customHeight="1">
      <c r="C482" s="82"/>
      <c r="D482" s="83"/>
      <c r="E482" s="187"/>
      <c r="F482" s="84"/>
      <c r="G482" s="84"/>
      <c r="J482" s="85"/>
      <c r="K482" s="86"/>
      <c r="L482" s="87"/>
      <c r="M482" s="87"/>
      <c r="N482" s="87"/>
      <c r="O482" s="88"/>
      <c r="P482" s="88"/>
      <c r="Q482" s="80"/>
      <c r="R482" s="80"/>
      <c r="S482" s="80"/>
      <c r="T482" s="80"/>
      <c r="U482" s="81"/>
      <c r="V482" s="81"/>
    </row>
    <row r="483" spans="3:22" ht="14.1" customHeight="1">
      <c r="C483" s="82"/>
      <c r="D483" s="83"/>
      <c r="E483" s="187"/>
      <c r="F483" s="84"/>
      <c r="G483" s="84"/>
      <c r="J483" s="85"/>
      <c r="K483" s="86"/>
      <c r="L483" s="87"/>
      <c r="M483" s="87"/>
      <c r="N483" s="87"/>
      <c r="O483" s="88"/>
      <c r="P483" s="88"/>
      <c r="Q483" s="80"/>
      <c r="R483" s="80"/>
      <c r="S483" s="80"/>
      <c r="T483" s="80"/>
      <c r="U483" s="81"/>
      <c r="V483" s="81"/>
    </row>
    <row r="484" spans="3:22" ht="14.1" customHeight="1">
      <c r="C484" s="82"/>
      <c r="D484" s="83"/>
      <c r="E484" s="187"/>
      <c r="F484" s="84"/>
      <c r="G484" s="84"/>
      <c r="J484" s="85"/>
      <c r="K484" s="86"/>
      <c r="L484" s="87"/>
      <c r="M484" s="87"/>
      <c r="N484" s="87"/>
      <c r="O484" s="88"/>
      <c r="P484" s="88"/>
      <c r="Q484" s="80"/>
      <c r="R484" s="80"/>
      <c r="S484" s="80"/>
      <c r="T484" s="80"/>
      <c r="U484" s="81"/>
      <c r="V484" s="81"/>
    </row>
    <row r="485" spans="3:22" ht="14.1" customHeight="1">
      <c r="C485" s="82"/>
      <c r="D485" s="83"/>
      <c r="E485" s="187"/>
      <c r="F485" s="84"/>
      <c r="G485" s="84"/>
      <c r="J485" s="85"/>
      <c r="K485" s="86"/>
      <c r="L485" s="87"/>
      <c r="M485" s="87"/>
      <c r="N485" s="87"/>
      <c r="O485" s="88"/>
      <c r="P485" s="88"/>
      <c r="Q485" s="80"/>
      <c r="R485" s="80"/>
      <c r="S485" s="80"/>
      <c r="T485" s="80"/>
      <c r="U485" s="81"/>
      <c r="V485" s="81"/>
    </row>
    <row r="486" spans="3:22" ht="14.1" customHeight="1">
      <c r="C486" s="82"/>
      <c r="D486" s="83"/>
      <c r="E486" s="187"/>
      <c r="F486" s="84"/>
      <c r="G486" s="84"/>
      <c r="J486" s="85"/>
      <c r="K486" s="86"/>
      <c r="L486" s="87"/>
      <c r="M486" s="87"/>
      <c r="N486" s="87"/>
      <c r="O486" s="88"/>
      <c r="P486" s="88"/>
      <c r="Q486" s="80"/>
      <c r="R486" s="80"/>
      <c r="S486" s="80"/>
      <c r="T486" s="80"/>
      <c r="U486" s="81"/>
      <c r="V486" s="81"/>
    </row>
    <row r="487" spans="3:22" ht="14.1" customHeight="1">
      <c r="C487" s="82"/>
      <c r="D487" s="83"/>
      <c r="E487" s="187"/>
      <c r="F487" s="84"/>
      <c r="G487" s="84"/>
      <c r="J487" s="85"/>
      <c r="K487" s="86"/>
      <c r="L487" s="87"/>
      <c r="M487" s="87"/>
      <c r="N487" s="87"/>
      <c r="O487" s="88"/>
      <c r="P487" s="88"/>
      <c r="Q487" s="80"/>
      <c r="R487" s="80"/>
      <c r="S487" s="80"/>
      <c r="T487" s="80"/>
      <c r="U487" s="81"/>
      <c r="V487" s="81"/>
    </row>
    <row r="488" spans="3:22" ht="14.1" customHeight="1">
      <c r="C488" s="82"/>
      <c r="D488" s="83"/>
      <c r="E488" s="187"/>
      <c r="F488" s="84"/>
      <c r="G488" s="84"/>
      <c r="J488" s="85"/>
      <c r="K488" s="86"/>
      <c r="L488" s="87"/>
      <c r="M488" s="87"/>
      <c r="N488" s="87"/>
      <c r="O488" s="88"/>
      <c r="P488" s="88"/>
      <c r="Q488" s="80"/>
      <c r="R488" s="80"/>
      <c r="S488" s="80"/>
      <c r="T488" s="80"/>
      <c r="U488" s="81"/>
      <c r="V488" s="81"/>
    </row>
    <row r="489" spans="3:22" ht="14.1" customHeight="1">
      <c r="C489" s="82"/>
      <c r="D489" s="83"/>
      <c r="E489" s="187"/>
      <c r="F489" s="84"/>
      <c r="G489" s="84"/>
      <c r="J489" s="85"/>
      <c r="K489" s="86"/>
      <c r="L489" s="87"/>
      <c r="M489" s="87"/>
      <c r="N489" s="87"/>
      <c r="O489" s="88"/>
      <c r="P489" s="88"/>
      <c r="Q489" s="80"/>
      <c r="R489" s="80"/>
      <c r="S489" s="80"/>
      <c r="T489" s="80"/>
      <c r="U489" s="81"/>
      <c r="V489" s="81"/>
    </row>
    <row r="490" spans="3:22" ht="14.1" customHeight="1">
      <c r="C490" s="82"/>
      <c r="D490" s="83"/>
      <c r="E490" s="187"/>
      <c r="F490" s="84"/>
      <c r="G490" s="84"/>
      <c r="J490" s="85"/>
      <c r="K490" s="86"/>
      <c r="L490" s="87"/>
      <c r="M490" s="87"/>
      <c r="N490" s="87"/>
      <c r="O490" s="88"/>
      <c r="P490" s="88"/>
      <c r="Q490" s="80"/>
      <c r="R490" s="80"/>
      <c r="S490" s="80"/>
      <c r="T490" s="80"/>
      <c r="U490" s="81"/>
      <c r="V490" s="81"/>
    </row>
    <row r="491" spans="3:22" ht="14.1" customHeight="1">
      <c r="C491" s="82"/>
      <c r="D491" s="83"/>
      <c r="E491" s="187"/>
      <c r="F491" s="84"/>
      <c r="G491" s="84"/>
      <c r="J491" s="85"/>
      <c r="K491" s="86"/>
      <c r="L491" s="87"/>
      <c r="M491" s="87"/>
      <c r="N491" s="87"/>
      <c r="O491" s="88"/>
      <c r="P491" s="88"/>
      <c r="Q491" s="80"/>
      <c r="R491" s="80"/>
      <c r="S491" s="80"/>
      <c r="T491" s="80"/>
      <c r="U491" s="81"/>
      <c r="V491" s="81"/>
    </row>
    <row r="492" spans="3:22" ht="14.1" customHeight="1">
      <c r="C492" s="82"/>
      <c r="D492" s="83"/>
      <c r="E492" s="187"/>
      <c r="F492" s="84"/>
      <c r="G492" s="84"/>
      <c r="J492" s="85"/>
      <c r="K492" s="86"/>
      <c r="L492" s="87"/>
      <c r="M492" s="87"/>
      <c r="N492" s="87"/>
      <c r="O492" s="88"/>
      <c r="P492" s="88"/>
      <c r="Q492" s="80"/>
      <c r="R492" s="80"/>
      <c r="S492" s="80"/>
      <c r="T492" s="80"/>
      <c r="U492" s="81"/>
      <c r="V492" s="81"/>
    </row>
    <row r="493" spans="3:22" ht="14.1" customHeight="1">
      <c r="C493" s="82"/>
      <c r="D493" s="83"/>
      <c r="E493" s="187"/>
      <c r="F493" s="84"/>
      <c r="G493" s="84"/>
      <c r="J493" s="85"/>
      <c r="K493" s="86"/>
      <c r="L493" s="87"/>
      <c r="M493" s="87"/>
      <c r="N493" s="87"/>
      <c r="O493" s="88"/>
      <c r="P493" s="88"/>
      <c r="Q493" s="80"/>
      <c r="R493" s="80"/>
      <c r="S493" s="80"/>
      <c r="T493" s="80"/>
      <c r="U493" s="81"/>
      <c r="V493" s="81"/>
    </row>
    <row r="494" spans="3:22" ht="14.1" customHeight="1">
      <c r="C494" s="82"/>
      <c r="D494" s="83"/>
      <c r="E494" s="187"/>
      <c r="F494" s="84"/>
      <c r="G494" s="84"/>
      <c r="J494" s="85"/>
      <c r="K494" s="86"/>
      <c r="L494" s="87"/>
      <c r="M494" s="87"/>
      <c r="N494" s="87"/>
      <c r="O494" s="88"/>
      <c r="P494" s="88"/>
      <c r="Q494" s="80"/>
      <c r="R494" s="80"/>
      <c r="S494" s="80"/>
      <c r="T494" s="80"/>
      <c r="U494" s="81"/>
      <c r="V494" s="81"/>
    </row>
    <row r="495" spans="3:22" ht="14.1" customHeight="1">
      <c r="C495" s="82"/>
      <c r="D495" s="83"/>
      <c r="E495" s="187"/>
      <c r="F495" s="84"/>
      <c r="G495" s="84"/>
      <c r="J495" s="85"/>
      <c r="K495" s="86"/>
      <c r="L495" s="87"/>
      <c r="M495" s="87"/>
      <c r="N495" s="87"/>
      <c r="O495" s="88"/>
      <c r="P495" s="88"/>
      <c r="Q495" s="80"/>
      <c r="R495" s="80"/>
      <c r="S495" s="80"/>
      <c r="T495" s="80"/>
      <c r="U495" s="81"/>
      <c r="V495" s="81"/>
    </row>
    <row r="496" spans="3:22" ht="14.1" customHeight="1">
      <c r="C496" s="82"/>
      <c r="D496" s="83"/>
      <c r="E496" s="187"/>
      <c r="F496" s="84"/>
      <c r="G496" s="84"/>
      <c r="J496" s="85"/>
      <c r="K496" s="86"/>
      <c r="L496" s="87"/>
      <c r="M496" s="87"/>
      <c r="N496" s="87"/>
      <c r="O496" s="88"/>
      <c r="P496" s="88"/>
      <c r="Q496" s="80"/>
      <c r="R496" s="80"/>
      <c r="S496" s="80"/>
      <c r="T496" s="80"/>
      <c r="U496" s="81"/>
      <c r="V496" s="81"/>
    </row>
    <row r="497" spans="3:22" ht="14.1" customHeight="1">
      <c r="C497" s="82"/>
      <c r="D497" s="83"/>
      <c r="E497" s="187"/>
      <c r="F497" s="84"/>
      <c r="G497" s="84"/>
      <c r="J497" s="85"/>
      <c r="K497" s="86"/>
      <c r="L497" s="87"/>
      <c r="M497" s="87"/>
      <c r="N497" s="87"/>
      <c r="O497" s="88"/>
      <c r="P497" s="88"/>
      <c r="Q497" s="80"/>
      <c r="R497" s="80"/>
      <c r="S497" s="80"/>
      <c r="T497" s="80"/>
      <c r="U497" s="81"/>
      <c r="V497" s="81"/>
    </row>
    <row r="498" spans="3:22" ht="14.1" customHeight="1">
      <c r="C498" s="82"/>
      <c r="D498" s="83"/>
      <c r="E498" s="187"/>
      <c r="F498" s="84"/>
      <c r="G498" s="84"/>
      <c r="J498" s="85"/>
      <c r="K498" s="86"/>
      <c r="L498" s="87"/>
      <c r="M498" s="87"/>
      <c r="N498" s="87"/>
      <c r="O498" s="88"/>
      <c r="P498" s="88"/>
      <c r="Q498" s="80"/>
      <c r="R498" s="80"/>
      <c r="S498" s="80"/>
      <c r="T498" s="80"/>
      <c r="U498" s="81"/>
      <c r="V498" s="81"/>
    </row>
    <row r="499" spans="3:22" ht="14.1" customHeight="1">
      <c r="C499" s="82"/>
      <c r="D499" s="83"/>
      <c r="E499" s="187"/>
      <c r="F499" s="84"/>
      <c r="G499" s="84"/>
      <c r="J499" s="85"/>
      <c r="K499" s="86"/>
      <c r="L499" s="87"/>
      <c r="M499" s="87"/>
      <c r="N499" s="87"/>
      <c r="O499" s="88"/>
      <c r="P499" s="88"/>
      <c r="Q499" s="80"/>
      <c r="R499" s="80"/>
      <c r="S499" s="80"/>
      <c r="T499" s="80"/>
      <c r="U499" s="81"/>
      <c r="V499" s="81"/>
    </row>
    <row r="500" spans="3:22" ht="14.1" customHeight="1">
      <c r="C500" s="82"/>
      <c r="D500" s="83"/>
      <c r="E500" s="187"/>
      <c r="F500" s="84"/>
      <c r="G500" s="84"/>
      <c r="J500" s="85"/>
      <c r="K500" s="86"/>
      <c r="L500" s="87"/>
      <c r="M500" s="87"/>
      <c r="N500" s="87"/>
      <c r="O500" s="88"/>
      <c r="P500" s="88"/>
      <c r="Q500" s="80"/>
      <c r="R500" s="80"/>
      <c r="S500" s="80"/>
      <c r="T500" s="80"/>
      <c r="U500" s="81"/>
      <c r="V500" s="81"/>
    </row>
    <row r="501" spans="3:22" ht="14.1" customHeight="1">
      <c r="C501" s="82"/>
      <c r="D501" s="83"/>
      <c r="E501" s="187"/>
      <c r="F501" s="84"/>
      <c r="G501" s="84"/>
      <c r="J501" s="85"/>
      <c r="K501" s="86"/>
      <c r="L501" s="87"/>
      <c r="M501" s="87"/>
      <c r="N501" s="87"/>
      <c r="O501" s="88"/>
      <c r="P501" s="88"/>
      <c r="Q501" s="80"/>
      <c r="R501" s="80"/>
      <c r="S501" s="80"/>
      <c r="T501" s="80"/>
      <c r="U501" s="81"/>
      <c r="V501" s="81"/>
    </row>
    <row r="502" spans="3:22" ht="14.1" customHeight="1">
      <c r="C502" s="82"/>
      <c r="D502" s="83"/>
      <c r="E502" s="187"/>
      <c r="F502" s="84"/>
      <c r="G502" s="84"/>
      <c r="J502" s="85"/>
      <c r="K502" s="86"/>
      <c r="L502" s="87"/>
      <c r="M502" s="87"/>
      <c r="N502" s="87"/>
      <c r="O502" s="88"/>
      <c r="P502" s="88"/>
      <c r="Q502" s="80"/>
      <c r="R502" s="80"/>
      <c r="S502" s="80"/>
      <c r="T502" s="80"/>
      <c r="U502" s="81"/>
      <c r="V502" s="81"/>
    </row>
    <row r="503" spans="3:22" ht="14.1" customHeight="1">
      <c r="C503" s="82"/>
      <c r="D503" s="83"/>
      <c r="E503" s="187"/>
      <c r="F503" s="84"/>
      <c r="G503" s="84"/>
      <c r="J503" s="85"/>
      <c r="K503" s="86"/>
      <c r="L503" s="87"/>
      <c r="M503" s="87"/>
      <c r="N503" s="87"/>
      <c r="O503" s="88"/>
      <c r="P503" s="88"/>
      <c r="Q503" s="80"/>
      <c r="R503" s="80"/>
      <c r="S503" s="80"/>
      <c r="T503" s="80"/>
      <c r="U503" s="81"/>
      <c r="V503" s="81"/>
    </row>
    <row r="504" spans="3:22" ht="14.1" customHeight="1">
      <c r="C504" s="82"/>
      <c r="D504" s="83"/>
      <c r="E504" s="187"/>
      <c r="F504" s="84"/>
      <c r="G504" s="84"/>
      <c r="J504" s="85"/>
      <c r="K504" s="86"/>
      <c r="L504" s="87"/>
      <c r="M504" s="87"/>
      <c r="N504" s="87"/>
      <c r="O504" s="88"/>
      <c r="P504" s="88"/>
      <c r="Q504" s="80"/>
      <c r="R504" s="80"/>
      <c r="S504" s="80"/>
      <c r="T504" s="80"/>
      <c r="U504" s="81"/>
      <c r="V504" s="81"/>
    </row>
    <row r="505" spans="3:22" ht="14.1" customHeight="1">
      <c r="C505" s="82"/>
      <c r="D505" s="83"/>
      <c r="E505" s="187"/>
      <c r="F505" s="84"/>
      <c r="G505" s="84"/>
      <c r="J505" s="85"/>
      <c r="K505" s="86"/>
      <c r="L505" s="87"/>
      <c r="M505" s="87"/>
      <c r="N505" s="87"/>
      <c r="O505" s="88"/>
      <c r="P505" s="88"/>
      <c r="Q505" s="80"/>
      <c r="R505" s="80"/>
      <c r="S505" s="80"/>
      <c r="T505" s="80"/>
      <c r="U505" s="81"/>
      <c r="V505" s="81"/>
    </row>
    <row r="506" spans="3:22" ht="14.1" customHeight="1">
      <c r="C506" s="82"/>
      <c r="D506" s="83"/>
      <c r="E506" s="187"/>
      <c r="F506" s="84"/>
      <c r="G506" s="84"/>
      <c r="J506" s="85"/>
      <c r="K506" s="86"/>
      <c r="L506" s="87"/>
      <c r="M506" s="87"/>
      <c r="N506" s="87"/>
      <c r="O506" s="88"/>
      <c r="P506" s="88"/>
      <c r="Q506" s="80"/>
      <c r="R506" s="80"/>
      <c r="S506" s="80"/>
      <c r="T506" s="80"/>
      <c r="U506" s="81"/>
      <c r="V506" s="81"/>
    </row>
    <row r="507" spans="3:22" ht="14.1" customHeight="1">
      <c r="C507" s="82"/>
      <c r="D507" s="83"/>
      <c r="E507" s="187"/>
      <c r="F507" s="84"/>
      <c r="G507" s="84"/>
      <c r="J507" s="85"/>
      <c r="K507" s="86"/>
      <c r="L507" s="87"/>
      <c r="M507" s="87"/>
      <c r="N507" s="87"/>
      <c r="O507" s="88"/>
      <c r="P507" s="88"/>
      <c r="Q507" s="80"/>
      <c r="R507" s="80"/>
      <c r="S507" s="80"/>
      <c r="T507" s="80"/>
      <c r="U507" s="81"/>
      <c r="V507" s="81"/>
    </row>
    <row r="508" spans="3:22" ht="14.1" customHeight="1">
      <c r="C508" s="82"/>
      <c r="D508" s="83"/>
      <c r="E508" s="187"/>
      <c r="F508" s="84"/>
      <c r="G508" s="84"/>
      <c r="J508" s="85"/>
      <c r="K508" s="86"/>
      <c r="L508" s="87"/>
      <c r="M508" s="87"/>
      <c r="N508" s="87"/>
      <c r="O508" s="88"/>
      <c r="P508" s="88"/>
      <c r="Q508" s="80"/>
      <c r="R508" s="80"/>
      <c r="S508" s="80"/>
      <c r="T508" s="80"/>
      <c r="U508" s="81"/>
      <c r="V508" s="81"/>
    </row>
    <row r="509" spans="3:22" ht="14.1" customHeight="1">
      <c r="C509" s="82"/>
      <c r="D509" s="83"/>
      <c r="E509" s="187"/>
      <c r="F509" s="84"/>
      <c r="G509" s="84"/>
      <c r="J509" s="85"/>
      <c r="K509" s="86"/>
      <c r="L509" s="87"/>
      <c r="M509" s="87"/>
      <c r="N509" s="87"/>
      <c r="O509" s="88"/>
      <c r="P509" s="88"/>
      <c r="Q509" s="80"/>
      <c r="R509" s="80"/>
      <c r="S509" s="80"/>
      <c r="T509" s="80"/>
      <c r="U509" s="81"/>
      <c r="V509" s="81"/>
    </row>
    <row r="510" spans="3:22" ht="14.1" customHeight="1">
      <c r="C510" s="82"/>
      <c r="D510" s="83"/>
      <c r="E510" s="187"/>
      <c r="F510" s="84"/>
      <c r="G510" s="84"/>
      <c r="J510" s="85"/>
      <c r="K510" s="86"/>
      <c r="L510" s="87"/>
      <c r="M510" s="87"/>
      <c r="N510" s="87"/>
      <c r="O510" s="88"/>
      <c r="P510" s="88"/>
      <c r="Q510" s="80"/>
      <c r="R510" s="80"/>
      <c r="S510" s="80"/>
      <c r="T510" s="80"/>
      <c r="U510" s="81"/>
      <c r="V510" s="81"/>
    </row>
    <row r="511" spans="3:22" ht="14.1" customHeight="1">
      <c r="C511" s="82"/>
      <c r="D511" s="83"/>
      <c r="E511" s="187"/>
      <c r="F511" s="84"/>
      <c r="G511" s="84"/>
      <c r="J511" s="85"/>
      <c r="K511" s="86"/>
      <c r="L511" s="87"/>
      <c r="M511" s="87"/>
      <c r="N511" s="87"/>
      <c r="O511" s="88"/>
      <c r="P511" s="88"/>
      <c r="Q511" s="80"/>
      <c r="R511" s="80"/>
      <c r="S511" s="80"/>
      <c r="T511" s="80"/>
      <c r="U511" s="81"/>
      <c r="V511" s="81"/>
    </row>
    <row r="1048576" spans="9:9" ht="14.1" customHeight="1">
      <c r="I1048576" s="280" t="s">
        <v>134</v>
      </c>
    </row>
  </sheetData>
  <autoFilter ref="B9:X243" xr:uid="{00000000-0009-0000-0000-000004000000}"/>
  <mergeCells count="1">
    <mergeCell ref="S6:T7"/>
  </mergeCells>
  <phoneticPr fontId="9"/>
  <printOptions horizontalCentered="1" gridLinesSet="0"/>
  <pageMargins left="0.19685039370078741" right="0.19685039370078741" top="0.59055118110236227" bottom="0.78740157480314965" header="0.39370078740157483" footer="0.19685039370078741"/>
  <pageSetup paperSize="9" scale="39" fitToHeight="0" orientation="landscape" r:id="rId1"/>
  <headerFooter alignWithMargins="0">
    <oddFooter>&amp;L&amp;"Verdana,Standaard"&amp;F-&amp;A
Atir b.v. ©&amp;R&amp;"Verdana,Standaard"printversie &amp;D</oddFooter>
  </headerFooter>
  <rowBreaks count="4" manualBreakCount="4">
    <brk id="55" min="1" max="23" man="1"/>
    <brk id="105" min="1" max="23" man="1"/>
    <brk id="165" min="1" max="23" man="1"/>
    <brk id="216"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H59" sqref="H59"/>
    </sheetView>
  </sheetViews>
  <sheetFormatPr defaultColWidth="9.33203125" defaultRowHeight="13.2"/>
  <cols>
    <col min="1" max="1" width="45.5546875" style="55" customWidth="1"/>
    <col min="2" max="2" width="18.33203125" style="55" customWidth="1"/>
    <col min="3" max="3" width="18.44140625" style="55"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310" t="s">
        <v>4</v>
      </c>
      <c r="B1" s="90"/>
      <c r="C1" s="91"/>
      <c r="D1" s="1"/>
      <c r="E1" s="1"/>
      <c r="F1" s="1"/>
      <c r="G1" s="1"/>
    </row>
    <row r="2" spans="1:8">
      <c r="A2" s="91"/>
      <c r="B2" s="91"/>
      <c r="C2" s="91"/>
      <c r="D2" s="1"/>
      <c r="E2" s="1"/>
      <c r="F2" s="1"/>
      <c r="G2" s="1"/>
    </row>
    <row r="3" spans="1:8" ht="15.6">
      <c r="A3" s="38" t="str">
        <f>'2-Kosten per locatie'!A3</f>
        <v>Naam opdrachtgever</v>
      </c>
      <c r="B3" s="46" t="str">
        <f>'2-Kosten per locatie'!B3</f>
        <v>Gemeente Heemstede</v>
      </c>
      <c r="C3" s="91"/>
      <c r="D3" s="1"/>
      <c r="E3" s="30"/>
      <c r="F3" s="1"/>
      <c r="G3" s="1"/>
    </row>
    <row r="4" spans="1:8" ht="15.6">
      <c r="A4" s="38" t="str">
        <f>'2-Kosten per locatie'!A4</f>
        <v>Calculatie onderdeel</v>
      </c>
      <c r="B4" s="46" t="str">
        <f ca="1">MID(CELL("bestandsnaam",$C$9),SEARCH("]",CELL("bestandsnaam",$C$9),1)+1,256)</f>
        <v>5-Premies en opslagen</v>
      </c>
      <c r="C4" s="92"/>
      <c r="D4" s="15"/>
      <c r="E4" s="4"/>
      <c r="F4" s="4"/>
      <c r="G4" s="4"/>
    </row>
    <row r="5" spans="1:8" ht="15.6">
      <c r="A5" s="38" t="str">
        <f>'2-Kosten per locatie'!A5</f>
        <v>Gebouw/plaats</v>
      </c>
      <c r="B5" s="46" t="str">
        <f>'2-Kosten per locatie'!B5</f>
        <v>Heemstede e.o.</v>
      </c>
      <c r="C5" s="38"/>
      <c r="D5" s="8"/>
      <c r="E5" s="16"/>
      <c r="F5" s="5"/>
      <c r="G5" s="4"/>
    </row>
    <row r="6" spans="1:8" ht="15.6">
      <c r="A6" s="38" t="str">
        <f>'2-Kosten per locatie'!A6</f>
        <v>Referentie nummer</v>
      </c>
      <c r="B6" s="46">
        <f>'2-Kosten per locatie'!B6</f>
        <v>0</v>
      </c>
      <c r="C6" s="73"/>
      <c r="D6" s="8"/>
      <c r="E6" s="32"/>
      <c r="F6" s="31"/>
      <c r="G6" s="33"/>
      <c r="H6" s="34"/>
    </row>
    <row r="7" spans="1:8" ht="15.6">
      <c r="A7" s="38" t="str">
        <f>'2-Kosten per locatie'!A7</f>
        <v>Naam dienstverlener</v>
      </c>
      <c r="B7" s="46">
        <f>'2-Kosten per locatie'!B7</f>
        <v>0</v>
      </c>
      <c r="C7" s="73"/>
      <c r="D7" s="8"/>
      <c r="E7" s="16"/>
      <c r="F7" s="5"/>
      <c r="G7" s="4"/>
    </row>
    <row r="8" spans="1:8" ht="15.6">
      <c r="A8" s="38" t="str">
        <f>'2-Kosten per locatie'!A8</f>
        <v>Prijspeil</v>
      </c>
      <c r="B8" s="188">
        <f>'2-Kosten per locatie'!B8</f>
        <v>46388</v>
      </c>
      <c r="C8" s="93"/>
      <c r="D8" s="16"/>
      <c r="E8" s="16"/>
      <c r="F8" s="5"/>
      <c r="G8" s="4"/>
    </row>
    <row r="9" spans="1:8" ht="18.600000000000001">
      <c r="A9" s="174"/>
      <c r="B9" s="93"/>
      <c r="C9" s="93"/>
      <c r="D9" s="16"/>
      <c r="E9" s="16"/>
      <c r="F9" s="5"/>
      <c r="G9" s="4"/>
    </row>
    <row r="10" spans="1:8" ht="21">
      <c r="A10" s="311" t="s">
        <v>177</v>
      </c>
      <c r="B10" s="312"/>
      <c r="C10" s="313"/>
      <c r="D10" s="16"/>
      <c r="E10" s="16"/>
      <c r="F10" s="5"/>
      <c r="G10" s="4"/>
    </row>
    <row r="11" spans="1:8">
      <c r="A11" s="94"/>
      <c r="B11" s="95"/>
      <c r="C11" s="95"/>
      <c r="D11" s="16"/>
      <c r="E11" s="16"/>
      <c r="F11" s="4"/>
      <c r="G11" s="4"/>
    </row>
    <row r="12" spans="1:8">
      <c r="A12" s="314"/>
      <c r="B12" s="315"/>
      <c r="C12" s="316" t="s">
        <v>178</v>
      </c>
      <c r="D12" s="16"/>
      <c r="E12" s="16"/>
      <c r="F12" s="5"/>
      <c r="G12" s="4"/>
    </row>
    <row r="13" spans="1:8">
      <c r="A13" s="317" t="s">
        <v>179</v>
      </c>
      <c r="B13" s="315"/>
      <c r="C13" s="318"/>
      <c r="D13" s="16"/>
      <c r="E13" s="16"/>
      <c r="F13" s="17"/>
      <c r="G13" s="4"/>
    </row>
    <row r="14" spans="1:8">
      <c r="A14" s="317" t="s">
        <v>180</v>
      </c>
      <c r="B14" s="315"/>
      <c r="C14" s="318"/>
      <c r="D14" s="16"/>
      <c r="E14" s="16"/>
      <c r="F14" s="17"/>
      <c r="G14" s="4"/>
    </row>
    <row r="15" spans="1:8">
      <c r="A15" s="317" t="s">
        <v>181</v>
      </c>
      <c r="B15" s="315"/>
      <c r="C15" s="318"/>
      <c r="D15" s="16"/>
      <c r="E15" s="16"/>
      <c r="F15" s="17"/>
      <c r="G15" s="4"/>
    </row>
    <row r="16" spans="1:8">
      <c r="A16" s="319" t="s">
        <v>52</v>
      </c>
      <c r="B16" s="320"/>
      <c r="C16" s="321">
        <f>SUM(C13:C15)</f>
        <v>0</v>
      </c>
      <c r="D16" s="16"/>
      <c r="E16" s="16"/>
      <c r="F16" s="4"/>
    </row>
    <row r="17" spans="1:7">
      <c r="A17" s="319"/>
      <c r="B17" s="320"/>
      <c r="C17" s="321"/>
      <c r="D17" s="16"/>
      <c r="E17" s="16"/>
      <c r="F17" s="4"/>
    </row>
    <row r="18" spans="1:7">
      <c r="A18" s="512" t="s">
        <v>182</v>
      </c>
      <c r="B18" s="513"/>
      <c r="C18" s="318"/>
      <c r="D18" s="16"/>
      <c r="E18" s="16"/>
      <c r="F18" s="4"/>
    </row>
    <row r="19" spans="1:7">
      <c r="A19" s="317" t="s">
        <v>183</v>
      </c>
      <c r="B19" s="322"/>
      <c r="C19" s="318"/>
      <c r="D19" s="16"/>
      <c r="E19" s="16"/>
      <c r="F19" s="4"/>
    </row>
    <row r="20" spans="1:7">
      <c r="A20" s="512" t="s">
        <v>184</v>
      </c>
      <c r="B20" s="513"/>
      <c r="C20" s="318"/>
      <c r="D20" s="16"/>
      <c r="E20" s="16"/>
      <c r="F20" s="4"/>
    </row>
    <row r="21" spans="1:7">
      <c r="A21" s="512" t="s">
        <v>185</v>
      </c>
      <c r="B21" s="513"/>
      <c r="C21" s="497" t="e">
        <f>C34</f>
        <v>#DIV/0!</v>
      </c>
      <c r="D21" s="16"/>
      <c r="E21" s="16"/>
      <c r="F21" s="4"/>
    </row>
    <row r="22" spans="1:7">
      <c r="A22" s="512" t="s">
        <v>186</v>
      </c>
      <c r="B22" s="513"/>
      <c r="C22" s="318"/>
      <c r="D22" s="16"/>
      <c r="E22" s="16"/>
      <c r="F22" s="4"/>
    </row>
    <row r="23" spans="1:7">
      <c r="A23" s="512" t="s">
        <v>187</v>
      </c>
      <c r="B23" s="513"/>
      <c r="C23" s="318"/>
      <c r="D23" s="16"/>
      <c r="E23" s="16"/>
      <c r="F23" s="4"/>
    </row>
    <row r="24" spans="1:7">
      <c r="A24" s="514" t="s">
        <v>188</v>
      </c>
      <c r="B24" s="515"/>
      <c r="C24" s="323" t="e">
        <f>SUM(C16:C23)</f>
        <v>#DIV/0!</v>
      </c>
      <c r="D24" s="16"/>
      <c r="E24" s="16"/>
      <c r="F24" s="4"/>
    </row>
    <row r="25" spans="1:7">
      <c r="A25" s="96"/>
      <c r="B25" s="97"/>
      <c r="C25" s="98"/>
      <c r="D25" s="16"/>
      <c r="E25" s="16"/>
      <c r="F25" s="7"/>
      <c r="G25" s="4"/>
    </row>
    <row r="26" spans="1:7" ht="21">
      <c r="A26" s="311" t="s">
        <v>189</v>
      </c>
      <c r="B26" s="312"/>
      <c r="C26" s="313"/>
      <c r="D26" s="16"/>
      <c r="E26" s="16"/>
      <c r="F26" s="5"/>
      <c r="G26" s="4"/>
    </row>
    <row r="27" spans="1:7">
      <c r="A27" s="94"/>
      <c r="B27" s="95"/>
      <c r="C27" s="95"/>
      <c r="D27" s="16"/>
      <c r="E27" s="16"/>
      <c r="F27" s="4"/>
      <c r="G27" s="4"/>
    </row>
    <row r="28" spans="1:7">
      <c r="A28" s="95"/>
      <c r="B28" s="95"/>
      <c r="C28" s="324" t="s">
        <v>190</v>
      </c>
      <c r="D28" s="16"/>
      <c r="E28" s="16"/>
      <c r="F28" s="4"/>
      <c r="G28" s="4"/>
    </row>
    <row r="29" spans="1:7">
      <c r="A29" s="317" t="s">
        <v>191</v>
      </c>
      <c r="B29" s="315"/>
      <c r="C29" s="325">
        <f>'6-Opbouw uurtarief productie'!E20</f>
        <v>0</v>
      </c>
      <c r="D29" s="16"/>
      <c r="E29" s="16"/>
      <c r="G29" s="4"/>
    </row>
    <row r="30" spans="1:7">
      <c r="A30" s="317" t="s">
        <v>192</v>
      </c>
      <c r="B30" s="326" t="s">
        <v>193</v>
      </c>
      <c r="C30" s="327"/>
      <c r="D30" s="16"/>
      <c r="E30" s="16"/>
      <c r="F30" s="5"/>
      <c r="G30" s="4"/>
    </row>
    <row r="31" spans="1:7">
      <c r="A31" s="317" t="s">
        <v>194</v>
      </c>
      <c r="B31" s="315"/>
      <c r="C31" s="189">
        <f>C29+C30</f>
        <v>0</v>
      </c>
      <c r="D31" s="16"/>
      <c r="E31" s="16"/>
      <c r="F31" s="5"/>
      <c r="G31" s="4"/>
    </row>
    <row r="32" spans="1:7">
      <c r="A32" s="328" t="s">
        <v>195</v>
      </c>
      <c r="B32" s="99"/>
      <c r="C32" s="329"/>
      <c r="E32" s="18"/>
      <c r="F32" s="5"/>
      <c r="G32" s="4"/>
    </row>
    <row r="33" spans="1:7">
      <c r="A33" s="94"/>
      <c r="B33" s="330"/>
      <c r="C33" s="190"/>
      <c r="E33" s="3"/>
      <c r="F33" s="4"/>
      <c r="G33" s="4"/>
    </row>
    <row r="34" spans="1:7">
      <c r="A34" s="331" t="s">
        <v>196</v>
      </c>
      <c r="B34" s="332"/>
      <c r="C34" s="333" t="e">
        <f>(C31/C29)*C32</f>
        <v>#DIV/0!</v>
      </c>
      <c r="E34" s="19"/>
      <c r="F34" s="5"/>
      <c r="G34" s="20"/>
    </row>
    <row r="35" spans="1:7">
      <c r="A35" s="94"/>
      <c r="B35" s="95"/>
      <c r="C35" s="95"/>
      <c r="E35" s="19"/>
      <c r="F35" s="5"/>
      <c r="G35" s="4"/>
    </row>
    <row r="36" spans="1:7" ht="21">
      <c r="A36" s="334" t="s">
        <v>197</v>
      </c>
      <c r="B36" s="335"/>
      <c r="C36" s="336"/>
      <c r="E36" s="19"/>
      <c r="F36" s="5"/>
      <c r="G36" s="4"/>
    </row>
    <row r="37" spans="1:7">
      <c r="A37" s="96"/>
      <c r="B37" s="97"/>
      <c r="C37" s="98"/>
      <c r="E37" s="19"/>
      <c r="F37" s="5"/>
      <c r="G37" s="4"/>
    </row>
    <row r="38" spans="1:7" ht="16.2">
      <c r="A38" s="96"/>
      <c r="B38" s="337" t="s">
        <v>198</v>
      </c>
      <c r="C38" s="98"/>
      <c r="E38" s="19"/>
      <c r="F38" s="5"/>
      <c r="G38" s="4"/>
    </row>
    <row r="39" spans="1:7">
      <c r="A39" s="338" t="s">
        <v>199</v>
      </c>
      <c r="B39" s="339">
        <v>365</v>
      </c>
      <c r="C39" s="98"/>
      <c r="E39" s="19"/>
      <c r="F39" s="5"/>
      <c r="G39" s="9"/>
    </row>
    <row r="40" spans="1:7">
      <c r="A40" s="338" t="s">
        <v>200</v>
      </c>
      <c r="B40" s="339">
        <v>104</v>
      </c>
      <c r="C40" s="98"/>
      <c r="E40" s="19"/>
      <c r="F40" s="5"/>
      <c r="G40" s="9"/>
    </row>
    <row r="41" spans="1:7">
      <c r="A41" s="340" t="s">
        <v>201</v>
      </c>
      <c r="B41" s="341">
        <f>B39-B40</f>
        <v>261</v>
      </c>
      <c r="C41" s="98"/>
      <c r="E41" s="19"/>
      <c r="F41" s="5"/>
      <c r="G41" s="6"/>
    </row>
    <row r="42" spans="1:7">
      <c r="A42" s="342"/>
      <c r="B42" s="343"/>
      <c r="C42" s="98"/>
      <c r="E42" s="19"/>
      <c r="F42" s="5"/>
      <c r="G42" s="6"/>
    </row>
    <row r="43" spans="1:7">
      <c r="A43" s="338" t="s">
        <v>202</v>
      </c>
      <c r="B43" s="344"/>
      <c r="C43" s="98"/>
      <c r="E43" s="19"/>
      <c r="F43" s="5"/>
      <c r="G43" s="6"/>
    </row>
    <row r="44" spans="1:7">
      <c r="A44" s="338" t="s">
        <v>203</v>
      </c>
      <c r="B44" s="344"/>
      <c r="C44" s="98"/>
      <c r="E44" s="19"/>
      <c r="F44" s="5"/>
      <c r="G44" s="6"/>
    </row>
    <row r="45" spans="1:7">
      <c r="A45" s="338" t="s">
        <v>204</v>
      </c>
      <c r="B45" s="344"/>
      <c r="C45" s="98"/>
      <c r="E45" s="19"/>
      <c r="F45" s="5"/>
      <c r="G45" s="6"/>
    </row>
    <row r="46" spans="1:7">
      <c r="A46" s="338" t="s">
        <v>205</v>
      </c>
      <c r="B46" s="344"/>
      <c r="C46" s="98"/>
      <c r="E46" s="19"/>
      <c r="F46" s="5"/>
      <c r="G46" s="6"/>
    </row>
    <row r="47" spans="1:7">
      <c r="A47" s="340" t="s">
        <v>206</v>
      </c>
      <c r="B47" s="341">
        <f>B41-SUM(B43:B46)</f>
        <v>261</v>
      </c>
      <c r="C47" s="98"/>
      <c r="E47" s="19"/>
      <c r="F47" s="5"/>
      <c r="G47" s="6"/>
    </row>
    <row r="48" spans="1:7">
      <c r="A48" s="345"/>
      <c r="B48" s="343"/>
      <c r="C48" s="98"/>
      <c r="E48" s="19"/>
      <c r="F48" s="5"/>
      <c r="G48" s="6"/>
    </row>
    <row r="49" spans="1:7">
      <c r="A49" s="346" t="s">
        <v>207</v>
      </c>
      <c r="B49" s="347">
        <f>IF(B43=0,0,B43/$B$47)</f>
        <v>0</v>
      </c>
      <c r="C49" s="98"/>
      <c r="E49" s="19"/>
      <c r="F49" s="5"/>
      <c r="G49" s="6"/>
    </row>
    <row r="50" spans="1:7">
      <c r="A50" s="346" t="s">
        <v>203</v>
      </c>
      <c r="B50" s="347">
        <f>IF(B44=0,0,B44/$B$47)</f>
        <v>0</v>
      </c>
      <c r="C50" s="98"/>
      <c r="E50" s="19"/>
      <c r="F50" s="5"/>
      <c r="G50" s="6"/>
    </row>
    <row r="51" spans="1:7">
      <c r="A51" s="338" t="s">
        <v>204</v>
      </c>
      <c r="B51" s="347">
        <f>IF(B45=0,0,B45/$B$47)</f>
        <v>0</v>
      </c>
      <c r="C51" s="98"/>
      <c r="E51" s="19"/>
      <c r="F51" s="5"/>
      <c r="G51" s="6"/>
    </row>
    <row r="52" spans="1:7">
      <c r="A52" s="346" t="s">
        <v>205</v>
      </c>
      <c r="B52" s="347">
        <f>IF(B46=0,0,B46/$B$47)</f>
        <v>0</v>
      </c>
      <c r="C52" s="98"/>
      <c r="E52" s="19"/>
      <c r="F52" s="5"/>
      <c r="G52" s="10"/>
    </row>
    <row r="53" spans="1:7">
      <c r="A53" s="340" t="s">
        <v>208</v>
      </c>
      <c r="B53" s="348">
        <f>SUM(B49:B52)</f>
        <v>0</v>
      </c>
      <c r="C53" s="98"/>
      <c r="E53" s="19"/>
      <c r="F53" s="5"/>
      <c r="G53" s="11"/>
    </row>
    <row r="54" spans="1:7">
      <c r="A54" s="100"/>
      <c r="B54" s="100"/>
      <c r="C54" s="100"/>
      <c r="E54" s="19"/>
      <c r="F54" s="5"/>
      <c r="G54" s="1"/>
    </row>
    <row r="55" spans="1:7" ht="31.2" customHeight="1">
      <c r="A55" s="509" t="s">
        <v>209</v>
      </c>
      <c r="B55" s="510"/>
      <c r="C55" s="511"/>
      <c r="E55" s="19"/>
      <c r="F55" s="5"/>
      <c r="G55" s="1"/>
    </row>
    <row r="58" spans="1:7" ht="13.8">
      <c r="A58" s="101"/>
      <c r="B58" s="102"/>
    </row>
    <row r="59" spans="1:7" ht="13.8">
      <c r="A59" s="101"/>
      <c r="B59" s="102"/>
    </row>
    <row r="60" spans="1:7" ht="13.8">
      <c r="A60" s="101"/>
      <c r="B60" s="102"/>
    </row>
    <row r="61" spans="1:7" ht="13.8">
      <c r="A61" s="101"/>
      <c r="B61" s="102"/>
    </row>
    <row r="62" spans="1:7" ht="13.8">
      <c r="A62" s="103"/>
      <c r="B62" s="102"/>
    </row>
    <row r="63" spans="1:7" ht="13.8">
      <c r="A63" s="102"/>
      <c r="B63" s="102"/>
    </row>
    <row r="64" spans="1:7" ht="13.8">
      <c r="A64" s="102"/>
      <c r="B64" s="102"/>
    </row>
    <row r="65" spans="1:3" ht="13.8">
      <c r="A65" s="102"/>
      <c r="B65" s="102"/>
    </row>
    <row r="66" spans="1:3" ht="13.8">
      <c r="A66" s="102"/>
      <c r="B66" s="102"/>
    </row>
    <row r="67" spans="1:3" ht="13.8">
      <c r="A67" s="102"/>
      <c r="B67" s="102"/>
    </row>
    <row r="68" spans="1:3" ht="13.8">
      <c r="A68" s="102"/>
      <c r="B68" s="102"/>
    </row>
    <row r="69" spans="1:3" ht="13.8">
      <c r="A69" s="102"/>
      <c r="B69" s="102"/>
    </row>
    <row r="70" spans="1:3" ht="13.8">
      <c r="A70" s="102"/>
      <c r="B70" s="104"/>
    </row>
    <row r="71" spans="1:3" ht="13.8">
      <c r="A71" s="102"/>
      <c r="B71" s="102"/>
    </row>
    <row r="72" spans="1:3" ht="13.8">
      <c r="B72" s="102"/>
    </row>
    <row r="73" spans="1:3" ht="13.8">
      <c r="A73" s="102"/>
      <c r="B73" s="102"/>
      <c r="C73" s="102"/>
    </row>
    <row r="74" spans="1:3" ht="13.8">
      <c r="A74" s="105"/>
      <c r="B74" s="102"/>
      <c r="C74" s="105"/>
    </row>
    <row r="75" spans="1:3" ht="13.8">
      <c r="A75" s="102"/>
      <c r="B75" s="102"/>
      <c r="C75" s="102"/>
    </row>
    <row r="76" spans="1:3" ht="13.8">
      <c r="A76" s="102"/>
      <c r="B76" s="102"/>
      <c r="C76" s="102"/>
    </row>
    <row r="77" spans="1:3" ht="13.8">
      <c r="A77" s="102"/>
      <c r="B77" s="102"/>
      <c r="C77" s="102"/>
    </row>
    <row r="78" spans="1:3" ht="13.8">
      <c r="A78" s="105"/>
      <c r="B78" s="102"/>
      <c r="C78" s="105"/>
    </row>
    <row r="79" spans="1:3" ht="13.8">
      <c r="A79" s="105"/>
      <c r="B79" s="102"/>
      <c r="C79" s="105"/>
    </row>
    <row r="80" spans="1:3" ht="13.8">
      <c r="A80" s="105"/>
      <c r="B80" s="102"/>
      <c r="C80" s="105"/>
    </row>
    <row r="81" spans="1:2" ht="13.8">
      <c r="A81" s="102"/>
      <c r="B81" s="102"/>
    </row>
    <row r="82" spans="1:2" ht="13.8">
      <c r="A82" s="102"/>
      <c r="B82" s="102"/>
    </row>
    <row r="83" spans="1:2" ht="13.8">
      <c r="A83" s="102"/>
      <c r="B83" s="102"/>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D74"/>
  <sheetViews>
    <sheetView showGridLines="0" showZeros="0" showOutlineSymbols="0" zoomScale="93" zoomScaleNormal="90" zoomScalePageLayoutView="50" workbookViewId="0">
      <pane ySplit="10" topLeftCell="A11" activePane="bottomLeft" state="frozen"/>
      <selection activeCell="B1" sqref="B1"/>
      <selection pane="bottomLeft" activeCell="E34" sqref="E34:E42"/>
    </sheetView>
  </sheetViews>
  <sheetFormatPr defaultColWidth="11.44140625" defaultRowHeight="13.2"/>
  <cols>
    <col min="1" max="1" width="35.88671875" style="55" customWidth="1"/>
    <col min="2" max="2" width="21.6640625" style="55" customWidth="1"/>
    <col min="3" max="3" width="19.33203125" style="55" bestFit="1" customWidth="1"/>
    <col min="4" max="4" width="2" style="55" customWidth="1"/>
    <col min="5" max="5" width="14.44140625" style="55" customWidth="1"/>
    <col min="6" max="6" width="12.33203125" style="55" customWidth="1"/>
    <col min="7" max="7" width="9.88671875" style="55" customWidth="1"/>
    <col min="8" max="8" width="27.5546875" style="55" customWidth="1"/>
    <col min="9" max="15" width="11.44140625" style="55"/>
    <col min="16" max="16" width="14" style="55" customWidth="1"/>
    <col min="17" max="17" width="11.44140625" style="55"/>
    <col min="18" max="18" width="13.44140625" style="55" customWidth="1"/>
    <col min="19" max="21" width="11.44140625" style="55"/>
    <col min="22" max="16384" width="11.44140625" style="2"/>
  </cols>
  <sheetData>
    <row r="1" spans="1:30" ht="12.75" customHeight="1">
      <c r="A1" s="310" t="s">
        <v>4</v>
      </c>
      <c r="B1" s="90"/>
      <c r="C1" s="91"/>
      <c r="D1" s="91"/>
      <c r="E1" s="91"/>
      <c r="F1" s="91"/>
      <c r="H1" s="524"/>
      <c r="I1" s="524"/>
      <c r="J1" s="524"/>
      <c r="K1" s="524"/>
      <c r="L1" s="524"/>
      <c r="M1" s="524"/>
      <c r="N1" s="524"/>
      <c r="P1" s="208"/>
    </row>
    <row r="2" spans="1:30">
      <c r="A2" s="91"/>
      <c r="B2" s="106"/>
      <c r="C2" s="107"/>
      <c r="D2" s="106"/>
      <c r="E2" s="108"/>
      <c r="F2" s="109"/>
      <c r="H2" s="524"/>
      <c r="I2" s="524"/>
      <c r="J2" s="524"/>
      <c r="K2" s="524"/>
      <c r="L2" s="524"/>
      <c r="M2" s="524"/>
      <c r="N2" s="524"/>
      <c r="P2" s="208"/>
    </row>
    <row r="3" spans="1:30" ht="14.25" customHeight="1">
      <c r="A3" s="38" t="str">
        <f>'2-Kosten per locatie'!A3</f>
        <v>Naam opdrachtgever</v>
      </c>
      <c r="B3" s="110" t="str">
        <f>'2-Kosten per locatie'!B3</f>
        <v>Gemeente Heemstede</v>
      </c>
      <c r="C3" s="111"/>
      <c r="D3" s="106"/>
      <c r="E3" s="112"/>
      <c r="F3" s="113"/>
      <c r="H3" s="524"/>
      <c r="I3" s="524"/>
      <c r="J3" s="524"/>
      <c r="K3" s="524"/>
      <c r="L3" s="524"/>
      <c r="M3" s="524"/>
      <c r="N3" s="524"/>
      <c r="P3" s="208"/>
    </row>
    <row r="4" spans="1:30" ht="15.75" customHeight="1">
      <c r="A4" s="38" t="str">
        <f>'2-Kosten per locatie'!A4</f>
        <v>Calculatie onderdeel</v>
      </c>
      <c r="B4" s="114" t="str">
        <f ca="1">MID(CELL("bestandsnaam",$C$9),SEARCH("]",CELL("bestandsnaam",$C$9),1)+1,256)</f>
        <v>6-Opbouw uurtarief productie</v>
      </c>
      <c r="C4" s="115"/>
      <c r="D4" s="116"/>
      <c r="H4" s="524"/>
      <c r="I4" s="524"/>
      <c r="J4" s="524"/>
      <c r="K4" s="524"/>
      <c r="L4" s="524"/>
      <c r="M4" s="524"/>
      <c r="N4" s="524"/>
      <c r="P4" s="208"/>
    </row>
    <row r="5" spans="1:30" ht="15.6">
      <c r="A5" s="38" t="str">
        <f>'2-Kosten per locatie'!A5</f>
        <v>Gebouw/plaats</v>
      </c>
      <c r="B5" s="110" t="str">
        <f>'2-Kosten per locatie'!B5</f>
        <v>Heemstede e.o.</v>
      </c>
      <c r="C5" s="115"/>
      <c r="D5" s="116"/>
      <c r="H5" s="524"/>
      <c r="I5" s="524"/>
      <c r="J5" s="524"/>
      <c r="K5" s="524"/>
      <c r="L5" s="524"/>
      <c r="M5" s="524"/>
      <c r="N5" s="524"/>
      <c r="P5" s="208"/>
    </row>
    <row r="6" spans="1:30" ht="15.6">
      <c r="A6" s="38" t="str">
        <f>'2-Kosten per locatie'!A6</f>
        <v>Referentie nummer</v>
      </c>
      <c r="B6" s="110">
        <f>'2-Kosten per locatie'!B6</f>
        <v>0</v>
      </c>
      <c r="C6" s="115"/>
      <c r="D6" s="116"/>
      <c r="H6" s="117"/>
      <c r="I6" s="117"/>
      <c r="J6" s="117"/>
      <c r="K6" s="117"/>
      <c r="L6" s="117"/>
      <c r="M6" s="117"/>
      <c r="N6" s="117"/>
      <c r="P6" s="208"/>
    </row>
    <row r="7" spans="1:30" ht="15.6">
      <c r="A7" s="38" t="str">
        <f>'2-Kosten per locatie'!A7</f>
        <v>Naam dienstverlener</v>
      </c>
      <c r="B7" s="110">
        <f>'2-Kosten per locatie'!B7</f>
        <v>0</v>
      </c>
      <c r="C7" s="115"/>
      <c r="D7" s="116"/>
      <c r="H7" s="117"/>
      <c r="I7" s="117"/>
      <c r="J7" s="117"/>
      <c r="K7" s="117"/>
      <c r="L7" s="117"/>
      <c r="M7" s="117"/>
      <c r="N7" s="117"/>
      <c r="P7" s="208"/>
    </row>
    <row r="8" spans="1:30" ht="15.6">
      <c r="A8" s="38" t="str">
        <f>'2-Kosten per locatie'!A8</f>
        <v>Prijspeil</v>
      </c>
      <c r="B8" s="200">
        <f>'2-Kosten per locatie'!B8</f>
        <v>46388</v>
      </c>
      <c r="C8" s="115"/>
      <c r="D8" s="116"/>
      <c r="J8" s="117"/>
      <c r="K8" s="117"/>
      <c r="L8" s="117"/>
      <c r="M8" s="117"/>
      <c r="N8" s="117"/>
      <c r="O8" s="118"/>
      <c r="P8" s="208"/>
    </row>
    <row r="9" spans="1:30" ht="15.6">
      <c r="A9" s="119"/>
      <c r="B9" s="120"/>
      <c r="C9" s="121"/>
      <c r="D9" s="116"/>
      <c r="E9" s="122"/>
      <c r="F9" s="123"/>
      <c r="P9" s="208"/>
    </row>
    <row r="10" spans="1:30" s="21" customFormat="1" ht="30.75" customHeight="1">
      <c r="A10" s="349" t="s">
        <v>210</v>
      </c>
      <c r="B10" s="350"/>
      <c r="C10" s="351"/>
      <c r="D10" s="175"/>
      <c r="E10" s="522" t="s">
        <v>211</v>
      </c>
      <c r="F10" s="523"/>
      <c r="G10" s="176"/>
      <c r="H10" s="349" t="s">
        <v>212</v>
      </c>
      <c r="I10" s="525" t="s">
        <v>345</v>
      </c>
      <c r="J10" s="526"/>
      <c r="K10" s="526"/>
      <c r="L10" s="526"/>
      <c r="M10" s="526"/>
      <c r="N10" s="526"/>
      <c r="O10" s="118"/>
      <c r="P10" s="208"/>
      <c r="Q10" s="55"/>
      <c r="R10" s="55"/>
      <c r="S10" s="55"/>
      <c r="T10" s="55"/>
      <c r="U10" s="55"/>
      <c r="V10" s="2"/>
    </row>
    <row r="11" spans="1:30" ht="30" customHeight="1">
      <c r="A11" s="352"/>
      <c r="B11" s="353" t="s">
        <v>5</v>
      </c>
      <c r="C11" s="354" t="s">
        <v>5</v>
      </c>
      <c r="D11" s="116"/>
      <c r="E11" s="355"/>
      <c r="F11" s="356"/>
      <c r="H11" s="352"/>
      <c r="I11" s="357">
        <v>1</v>
      </c>
      <c r="J11" s="357">
        <v>2</v>
      </c>
      <c r="K11" s="357">
        <v>3</v>
      </c>
      <c r="L11" s="357">
        <v>4</v>
      </c>
      <c r="M11" s="357">
        <v>5</v>
      </c>
      <c r="N11" s="357">
        <v>6</v>
      </c>
      <c r="P11" s="209"/>
    </row>
    <row r="12" spans="1:30">
      <c r="A12" s="352" t="s">
        <v>213</v>
      </c>
      <c r="B12" s="358" t="s">
        <v>214</v>
      </c>
      <c r="C12" s="359"/>
      <c r="D12" s="116"/>
      <c r="E12" s="360">
        <f>SUM(I41:N41)</f>
        <v>0</v>
      </c>
      <c r="F12" s="191"/>
      <c r="H12" s="352" t="s">
        <v>215</v>
      </c>
      <c r="I12" s="536"/>
      <c r="J12" s="536"/>
      <c r="K12" s="536"/>
      <c r="L12" s="536"/>
      <c r="M12" s="536"/>
      <c r="N12" s="536"/>
      <c r="P12" s="210"/>
      <c r="W12" s="207"/>
      <c r="X12" s="207"/>
      <c r="Y12" s="207"/>
      <c r="Z12" s="207"/>
      <c r="AA12" s="207"/>
      <c r="AB12" s="207"/>
      <c r="AC12" s="207"/>
      <c r="AD12" s="207"/>
    </row>
    <row r="13" spans="1:30">
      <c r="A13" s="352" t="s">
        <v>216</v>
      </c>
      <c r="B13" s="358" t="s">
        <v>214</v>
      </c>
      <c r="C13" s="361"/>
      <c r="D13" s="116"/>
      <c r="E13" s="362">
        <v>0</v>
      </c>
      <c r="F13" s="191"/>
      <c r="H13" s="352" t="s">
        <v>217</v>
      </c>
      <c r="I13" s="536"/>
      <c r="J13" s="536"/>
      <c r="K13" s="536"/>
      <c r="L13" s="536"/>
      <c r="M13" s="536"/>
      <c r="N13" s="536"/>
      <c r="P13" s="211"/>
      <c r="W13" s="207"/>
      <c r="X13" s="207"/>
      <c r="Y13" s="207"/>
      <c r="Z13" s="207"/>
      <c r="AA13" s="207"/>
      <c r="AB13" s="207"/>
      <c r="AC13" s="207"/>
      <c r="AD13" s="207"/>
    </row>
    <row r="14" spans="1:30">
      <c r="A14" s="363" t="s">
        <v>218</v>
      </c>
      <c r="B14" s="364"/>
      <c r="C14" s="365"/>
      <c r="D14" s="124"/>
      <c r="E14" s="366">
        <f>SUM(E12:E13)</f>
        <v>0</v>
      </c>
      <c r="F14" s="191"/>
      <c r="H14" s="352" t="s">
        <v>219</v>
      </c>
      <c r="I14" s="536"/>
      <c r="J14" s="536"/>
      <c r="K14" s="536"/>
      <c r="L14" s="536"/>
      <c r="M14" s="536"/>
      <c r="N14" s="536"/>
      <c r="W14" s="207"/>
      <c r="X14" s="207"/>
      <c r="Y14" s="207"/>
      <c r="Z14" s="207"/>
      <c r="AA14" s="207"/>
      <c r="AB14" s="207"/>
      <c r="AC14" s="207"/>
      <c r="AD14" s="207"/>
    </row>
    <row r="15" spans="1:30">
      <c r="A15" s="367"/>
      <c r="B15" s="368"/>
      <c r="C15" s="369"/>
      <c r="D15" s="116"/>
      <c r="E15" s="370"/>
      <c r="F15" s="191"/>
      <c r="H15" s="352" t="s">
        <v>220</v>
      </c>
      <c r="I15" s="536"/>
      <c r="J15" s="536"/>
      <c r="K15" s="536"/>
      <c r="L15" s="536"/>
      <c r="M15" s="536"/>
      <c r="N15" s="536"/>
      <c r="W15" s="207"/>
      <c r="X15" s="207"/>
      <c r="Y15" s="207"/>
      <c r="Z15" s="207"/>
      <c r="AA15" s="207"/>
      <c r="AB15" s="207"/>
      <c r="AC15" s="207"/>
      <c r="AD15" s="207"/>
    </row>
    <row r="16" spans="1:30">
      <c r="A16" s="371" t="s">
        <v>221</v>
      </c>
      <c r="B16" s="358" t="s">
        <v>214</v>
      </c>
      <c r="C16" s="372"/>
      <c r="D16" s="116"/>
      <c r="E16" s="373">
        <f>$C16*E14</f>
        <v>0</v>
      </c>
      <c r="F16" s="191"/>
      <c r="H16" s="352" t="s">
        <v>222</v>
      </c>
      <c r="I16" s="536"/>
      <c r="J16" s="536"/>
      <c r="K16" s="536"/>
      <c r="L16" s="536"/>
      <c r="M16" s="536"/>
      <c r="N16" s="536"/>
      <c r="W16" s="207"/>
      <c r="X16" s="207"/>
      <c r="Y16" s="207"/>
      <c r="Z16" s="207"/>
      <c r="AA16" s="207"/>
      <c r="AB16" s="207"/>
      <c r="AC16" s="207"/>
      <c r="AD16" s="207"/>
    </row>
    <row r="17" spans="1:30">
      <c r="A17" s="371" t="s">
        <v>223</v>
      </c>
      <c r="B17" s="358" t="s">
        <v>214</v>
      </c>
      <c r="C17" s="372"/>
      <c r="D17" s="116"/>
      <c r="E17" s="374">
        <f>$C17*E14</f>
        <v>0</v>
      </c>
      <c r="F17" s="191"/>
      <c r="H17" s="352" t="s">
        <v>224</v>
      </c>
      <c r="I17" s="536"/>
      <c r="J17" s="536"/>
      <c r="K17" s="536"/>
      <c r="L17" s="536"/>
      <c r="M17" s="536"/>
      <c r="N17" s="536"/>
      <c r="W17" s="207"/>
      <c r="X17" s="207"/>
      <c r="Y17" s="207"/>
      <c r="Z17" s="207"/>
      <c r="AA17" s="207"/>
      <c r="AB17" s="207"/>
      <c r="AC17" s="207"/>
      <c r="AD17" s="207"/>
    </row>
    <row r="18" spans="1:30">
      <c r="A18" s="363" t="s">
        <v>225</v>
      </c>
      <c r="B18" s="375"/>
      <c r="C18" s="376"/>
      <c r="D18" s="116"/>
      <c r="E18" s="366">
        <f>SUM(E14:E17)</f>
        <v>0</v>
      </c>
      <c r="F18" s="377">
        <f>IF(E18=0,0,E18/E$47)</f>
        <v>0</v>
      </c>
      <c r="H18" s="352" t="s">
        <v>226</v>
      </c>
      <c r="I18" s="536"/>
      <c r="J18" s="536"/>
      <c r="K18" s="536"/>
      <c r="L18" s="536"/>
      <c r="M18" s="536"/>
      <c r="N18" s="536"/>
      <c r="W18" s="207"/>
      <c r="X18" s="207"/>
      <c r="Y18" s="207"/>
      <c r="Z18" s="207"/>
      <c r="AA18" s="207"/>
      <c r="AB18" s="207"/>
      <c r="AC18" s="207"/>
      <c r="AD18" s="207"/>
    </row>
    <row r="19" spans="1:30">
      <c r="A19" s="367"/>
      <c r="B19" s="368"/>
      <c r="C19" s="369"/>
      <c r="D19" s="116"/>
      <c r="E19" s="370"/>
      <c r="F19" s="191"/>
      <c r="H19" s="2"/>
      <c r="I19" s="2"/>
      <c r="J19" s="2"/>
      <c r="K19" s="2"/>
      <c r="L19" s="2"/>
      <c r="M19" s="2"/>
      <c r="N19" s="2"/>
      <c r="W19" s="207"/>
      <c r="X19" s="207"/>
      <c r="Y19" s="207"/>
      <c r="Z19" s="207"/>
      <c r="AA19" s="207"/>
      <c r="AB19" s="207"/>
      <c r="AC19" s="207"/>
      <c r="AD19" s="207"/>
    </row>
    <row r="20" spans="1:30" ht="15">
      <c r="A20" s="378" t="s">
        <v>227</v>
      </c>
      <c r="B20" s="379"/>
      <c r="C20" s="369"/>
      <c r="D20" s="125"/>
      <c r="E20" s="380">
        <f>E18*0.96</f>
        <v>0</v>
      </c>
      <c r="F20" s="192"/>
      <c r="H20" s="349" t="s">
        <v>212</v>
      </c>
      <c r="I20" s="516" t="s">
        <v>228</v>
      </c>
      <c r="J20" s="517"/>
      <c r="K20" s="517"/>
      <c r="L20" s="517"/>
      <c r="M20" s="517"/>
      <c r="N20" s="518"/>
      <c r="W20" s="207"/>
      <c r="X20" s="207"/>
      <c r="Y20" s="207"/>
      <c r="Z20" s="207"/>
      <c r="AA20" s="207"/>
      <c r="AB20" s="207"/>
      <c r="AC20" s="207"/>
      <c r="AD20" s="207"/>
    </row>
    <row r="21" spans="1:30" ht="15" customHeight="1">
      <c r="A21" s="371" t="s">
        <v>229</v>
      </c>
      <c r="B21" s="379"/>
      <c r="C21" s="381" t="s">
        <v>230</v>
      </c>
      <c r="D21" s="116"/>
      <c r="E21" s="373" t="e">
        <f>E20*'5-Premies en opslagen'!$C24</f>
        <v>#DIV/0!</v>
      </c>
      <c r="F21" s="191"/>
      <c r="H21" s="352"/>
      <c r="I21" s="357">
        <v>1</v>
      </c>
      <c r="J21" s="357">
        <v>2</v>
      </c>
      <c r="K21" s="357">
        <v>3</v>
      </c>
      <c r="L21" s="357">
        <v>4</v>
      </c>
      <c r="M21" s="357">
        <v>5</v>
      </c>
      <c r="N21" s="357">
        <v>6</v>
      </c>
      <c r="O21" s="199"/>
      <c r="W21" s="207"/>
      <c r="X21" s="207"/>
      <c r="Y21" s="207"/>
      <c r="Z21" s="207"/>
      <c r="AA21" s="207"/>
      <c r="AB21" s="207"/>
      <c r="AC21" s="207"/>
      <c r="AD21" s="207"/>
    </row>
    <row r="22" spans="1:30">
      <c r="A22" s="363" t="s">
        <v>231</v>
      </c>
      <c r="B22" s="382"/>
      <c r="C22" s="376"/>
      <c r="D22" s="116"/>
      <c r="E22" s="366" t="e">
        <f>E21+E18</f>
        <v>#DIV/0!</v>
      </c>
      <c r="F22" s="377" t="e">
        <f>IF(E22=0,0,E22/E$47)</f>
        <v>#DIV/0!</v>
      </c>
      <c r="G22" s="126"/>
      <c r="H22" s="352" t="s">
        <v>215</v>
      </c>
      <c r="I22" s="383"/>
      <c r="J22" s="383"/>
      <c r="K22" s="383"/>
      <c r="L22" s="383"/>
      <c r="M22" s="383"/>
      <c r="N22" s="383"/>
      <c r="O22" s="182"/>
      <c r="W22" s="207"/>
      <c r="X22" s="207"/>
      <c r="Y22" s="207"/>
      <c r="Z22" s="207"/>
      <c r="AA22" s="207"/>
      <c r="AB22" s="207"/>
      <c r="AC22" s="207"/>
      <c r="AD22" s="207"/>
    </row>
    <row r="23" spans="1:30" s="13" customFormat="1">
      <c r="A23" s="367"/>
      <c r="B23" s="375"/>
      <c r="C23" s="376"/>
      <c r="D23" s="116"/>
      <c r="E23" s="355"/>
      <c r="F23" s="191"/>
      <c r="G23" s="55"/>
      <c r="H23" s="352" t="s">
        <v>217</v>
      </c>
      <c r="I23" s="384"/>
      <c r="J23" s="384"/>
      <c r="K23" s="384"/>
      <c r="L23" s="383"/>
      <c r="M23" s="383"/>
      <c r="N23" s="383"/>
      <c r="O23" s="182"/>
      <c r="P23" s="55"/>
      <c r="Q23" s="55"/>
      <c r="R23" s="55"/>
      <c r="S23" s="55"/>
      <c r="T23" s="55"/>
      <c r="U23" s="55"/>
      <c r="V23" s="2"/>
      <c r="W23" s="207"/>
      <c r="X23" s="207"/>
      <c r="Y23" s="207"/>
      <c r="Z23" s="207"/>
      <c r="AA23" s="207"/>
      <c r="AB23" s="207"/>
      <c r="AC23" s="207"/>
      <c r="AD23" s="207"/>
    </row>
    <row r="24" spans="1:30" ht="14.25" customHeight="1">
      <c r="A24" s="371" t="s">
        <v>232</v>
      </c>
      <c r="B24" s="379"/>
      <c r="C24" s="381" t="s">
        <v>230</v>
      </c>
      <c r="D24" s="116"/>
      <c r="E24" s="373" t="e">
        <f>E22*'5-Premies en opslagen'!$B53</f>
        <v>#DIV/0!</v>
      </c>
      <c r="F24" s="191"/>
      <c r="H24" s="352" t="s">
        <v>219</v>
      </c>
      <c r="I24" s="385"/>
      <c r="J24" s="384"/>
      <c r="K24" s="384"/>
      <c r="L24" s="383"/>
      <c r="M24" s="383"/>
      <c r="N24" s="383"/>
      <c r="O24" s="182"/>
      <c r="W24" s="207"/>
      <c r="X24" s="207"/>
      <c r="Y24" s="207"/>
      <c r="Z24" s="207"/>
      <c r="AA24" s="207"/>
      <c r="AB24" s="207"/>
      <c r="AC24" s="207"/>
      <c r="AD24" s="207"/>
    </row>
    <row r="25" spans="1:30" ht="12.75" customHeight="1">
      <c r="A25" s="363" t="s">
        <v>233</v>
      </c>
      <c r="B25" s="375"/>
      <c r="C25" s="376"/>
      <c r="D25" s="116"/>
      <c r="E25" s="366" t="e">
        <f>SUM(E22:E24)</f>
        <v>#DIV/0!</v>
      </c>
      <c r="F25" s="377" t="e">
        <f>IF(E25=0,0,E25/E$47)</f>
        <v>#DIV/0!</v>
      </c>
      <c r="H25" s="352" t="s">
        <v>220</v>
      </c>
      <c r="I25" s="385"/>
      <c r="J25" s="384"/>
      <c r="K25" s="384"/>
      <c r="L25" s="383"/>
      <c r="M25" s="383"/>
      <c r="N25" s="383"/>
      <c r="O25" s="182"/>
      <c r="W25" s="207"/>
      <c r="X25" s="207"/>
      <c r="Y25" s="207"/>
      <c r="Z25" s="207"/>
      <c r="AA25" s="207"/>
      <c r="AB25" s="207"/>
      <c r="AC25" s="207"/>
      <c r="AD25" s="207"/>
    </row>
    <row r="26" spans="1:30" ht="12.75" customHeight="1">
      <c r="A26" s="367"/>
      <c r="B26" s="375"/>
      <c r="C26" s="376"/>
      <c r="D26" s="116"/>
      <c r="E26" s="355"/>
      <c r="F26" s="191"/>
      <c r="H26" s="352" t="s">
        <v>222</v>
      </c>
      <c r="I26" s="385"/>
      <c r="J26" s="384"/>
      <c r="K26" s="384"/>
      <c r="L26" s="383"/>
      <c r="M26" s="383"/>
      <c r="N26" s="383"/>
      <c r="O26" s="182"/>
    </row>
    <row r="27" spans="1:30">
      <c r="A27" s="367" t="s">
        <v>234</v>
      </c>
      <c r="B27" s="386"/>
      <c r="C27" s="361" t="s">
        <v>235</v>
      </c>
      <c r="D27" s="116"/>
      <c r="E27" s="362"/>
      <c r="F27" s="191">
        <v>0</v>
      </c>
      <c r="H27" s="352" t="s">
        <v>224</v>
      </c>
      <c r="I27" s="385"/>
      <c r="J27" s="384"/>
      <c r="K27" s="384"/>
      <c r="L27" s="383"/>
      <c r="M27" s="383"/>
      <c r="N27" s="383"/>
      <c r="O27" s="182"/>
    </row>
    <row r="28" spans="1:30">
      <c r="A28" s="367" t="s">
        <v>236</v>
      </c>
      <c r="B28" s="387"/>
      <c r="C28" s="361" t="s">
        <v>235</v>
      </c>
      <c r="D28" s="116"/>
      <c r="E28" s="362"/>
      <c r="F28" s="191">
        <v>0</v>
      </c>
      <c r="H28" s="352" t="s">
        <v>226</v>
      </c>
      <c r="I28" s="385"/>
      <c r="J28" s="384"/>
      <c r="K28" s="384"/>
      <c r="L28" s="383"/>
      <c r="M28" s="383"/>
      <c r="N28" s="383"/>
      <c r="O28" s="182"/>
    </row>
    <row r="29" spans="1:30">
      <c r="A29" s="367" t="s">
        <v>237</v>
      </c>
      <c r="B29" s="375"/>
      <c r="C29" s="376" t="s">
        <v>5</v>
      </c>
      <c r="D29" s="116"/>
      <c r="E29" s="362"/>
      <c r="F29" s="191"/>
      <c r="H29" s="388" t="s">
        <v>238</v>
      </c>
      <c r="I29" s="389">
        <f t="shared" ref="I29:N29" si="0">SUM(I22:I28)</f>
        <v>0</v>
      </c>
      <c r="J29" s="389">
        <f t="shared" si="0"/>
        <v>0</v>
      </c>
      <c r="K29" s="389">
        <f t="shared" si="0"/>
        <v>0</v>
      </c>
      <c r="L29" s="389">
        <f t="shared" si="0"/>
        <v>0</v>
      </c>
      <c r="M29" s="389">
        <f t="shared" si="0"/>
        <v>0</v>
      </c>
      <c r="N29" s="389">
        <f t="shared" si="0"/>
        <v>0</v>
      </c>
      <c r="O29" s="390">
        <f>SUM(I29:N29)</f>
        <v>0</v>
      </c>
    </row>
    <row r="30" spans="1:30">
      <c r="A30" s="371" t="s">
        <v>239</v>
      </c>
      <c r="B30" s="358"/>
      <c r="C30" s="361" t="s">
        <v>235</v>
      </c>
      <c r="D30" s="116"/>
      <c r="E30" s="362"/>
      <c r="F30" s="191"/>
    </row>
    <row r="31" spans="1:30">
      <c r="A31" s="391"/>
      <c r="B31" s="392"/>
      <c r="C31" s="393" t="s">
        <v>5</v>
      </c>
      <c r="D31" s="116"/>
      <c r="E31" s="362"/>
      <c r="F31" s="191"/>
      <c r="H31" s="75"/>
      <c r="I31" s="217"/>
      <c r="J31" s="217"/>
      <c r="K31" s="217"/>
      <c r="L31" s="217"/>
      <c r="M31" s="217"/>
      <c r="N31" s="217"/>
      <c r="O31" s="217"/>
    </row>
    <row r="32" spans="1:30" ht="15">
      <c r="A32" s="363" t="s">
        <v>240</v>
      </c>
      <c r="B32" s="375"/>
      <c r="C32" s="376"/>
      <c r="D32" s="116"/>
      <c r="E32" s="366" t="e">
        <f>SUM(E25:E31)</f>
        <v>#DIV/0!</v>
      </c>
      <c r="F32" s="377" t="e">
        <f>IF(E32=0,0,E32/E$47)</f>
        <v>#DIV/0!</v>
      </c>
      <c r="H32" s="349" t="s">
        <v>212</v>
      </c>
      <c r="I32" s="516" t="s">
        <v>241</v>
      </c>
      <c r="J32" s="517"/>
      <c r="K32" s="517"/>
      <c r="L32" s="517"/>
      <c r="M32" s="517"/>
      <c r="N32" s="518"/>
    </row>
    <row r="33" spans="1:15" ht="12.75" customHeight="1">
      <c r="A33" s="367"/>
      <c r="B33" s="375"/>
      <c r="C33" s="376"/>
      <c r="D33" s="116"/>
      <c r="E33" s="355"/>
      <c r="F33" s="191"/>
      <c r="H33" s="352"/>
      <c r="I33" s="394">
        <v>1</v>
      </c>
      <c r="J33" s="394">
        <v>2</v>
      </c>
      <c r="K33" s="394">
        <v>3</v>
      </c>
      <c r="L33" s="394">
        <v>4</v>
      </c>
      <c r="M33" s="394">
        <v>5</v>
      </c>
      <c r="N33" s="394">
        <v>6</v>
      </c>
    </row>
    <row r="34" spans="1:15" ht="12.75" customHeight="1">
      <c r="A34" s="367" t="s">
        <v>242</v>
      </c>
      <c r="B34" s="375"/>
      <c r="C34" s="395"/>
      <c r="D34" s="116"/>
      <c r="E34" s="362"/>
      <c r="F34" s="193" t="e">
        <f t="shared" ref="F34:F41" si="1">E34/$E$47</f>
        <v>#DIV/0!</v>
      </c>
      <c r="H34" s="352" t="s">
        <v>215</v>
      </c>
      <c r="I34" s="396">
        <f t="shared" ref="I34:N40" si="2">I22*I12</f>
        <v>0</v>
      </c>
      <c r="J34" s="396">
        <f t="shared" si="2"/>
        <v>0</v>
      </c>
      <c r="K34" s="396">
        <f t="shared" si="2"/>
        <v>0</v>
      </c>
      <c r="L34" s="396">
        <f t="shared" si="2"/>
        <v>0</v>
      </c>
      <c r="M34" s="396">
        <f t="shared" si="2"/>
        <v>0</v>
      </c>
      <c r="N34" s="397">
        <f t="shared" si="2"/>
        <v>0</v>
      </c>
    </row>
    <row r="35" spans="1:15" ht="12.75" customHeight="1">
      <c r="A35" s="367" t="s">
        <v>243</v>
      </c>
      <c r="B35" s="375"/>
      <c r="C35" s="395"/>
      <c r="D35" s="116"/>
      <c r="E35" s="362"/>
      <c r="F35" s="193" t="e">
        <f t="shared" si="1"/>
        <v>#DIV/0!</v>
      </c>
      <c r="H35" s="352" t="s">
        <v>217</v>
      </c>
      <c r="I35" s="396">
        <f t="shared" si="2"/>
        <v>0</v>
      </c>
      <c r="J35" s="396">
        <f t="shared" si="2"/>
        <v>0</v>
      </c>
      <c r="K35" s="396">
        <f t="shared" si="2"/>
        <v>0</v>
      </c>
      <c r="L35" s="396">
        <f t="shared" si="2"/>
        <v>0</v>
      </c>
      <c r="M35" s="396">
        <f t="shared" si="2"/>
        <v>0</v>
      </c>
      <c r="N35" s="397">
        <f t="shared" si="2"/>
        <v>0</v>
      </c>
    </row>
    <row r="36" spans="1:15" ht="12.75" customHeight="1">
      <c r="A36" s="367" t="s">
        <v>244</v>
      </c>
      <c r="B36" s="375"/>
      <c r="C36" s="395"/>
      <c r="D36" s="116"/>
      <c r="E36" s="362"/>
      <c r="F36" s="193" t="e">
        <f t="shared" si="1"/>
        <v>#DIV/0!</v>
      </c>
      <c r="H36" s="352" t="s">
        <v>219</v>
      </c>
      <c r="I36" s="396">
        <f t="shared" si="2"/>
        <v>0</v>
      </c>
      <c r="J36" s="396">
        <f t="shared" si="2"/>
        <v>0</v>
      </c>
      <c r="K36" s="396">
        <f t="shared" si="2"/>
        <v>0</v>
      </c>
      <c r="L36" s="396">
        <f t="shared" si="2"/>
        <v>0</v>
      </c>
      <c r="M36" s="396">
        <f t="shared" si="2"/>
        <v>0</v>
      </c>
      <c r="N36" s="397">
        <f t="shared" si="2"/>
        <v>0</v>
      </c>
    </row>
    <row r="37" spans="1:15" ht="12.75" customHeight="1">
      <c r="A37" s="367" t="s">
        <v>245</v>
      </c>
      <c r="B37" s="375"/>
      <c r="C37" s="398"/>
      <c r="D37" s="116"/>
      <c r="E37" s="362"/>
      <c r="F37" s="193" t="e">
        <f t="shared" si="1"/>
        <v>#DIV/0!</v>
      </c>
      <c r="H37" s="352" t="s">
        <v>220</v>
      </c>
      <c r="I37" s="396">
        <f t="shared" si="2"/>
        <v>0</v>
      </c>
      <c r="J37" s="396">
        <f t="shared" si="2"/>
        <v>0</v>
      </c>
      <c r="K37" s="396">
        <f t="shared" si="2"/>
        <v>0</v>
      </c>
      <c r="L37" s="396">
        <f t="shared" si="2"/>
        <v>0</v>
      </c>
      <c r="M37" s="396">
        <f t="shared" si="2"/>
        <v>0</v>
      </c>
      <c r="N37" s="397">
        <f t="shared" si="2"/>
        <v>0</v>
      </c>
      <c r="O37" s="126"/>
    </row>
    <row r="38" spans="1:15" ht="14.25" customHeight="1">
      <c r="A38" s="367" t="s">
        <v>246</v>
      </c>
      <c r="B38" s="375"/>
      <c r="C38" s="395"/>
      <c r="D38" s="116"/>
      <c r="E38" s="362"/>
      <c r="F38" s="193" t="e">
        <f t="shared" si="1"/>
        <v>#DIV/0!</v>
      </c>
      <c r="H38" s="352" t="s">
        <v>222</v>
      </c>
      <c r="I38" s="396">
        <f t="shared" si="2"/>
        <v>0</v>
      </c>
      <c r="J38" s="396">
        <f t="shared" si="2"/>
        <v>0</v>
      </c>
      <c r="K38" s="396">
        <f t="shared" si="2"/>
        <v>0</v>
      </c>
      <c r="L38" s="396">
        <f t="shared" si="2"/>
        <v>0</v>
      </c>
      <c r="M38" s="396">
        <f t="shared" si="2"/>
        <v>0</v>
      </c>
      <c r="N38" s="397">
        <f t="shared" si="2"/>
        <v>0</v>
      </c>
      <c r="O38" s="126"/>
    </row>
    <row r="39" spans="1:15">
      <c r="A39" s="367" t="s">
        <v>247</v>
      </c>
      <c r="B39" s="375"/>
      <c r="C39" s="398"/>
      <c r="D39" s="116"/>
      <c r="E39" s="362"/>
      <c r="F39" s="193" t="e">
        <f t="shared" si="1"/>
        <v>#DIV/0!</v>
      </c>
      <c r="H39" s="352" t="s">
        <v>224</v>
      </c>
      <c r="I39" s="396">
        <f t="shared" si="2"/>
        <v>0</v>
      </c>
      <c r="J39" s="396">
        <f t="shared" si="2"/>
        <v>0</v>
      </c>
      <c r="K39" s="396">
        <f t="shared" si="2"/>
        <v>0</v>
      </c>
      <c r="L39" s="396">
        <f t="shared" si="2"/>
        <v>0</v>
      </c>
      <c r="M39" s="396">
        <f t="shared" si="2"/>
        <v>0</v>
      </c>
      <c r="N39" s="397">
        <f t="shared" si="2"/>
        <v>0</v>
      </c>
      <c r="O39" s="126"/>
    </row>
    <row r="40" spans="1:15">
      <c r="A40" s="367" t="s">
        <v>248</v>
      </c>
      <c r="B40" s="375"/>
      <c r="C40" s="361" t="s">
        <v>235</v>
      </c>
      <c r="D40" s="116"/>
      <c r="E40" s="362"/>
      <c r="F40" s="193" t="e">
        <f t="shared" si="1"/>
        <v>#DIV/0!</v>
      </c>
      <c r="H40" s="352" t="s">
        <v>226</v>
      </c>
      <c r="I40" s="396">
        <f t="shared" si="2"/>
        <v>0</v>
      </c>
      <c r="J40" s="396">
        <f t="shared" si="2"/>
        <v>0</v>
      </c>
      <c r="K40" s="396">
        <f t="shared" si="2"/>
        <v>0</v>
      </c>
      <c r="L40" s="396">
        <f t="shared" si="2"/>
        <v>0</v>
      </c>
      <c r="M40" s="396">
        <f t="shared" si="2"/>
        <v>0</v>
      </c>
      <c r="N40" s="397">
        <f t="shared" si="2"/>
        <v>0</v>
      </c>
      <c r="O40" s="126"/>
    </row>
    <row r="41" spans="1:15">
      <c r="A41" s="367" t="s">
        <v>249</v>
      </c>
      <c r="B41" s="375"/>
      <c r="C41" s="361"/>
      <c r="D41" s="116"/>
      <c r="E41" s="362"/>
      <c r="F41" s="193" t="e">
        <f t="shared" si="1"/>
        <v>#DIV/0!</v>
      </c>
      <c r="H41" s="388" t="s">
        <v>238</v>
      </c>
      <c r="I41" s="399">
        <f t="shared" ref="I41:N41" si="3">SUM(I34:I40)</f>
        <v>0</v>
      </c>
      <c r="J41" s="399">
        <f t="shared" si="3"/>
        <v>0</v>
      </c>
      <c r="K41" s="399">
        <f t="shared" si="3"/>
        <v>0</v>
      </c>
      <c r="L41" s="399">
        <f t="shared" si="3"/>
        <v>0</v>
      </c>
      <c r="M41" s="399">
        <f t="shared" si="3"/>
        <v>0</v>
      </c>
      <c r="N41" s="399">
        <f t="shared" si="3"/>
        <v>0</v>
      </c>
      <c r="O41" s="126"/>
    </row>
    <row r="42" spans="1:15">
      <c r="A42" s="391"/>
      <c r="B42" s="392"/>
      <c r="C42" s="400"/>
      <c r="D42" s="116"/>
      <c r="E42" s="362"/>
      <c r="F42" s="191"/>
      <c r="H42" s="126"/>
      <c r="I42" s="126"/>
      <c r="J42" s="126"/>
      <c r="K42" s="126"/>
      <c r="L42" s="126"/>
      <c r="M42" s="126"/>
      <c r="N42" s="126"/>
      <c r="O42" s="126"/>
    </row>
    <row r="43" spans="1:15">
      <c r="A43" s="363" t="s">
        <v>250</v>
      </c>
      <c r="B43" s="375"/>
      <c r="C43" s="376"/>
      <c r="D43" s="116"/>
      <c r="E43" s="366" t="e">
        <f>SUM(E32:E42)</f>
        <v>#DIV/0!</v>
      </c>
      <c r="F43" s="377" t="e">
        <f>IF(E43=0,0,E43/E$47)</f>
        <v>#DIV/0!</v>
      </c>
      <c r="H43" s="126"/>
      <c r="I43" s="126"/>
      <c r="J43" s="126"/>
      <c r="K43" s="126"/>
      <c r="L43" s="126"/>
      <c r="M43" s="126"/>
      <c r="N43" s="126"/>
      <c r="O43" s="126"/>
    </row>
    <row r="44" spans="1:15" ht="45">
      <c r="A44" s="367"/>
      <c r="B44" s="375"/>
      <c r="C44" s="376"/>
      <c r="D44" s="116"/>
      <c r="E44" s="355"/>
      <c r="F44" s="194"/>
      <c r="G44" s="216"/>
      <c r="H44" s="519" t="s">
        <v>251</v>
      </c>
      <c r="I44" s="520"/>
      <c r="J44" s="521"/>
      <c r="K44" s="401" t="s">
        <v>211</v>
      </c>
      <c r="L44" s="126"/>
      <c r="M44" s="126"/>
      <c r="N44" s="126"/>
      <c r="O44" s="126"/>
    </row>
    <row r="45" spans="1:15">
      <c r="A45" s="367" t="s">
        <v>252</v>
      </c>
      <c r="B45" s="375"/>
      <c r="C45" s="398"/>
      <c r="D45" s="116"/>
      <c r="E45" s="362"/>
      <c r="F45" s="377">
        <f>(IF(E45=0,0,E45/E$47))</f>
        <v>0</v>
      </c>
      <c r="H45" s="352"/>
      <c r="I45" s="353" t="s">
        <v>5</v>
      </c>
      <c r="J45" s="354" t="s">
        <v>5</v>
      </c>
      <c r="K45" s="355"/>
      <c r="L45" s="126"/>
      <c r="M45" s="126"/>
      <c r="N45" s="126"/>
    </row>
    <row r="46" spans="1:15">
      <c r="A46" s="367"/>
      <c r="B46" s="402"/>
      <c r="C46" s="376"/>
      <c r="D46" s="116"/>
      <c r="E46" s="355"/>
      <c r="F46" s="191"/>
      <c r="H46" s="403" t="s">
        <v>218</v>
      </c>
      <c r="I46" s="404"/>
      <c r="J46" s="405"/>
      <c r="K46" s="366">
        <f>E14</f>
        <v>0</v>
      </c>
      <c r="L46" s="126"/>
      <c r="M46" s="126"/>
      <c r="N46" s="126"/>
    </row>
    <row r="47" spans="1:15">
      <c r="A47" s="363" t="s">
        <v>253</v>
      </c>
      <c r="B47" s="406"/>
      <c r="C47" s="407"/>
      <c r="D47" s="116"/>
      <c r="E47" s="195" t="e">
        <f>SUM(E43:E46)</f>
        <v>#DIV/0!</v>
      </c>
      <c r="F47" s="196" t="e">
        <f>SUM(F43:F46)</f>
        <v>#DIV/0!</v>
      </c>
      <c r="H47" s="128" t="s">
        <v>221</v>
      </c>
      <c r="I47" s="129"/>
      <c r="J47" s="130"/>
      <c r="K47" s="373">
        <f>E16</f>
        <v>0</v>
      </c>
      <c r="L47" s="126"/>
      <c r="M47" s="126"/>
      <c r="N47" s="126"/>
    </row>
    <row r="48" spans="1:15">
      <c r="B48" s="127"/>
      <c r="C48" s="408"/>
      <c r="D48" s="116"/>
      <c r="E48" s="182"/>
      <c r="F48" s="197"/>
      <c r="H48" s="371" t="s">
        <v>223</v>
      </c>
      <c r="I48" s="129"/>
      <c r="J48" s="130"/>
      <c r="K48" s="374">
        <f>E17</f>
        <v>0</v>
      </c>
      <c r="L48" s="126"/>
      <c r="M48" s="126"/>
      <c r="N48" s="126"/>
    </row>
    <row r="49" spans="1:26">
      <c r="A49" s="409" t="s">
        <v>254</v>
      </c>
      <c r="B49" s="410"/>
      <c r="C49" s="411"/>
      <c r="D49" s="126"/>
      <c r="E49" s="412" t="e">
        <f>(E$25*1.3)+($E$47-$E$25)</f>
        <v>#DIV/0!</v>
      </c>
      <c r="F49" s="198"/>
      <c r="H49" s="371" t="s">
        <v>229</v>
      </c>
      <c r="I49" s="129"/>
      <c r="J49" s="130"/>
      <c r="K49" s="373" t="e">
        <f>E21</f>
        <v>#DIV/0!</v>
      </c>
      <c r="L49" s="126"/>
      <c r="M49" s="126"/>
      <c r="N49" s="126"/>
      <c r="O49" s="126"/>
    </row>
    <row r="50" spans="1:26">
      <c r="A50" s="126"/>
      <c r="B50" s="131"/>
      <c r="C50" s="132"/>
      <c r="D50" s="126"/>
      <c r="E50" s="199"/>
      <c r="F50" s="199"/>
      <c r="H50" s="371" t="s">
        <v>232</v>
      </c>
      <c r="I50" s="379"/>
      <c r="J50" s="381"/>
      <c r="K50" s="373" t="e">
        <f>E24</f>
        <v>#DIV/0!</v>
      </c>
      <c r="L50" s="126"/>
      <c r="M50" s="126"/>
      <c r="N50" s="126"/>
      <c r="O50" s="126"/>
    </row>
    <row r="51" spans="1:26">
      <c r="A51" s="409" t="s">
        <v>255</v>
      </c>
      <c r="B51" s="410"/>
      <c r="C51" s="411"/>
      <c r="D51" s="126"/>
      <c r="E51" s="412" t="e">
        <f>(E$25*1.5)+($E$47-$E$25)</f>
        <v>#DIV/0!</v>
      </c>
      <c r="F51" s="198"/>
      <c r="G51" s="126"/>
      <c r="H51" s="367" t="s">
        <v>234</v>
      </c>
      <c r="I51" s="386"/>
      <c r="J51" s="361"/>
      <c r="K51" s="360">
        <f>E27</f>
        <v>0</v>
      </c>
      <c r="L51" s="126"/>
      <c r="M51" s="126"/>
      <c r="N51" s="126"/>
      <c r="O51" s="126"/>
    </row>
    <row r="52" spans="1:26" s="13" customFormat="1">
      <c r="A52" s="126"/>
      <c r="B52" s="131"/>
      <c r="C52" s="132"/>
      <c r="D52" s="126"/>
      <c r="E52" s="199"/>
      <c r="F52" s="199"/>
      <c r="G52" s="126"/>
      <c r="H52" s="367" t="s">
        <v>236</v>
      </c>
      <c r="I52" s="387"/>
      <c r="J52" s="361"/>
      <c r="K52" s="360">
        <f>E28</f>
        <v>0</v>
      </c>
      <c r="L52" s="126"/>
      <c r="M52" s="55"/>
      <c r="N52" s="126"/>
      <c r="O52" s="126"/>
      <c r="P52" s="55"/>
      <c r="Q52" s="55"/>
      <c r="R52" s="55"/>
      <c r="S52" s="55"/>
      <c r="T52" s="55"/>
      <c r="U52" s="55"/>
      <c r="V52" s="2"/>
      <c r="W52" s="2"/>
      <c r="X52" s="2"/>
      <c r="Y52" s="2"/>
      <c r="Z52" s="2"/>
    </row>
    <row r="53" spans="1:26" s="13" customFormat="1">
      <c r="A53" s="409" t="s">
        <v>256</v>
      </c>
      <c r="B53" s="410"/>
      <c r="C53" s="411"/>
      <c r="D53" s="126"/>
      <c r="E53" s="412" t="e">
        <f>(E$25*2.5)+($E$47-$E$25)</f>
        <v>#DIV/0!</v>
      </c>
      <c r="F53" s="199"/>
      <c r="G53" s="126"/>
      <c r="H53" s="367" t="s">
        <v>237</v>
      </c>
      <c r="I53" s="375"/>
      <c r="J53" s="376" t="s">
        <v>5</v>
      </c>
      <c r="K53" s="360">
        <f>E29</f>
        <v>0</v>
      </c>
      <c r="L53" s="126"/>
      <c r="M53" s="55"/>
      <c r="N53" s="126"/>
      <c r="O53" s="126"/>
      <c r="P53" s="126"/>
      <c r="Q53" s="126"/>
      <c r="R53" s="126"/>
      <c r="S53" s="126"/>
      <c r="T53" s="126"/>
      <c r="U53" s="126"/>
    </row>
    <row r="54" spans="1:26" s="13" customFormat="1">
      <c r="A54" s="126"/>
      <c r="B54" s="131"/>
      <c r="C54" s="133"/>
      <c r="D54" s="126"/>
      <c r="E54" s="126"/>
      <c r="F54" s="134"/>
      <c r="G54" s="126"/>
      <c r="H54" s="367" t="s">
        <v>242</v>
      </c>
      <c r="I54" s="375"/>
      <c r="J54" s="395"/>
      <c r="K54" s="360">
        <f t="shared" ref="K54:K61" si="4">E34</f>
        <v>0</v>
      </c>
      <c r="L54" s="126"/>
      <c r="M54" s="55"/>
      <c r="N54" s="126"/>
      <c r="O54" s="126"/>
      <c r="P54" s="126"/>
      <c r="Q54" s="126"/>
      <c r="R54" s="126"/>
      <c r="S54" s="126"/>
      <c r="T54" s="126"/>
      <c r="U54" s="126"/>
    </row>
    <row r="55" spans="1:26" s="13" customFormat="1">
      <c r="A55" s="126"/>
      <c r="B55" s="131"/>
      <c r="C55" s="133"/>
      <c r="D55" s="126"/>
      <c r="E55" s="126"/>
      <c r="F55" s="134"/>
      <c r="G55" s="126"/>
      <c r="H55" s="367" t="s">
        <v>243</v>
      </c>
      <c r="I55" s="375"/>
      <c r="J55" s="395"/>
      <c r="K55" s="360">
        <f t="shared" si="4"/>
        <v>0</v>
      </c>
      <c r="L55" s="126"/>
      <c r="M55" s="55"/>
      <c r="N55" s="126"/>
      <c r="O55" s="126"/>
      <c r="P55" s="126"/>
      <c r="Q55" s="126"/>
      <c r="R55" s="126"/>
      <c r="S55" s="126"/>
      <c r="T55" s="126"/>
      <c r="U55" s="126"/>
    </row>
    <row r="56" spans="1:26" s="13" customFormat="1">
      <c r="A56" s="126"/>
      <c r="B56" s="126"/>
      <c r="C56" s="135"/>
      <c r="D56" s="126"/>
      <c r="E56" s="126"/>
      <c r="F56" s="134"/>
      <c r="G56" s="126"/>
      <c r="H56" s="367" t="s">
        <v>244</v>
      </c>
      <c r="I56" s="375"/>
      <c r="J56" s="395"/>
      <c r="K56" s="360">
        <f t="shared" si="4"/>
        <v>0</v>
      </c>
      <c r="L56" s="126"/>
      <c r="M56" s="55"/>
      <c r="N56" s="126"/>
      <c r="O56" s="126"/>
      <c r="P56" s="126"/>
      <c r="Q56" s="126"/>
      <c r="R56" s="126"/>
      <c r="S56" s="126"/>
      <c r="T56" s="126"/>
      <c r="U56" s="126"/>
    </row>
    <row r="57" spans="1:26" s="13" customFormat="1">
      <c r="A57" s="126"/>
      <c r="B57" s="126"/>
      <c r="C57" s="135"/>
      <c r="D57" s="126"/>
      <c r="E57" s="126"/>
      <c r="F57" s="134"/>
      <c r="G57" s="126"/>
      <c r="H57" s="367" t="s">
        <v>245</v>
      </c>
      <c r="I57" s="375"/>
      <c r="J57" s="398"/>
      <c r="K57" s="360">
        <f t="shared" si="4"/>
        <v>0</v>
      </c>
      <c r="L57" s="126"/>
      <c r="M57" s="55"/>
      <c r="N57" s="126"/>
      <c r="O57" s="126"/>
      <c r="P57" s="126"/>
      <c r="Q57" s="126"/>
      <c r="R57" s="126"/>
      <c r="S57" s="126"/>
      <c r="T57" s="126"/>
      <c r="U57" s="126"/>
    </row>
    <row r="58" spans="1:26" s="13" customFormat="1">
      <c r="A58" s="55"/>
      <c r="B58" s="126"/>
      <c r="C58" s="135"/>
      <c r="D58" s="126"/>
      <c r="E58" s="126"/>
      <c r="F58" s="134"/>
      <c r="G58" s="126"/>
      <c r="H58" s="367" t="s">
        <v>246</v>
      </c>
      <c r="I58" s="375"/>
      <c r="J58" s="395"/>
      <c r="K58" s="360">
        <f t="shared" si="4"/>
        <v>0</v>
      </c>
      <c r="L58" s="126"/>
      <c r="M58" s="55"/>
      <c r="N58" s="126"/>
      <c r="O58" s="126"/>
      <c r="P58" s="126"/>
      <c r="Q58" s="126"/>
      <c r="R58" s="126"/>
      <c r="S58" s="126"/>
      <c r="T58" s="126"/>
      <c r="U58" s="126"/>
    </row>
    <row r="59" spans="1:26" s="13" customFormat="1">
      <c r="A59" s="126"/>
      <c r="B59" s="126"/>
      <c r="C59" s="135"/>
      <c r="D59" s="135"/>
      <c r="E59" s="135"/>
      <c r="F59" s="135"/>
      <c r="G59" s="126"/>
      <c r="H59" s="367" t="s">
        <v>247</v>
      </c>
      <c r="I59" s="375"/>
      <c r="J59" s="398"/>
      <c r="K59" s="360">
        <f t="shared" si="4"/>
        <v>0</v>
      </c>
      <c r="L59" s="126"/>
      <c r="M59" s="55"/>
      <c r="N59" s="55"/>
      <c r="O59" s="126"/>
      <c r="P59" s="126"/>
      <c r="Q59" s="126"/>
      <c r="R59" s="126"/>
      <c r="S59" s="126"/>
      <c r="T59" s="126"/>
      <c r="U59" s="126"/>
    </row>
    <row r="60" spans="1:26" s="13" customFormat="1">
      <c r="A60" s="126"/>
      <c r="B60" s="126"/>
      <c r="C60" s="135"/>
      <c r="D60" s="126"/>
      <c r="E60" s="126"/>
      <c r="F60" s="134"/>
      <c r="G60" s="126"/>
      <c r="H60" s="367" t="s">
        <v>248</v>
      </c>
      <c r="I60" s="375"/>
      <c r="J60" s="361"/>
      <c r="K60" s="360">
        <f t="shared" si="4"/>
        <v>0</v>
      </c>
      <c r="L60" s="126"/>
      <c r="M60" s="55"/>
      <c r="N60" s="55"/>
      <c r="O60" s="126"/>
      <c r="P60" s="126"/>
      <c r="Q60" s="126"/>
      <c r="R60" s="126"/>
      <c r="S60" s="126"/>
      <c r="T60" s="126"/>
      <c r="U60" s="126"/>
    </row>
    <row r="61" spans="1:26" s="13" customFormat="1">
      <c r="A61" s="126"/>
      <c r="B61" s="126"/>
      <c r="C61" s="135"/>
      <c r="D61" s="126"/>
      <c r="E61" s="126"/>
      <c r="F61" s="134"/>
      <c r="G61" s="126"/>
      <c r="H61" s="367" t="s">
        <v>257</v>
      </c>
      <c r="I61" s="375"/>
      <c r="J61" s="361"/>
      <c r="K61" s="360">
        <f t="shared" si="4"/>
        <v>0</v>
      </c>
      <c r="L61" s="126"/>
      <c r="M61" s="55"/>
      <c r="N61" s="55"/>
      <c r="O61" s="126"/>
      <c r="P61" s="126"/>
      <c r="Q61" s="126"/>
      <c r="R61" s="126"/>
      <c r="S61" s="126"/>
      <c r="T61" s="126"/>
      <c r="U61" s="126"/>
    </row>
    <row r="62" spans="1:26" s="13" customFormat="1">
      <c r="A62" s="126"/>
      <c r="B62" s="126"/>
      <c r="C62" s="135"/>
      <c r="D62" s="126"/>
      <c r="E62" s="126"/>
      <c r="F62" s="134"/>
      <c r="G62" s="126"/>
      <c r="H62" s="367" t="s">
        <v>252</v>
      </c>
      <c r="I62" s="375"/>
      <c r="J62" s="398"/>
      <c r="K62" s="360">
        <f>E45</f>
        <v>0</v>
      </c>
      <c r="L62" s="126"/>
      <c r="M62" s="55"/>
      <c r="N62" s="55"/>
      <c r="O62" s="126"/>
      <c r="P62" s="126"/>
      <c r="Q62" s="126"/>
      <c r="R62" s="126"/>
      <c r="S62" s="126"/>
      <c r="T62" s="126"/>
      <c r="U62" s="126"/>
    </row>
    <row r="63" spans="1:26" s="13" customFormat="1">
      <c r="A63" s="126"/>
      <c r="B63" s="126"/>
      <c r="C63" s="135"/>
      <c r="D63" s="126"/>
      <c r="E63" s="126"/>
      <c r="F63" s="134"/>
      <c r="G63" s="126"/>
      <c r="H63" s="367"/>
      <c r="I63" s="402"/>
      <c r="J63" s="376"/>
      <c r="K63" s="355"/>
      <c r="L63" s="126"/>
      <c r="M63" s="55"/>
      <c r="N63" s="55"/>
      <c r="O63" s="126"/>
      <c r="P63" s="126"/>
      <c r="Q63" s="126"/>
      <c r="R63" s="126"/>
      <c r="S63" s="126"/>
      <c r="T63" s="126"/>
      <c r="U63" s="126"/>
    </row>
    <row r="64" spans="1:26" s="13" customFormat="1">
      <c r="A64" s="126"/>
      <c r="B64" s="126"/>
      <c r="C64" s="135"/>
      <c r="D64" s="126"/>
      <c r="E64" s="126"/>
      <c r="F64" s="134"/>
      <c r="G64" s="126"/>
      <c r="H64" s="363" t="s">
        <v>253</v>
      </c>
      <c r="I64" s="406"/>
      <c r="J64" s="407"/>
      <c r="K64" s="195" t="e">
        <f>SUM(K46:K63)</f>
        <v>#DIV/0!</v>
      </c>
      <c r="L64" s="126"/>
      <c r="M64" s="55"/>
      <c r="N64" s="55"/>
      <c r="O64" s="126"/>
      <c r="P64" s="126"/>
      <c r="Q64" s="126"/>
      <c r="R64" s="126"/>
      <c r="S64" s="126"/>
      <c r="T64" s="126"/>
      <c r="U64" s="126"/>
    </row>
    <row r="65" spans="1:22" s="13" customFormat="1">
      <c r="A65" s="126"/>
      <c r="B65" s="126"/>
      <c r="C65" s="135"/>
      <c r="D65" s="126"/>
      <c r="E65" s="55"/>
      <c r="F65" s="134"/>
      <c r="G65" s="126"/>
      <c r="H65" s="55"/>
      <c r="I65" s="127"/>
      <c r="J65" s="408"/>
      <c r="K65" s="182"/>
      <c r="L65" s="126"/>
      <c r="M65" s="55"/>
      <c r="N65" s="55"/>
      <c r="O65" s="126"/>
      <c r="P65" s="126"/>
      <c r="Q65" s="126"/>
      <c r="R65" s="126"/>
      <c r="S65" s="126"/>
      <c r="T65" s="126"/>
      <c r="U65" s="126"/>
    </row>
    <row r="66" spans="1:22" s="13" customFormat="1">
      <c r="A66" s="55"/>
      <c r="B66" s="55"/>
      <c r="C66" s="55"/>
      <c r="D66" s="55"/>
      <c r="E66" s="55"/>
      <c r="F66" s="55"/>
      <c r="G66" s="126"/>
      <c r="H66" s="409" t="s">
        <v>254</v>
      </c>
      <c r="I66" s="410"/>
      <c r="J66" s="411"/>
      <c r="K66" s="412" t="e">
        <f>E49</f>
        <v>#DIV/0!</v>
      </c>
      <c r="L66" s="126"/>
      <c r="M66" s="55"/>
      <c r="N66" s="55"/>
      <c r="O66" s="55"/>
      <c r="P66" s="126"/>
      <c r="Q66" s="126"/>
      <c r="R66" s="126"/>
      <c r="S66" s="126"/>
      <c r="T66" s="126"/>
      <c r="U66" s="126"/>
    </row>
    <row r="67" spans="1:22" s="13" customFormat="1">
      <c r="A67" s="55"/>
      <c r="B67" s="55"/>
      <c r="C67" s="55"/>
      <c r="D67" s="55"/>
      <c r="E67" s="55"/>
      <c r="F67" s="55"/>
      <c r="G67" s="126"/>
      <c r="H67" s="126"/>
      <c r="I67" s="131"/>
      <c r="J67" s="132"/>
      <c r="K67" s="199"/>
      <c r="L67" s="126"/>
      <c r="M67" s="55"/>
      <c r="N67" s="55"/>
      <c r="O67" s="55"/>
      <c r="P67" s="55"/>
      <c r="Q67" s="126"/>
      <c r="R67" s="126"/>
      <c r="S67" s="126"/>
      <c r="T67" s="126"/>
      <c r="U67" s="126"/>
    </row>
    <row r="68" spans="1:22" s="13" customFormat="1">
      <c r="A68" s="55"/>
      <c r="B68" s="55"/>
      <c r="C68" s="55"/>
      <c r="D68" s="55"/>
      <c r="E68" s="55"/>
      <c r="F68" s="55"/>
      <c r="G68" s="55"/>
      <c r="H68" s="409" t="s">
        <v>255</v>
      </c>
      <c r="I68" s="410"/>
      <c r="J68" s="411"/>
      <c r="K68" s="412" t="e">
        <f>E51</f>
        <v>#DIV/0!</v>
      </c>
      <c r="L68" s="126"/>
      <c r="M68" s="55"/>
      <c r="N68" s="55"/>
      <c r="O68" s="55"/>
      <c r="P68" s="55"/>
      <c r="Q68" s="55"/>
      <c r="R68" s="55"/>
      <c r="S68" s="55"/>
      <c r="T68" s="55"/>
      <c r="U68" s="55"/>
      <c r="V68" s="2"/>
    </row>
    <row r="69" spans="1:22">
      <c r="H69" s="126"/>
      <c r="I69" s="131"/>
      <c r="J69" s="132"/>
      <c r="K69" s="199"/>
      <c r="L69" s="126"/>
    </row>
    <row r="70" spans="1:22">
      <c r="H70" s="409" t="s">
        <v>256</v>
      </c>
      <c r="I70" s="410"/>
      <c r="J70" s="411"/>
      <c r="K70" s="412" t="e">
        <f>E53</f>
        <v>#DIV/0!</v>
      </c>
      <c r="L70" s="126"/>
    </row>
    <row r="72" spans="1:22">
      <c r="L72" s="126"/>
    </row>
    <row r="73" spans="1:22">
      <c r="L73" s="126"/>
    </row>
    <row r="74" spans="1:22">
      <c r="L74" s="126"/>
    </row>
  </sheetData>
  <dataConsolidate/>
  <mergeCells count="8">
    <mergeCell ref="I32:N32"/>
    <mergeCell ref="H44:J44"/>
    <mergeCell ref="E10:F10"/>
    <mergeCell ref="H1:N2"/>
    <mergeCell ref="H3:N3"/>
    <mergeCell ref="H4:N5"/>
    <mergeCell ref="I10:N10"/>
    <mergeCell ref="I20:N20"/>
  </mergeCells>
  <phoneticPr fontId="9"/>
  <conditionalFormatting sqref="O29">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36" activePane="bottomLeft" state="frozen"/>
      <selection activeCell="B1" sqref="B1"/>
      <selection pane="bottomLeft" activeCell="E41" sqref="E41"/>
    </sheetView>
  </sheetViews>
  <sheetFormatPr defaultColWidth="11.44140625" defaultRowHeight="13.2"/>
  <cols>
    <col min="1" max="1" width="35.88671875" style="55" customWidth="1"/>
    <col min="2" max="2" width="21.33203125" style="55" customWidth="1"/>
    <col min="3" max="3" width="19.33203125" style="55" bestFit="1" customWidth="1"/>
    <col min="4" max="4" width="2" style="55" customWidth="1"/>
    <col min="5" max="5" width="14.44140625" style="55" customWidth="1"/>
    <col min="6" max="6" width="11.6640625" style="55" customWidth="1"/>
    <col min="7" max="7" width="6" style="55" customWidth="1"/>
    <col min="8" max="8" width="27.88671875" style="55" customWidth="1"/>
    <col min="9" max="15" width="11.44140625" style="55"/>
    <col min="16" max="16384" width="11.44140625" style="2"/>
  </cols>
  <sheetData>
    <row r="1" spans="1:15" ht="12.75" customHeight="1">
      <c r="A1" s="310" t="s">
        <v>4</v>
      </c>
      <c r="B1" s="90"/>
      <c r="C1" s="91"/>
      <c r="D1" s="91"/>
      <c r="E1" s="91"/>
      <c r="F1" s="91"/>
      <c r="H1" s="524"/>
      <c r="I1" s="524"/>
      <c r="J1" s="524"/>
      <c r="K1" s="524"/>
      <c r="L1" s="524"/>
      <c r="M1" s="524"/>
      <c r="N1" s="524"/>
    </row>
    <row r="2" spans="1:15">
      <c r="A2" s="91"/>
      <c r="B2" s="106"/>
      <c r="C2" s="107"/>
      <c r="D2" s="106"/>
      <c r="E2" s="108"/>
      <c r="F2" s="109"/>
      <c r="H2" s="524"/>
      <c r="I2" s="524"/>
      <c r="J2" s="524"/>
      <c r="K2" s="524"/>
      <c r="L2" s="524"/>
      <c r="M2" s="524"/>
      <c r="N2" s="524"/>
    </row>
    <row r="3" spans="1:15" ht="14.25" customHeight="1">
      <c r="A3" s="38" t="str">
        <f>'2-Kosten per locatie'!A3</f>
        <v>Naam opdrachtgever</v>
      </c>
      <c r="B3" s="110" t="str">
        <f>'2-Kosten per locatie'!B3</f>
        <v>Gemeente Heemstede</v>
      </c>
      <c r="C3" s="111"/>
      <c r="D3" s="106"/>
      <c r="E3" s="112"/>
      <c r="F3" s="113"/>
      <c r="H3" s="524"/>
      <c r="I3" s="524"/>
      <c r="J3" s="524"/>
      <c r="K3" s="524"/>
      <c r="L3" s="524"/>
      <c r="M3" s="524"/>
      <c r="N3" s="524"/>
    </row>
    <row r="4" spans="1:15" ht="15.75" customHeight="1">
      <c r="A4" s="38" t="str">
        <f>'2-Kosten per locatie'!A4</f>
        <v>Calculatie onderdeel</v>
      </c>
      <c r="B4" s="114" t="str">
        <f ca="1">MID(CELL("bestandsnaam",$C$9),SEARCH("]",CELL("bestandsnaam",$C$9),1)+1,256)</f>
        <v>7-Opbouw uurtarief toezicht</v>
      </c>
      <c r="C4" s="115"/>
      <c r="D4" s="116"/>
      <c r="H4" s="524"/>
      <c r="I4" s="524"/>
      <c r="J4" s="524"/>
      <c r="K4" s="524"/>
      <c r="L4" s="524"/>
      <c r="M4" s="524"/>
      <c r="N4" s="524"/>
    </row>
    <row r="5" spans="1:15" ht="15.6">
      <c r="A5" s="38" t="str">
        <f>'2-Kosten per locatie'!A5</f>
        <v>Gebouw/plaats</v>
      </c>
      <c r="B5" s="110" t="str">
        <f>'2-Kosten per locatie'!B5</f>
        <v>Heemstede e.o.</v>
      </c>
      <c r="C5" s="115"/>
      <c r="D5" s="116"/>
      <c r="H5" s="524"/>
      <c r="I5" s="524"/>
      <c r="J5" s="524"/>
      <c r="K5" s="524"/>
      <c r="L5" s="524"/>
      <c r="M5" s="524"/>
      <c r="N5" s="524"/>
    </row>
    <row r="6" spans="1:15" ht="15.6">
      <c r="A6" s="38" t="str">
        <f>'2-Kosten per locatie'!A6</f>
        <v>Referentie nummer</v>
      </c>
      <c r="B6" s="110">
        <f>'2-Kosten per locatie'!B6</f>
        <v>0</v>
      </c>
      <c r="C6" s="115"/>
      <c r="D6" s="116"/>
      <c r="H6" s="117"/>
      <c r="I6" s="117"/>
      <c r="J6" s="117"/>
      <c r="K6" s="117"/>
      <c r="L6" s="117"/>
      <c r="M6" s="117"/>
      <c r="N6" s="117"/>
    </row>
    <row r="7" spans="1:15" ht="15.6">
      <c r="A7" s="38" t="str">
        <f>'2-Kosten per locatie'!A7</f>
        <v>Naam dienstverlener</v>
      </c>
      <c r="B7" s="110">
        <f>'2-Kosten per locatie'!B7</f>
        <v>0</v>
      </c>
      <c r="C7" s="115"/>
      <c r="D7" s="116"/>
      <c r="H7" s="117"/>
      <c r="I7" s="117"/>
      <c r="J7" s="117"/>
      <c r="K7" s="117"/>
      <c r="L7" s="117"/>
      <c r="M7" s="117"/>
      <c r="N7" s="117"/>
    </row>
    <row r="8" spans="1:15" ht="15.6">
      <c r="A8" s="38" t="str">
        <f>'2-Kosten per locatie'!A8</f>
        <v>Prijspeil</v>
      </c>
      <c r="B8" s="200">
        <f>'2-Kosten per locatie'!B8</f>
        <v>46388</v>
      </c>
      <c r="C8" s="115"/>
      <c r="D8" s="116"/>
      <c r="J8" s="117"/>
      <c r="K8" s="117"/>
      <c r="L8" s="117"/>
      <c r="M8" s="117"/>
      <c r="N8" s="117"/>
      <c r="O8" s="118"/>
    </row>
    <row r="9" spans="1:15" ht="15.6">
      <c r="A9" s="119"/>
      <c r="B9" s="120"/>
      <c r="C9" s="121"/>
      <c r="D9" s="116"/>
      <c r="E9" s="122"/>
      <c r="F9" s="123"/>
    </row>
    <row r="10" spans="1:15" s="21" customFormat="1" ht="30.75" customHeight="1">
      <c r="A10" s="413" t="s">
        <v>258</v>
      </c>
      <c r="B10" s="350"/>
      <c r="C10" s="351"/>
      <c r="D10" s="175"/>
      <c r="E10" s="522" t="s">
        <v>259</v>
      </c>
      <c r="F10" s="523"/>
      <c r="G10" s="118"/>
      <c r="H10" s="349" t="s">
        <v>212</v>
      </c>
      <c r="I10" s="516" t="s">
        <v>345</v>
      </c>
      <c r="J10" s="517"/>
      <c r="K10" s="517"/>
      <c r="L10" s="517"/>
      <c r="M10" s="517"/>
      <c r="N10" s="518"/>
      <c r="O10" s="118"/>
    </row>
    <row r="11" spans="1:15" ht="14.4" customHeight="1">
      <c r="A11" s="352"/>
      <c r="B11" s="353" t="s">
        <v>5</v>
      </c>
      <c r="C11" s="354" t="s">
        <v>5</v>
      </c>
      <c r="D11" s="116"/>
      <c r="E11" s="414"/>
      <c r="F11" s="415"/>
      <c r="H11" s="352"/>
      <c r="I11" s="357">
        <v>1</v>
      </c>
      <c r="J11" s="357">
        <v>2</v>
      </c>
      <c r="K11" s="357">
        <v>3</v>
      </c>
      <c r="L11" s="357">
        <v>4</v>
      </c>
      <c r="M11" s="357">
        <v>5</v>
      </c>
      <c r="N11" s="357">
        <v>6</v>
      </c>
    </row>
    <row r="12" spans="1:15" ht="12.75" customHeight="1">
      <c r="A12" s="352" t="s">
        <v>213</v>
      </c>
      <c r="B12" s="358" t="s">
        <v>214</v>
      </c>
      <c r="C12" s="359"/>
      <c r="D12" s="116"/>
      <c r="E12" s="360">
        <f>SUM(I31:N31)</f>
        <v>0</v>
      </c>
      <c r="F12" s="191"/>
      <c r="H12" s="352" t="s">
        <v>220</v>
      </c>
      <c r="I12" s="536"/>
      <c r="J12" s="536"/>
      <c r="K12" s="536"/>
      <c r="L12" s="536"/>
      <c r="M12" s="536"/>
      <c r="N12" s="536"/>
    </row>
    <row r="13" spans="1:15">
      <c r="A13" s="352" t="s">
        <v>216</v>
      </c>
      <c r="B13" s="358" t="s">
        <v>214</v>
      </c>
      <c r="C13" s="361"/>
      <c r="D13" s="116"/>
      <c r="E13" s="362"/>
      <c r="F13" s="191"/>
      <c r="H13" s="352" t="s">
        <v>222</v>
      </c>
      <c r="I13" s="536"/>
      <c r="J13" s="536"/>
      <c r="K13" s="536"/>
      <c r="L13" s="536"/>
      <c r="M13" s="536"/>
      <c r="N13" s="536"/>
    </row>
    <row r="14" spans="1:15">
      <c r="A14" s="363" t="s">
        <v>218</v>
      </c>
      <c r="B14" s="364"/>
      <c r="C14" s="365"/>
      <c r="D14" s="124"/>
      <c r="E14" s="366">
        <f>SUM(E12:E13)</f>
        <v>0</v>
      </c>
      <c r="F14" s="191"/>
      <c r="H14" s="352" t="s">
        <v>224</v>
      </c>
      <c r="I14" s="536"/>
      <c r="J14" s="536"/>
      <c r="K14" s="536"/>
      <c r="L14" s="536"/>
      <c r="M14" s="536"/>
      <c r="N14" s="536"/>
    </row>
    <row r="15" spans="1:15">
      <c r="A15" s="367"/>
      <c r="B15" s="368"/>
      <c r="C15" s="369"/>
      <c r="D15" s="116"/>
      <c r="E15" s="370"/>
      <c r="F15" s="191"/>
      <c r="H15" s="352" t="s">
        <v>226</v>
      </c>
      <c r="I15" s="536"/>
      <c r="J15" s="536"/>
      <c r="K15" s="536"/>
      <c r="L15" s="536"/>
      <c r="M15" s="536"/>
      <c r="N15" s="536"/>
    </row>
    <row r="16" spans="1:15">
      <c r="A16" s="371" t="s">
        <v>221</v>
      </c>
      <c r="B16" s="358" t="s">
        <v>214</v>
      </c>
      <c r="C16" s="372"/>
      <c r="D16" s="116"/>
      <c r="E16" s="373">
        <f>$C16*E14</f>
        <v>0</v>
      </c>
      <c r="F16" s="191"/>
      <c r="I16" s="496"/>
      <c r="J16" s="496"/>
      <c r="K16" s="496"/>
      <c r="L16" s="496"/>
      <c r="M16" s="496"/>
      <c r="N16" s="496"/>
    </row>
    <row r="17" spans="1:15" ht="14.4" customHeight="1">
      <c r="A17" s="371" t="s">
        <v>223</v>
      </c>
      <c r="B17" s="358" t="s">
        <v>214</v>
      </c>
      <c r="C17" s="372"/>
      <c r="D17" s="116"/>
      <c r="E17" s="374">
        <f>$C17*E14</f>
        <v>0</v>
      </c>
      <c r="F17" s="191"/>
      <c r="H17" s="349" t="s">
        <v>212</v>
      </c>
      <c r="I17" s="516" t="s">
        <v>228</v>
      </c>
      <c r="J17" s="517"/>
      <c r="K17" s="517"/>
      <c r="L17" s="517"/>
      <c r="M17" s="517"/>
      <c r="N17" s="518"/>
    </row>
    <row r="18" spans="1:15" ht="13.2" customHeight="1">
      <c r="A18" s="363" t="s">
        <v>225</v>
      </c>
      <c r="B18" s="375"/>
      <c r="C18" s="376"/>
      <c r="D18" s="116"/>
      <c r="E18" s="366">
        <f>SUM(E14:E17)</f>
        <v>0</v>
      </c>
      <c r="F18" s="377">
        <f>IF(E18=0,0,E18/E$46)</f>
        <v>0</v>
      </c>
      <c r="H18" s="352"/>
      <c r="I18" s="357">
        <v>1</v>
      </c>
      <c r="J18" s="357">
        <v>2</v>
      </c>
      <c r="K18" s="357">
        <v>3</v>
      </c>
      <c r="L18" s="357">
        <v>4</v>
      </c>
      <c r="M18" s="357">
        <v>5</v>
      </c>
      <c r="N18" s="357">
        <v>6</v>
      </c>
      <c r="O18" s="182"/>
    </row>
    <row r="19" spans="1:15">
      <c r="A19" s="367"/>
      <c r="B19" s="368"/>
      <c r="C19" s="369"/>
      <c r="D19" s="116"/>
      <c r="E19" s="370"/>
      <c r="F19" s="191"/>
      <c r="H19" s="352" t="s">
        <v>220</v>
      </c>
      <c r="I19" s="416"/>
      <c r="J19" s="416"/>
      <c r="K19" s="416"/>
      <c r="L19" s="416"/>
      <c r="M19" s="416"/>
      <c r="N19" s="416"/>
      <c r="O19" s="182"/>
    </row>
    <row r="20" spans="1:15">
      <c r="A20" s="378" t="s">
        <v>227</v>
      </c>
      <c r="B20" s="379"/>
      <c r="C20" s="369"/>
      <c r="D20" s="125"/>
      <c r="E20" s="380">
        <f>E18*0.96</f>
        <v>0</v>
      </c>
      <c r="F20" s="192"/>
      <c r="H20" s="352" t="s">
        <v>222</v>
      </c>
      <c r="I20" s="416"/>
      <c r="J20" s="416"/>
      <c r="K20" s="416"/>
      <c r="L20" s="416"/>
      <c r="M20" s="416"/>
      <c r="N20" s="416"/>
      <c r="O20" s="199"/>
    </row>
    <row r="21" spans="1:15">
      <c r="A21" s="371" t="s">
        <v>229</v>
      </c>
      <c r="B21" s="379"/>
      <c r="C21" s="381" t="s">
        <v>230</v>
      </c>
      <c r="D21" s="116"/>
      <c r="E21" s="373" t="e">
        <f>E20*'5-Premies en opslagen'!$C24</f>
        <v>#DIV/0!</v>
      </c>
      <c r="F21" s="191"/>
      <c r="G21" s="126"/>
      <c r="H21" s="352" t="s">
        <v>224</v>
      </c>
      <c r="I21" s="416"/>
      <c r="J21" s="416"/>
      <c r="K21" s="416"/>
      <c r="L21" s="416"/>
      <c r="M21" s="416"/>
      <c r="N21" s="416"/>
      <c r="O21" s="182"/>
    </row>
    <row r="22" spans="1:15" s="13" customFormat="1">
      <c r="A22" s="363" t="s">
        <v>231</v>
      </c>
      <c r="B22" s="382"/>
      <c r="C22" s="376"/>
      <c r="D22" s="116"/>
      <c r="E22" s="366" t="e">
        <f>E21+E18</f>
        <v>#DIV/0!</v>
      </c>
      <c r="F22" s="377" t="e">
        <f>IF(E22=0,0,E22/E$46)</f>
        <v>#DIV/0!</v>
      </c>
      <c r="G22" s="55"/>
      <c r="H22" s="352" t="s">
        <v>226</v>
      </c>
      <c r="I22" s="416"/>
      <c r="J22" s="416"/>
      <c r="K22" s="416"/>
      <c r="L22" s="416"/>
      <c r="M22" s="416"/>
      <c r="N22" s="416"/>
      <c r="O22" s="182"/>
    </row>
    <row r="23" spans="1:15" ht="14.25" customHeight="1">
      <c r="A23" s="367"/>
      <c r="B23" s="375"/>
      <c r="C23" s="376"/>
      <c r="D23" s="116"/>
      <c r="E23" s="355"/>
      <c r="F23" s="191"/>
      <c r="H23" s="388" t="s">
        <v>238</v>
      </c>
      <c r="I23" s="389">
        <f t="shared" ref="I23:N23" si="0">SUM(I19:I22)</f>
        <v>0</v>
      </c>
      <c r="J23" s="389">
        <f t="shared" si="0"/>
        <v>0</v>
      </c>
      <c r="K23" s="389">
        <f t="shared" si="0"/>
        <v>0</v>
      </c>
      <c r="L23" s="389">
        <f t="shared" si="0"/>
        <v>0</v>
      </c>
      <c r="M23" s="389">
        <f t="shared" si="0"/>
        <v>0</v>
      </c>
      <c r="N23" s="389">
        <f t="shared" si="0"/>
        <v>0</v>
      </c>
      <c r="O23" s="390">
        <f>SUM(I23:N23)</f>
        <v>0</v>
      </c>
    </row>
    <row r="24" spans="1:15" ht="12.75" customHeight="1">
      <c r="A24" s="371" t="s">
        <v>232</v>
      </c>
      <c r="B24" s="379"/>
      <c r="C24" s="381" t="s">
        <v>230</v>
      </c>
      <c r="D24" s="116"/>
      <c r="E24" s="373" t="e">
        <f>E22*'5-Premies en opslagen'!$B53</f>
        <v>#DIV/0!</v>
      </c>
      <c r="F24" s="191"/>
    </row>
    <row r="25" spans="1:15" ht="12.75" customHeight="1">
      <c r="A25" s="363" t="s">
        <v>233</v>
      </c>
      <c r="B25" s="375"/>
      <c r="C25" s="376"/>
      <c r="D25" s="116"/>
      <c r="E25" s="366" t="e">
        <f>SUM(E22:E24)</f>
        <v>#DIV/0!</v>
      </c>
      <c r="F25" s="377" t="e">
        <f>IF(E25=0,0,E25/E$46)</f>
        <v>#DIV/0!</v>
      </c>
      <c r="H25" s="349" t="s">
        <v>212</v>
      </c>
      <c r="I25" s="525" t="s">
        <v>241</v>
      </c>
      <c r="J25" s="526"/>
      <c r="K25" s="526"/>
      <c r="L25" s="526"/>
      <c r="M25" s="526"/>
      <c r="N25" s="526"/>
    </row>
    <row r="26" spans="1:15">
      <c r="A26" s="367"/>
      <c r="B26" s="375"/>
      <c r="C26" s="376"/>
      <c r="D26" s="116"/>
      <c r="E26" s="355"/>
      <c r="F26" s="191"/>
      <c r="H26" s="417"/>
      <c r="I26" s="357">
        <v>1</v>
      </c>
      <c r="J26" s="357">
        <v>2</v>
      </c>
      <c r="K26" s="357">
        <v>3</v>
      </c>
      <c r="L26" s="357">
        <v>4</v>
      </c>
      <c r="M26" s="357">
        <v>5</v>
      </c>
      <c r="N26" s="357">
        <v>6</v>
      </c>
    </row>
    <row r="27" spans="1:15" ht="13.2" customHeight="1">
      <c r="A27" s="367" t="s">
        <v>234</v>
      </c>
      <c r="B27" s="386"/>
      <c r="C27" s="361" t="s">
        <v>235</v>
      </c>
      <c r="D27" s="116"/>
      <c r="E27" s="362"/>
      <c r="F27" s="191">
        <v>0</v>
      </c>
      <c r="H27" s="352" t="s">
        <v>220</v>
      </c>
      <c r="I27" s="418">
        <f t="shared" ref="I27:N30" si="1">I19*I12</f>
        <v>0</v>
      </c>
      <c r="J27" s="418">
        <f t="shared" si="1"/>
        <v>0</v>
      </c>
      <c r="K27" s="418">
        <f t="shared" si="1"/>
        <v>0</v>
      </c>
      <c r="L27" s="418">
        <f t="shared" si="1"/>
        <v>0</v>
      </c>
      <c r="M27" s="418">
        <f t="shared" si="1"/>
        <v>0</v>
      </c>
      <c r="N27" s="418">
        <f t="shared" si="1"/>
        <v>0</v>
      </c>
    </row>
    <row r="28" spans="1:15">
      <c r="A28" s="367" t="s">
        <v>236</v>
      </c>
      <c r="B28" s="387"/>
      <c r="C28" s="361" t="s">
        <v>235</v>
      </c>
      <c r="D28" s="116"/>
      <c r="E28" s="362"/>
      <c r="F28" s="191">
        <v>0</v>
      </c>
      <c r="H28" s="352" t="s">
        <v>222</v>
      </c>
      <c r="I28" s="418">
        <f t="shared" si="1"/>
        <v>0</v>
      </c>
      <c r="J28" s="418">
        <f t="shared" si="1"/>
        <v>0</v>
      </c>
      <c r="K28" s="418">
        <f t="shared" si="1"/>
        <v>0</v>
      </c>
      <c r="L28" s="418">
        <f t="shared" si="1"/>
        <v>0</v>
      </c>
      <c r="M28" s="418">
        <f t="shared" si="1"/>
        <v>0</v>
      </c>
      <c r="N28" s="418">
        <f t="shared" si="1"/>
        <v>0</v>
      </c>
    </row>
    <row r="29" spans="1:15">
      <c r="A29" s="367" t="s">
        <v>260</v>
      </c>
      <c r="B29" s="375"/>
      <c r="C29" s="376"/>
      <c r="D29" s="116"/>
      <c r="E29" s="362"/>
      <c r="F29" s="191"/>
      <c r="H29" s="352" t="s">
        <v>224</v>
      </c>
      <c r="I29" s="418">
        <f t="shared" si="1"/>
        <v>0</v>
      </c>
      <c r="J29" s="418">
        <f t="shared" si="1"/>
        <v>0</v>
      </c>
      <c r="K29" s="418">
        <f t="shared" si="1"/>
        <v>0</v>
      </c>
      <c r="L29" s="418">
        <f t="shared" si="1"/>
        <v>0</v>
      </c>
      <c r="M29" s="418">
        <f t="shared" si="1"/>
        <v>0</v>
      </c>
      <c r="N29" s="418">
        <f t="shared" si="1"/>
        <v>0</v>
      </c>
    </row>
    <row r="30" spans="1:15">
      <c r="A30" s="391"/>
      <c r="B30" s="392"/>
      <c r="C30" s="393" t="s">
        <v>5</v>
      </c>
      <c r="D30" s="116"/>
      <c r="E30" s="362"/>
      <c r="F30" s="191"/>
      <c r="H30" s="352" t="s">
        <v>226</v>
      </c>
      <c r="I30" s="418">
        <f t="shared" si="1"/>
        <v>0</v>
      </c>
      <c r="J30" s="418">
        <f t="shared" si="1"/>
        <v>0</v>
      </c>
      <c r="K30" s="418">
        <f t="shared" si="1"/>
        <v>0</v>
      </c>
      <c r="L30" s="418">
        <f t="shared" si="1"/>
        <v>0</v>
      </c>
      <c r="M30" s="418">
        <f t="shared" si="1"/>
        <v>0</v>
      </c>
      <c r="N30" s="418">
        <f t="shared" si="1"/>
        <v>0</v>
      </c>
    </row>
    <row r="31" spans="1:15" ht="12.75" customHeight="1">
      <c r="A31" s="363" t="s">
        <v>240</v>
      </c>
      <c r="B31" s="375"/>
      <c r="C31" s="376"/>
      <c r="D31" s="116"/>
      <c r="E31" s="366" t="e">
        <f>SUM(E25:E30)</f>
        <v>#DIV/0!</v>
      </c>
      <c r="F31" s="377" t="e">
        <f>IF(E31=0,0,E31/E$46)</f>
        <v>#DIV/0!</v>
      </c>
      <c r="H31" s="388" t="s">
        <v>238</v>
      </c>
      <c r="I31" s="419">
        <f t="shared" ref="I31:N31" si="2">SUM(I27:I30)</f>
        <v>0</v>
      </c>
      <c r="J31" s="419">
        <f t="shared" si="2"/>
        <v>0</v>
      </c>
      <c r="K31" s="419">
        <f t="shared" si="2"/>
        <v>0</v>
      </c>
      <c r="L31" s="419">
        <f t="shared" si="2"/>
        <v>0</v>
      </c>
      <c r="M31" s="419">
        <f t="shared" si="2"/>
        <v>0</v>
      </c>
      <c r="N31" s="419">
        <f t="shared" si="2"/>
        <v>0</v>
      </c>
    </row>
    <row r="32" spans="1:15" ht="12.75" customHeight="1">
      <c r="A32" s="367"/>
      <c r="B32" s="375"/>
      <c r="C32" s="376"/>
      <c r="D32" s="116"/>
      <c r="E32" s="355"/>
      <c r="F32" s="191"/>
    </row>
    <row r="33" spans="1:15" ht="12.75" customHeight="1">
      <c r="A33" s="367" t="s">
        <v>242</v>
      </c>
      <c r="B33" s="375"/>
      <c r="C33" s="395"/>
      <c r="D33" s="116"/>
      <c r="E33" s="362"/>
      <c r="F33" s="193" t="e">
        <f>E33/$E$46</f>
        <v>#DIV/0!</v>
      </c>
    </row>
    <row r="34" spans="1:15" ht="12.75" customHeight="1">
      <c r="A34" s="367" t="s">
        <v>243</v>
      </c>
      <c r="B34" s="375"/>
      <c r="C34" s="395"/>
      <c r="D34" s="116"/>
      <c r="E34" s="362"/>
      <c r="F34" s="193" t="e">
        <f t="shared" ref="F34:F40" si="3">E34/$E$46</f>
        <v>#DIV/0!</v>
      </c>
    </row>
    <row r="35" spans="1:15" ht="12.75" customHeight="1">
      <c r="A35" s="367" t="s">
        <v>244</v>
      </c>
      <c r="B35" s="375"/>
      <c r="C35" s="395"/>
      <c r="D35" s="116"/>
      <c r="E35" s="362"/>
      <c r="F35" s="193" t="e">
        <f t="shared" si="3"/>
        <v>#DIV/0!</v>
      </c>
    </row>
    <row r="36" spans="1:15" ht="14.25" customHeight="1">
      <c r="A36" s="367" t="s">
        <v>245</v>
      </c>
      <c r="B36" s="375"/>
      <c r="C36" s="398"/>
      <c r="D36" s="116"/>
      <c r="E36" s="362"/>
      <c r="F36" s="193" t="e">
        <f t="shared" si="3"/>
        <v>#DIV/0!</v>
      </c>
    </row>
    <row r="37" spans="1:15">
      <c r="A37" s="367" t="s">
        <v>246</v>
      </c>
      <c r="B37" s="375"/>
      <c r="C37" s="395"/>
      <c r="D37" s="116"/>
      <c r="E37" s="362"/>
      <c r="F37" s="193" t="e">
        <f t="shared" si="3"/>
        <v>#DIV/0!</v>
      </c>
    </row>
    <row r="38" spans="1:15">
      <c r="A38" s="367" t="s">
        <v>247</v>
      </c>
      <c r="B38" s="375"/>
      <c r="C38" s="398"/>
      <c r="D38" s="116"/>
      <c r="E38" s="362"/>
      <c r="F38" s="193" t="e">
        <f t="shared" si="3"/>
        <v>#DIV/0!</v>
      </c>
    </row>
    <row r="39" spans="1:15">
      <c r="A39" s="367" t="s">
        <v>248</v>
      </c>
      <c r="B39" s="375"/>
      <c r="C39" s="361" t="s">
        <v>235</v>
      </c>
      <c r="D39" s="116"/>
      <c r="E39" s="362"/>
      <c r="F39" s="193" t="e">
        <f t="shared" si="3"/>
        <v>#DIV/0!</v>
      </c>
    </row>
    <row r="40" spans="1:15">
      <c r="A40" s="367" t="s">
        <v>257</v>
      </c>
      <c r="B40" s="375"/>
      <c r="C40" s="361"/>
      <c r="D40" s="116"/>
      <c r="E40" s="362"/>
      <c r="F40" s="193" t="e">
        <f t="shared" si="3"/>
        <v>#DIV/0!</v>
      </c>
    </row>
    <row r="41" spans="1:15">
      <c r="A41" s="391"/>
      <c r="B41" s="392"/>
      <c r="C41" s="400"/>
      <c r="D41" s="116"/>
      <c r="E41" s="362"/>
      <c r="F41" s="191"/>
      <c r="H41" s="126"/>
      <c r="I41" s="126"/>
      <c r="J41" s="126"/>
      <c r="K41" s="126"/>
      <c r="L41" s="126"/>
      <c r="M41" s="126"/>
      <c r="N41" s="126"/>
      <c r="O41" s="126"/>
    </row>
    <row r="42" spans="1:15">
      <c r="A42" s="363" t="s">
        <v>250</v>
      </c>
      <c r="B42" s="375"/>
      <c r="C42" s="376"/>
      <c r="D42" s="116"/>
      <c r="E42" s="366" t="e">
        <f>SUM(E31:E41)</f>
        <v>#DIV/0!</v>
      </c>
      <c r="F42" s="377" t="e">
        <f>IF(E42=0,0,E42/E$46)</f>
        <v>#DIV/0!</v>
      </c>
      <c r="H42" s="126"/>
      <c r="I42" s="126"/>
      <c r="J42" s="126"/>
      <c r="K42" s="126"/>
      <c r="L42" s="126"/>
      <c r="M42" s="126"/>
      <c r="N42" s="126"/>
      <c r="O42" s="126"/>
    </row>
    <row r="43" spans="1:15" ht="45">
      <c r="A43" s="367"/>
      <c r="B43" s="375"/>
      <c r="C43" s="376"/>
      <c r="D43" s="116"/>
      <c r="E43" s="355"/>
      <c r="F43" s="194"/>
      <c r="H43" s="413" t="s">
        <v>251</v>
      </c>
      <c r="I43" s="350"/>
      <c r="J43" s="351"/>
      <c r="K43" s="401" t="s">
        <v>211</v>
      </c>
      <c r="L43" s="126"/>
      <c r="M43" s="126"/>
      <c r="N43" s="126"/>
    </row>
    <row r="44" spans="1:15">
      <c r="A44" s="367" t="s">
        <v>252</v>
      </c>
      <c r="B44" s="375"/>
      <c r="C44" s="398"/>
      <c r="D44" s="116"/>
      <c r="E44" s="362"/>
      <c r="F44" s="377">
        <f>(IF(E44=0,0,E44/E$46))</f>
        <v>0</v>
      </c>
      <c r="H44" s="352"/>
      <c r="I44" s="353" t="s">
        <v>5</v>
      </c>
      <c r="J44" s="354" t="s">
        <v>5</v>
      </c>
      <c r="K44" s="355"/>
      <c r="L44" s="126"/>
      <c r="M44" s="126"/>
      <c r="N44" s="126"/>
    </row>
    <row r="45" spans="1:15">
      <c r="A45" s="367"/>
      <c r="B45" s="402"/>
      <c r="C45" s="376"/>
      <c r="D45" s="116"/>
      <c r="E45" s="355"/>
      <c r="F45" s="191"/>
      <c r="H45" s="403" t="s">
        <v>218</v>
      </c>
      <c r="I45" s="404"/>
      <c r="J45" s="405"/>
      <c r="K45" s="366">
        <f>E14</f>
        <v>0</v>
      </c>
      <c r="L45" s="126"/>
      <c r="M45" s="126"/>
      <c r="N45" s="126"/>
    </row>
    <row r="46" spans="1:15">
      <c r="A46" s="363" t="s">
        <v>253</v>
      </c>
      <c r="B46" s="406"/>
      <c r="C46" s="407"/>
      <c r="D46" s="116"/>
      <c r="E46" s="195" t="e">
        <f>SUM(E42:E45)</f>
        <v>#DIV/0!</v>
      </c>
      <c r="F46" s="196" t="e">
        <f>SUM(F42:F45)</f>
        <v>#DIV/0!</v>
      </c>
      <c r="H46" s="128" t="s">
        <v>221</v>
      </c>
      <c r="I46" s="129"/>
      <c r="J46" s="130"/>
      <c r="K46" s="373">
        <f>E16</f>
        <v>0</v>
      </c>
      <c r="L46" s="126"/>
      <c r="M46" s="126"/>
      <c r="N46" s="126"/>
    </row>
    <row r="47" spans="1:15">
      <c r="B47" s="127"/>
      <c r="C47" s="408"/>
      <c r="D47" s="116"/>
      <c r="E47" s="182"/>
      <c r="F47" s="197"/>
      <c r="H47" s="371" t="s">
        <v>223</v>
      </c>
      <c r="I47" s="129"/>
      <c r="J47" s="130"/>
      <c r="K47" s="374">
        <f>E17</f>
        <v>0</v>
      </c>
      <c r="L47" s="126"/>
      <c r="M47" s="126"/>
      <c r="N47" s="126"/>
      <c r="O47" s="126"/>
    </row>
    <row r="48" spans="1:15">
      <c r="A48" s="409" t="s">
        <v>254</v>
      </c>
      <c r="B48" s="410"/>
      <c r="C48" s="411"/>
      <c r="D48" s="126"/>
      <c r="E48" s="412" t="e">
        <f>(E$25*1.3)+($E$46-$E$25)</f>
        <v>#DIV/0!</v>
      </c>
      <c r="F48" s="198"/>
      <c r="H48" s="371" t="s">
        <v>229</v>
      </c>
      <c r="I48" s="129"/>
      <c r="J48" s="130"/>
      <c r="K48" s="373" t="e">
        <f>E21</f>
        <v>#DIV/0!</v>
      </c>
      <c r="L48" s="126"/>
      <c r="M48" s="126"/>
      <c r="N48" s="126"/>
      <c r="O48" s="126"/>
    </row>
    <row r="49" spans="1:15">
      <c r="A49" s="126"/>
      <c r="B49" s="131"/>
      <c r="C49" s="132"/>
      <c r="D49" s="126"/>
      <c r="E49" s="199"/>
      <c r="F49" s="199"/>
      <c r="G49" s="126"/>
      <c r="H49" s="371" t="s">
        <v>232</v>
      </c>
      <c r="I49" s="379"/>
      <c r="J49" s="381"/>
      <c r="K49" s="373" t="e">
        <f>E24</f>
        <v>#DIV/0!</v>
      </c>
      <c r="L49" s="126"/>
      <c r="M49" s="126"/>
      <c r="N49" s="126"/>
      <c r="O49" s="126"/>
    </row>
    <row r="50" spans="1:15" s="13" customFormat="1">
      <c r="A50" s="409" t="s">
        <v>255</v>
      </c>
      <c r="B50" s="410"/>
      <c r="C50" s="411"/>
      <c r="D50" s="126"/>
      <c r="E50" s="412" t="e">
        <f>(E$25*1.5)+($E$46-$E$25)</f>
        <v>#DIV/0!</v>
      </c>
      <c r="F50" s="198"/>
      <c r="G50" s="126"/>
      <c r="H50" s="367" t="s">
        <v>234</v>
      </c>
      <c r="I50" s="386"/>
      <c r="J50" s="361"/>
      <c r="K50" s="360">
        <f>E27</f>
        <v>0</v>
      </c>
      <c r="L50" s="126"/>
      <c r="M50" s="126"/>
      <c r="N50" s="126"/>
      <c r="O50" s="126"/>
    </row>
    <row r="51" spans="1:15" s="13" customFormat="1">
      <c r="A51" s="126"/>
      <c r="B51" s="131"/>
      <c r="C51" s="132"/>
      <c r="D51" s="126"/>
      <c r="E51" s="199"/>
      <c r="F51" s="199"/>
      <c r="G51" s="126"/>
      <c r="H51" s="367" t="s">
        <v>236</v>
      </c>
      <c r="I51" s="387"/>
      <c r="J51" s="361"/>
      <c r="K51" s="360">
        <f t="shared" ref="K51:K52" si="4">E28</f>
        <v>0</v>
      </c>
      <c r="L51" s="126"/>
      <c r="M51" s="55"/>
      <c r="N51" s="126"/>
      <c r="O51" s="126"/>
    </row>
    <row r="52" spans="1:15" s="13" customFormat="1">
      <c r="A52" s="409" t="s">
        <v>256</v>
      </c>
      <c r="B52" s="410"/>
      <c r="C52" s="411"/>
      <c r="D52" s="126"/>
      <c r="E52" s="412" t="e">
        <f>(E$25*2.5)+($E$46-$E$25)</f>
        <v>#DIV/0!</v>
      </c>
      <c r="F52" s="199"/>
      <c r="G52" s="126"/>
      <c r="H52" s="367" t="s">
        <v>237</v>
      </c>
      <c r="I52" s="375"/>
      <c r="J52" s="376" t="s">
        <v>5</v>
      </c>
      <c r="K52" s="360">
        <f t="shared" si="4"/>
        <v>0</v>
      </c>
      <c r="L52" s="126"/>
      <c r="M52" s="55"/>
      <c r="N52" s="126"/>
      <c r="O52" s="126"/>
    </row>
    <row r="53" spans="1:15" s="13" customFormat="1">
      <c r="A53" s="126"/>
      <c r="B53" s="131"/>
      <c r="C53" s="133"/>
      <c r="D53" s="126"/>
      <c r="E53" s="126"/>
      <c r="F53" s="134"/>
      <c r="G53" s="126"/>
      <c r="H53" s="367" t="s">
        <v>242</v>
      </c>
      <c r="I53" s="375"/>
      <c r="J53" s="395"/>
      <c r="K53" s="360">
        <f>E33</f>
        <v>0</v>
      </c>
      <c r="L53" s="126"/>
      <c r="M53" s="55"/>
      <c r="N53" s="126"/>
      <c r="O53" s="126"/>
    </row>
    <row r="54" spans="1:15" s="13" customFormat="1">
      <c r="A54" s="126"/>
      <c r="B54" s="131"/>
      <c r="C54" s="133"/>
      <c r="D54" s="126"/>
      <c r="E54" s="126"/>
      <c r="F54" s="134"/>
      <c r="G54" s="126"/>
      <c r="H54" s="367" t="s">
        <v>243</v>
      </c>
      <c r="I54" s="375"/>
      <c r="J54" s="395"/>
      <c r="K54" s="360">
        <f t="shared" ref="K54:K60" si="5">E34</f>
        <v>0</v>
      </c>
      <c r="L54" s="126"/>
      <c r="M54" s="55"/>
      <c r="N54" s="126"/>
      <c r="O54" s="126"/>
    </row>
    <row r="55" spans="1:15" s="13" customFormat="1">
      <c r="A55" s="126"/>
      <c r="B55" s="126"/>
      <c r="C55" s="135"/>
      <c r="D55" s="126"/>
      <c r="E55" s="126"/>
      <c r="F55" s="134"/>
      <c r="G55" s="126"/>
      <c r="H55" s="367" t="s">
        <v>244</v>
      </c>
      <c r="I55" s="375"/>
      <c r="J55" s="395"/>
      <c r="K55" s="360">
        <f t="shared" si="5"/>
        <v>0</v>
      </c>
      <c r="L55" s="126"/>
      <c r="M55" s="55"/>
      <c r="N55" s="126"/>
      <c r="O55" s="126"/>
    </row>
    <row r="56" spans="1:15" s="13" customFormat="1">
      <c r="A56" s="126"/>
      <c r="B56" s="126"/>
      <c r="C56" s="135"/>
      <c r="D56" s="126"/>
      <c r="E56" s="126"/>
      <c r="F56" s="134"/>
      <c r="G56" s="126"/>
      <c r="H56" s="367" t="s">
        <v>245</v>
      </c>
      <c r="I56" s="375"/>
      <c r="J56" s="398"/>
      <c r="K56" s="360">
        <f t="shared" si="5"/>
        <v>0</v>
      </c>
      <c r="L56" s="126"/>
      <c r="M56" s="55"/>
      <c r="N56" s="126"/>
      <c r="O56" s="126"/>
    </row>
    <row r="57" spans="1:15" s="13" customFormat="1">
      <c r="A57" s="55"/>
      <c r="B57" s="126"/>
      <c r="C57" s="135"/>
      <c r="D57" s="126"/>
      <c r="E57" s="126"/>
      <c r="F57" s="134"/>
      <c r="G57" s="126"/>
      <c r="H57" s="367" t="s">
        <v>246</v>
      </c>
      <c r="I57" s="375"/>
      <c r="J57" s="395"/>
      <c r="K57" s="360">
        <f t="shared" si="5"/>
        <v>0</v>
      </c>
      <c r="L57" s="126"/>
      <c r="M57" s="55"/>
      <c r="N57" s="126"/>
      <c r="O57" s="126"/>
    </row>
    <row r="58" spans="1:15" s="13" customFormat="1">
      <c r="A58" s="126"/>
      <c r="B58" s="126"/>
      <c r="C58" s="135"/>
      <c r="D58" s="126"/>
      <c r="E58" s="126"/>
      <c r="F58" s="134"/>
      <c r="G58" s="126"/>
      <c r="H58" s="367" t="s">
        <v>247</v>
      </c>
      <c r="I58" s="375"/>
      <c r="J58" s="398"/>
      <c r="K58" s="360">
        <f t="shared" si="5"/>
        <v>0</v>
      </c>
      <c r="L58" s="126"/>
      <c r="M58" s="55"/>
      <c r="N58" s="55"/>
      <c r="O58" s="126"/>
    </row>
    <row r="59" spans="1:15" s="13" customFormat="1">
      <c r="A59" s="126"/>
      <c r="B59" s="126"/>
      <c r="C59" s="135"/>
      <c r="D59" s="126"/>
      <c r="E59" s="126"/>
      <c r="F59" s="134"/>
      <c r="G59" s="126"/>
      <c r="H59" s="367" t="s">
        <v>248</v>
      </c>
      <c r="I59" s="375"/>
      <c r="J59" s="361"/>
      <c r="K59" s="360">
        <f t="shared" si="5"/>
        <v>0</v>
      </c>
      <c r="L59" s="126"/>
      <c r="M59" s="55"/>
      <c r="N59" s="55"/>
      <c r="O59" s="126"/>
    </row>
    <row r="60" spans="1:15" s="13" customFormat="1">
      <c r="A60" s="126"/>
      <c r="B60" s="126"/>
      <c r="C60" s="135"/>
      <c r="D60" s="126"/>
      <c r="E60" s="126"/>
      <c r="F60" s="134"/>
      <c r="G60" s="126"/>
      <c r="H60" s="367" t="s">
        <v>257</v>
      </c>
      <c r="I60" s="375"/>
      <c r="J60" s="361"/>
      <c r="K60" s="360">
        <f t="shared" si="5"/>
        <v>0</v>
      </c>
      <c r="L60" s="126"/>
      <c r="M60" s="55"/>
      <c r="N60" s="55"/>
      <c r="O60" s="126"/>
    </row>
    <row r="61" spans="1:15" s="13" customFormat="1">
      <c r="A61" s="126"/>
      <c r="B61" s="126"/>
      <c r="C61" s="135"/>
      <c r="D61" s="126"/>
      <c r="E61" s="126"/>
      <c r="F61" s="134"/>
      <c r="G61" s="126"/>
      <c r="H61" s="367" t="s">
        <v>252</v>
      </c>
      <c r="I61" s="375"/>
      <c r="J61" s="398"/>
      <c r="K61" s="360">
        <f>E44</f>
        <v>0</v>
      </c>
      <c r="L61" s="126"/>
      <c r="M61" s="55"/>
      <c r="N61" s="55"/>
      <c r="O61" s="126"/>
    </row>
    <row r="62" spans="1:15" s="13" customFormat="1">
      <c r="A62" s="126"/>
      <c r="B62" s="126"/>
      <c r="C62" s="135"/>
      <c r="D62" s="126"/>
      <c r="E62" s="126"/>
      <c r="F62" s="134"/>
      <c r="G62" s="126"/>
      <c r="H62" s="367"/>
      <c r="I62" s="402"/>
      <c r="J62" s="376"/>
      <c r="K62" s="355"/>
      <c r="L62" s="126"/>
      <c r="M62" s="55"/>
      <c r="N62" s="55"/>
      <c r="O62" s="126"/>
    </row>
    <row r="63" spans="1:15" s="13" customFormat="1">
      <c r="A63" s="126"/>
      <c r="B63" s="126"/>
      <c r="C63" s="135"/>
      <c r="D63" s="126"/>
      <c r="E63" s="126"/>
      <c r="F63" s="134"/>
      <c r="G63" s="126"/>
      <c r="H63" s="363" t="s">
        <v>253</v>
      </c>
      <c r="I63" s="406"/>
      <c r="J63" s="407"/>
      <c r="K63" s="195" t="e">
        <f>SUM(K45:K62)</f>
        <v>#DIV/0!</v>
      </c>
      <c r="L63" s="126"/>
      <c r="M63" s="55"/>
      <c r="N63" s="55"/>
      <c r="O63" s="126"/>
    </row>
    <row r="64" spans="1:15" s="13" customFormat="1">
      <c r="A64" s="126"/>
      <c r="B64" s="126"/>
      <c r="C64" s="135"/>
      <c r="D64" s="126"/>
      <c r="E64" s="55"/>
      <c r="F64" s="134"/>
      <c r="G64" s="126"/>
      <c r="H64" s="55"/>
      <c r="I64" s="127"/>
      <c r="J64" s="408"/>
      <c r="K64" s="182"/>
      <c r="L64" s="126"/>
      <c r="M64" s="55"/>
      <c r="N64" s="55"/>
      <c r="O64" s="55"/>
    </row>
    <row r="65" spans="1:15" s="13" customFormat="1">
      <c r="A65" s="55"/>
      <c r="B65" s="55"/>
      <c r="C65" s="55"/>
      <c r="D65" s="55"/>
      <c r="E65" s="55"/>
      <c r="F65" s="55"/>
      <c r="G65" s="126"/>
      <c r="H65" s="409" t="s">
        <v>254</v>
      </c>
      <c r="I65" s="410"/>
      <c r="J65" s="411"/>
      <c r="K65" s="412" t="e">
        <f>E48</f>
        <v>#DIV/0!</v>
      </c>
      <c r="L65" s="126"/>
      <c r="M65" s="55"/>
      <c r="N65" s="55"/>
      <c r="O65" s="55"/>
    </row>
    <row r="66" spans="1:15">
      <c r="H66" s="126"/>
      <c r="I66" s="131"/>
      <c r="J66" s="132"/>
      <c r="K66" s="199"/>
      <c r="L66" s="126"/>
    </row>
    <row r="67" spans="1:15">
      <c r="H67" s="409" t="s">
        <v>255</v>
      </c>
      <c r="I67" s="410"/>
      <c r="J67" s="411"/>
      <c r="K67" s="412" t="e">
        <f>E50</f>
        <v>#DIV/0!</v>
      </c>
      <c r="L67" s="126"/>
    </row>
    <row r="68" spans="1:15">
      <c r="H68" s="126"/>
      <c r="I68" s="131"/>
      <c r="J68" s="132"/>
      <c r="K68" s="199"/>
      <c r="L68" s="126"/>
    </row>
    <row r="69" spans="1:15">
      <c r="H69" s="409" t="s">
        <v>256</v>
      </c>
      <c r="I69" s="410"/>
      <c r="J69" s="411"/>
      <c r="K69" s="412" t="e">
        <f>E52</f>
        <v>#DIV/0!</v>
      </c>
      <c r="L69" s="126"/>
    </row>
    <row r="70" spans="1:15">
      <c r="L70" s="126"/>
      <c r="O70" s="126"/>
    </row>
    <row r="71" spans="1:15">
      <c r="O71" s="126"/>
    </row>
    <row r="72" spans="1:15">
      <c r="O72" s="126"/>
    </row>
    <row r="73" spans="1:15">
      <c r="O73" s="126"/>
    </row>
    <row r="74" spans="1:15">
      <c r="O74" s="126"/>
    </row>
    <row r="75" spans="1:15">
      <c r="O75" s="126"/>
    </row>
    <row r="76" spans="1:15">
      <c r="O76" s="126"/>
    </row>
  </sheetData>
  <mergeCells count="7">
    <mergeCell ref="I25:N25"/>
    <mergeCell ref="I17:N17"/>
    <mergeCell ref="E10:F10"/>
    <mergeCell ref="I10:N10"/>
    <mergeCell ref="H1:N2"/>
    <mergeCell ref="H3:N3"/>
    <mergeCell ref="H4:N5"/>
  </mergeCells>
  <conditionalFormatting sqref="O23">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70"/>
  <sheetViews>
    <sheetView showGridLines="0" showZeros="0" zoomScaleNormal="100" zoomScaleSheetLayoutView="75" zoomScalePageLayoutView="50" workbookViewId="0">
      <pane ySplit="10" topLeftCell="A32" activePane="bottomLeft" state="frozen"/>
      <selection activeCell="B1" sqref="B1"/>
      <selection pane="bottomLeft" activeCell="E49" sqref="E49:E53"/>
    </sheetView>
  </sheetViews>
  <sheetFormatPr defaultColWidth="11.44140625" defaultRowHeight="13.2"/>
  <cols>
    <col min="1" max="1" width="39" style="55" customWidth="1"/>
    <col min="2" max="2" width="20.33203125" style="55" customWidth="1"/>
    <col min="3" max="6" width="17.5546875" style="55" customWidth="1"/>
    <col min="7" max="16384" width="11.44140625" style="2"/>
  </cols>
  <sheetData>
    <row r="1" spans="1:6">
      <c r="A1" s="310" t="s">
        <v>4</v>
      </c>
      <c r="B1" s="138"/>
      <c r="C1" s="138"/>
      <c r="D1" s="139"/>
    </row>
    <row r="2" spans="1:6">
      <c r="A2" s="91"/>
    </row>
    <row r="3" spans="1:6" ht="15.6">
      <c r="A3" s="38" t="str">
        <f>'2-Kosten per locatie'!A3</f>
        <v>Naam opdrachtgever</v>
      </c>
      <c r="B3" s="46" t="str">
        <f>'2-Kosten per locatie'!B3</f>
        <v>Gemeente Heemstede</v>
      </c>
      <c r="C3" s="140"/>
      <c r="D3" s="140"/>
    </row>
    <row r="4" spans="1:6" ht="15.6">
      <c r="A4" s="38" t="str">
        <f>'2-Kosten per locatie'!A4</f>
        <v>Calculatie onderdeel</v>
      </c>
      <c r="B4" s="46" t="str">
        <f ca="1">MID(CELL("bestandsnaam",$C$9),SEARCH("]",CELL("bestandsnaam",$C$9),1)+1,256)</f>
        <v>8-Afroepprijs</v>
      </c>
      <c r="C4" s="141"/>
      <c r="D4" s="142"/>
    </row>
    <row r="5" spans="1:6" ht="15.6">
      <c r="A5" s="38" t="str">
        <f>'2-Kosten per locatie'!A5</f>
        <v>Gebouw/plaats</v>
      </c>
      <c r="B5" s="46" t="str">
        <f>'2-Kosten per locatie'!B5</f>
        <v>Heemstede e.o.</v>
      </c>
      <c r="C5" s="141"/>
      <c r="D5" s="142"/>
    </row>
    <row r="6" spans="1:6" ht="15.6">
      <c r="A6" s="38" t="str">
        <f>'2-Kosten per locatie'!A6</f>
        <v>Referentie nummer</v>
      </c>
      <c r="B6" s="46">
        <f>'2-Kosten per locatie'!B6</f>
        <v>0</v>
      </c>
      <c r="C6" s="141"/>
      <c r="D6" s="142"/>
    </row>
    <row r="7" spans="1:6" ht="15.6">
      <c r="A7" s="38" t="str">
        <f>'2-Kosten per locatie'!A7</f>
        <v>Naam dienstverlener</v>
      </c>
      <c r="B7" s="46">
        <f>'2-Kosten per locatie'!B7</f>
        <v>0</v>
      </c>
      <c r="C7" s="141"/>
      <c r="D7" s="142"/>
    </row>
    <row r="8" spans="1:6" ht="15.6">
      <c r="A8" s="38" t="str">
        <f>'2-Kosten per locatie'!A8</f>
        <v>Prijspeil</v>
      </c>
      <c r="B8" s="188">
        <f>'2-Kosten per locatie'!B8</f>
        <v>46388</v>
      </c>
      <c r="C8" s="141"/>
      <c r="D8" s="142"/>
    </row>
    <row r="9" spans="1:6" ht="15.6">
      <c r="A9" s="143"/>
      <c r="B9" s="144"/>
      <c r="C9" s="141"/>
      <c r="D9" s="142"/>
    </row>
    <row r="10" spans="1:6">
      <c r="A10" s="145"/>
      <c r="B10" s="146"/>
      <c r="C10" s="146"/>
      <c r="D10" s="146"/>
    </row>
    <row r="11" spans="1:6" ht="18.600000000000001">
      <c r="A11" s="420" t="s">
        <v>261</v>
      </c>
      <c r="B11" s="421"/>
      <c r="C11" s="421"/>
      <c r="D11" s="422"/>
      <c r="E11" s="422"/>
      <c r="F11" s="423"/>
    </row>
    <row r="13" spans="1:6">
      <c r="A13" s="424"/>
      <c r="B13" s="425"/>
      <c r="C13" s="530" t="s">
        <v>262</v>
      </c>
      <c r="D13" s="531"/>
      <c r="E13" s="531"/>
      <c r="F13" s="532"/>
    </row>
    <row r="14" spans="1:6">
      <c r="A14" s="426" t="s">
        <v>263</v>
      </c>
      <c r="B14" s="426" t="s">
        <v>264</v>
      </c>
      <c r="C14" s="427" t="s">
        <v>265</v>
      </c>
      <c r="D14" s="428" t="s">
        <v>266</v>
      </c>
      <c r="E14" s="428" t="s">
        <v>267</v>
      </c>
      <c r="F14" s="428" t="s">
        <v>268</v>
      </c>
    </row>
    <row r="15" spans="1:6">
      <c r="A15" s="429" t="s">
        <v>269</v>
      </c>
      <c r="B15" s="429" t="s">
        <v>270</v>
      </c>
      <c r="C15" s="430"/>
      <c r="D15" s="430"/>
      <c r="E15" s="430"/>
      <c r="F15" s="430"/>
    </row>
    <row r="16" spans="1:6">
      <c r="A16" s="429" t="s">
        <v>271</v>
      </c>
      <c r="B16" s="429" t="s">
        <v>270</v>
      </c>
      <c r="C16" s="430"/>
      <c r="D16" s="430"/>
      <c r="E16" s="430"/>
      <c r="F16" s="430"/>
    </row>
    <row r="17" spans="1:6">
      <c r="A17" s="429" t="s">
        <v>272</v>
      </c>
      <c r="B17" s="429" t="s">
        <v>273</v>
      </c>
      <c r="C17" s="430"/>
      <c r="D17" s="430"/>
      <c r="E17" s="430"/>
      <c r="F17" s="430"/>
    </row>
    <row r="18" spans="1:6">
      <c r="A18" s="426" t="s">
        <v>274</v>
      </c>
      <c r="B18" s="431"/>
      <c r="C18" s="430"/>
      <c r="D18" s="430"/>
      <c r="E18" s="430"/>
      <c r="F18" s="430"/>
    </row>
    <row r="19" spans="1:6">
      <c r="A19" s="426" t="s">
        <v>275</v>
      </c>
      <c r="B19" s="431"/>
      <c r="C19" s="430"/>
      <c r="D19" s="430"/>
      <c r="E19" s="430"/>
      <c r="F19" s="430"/>
    </row>
    <row r="20" spans="1:6">
      <c r="A20" s="147"/>
      <c r="B20" s="147"/>
      <c r="C20" s="147"/>
      <c r="D20" s="138"/>
    </row>
    <row r="21" spans="1:6" ht="18.600000000000001">
      <c r="A21" s="420" t="s">
        <v>276</v>
      </c>
      <c r="B21" s="432"/>
      <c r="C21" s="432"/>
      <c r="D21" s="432"/>
      <c r="E21" s="432"/>
      <c r="F21" s="433"/>
    </row>
    <row r="22" spans="1:6">
      <c r="A22" s="148"/>
      <c r="B22" s="147"/>
      <c r="C22" s="147"/>
      <c r="D22" s="138"/>
      <c r="E22" s="530" t="s">
        <v>277</v>
      </c>
      <c r="F22" s="532"/>
    </row>
    <row r="23" spans="1:6">
      <c r="A23" s="426" t="s">
        <v>278</v>
      </c>
      <c r="B23" s="434" t="s">
        <v>264</v>
      </c>
      <c r="C23" s="435"/>
      <c r="D23" s="436"/>
      <c r="E23" s="437" t="s">
        <v>279</v>
      </c>
      <c r="F23" s="437" t="s">
        <v>280</v>
      </c>
    </row>
    <row r="24" spans="1:6">
      <c r="A24" s="429" t="s">
        <v>281</v>
      </c>
      <c r="B24" s="431" t="s">
        <v>282</v>
      </c>
      <c r="C24" s="169"/>
      <c r="D24" s="169"/>
      <c r="E24" s="430"/>
      <c r="F24" s="430"/>
    </row>
    <row r="25" spans="1:6">
      <c r="A25" s="429" t="s">
        <v>283</v>
      </c>
      <c r="B25" s="431" t="s">
        <v>282</v>
      </c>
      <c r="C25" s="438"/>
      <c r="D25" s="438"/>
      <c r="E25" s="430"/>
      <c r="F25" s="430"/>
    </row>
    <row r="26" spans="1:6">
      <c r="A26" s="429" t="s">
        <v>284</v>
      </c>
      <c r="B26" s="431" t="s">
        <v>282</v>
      </c>
      <c r="C26" s="438"/>
      <c r="D26" s="438"/>
      <c r="E26" s="430"/>
      <c r="F26" s="430"/>
    </row>
    <row r="27" spans="1:6">
      <c r="A27" s="429" t="s">
        <v>285</v>
      </c>
      <c r="B27" s="431" t="s">
        <v>282</v>
      </c>
      <c r="C27" s="439"/>
      <c r="D27" s="438"/>
      <c r="E27" s="430"/>
      <c r="F27" s="430"/>
    </row>
    <row r="28" spans="1:6">
      <c r="A28" s="429" t="s">
        <v>286</v>
      </c>
      <c r="B28" s="431" t="s">
        <v>282</v>
      </c>
      <c r="C28" s="439"/>
      <c r="D28" s="438"/>
      <c r="E28" s="430"/>
      <c r="F28" s="430"/>
    </row>
    <row r="29" spans="1:6">
      <c r="A29" s="149"/>
      <c r="B29" s="150"/>
      <c r="C29" s="150"/>
      <c r="D29" s="149"/>
    </row>
    <row r="30" spans="1:6" ht="18.600000000000001">
      <c r="A30" s="420" t="s">
        <v>287</v>
      </c>
      <c r="B30" s="432"/>
      <c r="C30" s="432"/>
      <c r="D30" s="432"/>
      <c r="E30" s="432"/>
      <c r="F30" s="433"/>
    </row>
    <row r="31" spans="1:6">
      <c r="A31" s="440"/>
      <c r="B31" s="440"/>
      <c r="C31" s="440"/>
      <c r="D31" s="440"/>
    </row>
    <row r="32" spans="1:6" ht="26.4">
      <c r="A32" s="441" t="s">
        <v>288</v>
      </c>
      <c r="B32" s="442" t="s">
        <v>264</v>
      </c>
      <c r="C32" s="435"/>
      <c r="D32" s="436"/>
      <c r="E32" s="443" t="s">
        <v>289</v>
      </c>
      <c r="F32" s="444" t="s">
        <v>290</v>
      </c>
    </row>
    <row r="33" spans="1:6">
      <c r="A33" s="429" t="s">
        <v>291</v>
      </c>
      <c r="B33" s="431" t="s">
        <v>282</v>
      </c>
      <c r="C33" s="169"/>
      <c r="D33" s="169"/>
      <c r="E33" s="430"/>
      <c r="F33" s="430"/>
    </row>
    <row r="34" spans="1:6">
      <c r="A34" s="429" t="s">
        <v>292</v>
      </c>
      <c r="B34" s="431" t="s">
        <v>282</v>
      </c>
      <c r="C34" s="438"/>
      <c r="D34" s="438"/>
      <c r="E34" s="430"/>
      <c r="F34" s="430"/>
    </row>
    <row r="35" spans="1:6">
      <c r="A35" s="429" t="s">
        <v>293</v>
      </c>
      <c r="B35" s="431" t="s">
        <v>282</v>
      </c>
      <c r="C35" s="439"/>
      <c r="D35" s="438"/>
      <c r="E35" s="430"/>
      <c r="F35" s="430"/>
    </row>
    <row r="36" spans="1:6">
      <c r="A36" s="429" t="s">
        <v>294</v>
      </c>
      <c r="B36" s="431" t="s">
        <v>282</v>
      </c>
      <c r="C36" s="439"/>
      <c r="D36" s="438"/>
      <c r="E36" s="430"/>
      <c r="F36" s="430"/>
    </row>
    <row r="37" spans="1:6">
      <c r="A37" s="429" t="s">
        <v>295</v>
      </c>
      <c r="B37" s="431" t="s">
        <v>282</v>
      </c>
      <c r="C37" s="439"/>
      <c r="D37" s="438"/>
      <c r="E37" s="430"/>
      <c r="F37" s="430"/>
    </row>
    <row r="39" spans="1:6" ht="18.600000000000001">
      <c r="A39" s="420" t="s">
        <v>296</v>
      </c>
      <c r="B39" s="432"/>
      <c r="C39" s="432"/>
      <c r="D39" s="432"/>
      <c r="E39" s="432"/>
      <c r="F39" s="433"/>
    </row>
    <row r="40" spans="1:6">
      <c r="A40" s="148"/>
      <c r="B40" s="147"/>
      <c r="C40" s="147"/>
      <c r="D40" s="138"/>
    </row>
    <row r="41" spans="1:6">
      <c r="A41" s="426" t="s">
        <v>263</v>
      </c>
      <c r="B41" s="424" t="s">
        <v>264</v>
      </c>
      <c r="C41" s="440"/>
      <c r="D41" s="440"/>
      <c r="E41" s="440"/>
      <c r="F41" s="445" t="s">
        <v>297</v>
      </c>
    </row>
    <row r="42" spans="1:6">
      <c r="A42" s="429" t="s">
        <v>298</v>
      </c>
      <c r="B42" s="151" t="s">
        <v>299</v>
      </c>
      <c r="C42" s="151"/>
      <c r="D42" s="151"/>
      <c r="E42" s="151"/>
      <c r="F42" s="430"/>
    </row>
    <row r="43" spans="1:6">
      <c r="A43" s="429" t="s">
        <v>298</v>
      </c>
      <c r="B43" s="151" t="s">
        <v>300</v>
      </c>
      <c r="C43" s="151"/>
      <c r="D43" s="151"/>
      <c r="E43" s="151"/>
      <c r="F43" s="430"/>
    </row>
    <row r="44" spans="1:6">
      <c r="A44" s="429" t="s">
        <v>298</v>
      </c>
      <c r="B44" s="151" t="s">
        <v>301</v>
      </c>
      <c r="C44" s="151"/>
      <c r="D44" s="151"/>
      <c r="E44" s="151"/>
      <c r="F44" s="430"/>
    </row>
    <row r="45" spans="1:6">
      <c r="A45" s="429" t="s">
        <v>302</v>
      </c>
      <c r="B45" s="151" t="s">
        <v>299</v>
      </c>
      <c r="C45" s="151"/>
      <c r="D45" s="151"/>
      <c r="E45" s="151"/>
      <c r="F45" s="430"/>
    </row>
    <row r="46" spans="1:6">
      <c r="A46" s="147"/>
      <c r="B46" s="138"/>
      <c r="C46" s="138"/>
      <c r="D46" s="147"/>
    </row>
    <row r="47" spans="1:6" s="12" customFormat="1" ht="18.600000000000001">
      <c r="A47" s="446" t="s">
        <v>303</v>
      </c>
      <c r="B47" s="447"/>
      <c r="C47" s="447"/>
      <c r="D47" s="432"/>
      <c r="E47" s="433"/>
      <c r="F47" s="40"/>
    </row>
    <row r="48" spans="1:6" s="12" customFormat="1" ht="27" customHeight="1">
      <c r="A48" s="441" t="s">
        <v>263</v>
      </c>
      <c r="B48" s="533" t="s">
        <v>264</v>
      </c>
      <c r="C48" s="534"/>
      <c r="D48" s="535"/>
      <c r="E48" s="448" t="s">
        <v>277</v>
      </c>
      <c r="F48" s="40"/>
    </row>
    <row r="49" spans="1:6" s="12" customFormat="1">
      <c r="A49" s="429" t="s">
        <v>304</v>
      </c>
      <c r="B49" s="527" t="s">
        <v>305</v>
      </c>
      <c r="C49" s="528"/>
      <c r="D49" s="529"/>
      <c r="E49" s="430"/>
      <c r="F49" s="40"/>
    </row>
    <row r="50" spans="1:6" s="12" customFormat="1">
      <c r="A50" s="429" t="s">
        <v>306</v>
      </c>
      <c r="B50" s="527" t="s">
        <v>305</v>
      </c>
      <c r="C50" s="528"/>
      <c r="D50" s="529"/>
      <c r="E50" s="430"/>
      <c r="F50" s="40"/>
    </row>
    <row r="51" spans="1:6" s="12" customFormat="1">
      <c r="A51" s="449" t="s">
        <v>307</v>
      </c>
      <c r="B51" s="527" t="s">
        <v>305</v>
      </c>
      <c r="C51" s="528"/>
      <c r="D51" s="529"/>
      <c r="E51" s="430"/>
      <c r="F51" s="40"/>
    </row>
    <row r="52" spans="1:6" s="12" customFormat="1">
      <c r="A52" s="449" t="s">
        <v>307</v>
      </c>
      <c r="B52" s="527" t="s">
        <v>305</v>
      </c>
      <c r="C52" s="528"/>
      <c r="D52" s="529"/>
      <c r="E52" s="430"/>
      <c r="F52" s="40"/>
    </row>
    <row r="53" spans="1:6" s="12" customFormat="1">
      <c r="A53" s="449" t="s">
        <v>307</v>
      </c>
      <c r="B53" s="527" t="s">
        <v>305</v>
      </c>
      <c r="C53" s="528"/>
      <c r="D53" s="529"/>
      <c r="E53" s="430"/>
      <c r="F53" s="40"/>
    </row>
    <row r="54" spans="1:6" s="12" customFormat="1">
      <c r="A54" s="40"/>
      <c r="B54" s="40"/>
      <c r="C54" s="40"/>
      <c r="D54" s="40"/>
      <c r="E54" s="40"/>
      <c r="F54" s="40"/>
    </row>
    <row r="55" spans="1:6" s="12" customFormat="1" ht="18.600000000000001">
      <c r="A55" s="446" t="s">
        <v>308</v>
      </c>
      <c r="B55" s="433"/>
      <c r="C55" s="40"/>
      <c r="D55" s="40"/>
      <c r="E55" s="40"/>
      <c r="F55" s="40"/>
    </row>
    <row r="56" spans="1:6" s="12" customFormat="1">
      <c r="A56" s="426" t="s">
        <v>309</v>
      </c>
      <c r="B56" s="448" t="s">
        <v>297</v>
      </c>
      <c r="C56" s="40"/>
      <c r="D56" s="40"/>
      <c r="E56" s="40"/>
      <c r="F56" s="40"/>
    </row>
    <row r="57" spans="1:6" s="12" customFormat="1">
      <c r="A57" s="429" t="s">
        <v>310</v>
      </c>
      <c r="B57" s="430">
        <v>0</v>
      </c>
      <c r="C57" s="40"/>
      <c r="D57" s="40"/>
      <c r="E57" s="40"/>
      <c r="F57" s="40"/>
    </row>
    <row r="58" spans="1:6" s="12" customFormat="1">
      <c r="A58" s="429" t="s">
        <v>311</v>
      </c>
      <c r="B58" s="430">
        <v>0</v>
      </c>
      <c r="C58" s="40"/>
      <c r="D58" s="40"/>
      <c r="E58" s="40"/>
      <c r="F58" s="40"/>
    </row>
    <row r="59" spans="1:6" s="12" customFormat="1">
      <c r="A59" s="147"/>
      <c r="B59" s="147"/>
      <c r="C59" s="40"/>
      <c r="D59" s="40"/>
      <c r="E59" s="40"/>
      <c r="F59" s="40"/>
    </row>
    <row r="60" spans="1:6" ht="15.6">
      <c r="A60" s="177" t="s">
        <v>312</v>
      </c>
      <c r="B60" s="138"/>
      <c r="C60" s="138"/>
      <c r="D60" s="147"/>
    </row>
    <row r="61" spans="1:6">
      <c r="A61" s="147" t="s">
        <v>313</v>
      </c>
    </row>
    <row r="62" spans="1:6">
      <c r="A62" s="147" t="s">
        <v>314</v>
      </c>
      <c r="B62" s="138"/>
      <c r="C62" s="138"/>
      <c r="D62" s="147"/>
    </row>
    <row r="63" spans="1:6" ht="12.75" customHeight="1">
      <c r="A63" s="147"/>
      <c r="B63" s="138"/>
      <c r="C63" s="138"/>
      <c r="D63" s="147"/>
    </row>
    <row r="64" spans="1:6">
      <c r="A64" s="147"/>
      <c r="B64" s="138"/>
      <c r="C64" s="138"/>
      <c r="D64" s="147"/>
    </row>
    <row r="65" spans="1:4">
      <c r="A65" s="147"/>
      <c r="B65" s="138"/>
      <c r="C65" s="138"/>
      <c r="D65" s="147"/>
    </row>
    <row r="67" spans="1:4">
      <c r="A67" s="152"/>
      <c r="B67" s="138"/>
      <c r="C67" s="138"/>
      <c r="D67" s="138"/>
    </row>
    <row r="68" spans="1:4">
      <c r="A68" s="152"/>
    </row>
    <row r="69" spans="1:4">
      <c r="A69" s="152"/>
    </row>
    <row r="70" spans="1:4">
      <c r="A70" s="152"/>
    </row>
  </sheetData>
  <mergeCells count="8">
    <mergeCell ref="B51:D51"/>
    <mergeCell ref="B52:D52"/>
    <mergeCell ref="B53:D53"/>
    <mergeCell ref="C13:F13"/>
    <mergeCell ref="E22:F22"/>
    <mergeCell ref="B48:D48"/>
    <mergeCell ref="B49:D49"/>
    <mergeCell ref="B50:D50"/>
  </mergeCells>
  <phoneticPr fontId="11"/>
  <conditionalFormatting sqref="B57:B58">
    <cfRule type="cellIs" dxfId="3" priority="1" stopIfTrue="1" operator="equal">
      <formula>"nvt"</formula>
    </cfRule>
  </conditionalFormatting>
  <conditionalFormatting sqref="E49:E53">
    <cfRule type="cellIs" dxfId="2" priority="2" stopIfTrue="1" operator="equal">
      <formula>"nvt"</formula>
    </cfRule>
  </conditionalFormatting>
  <conditionalFormatting sqref="E24:F37">
    <cfRule type="cellIs" dxfId="1" priority="3" stopIfTrue="1" operator="equal">
      <formula>"nvt"</formula>
    </cfRule>
  </conditionalFormatting>
  <conditionalFormatting sqref="F42:F4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AA43"/>
  <sheetViews>
    <sheetView showGridLines="0" zoomScale="85" zoomScaleNormal="85" zoomScaleSheetLayoutView="50" zoomScalePageLayoutView="50" workbookViewId="0">
      <pane ySplit="12" topLeftCell="A13" activePane="bottomLeft" state="frozen"/>
      <selection activeCell="B1" sqref="B1"/>
      <selection pane="bottomLeft" activeCell="A40" sqref="A40"/>
    </sheetView>
  </sheetViews>
  <sheetFormatPr defaultColWidth="13.6640625" defaultRowHeight="13.2"/>
  <cols>
    <col min="1" max="1" width="46.109375" style="160" customWidth="1"/>
    <col min="2" max="2" width="23.33203125" style="161" customWidth="1"/>
    <col min="3" max="3" width="38" style="161" bestFit="1" customWidth="1"/>
    <col min="4" max="4" width="32.5546875" style="161" customWidth="1"/>
    <col min="5" max="5" width="12.109375" style="160" customWidth="1"/>
    <col min="6" max="6" width="17.88671875" style="162" bestFit="1" customWidth="1"/>
    <col min="7" max="7" width="16.109375" style="163" customWidth="1"/>
    <col min="8" max="8" width="13.6640625" style="162" customWidth="1"/>
    <col min="9" max="9" width="15.88671875" style="162" customWidth="1"/>
    <col min="10" max="248" width="13.6640625" style="28"/>
    <col min="249" max="249" width="22.109375" style="28" customWidth="1"/>
    <col min="250" max="256" width="13.6640625" style="28" customWidth="1"/>
    <col min="257" max="257" width="15.88671875" style="28" customWidth="1"/>
    <col min="258" max="258" width="16.5546875" style="28" bestFit="1" customWidth="1"/>
    <col min="259" max="259" width="13.6640625" style="28" customWidth="1"/>
    <col min="260" max="260" width="17.109375" style="28" bestFit="1" customWidth="1"/>
    <col min="261" max="261" width="4" style="28" customWidth="1"/>
    <col min="262" max="262" width="13.6640625" style="28" customWidth="1"/>
    <col min="263" max="504" width="13.6640625" style="28"/>
    <col min="505" max="505" width="22.109375" style="28" customWidth="1"/>
    <col min="506" max="512" width="13.6640625" style="28" customWidth="1"/>
    <col min="513" max="513" width="15.88671875" style="28" customWidth="1"/>
    <col min="514" max="514" width="16.5546875" style="28" bestFit="1" customWidth="1"/>
    <col min="515" max="515" width="13.6640625" style="28" customWidth="1"/>
    <col min="516" max="516" width="17.109375" style="28" bestFit="1" customWidth="1"/>
    <col min="517" max="517" width="4" style="28" customWidth="1"/>
    <col min="518" max="518" width="13.6640625" style="28" customWidth="1"/>
    <col min="519" max="760" width="13.6640625" style="28"/>
    <col min="761" max="761" width="22.109375" style="28" customWidth="1"/>
    <col min="762" max="768" width="13.6640625" style="28" customWidth="1"/>
    <col min="769" max="769" width="15.88671875" style="28" customWidth="1"/>
    <col min="770" max="770" width="16.5546875" style="28" bestFit="1" customWidth="1"/>
    <col min="771" max="771" width="13.6640625" style="28" customWidth="1"/>
    <col min="772" max="772" width="17.109375" style="28" bestFit="1" customWidth="1"/>
    <col min="773" max="773" width="4" style="28" customWidth="1"/>
    <col min="774" max="774" width="13.6640625" style="28" customWidth="1"/>
    <col min="775" max="1016" width="13.6640625" style="28"/>
    <col min="1017" max="1017" width="22.109375" style="28" customWidth="1"/>
    <col min="1018" max="1024" width="13.6640625" style="28" customWidth="1"/>
    <col min="1025" max="1025" width="15.88671875" style="28" customWidth="1"/>
    <col min="1026" max="1026" width="16.5546875" style="28" bestFit="1" customWidth="1"/>
    <col min="1027" max="1027" width="13.6640625" style="28" customWidth="1"/>
    <col min="1028" max="1028" width="17.109375" style="28" bestFit="1" customWidth="1"/>
    <col min="1029" max="1029" width="4" style="28" customWidth="1"/>
    <col min="1030" max="1030" width="13.6640625" style="28" customWidth="1"/>
    <col min="1031" max="1272" width="13.6640625" style="28"/>
    <col min="1273" max="1273" width="22.109375" style="28" customWidth="1"/>
    <col min="1274" max="1280" width="13.6640625" style="28" customWidth="1"/>
    <col min="1281" max="1281" width="15.88671875" style="28" customWidth="1"/>
    <col min="1282" max="1282" width="16.5546875" style="28" bestFit="1" customWidth="1"/>
    <col min="1283" max="1283" width="13.6640625" style="28" customWidth="1"/>
    <col min="1284" max="1284" width="17.109375" style="28" bestFit="1" customWidth="1"/>
    <col min="1285" max="1285" width="4" style="28" customWidth="1"/>
    <col min="1286" max="1286" width="13.6640625" style="28" customWidth="1"/>
    <col min="1287" max="1528" width="13.6640625" style="28"/>
    <col min="1529" max="1529" width="22.109375" style="28" customWidth="1"/>
    <col min="1530" max="1536" width="13.6640625" style="28" customWidth="1"/>
    <col min="1537" max="1537" width="15.88671875" style="28" customWidth="1"/>
    <col min="1538" max="1538" width="16.5546875" style="28" bestFit="1" customWidth="1"/>
    <col min="1539" max="1539" width="13.6640625" style="28" customWidth="1"/>
    <col min="1540" max="1540" width="17.109375" style="28" bestFit="1" customWidth="1"/>
    <col min="1541" max="1541" width="4" style="28" customWidth="1"/>
    <col min="1542" max="1542" width="13.6640625" style="28" customWidth="1"/>
    <col min="1543" max="1784" width="13.6640625" style="28"/>
    <col min="1785" max="1785" width="22.109375" style="28" customWidth="1"/>
    <col min="1786" max="1792" width="13.6640625" style="28" customWidth="1"/>
    <col min="1793" max="1793" width="15.88671875" style="28" customWidth="1"/>
    <col min="1794" max="1794" width="16.5546875" style="28" bestFit="1" customWidth="1"/>
    <col min="1795" max="1795" width="13.6640625" style="28" customWidth="1"/>
    <col min="1796" max="1796" width="17.109375" style="28" bestFit="1" customWidth="1"/>
    <col min="1797" max="1797" width="4" style="28" customWidth="1"/>
    <col min="1798" max="1798" width="13.6640625" style="28" customWidth="1"/>
    <col min="1799" max="2040" width="13.6640625" style="28"/>
    <col min="2041" max="2041" width="22.109375" style="28" customWidth="1"/>
    <col min="2042" max="2048" width="13.6640625" style="28" customWidth="1"/>
    <col min="2049" max="2049" width="15.88671875" style="28" customWidth="1"/>
    <col min="2050" max="2050" width="16.5546875" style="28" bestFit="1" customWidth="1"/>
    <col min="2051" max="2051" width="13.6640625" style="28" customWidth="1"/>
    <col min="2052" max="2052" width="17.109375" style="28" bestFit="1" customWidth="1"/>
    <col min="2053" max="2053" width="4" style="28" customWidth="1"/>
    <col min="2054" max="2054" width="13.6640625" style="28" customWidth="1"/>
    <col min="2055" max="2296" width="13.6640625" style="28"/>
    <col min="2297" max="2297" width="22.109375" style="28" customWidth="1"/>
    <col min="2298" max="2304" width="13.6640625" style="28" customWidth="1"/>
    <col min="2305" max="2305" width="15.88671875" style="28" customWidth="1"/>
    <col min="2306" max="2306" width="16.5546875" style="28" bestFit="1" customWidth="1"/>
    <col min="2307" max="2307" width="13.6640625" style="28" customWidth="1"/>
    <col min="2308" max="2308" width="17.109375" style="28" bestFit="1" customWidth="1"/>
    <col min="2309" max="2309" width="4" style="28" customWidth="1"/>
    <col min="2310" max="2310" width="13.6640625" style="28" customWidth="1"/>
    <col min="2311" max="2552" width="13.6640625" style="28"/>
    <col min="2553" max="2553" width="22.109375" style="28" customWidth="1"/>
    <col min="2554" max="2560" width="13.6640625" style="28" customWidth="1"/>
    <col min="2561" max="2561" width="15.88671875" style="28" customWidth="1"/>
    <col min="2562" max="2562" width="16.5546875" style="28" bestFit="1" customWidth="1"/>
    <col min="2563" max="2563" width="13.6640625" style="28" customWidth="1"/>
    <col min="2564" max="2564" width="17.109375" style="28" bestFit="1" customWidth="1"/>
    <col min="2565" max="2565" width="4" style="28" customWidth="1"/>
    <col min="2566" max="2566" width="13.6640625" style="28" customWidth="1"/>
    <col min="2567" max="2808" width="13.6640625" style="28"/>
    <col min="2809" max="2809" width="22.109375" style="28" customWidth="1"/>
    <col min="2810" max="2816" width="13.6640625" style="28" customWidth="1"/>
    <col min="2817" max="2817" width="15.88671875" style="28" customWidth="1"/>
    <col min="2818" max="2818" width="16.5546875" style="28" bestFit="1" customWidth="1"/>
    <col min="2819" max="2819" width="13.6640625" style="28" customWidth="1"/>
    <col min="2820" max="2820" width="17.109375" style="28" bestFit="1" customWidth="1"/>
    <col min="2821" max="2821" width="4" style="28" customWidth="1"/>
    <col min="2822" max="2822" width="13.6640625" style="28" customWidth="1"/>
    <col min="2823" max="3064" width="13.6640625" style="28"/>
    <col min="3065" max="3065" width="22.109375" style="28" customWidth="1"/>
    <col min="3066" max="3072" width="13.6640625" style="28" customWidth="1"/>
    <col min="3073" max="3073" width="15.88671875" style="28" customWidth="1"/>
    <col min="3074" max="3074" width="16.5546875" style="28" bestFit="1" customWidth="1"/>
    <col min="3075" max="3075" width="13.6640625" style="28" customWidth="1"/>
    <col min="3076" max="3076" width="17.109375" style="28" bestFit="1" customWidth="1"/>
    <col min="3077" max="3077" width="4" style="28" customWidth="1"/>
    <col min="3078" max="3078" width="13.6640625" style="28" customWidth="1"/>
    <col min="3079" max="3320" width="13.6640625" style="28"/>
    <col min="3321" max="3321" width="22.109375" style="28" customWidth="1"/>
    <col min="3322" max="3328" width="13.6640625" style="28" customWidth="1"/>
    <col min="3329" max="3329" width="15.88671875" style="28" customWidth="1"/>
    <col min="3330" max="3330" width="16.5546875" style="28" bestFit="1" customWidth="1"/>
    <col min="3331" max="3331" width="13.6640625" style="28" customWidth="1"/>
    <col min="3332" max="3332" width="17.109375" style="28" bestFit="1" customWidth="1"/>
    <col min="3333" max="3333" width="4" style="28" customWidth="1"/>
    <col min="3334" max="3334" width="13.6640625" style="28" customWidth="1"/>
    <col min="3335" max="3576" width="13.6640625" style="28"/>
    <col min="3577" max="3577" width="22.109375" style="28" customWidth="1"/>
    <col min="3578" max="3584" width="13.6640625" style="28" customWidth="1"/>
    <col min="3585" max="3585" width="15.88671875" style="28" customWidth="1"/>
    <col min="3586" max="3586" width="16.5546875" style="28" bestFit="1" customWidth="1"/>
    <col min="3587" max="3587" width="13.6640625" style="28" customWidth="1"/>
    <col min="3588" max="3588" width="17.109375" style="28" bestFit="1" customWidth="1"/>
    <col min="3589" max="3589" width="4" style="28" customWidth="1"/>
    <col min="3590" max="3590" width="13.6640625" style="28" customWidth="1"/>
    <col min="3591" max="3832" width="13.6640625" style="28"/>
    <col min="3833" max="3833" width="22.109375" style="28" customWidth="1"/>
    <col min="3834" max="3840" width="13.6640625" style="28" customWidth="1"/>
    <col min="3841" max="3841" width="15.88671875" style="28" customWidth="1"/>
    <col min="3842" max="3842" width="16.5546875" style="28" bestFit="1" customWidth="1"/>
    <col min="3843" max="3843" width="13.6640625" style="28" customWidth="1"/>
    <col min="3844" max="3844" width="17.109375" style="28" bestFit="1" customWidth="1"/>
    <col min="3845" max="3845" width="4" style="28" customWidth="1"/>
    <col min="3846" max="3846" width="13.6640625" style="28" customWidth="1"/>
    <col min="3847" max="4088" width="13.6640625" style="28"/>
    <col min="4089" max="4089" width="22.109375" style="28" customWidth="1"/>
    <col min="4090" max="4096" width="13.6640625" style="28" customWidth="1"/>
    <col min="4097" max="4097" width="15.88671875" style="28" customWidth="1"/>
    <col min="4098" max="4098" width="16.5546875" style="28" bestFit="1" customWidth="1"/>
    <col min="4099" max="4099" width="13.6640625" style="28" customWidth="1"/>
    <col min="4100" max="4100" width="17.109375" style="28" bestFit="1" customWidth="1"/>
    <col min="4101" max="4101" width="4" style="28" customWidth="1"/>
    <col min="4102" max="4102" width="13.6640625" style="28" customWidth="1"/>
    <col min="4103" max="4344" width="13.6640625" style="28"/>
    <col min="4345" max="4345" width="22.109375" style="28" customWidth="1"/>
    <col min="4346" max="4352" width="13.6640625" style="28" customWidth="1"/>
    <col min="4353" max="4353" width="15.88671875" style="28" customWidth="1"/>
    <col min="4354" max="4354" width="16.5546875" style="28" bestFit="1" customWidth="1"/>
    <col min="4355" max="4355" width="13.6640625" style="28" customWidth="1"/>
    <col min="4356" max="4356" width="17.109375" style="28" bestFit="1" customWidth="1"/>
    <col min="4357" max="4357" width="4" style="28" customWidth="1"/>
    <col min="4358" max="4358" width="13.6640625" style="28" customWidth="1"/>
    <col min="4359" max="4600" width="13.6640625" style="28"/>
    <col min="4601" max="4601" width="22.109375" style="28" customWidth="1"/>
    <col min="4602" max="4608" width="13.6640625" style="28" customWidth="1"/>
    <col min="4609" max="4609" width="15.88671875" style="28" customWidth="1"/>
    <col min="4610" max="4610" width="16.5546875" style="28" bestFit="1" customWidth="1"/>
    <col min="4611" max="4611" width="13.6640625" style="28" customWidth="1"/>
    <col min="4612" max="4612" width="17.109375" style="28" bestFit="1" customWidth="1"/>
    <col min="4613" max="4613" width="4" style="28" customWidth="1"/>
    <col min="4614" max="4614" width="13.6640625" style="28" customWidth="1"/>
    <col min="4615" max="4856" width="13.6640625" style="28"/>
    <col min="4857" max="4857" width="22.109375" style="28" customWidth="1"/>
    <col min="4858" max="4864" width="13.6640625" style="28" customWidth="1"/>
    <col min="4865" max="4865" width="15.88671875" style="28" customWidth="1"/>
    <col min="4866" max="4866" width="16.5546875" style="28" bestFit="1" customWidth="1"/>
    <col min="4867" max="4867" width="13.6640625" style="28" customWidth="1"/>
    <col min="4868" max="4868" width="17.109375" style="28" bestFit="1" customWidth="1"/>
    <col min="4869" max="4869" width="4" style="28" customWidth="1"/>
    <col min="4870" max="4870" width="13.6640625" style="28" customWidth="1"/>
    <col min="4871" max="5112" width="13.6640625" style="28"/>
    <col min="5113" max="5113" width="22.109375" style="28" customWidth="1"/>
    <col min="5114" max="5120" width="13.6640625" style="28" customWidth="1"/>
    <col min="5121" max="5121" width="15.88671875" style="28" customWidth="1"/>
    <col min="5122" max="5122" width="16.5546875" style="28" bestFit="1" customWidth="1"/>
    <col min="5123" max="5123" width="13.6640625" style="28" customWidth="1"/>
    <col min="5124" max="5124" width="17.109375" style="28" bestFit="1" customWidth="1"/>
    <col min="5125" max="5125" width="4" style="28" customWidth="1"/>
    <col min="5126" max="5126" width="13.6640625" style="28" customWidth="1"/>
    <col min="5127" max="5368" width="13.6640625" style="28"/>
    <col min="5369" max="5369" width="22.109375" style="28" customWidth="1"/>
    <col min="5370" max="5376" width="13.6640625" style="28" customWidth="1"/>
    <col min="5377" max="5377" width="15.88671875" style="28" customWidth="1"/>
    <col min="5378" max="5378" width="16.5546875" style="28" bestFit="1" customWidth="1"/>
    <col min="5379" max="5379" width="13.6640625" style="28" customWidth="1"/>
    <col min="5380" max="5380" width="17.109375" style="28" bestFit="1" customWidth="1"/>
    <col min="5381" max="5381" width="4" style="28" customWidth="1"/>
    <col min="5382" max="5382" width="13.6640625" style="28" customWidth="1"/>
    <col min="5383" max="5624" width="13.6640625" style="28"/>
    <col min="5625" max="5625" width="22.109375" style="28" customWidth="1"/>
    <col min="5626" max="5632" width="13.6640625" style="28" customWidth="1"/>
    <col min="5633" max="5633" width="15.88671875" style="28" customWidth="1"/>
    <col min="5634" max="5634" width="16.5546875" style="28" bestFit="1" customWidth="1"/>
    <col min="5635" max="5635" width="13.6640625" style="28" customWidth="1"/>
    <col min="5636" max="5636" width="17.109375" style="28" bestFit="1" customWidth="1"/>
    <col min="5637" max="5637" width="4" style="28" customWidth="1"/>
    <col min="5638" max="5638" width="13.6640625" style="28" customWidth="1"/>
    <col min="5639" max="5880" width="13.6640625" style="28"/>
    <col min="5881" max="5881" width="22.109375" style="28" customWidth="1"/>
    <col min="5882" max="5888" width="13.6640625" style="28" customWidth="1"/>
    <col min="5889" max="5889" width="15.88671875" style="28" customWidth="1"/>
    <col min="5890" max="5890" width="16.5546875" style="28" bestFit="1" customWidth="1"/>
    <col min="5891" max="5891" width="13.6640625" style="28" customWidth="1"/>
    <col min="5892" max="5892" width="17.109375" style="28" bestFit="1" customWidth="1"/>
    <col min="5893" max="5893" width="4" style="28" customWidth="1"/>
    <col min="5894" max="5894" width="13.6640625" style="28" customWidth="1"/>
    <col min="5895" max="6136" width="13.6640625" style="28"/>
    <col min="6137" max="6137" width="22.109375" style="28" customWidth="1"/>
    <col min="6138" max="6144" width="13.6640625" style="28" customWidth="1"/>
    <col min="6145" max="6145" width="15.88671875" style="28" customWidth="1"/>
    <col min="6146" max="6146" width="16.5546875" style="28" bestFit="1" customWidth="1"/>
    <col min="6147" max="6147" width="13.6640625" style="28" customWidth="1"/>
    <col min="6148" max="6148" width="17.109375" style="28" bestFit="1" customWidth="1"/>
    <col min="6149" max="6149" width="4" style="28" customWidth="1"/>
    <col min="6150" max="6150" width="13.6640625" style="28" customWidth="1"/>
    <col min="6151" max="6392" width="13.6640625" style="28"/>
    <col min="6393" max="6393" width="22.109375" style="28" customWidth="1"/>
    <col min="6394" max="6400" width="13.6640625" style="28" customWidth="1"/>
    <col min="6401" max="6401" width="15.88671875" style="28" customWidth="1"/>
    <col min="6402" max="6402" width="16.5546875" style="28" bestFit="1" customWidth="1"/>
    <col min="6403" max="6403" width="13.6640625" style="28" customWidth="1"/>
    <col min="6404" max="6404" width="17.109375" style="28" bestFit="1" customWidth="1"/>
    <col min="6405" max="6405" width="4" style="28" customWidth="1"/>
    <col min="6406" max="6406" width="13.6640625" style="28" customWidth="1"/>
    <col min="6407" max="6648" width="13.6640625" style="28"/>
    <col min="6649" max="6649" width="22.109375" style="28" customWidth="1"/>
    <col min="6650" max="6656" width="13.6640625" style="28" customWidth="1"/>
    <col min="6657" max="6657" width="15.88671875" style="28" customWidth="1"/>
    <col min="6658" max="6658" width="16.5546875" style="28" bestFit="1" customWidth="1"/>
    <col min="6659" max="6659" width="13.6640625" style="28" customWidth="1"/>
    <col min="6660" max="6660" width="17.109375" style="28" bestFit="1" customWidth="1"/>
    <col min="6661" max="6661" width="4" style="28" customWidth="1"/>
    <col min="6662" max="6662" width="13.6640625" style="28" customWidth="1"/>
    <col min="6663" max="6904" width="13.6640625" style="28"/>
    <col min="6905" max="6905" width="22.109375" style="28" customWidth="1"/>
    <col min="6906" max="6912" width="13.6640625" style="28" customWidth="1"/>
    <col min="6913" max="6913" width="15.88671875" style="28" customWidth="1"/>
    <col min="6914" max="6914" width="16.5546875" style="28" bestFit="1" customWidth="1"/>
    <col min="6915" max="6915" width="13.6640625" style="28" customWidth="1"/>
    <col min="6916" max="6916" width="17.109375" style="28" bestFit="1" customWidth="1"/>
    <col min="6917" max="6917" width="4" style="28" customWidth="1"/>
    <col min="6918" max="6918" width="13.6640625" style="28" customWidth="1"/>
    <col min="6919" max="7160" width="13.6640625" style="28"/>
    <col min="7161" max="7161" width="22.109375" style="28" customWidth="1"/>
    <col min="7162" max="7168" width="13.6640625" style="28" customWidth="1"/>
    <col min="7169" max="7169" width="15.88671875" style="28" customWidth="1"/>
    <col min="7170" max="7170" width="16.5546875" style="28" bestFit="1" customWidth="1"/>
    <col min="7171" max="7171" width="13.6640625" style="28" customWidth="1"/>
    <col min="7172" max="7172" width="17.109375" style="28" bestFit="1" customWidth="1"/>
    <col min="7173" max="7173" width="4" style="28" customWidth="1"/>
    <col min="7174" max="7174" width="13.6640625" style="28" customWidth="1"/>
    <col min="7175" max="7416" width="13.6640625" style="28"/>
    <col min="7417" max="7417" width="22.109375" style="28" customWidth="1"/>
    <col min="7418" max="7424" width="13.6640625" style="28" customWidth="1"/>
    <col min="7425" max="7425" width="15.88671875" style="28" customWidth="1"/>
    <col min="7426" max="7426" width="16.5546875" style="28" bestFit="1" customWidth="1"/>
    <col min="7427" max="7427" width="13.6640625" style="28" customWidth="1"/>
    <col min="7428" max="7428" width="17.109375" style="28" bestFit="1" customWidth="1"/>
    <col min="7429" max="7429" width="4" style="28" customWidth="1"/>
    <col min="7430" max="7430" width="13.6640625" style="28" customWidth="1"/>
    <col min="7431" max="7672" width="13.6640625" style="28"/>
    <col min="7673" max="7673" width="22.109375" style="28" customWidth="1"/>
    <col min="7674" max="7680" width="13.6640625" style="28" customWidth="1"/>
    <col min="7681" max="7681" width="15.88671875" style="28" customWidth="1"/>
    <col min="7682" max="7682" width="16.5546875" style="28" bestFit="1" customWidth="1"/>
    <col min="7683" max="7683" width="13.6640625" style="28" customWidth="1"/>
    <col min="7684" max="7684" width="17.109375" style="28" bestFit="1" customWidth="1"/>
    <col min="7685" max="7685" width="4" style="28" customWidth="1"/>
    <col min="7686" max="7686" width="13.6640625" style="28" customWidth="1"/>
    <col min="7687" max="7928" width="13.6640625" style="28"/>
    <col min="7929" max="7929" width="22.109375" style="28" customWidth="1"/>
    <col min="7930" max="7936" width="13.6640625" style="28" customWidth="1"/>
    <col min="7937" max="7937" width="15.88671875" style="28" customWidth="1"/>
    <col min="7938" max="7938" width="16.5546875" style="28" bestFit="1" customWidth="1"/>
    <col min="7939" max="7939" width="13.6640625" style="28" customWidth="1"/>
    <col min="7940" max="7940" width="17.109375" style="28" bestFit="1" customWidth="1"/>
    <col min="7941" max="7941" width="4" style="28" customWidth="1"/>
    <col min="7942" max="7942" width="13.6640625" style="28" customWidth="1"/>
    <col min="7943" max="8184" width="13.6640625" style="28"/>
    <col min="8185" max="8185" width="22.109375" style="28" customWidth="1"/>
    <col min="8186" max="8192" width="13.6640625" style="28" customWidth="1"/>
    <col min="8193" max="8193" width="15.88671875" style="28" customWidth="1"/>
    <col min="8194" max="8194" width="16.5546875" style="28" bestFit="1" customWidth="1"/>
    <col min="8195" max="8195" width="13.6640625" style="28" customWidth="1"/>
    <col min="8196" max="8196" width="17.109375" style="28" bestFit="1" customWidth="1"/>
    <col min="8197" max="8197" width="4" style="28" customWidth="1"/>
    <col min="8198" max="8198" width="13.6640625" style="28" customWidth="1"/>
    <col min="8199" max="8440" width="13.6640625" style="28"/>
    <col min="8441" max="8441" width="22.109375" style="28" customWidth="1"/>
    <col min="8442" max="8448" width="13.6640625" style="28" customWidth="1"/>
    <col min="8449" max="8449" width="15.88671875" style="28" customWidth="1"/>
    <col min="8450" max="8450" width="16.5546875" style="28" bestFit="1" customWidth="1"/>
    <col min="8451" max="8451" width="13.6640625" style="28" customWidth="1"/>
    <col min="8452" max="8452" width="17.109375" style="28" bestFit="1" customWidth="1"/>
    <col min="8453" max="8453" width="4" style="28" customWidth="1"/>
    <col min="8454" max="8454" width="13.6640625" style="28" customWidth="1"/>
    <col min="8455" max="8696" width="13.6640625" style="28"/>
    <col min="8697" max="8697" width="22.109375" style="28" customWidth="1"/>
    <col min="8698" max="8704" width="13.6640625" style="28" customWidth="1"/>
    <col min="8705" max="8705" width="15.88671875" style="28" customWidth="1"/>
    <col min="8706" max="8706" width="16.5546875" style="28" bestFit="1" customWidth="1"/>
    <col min="8707" max="8707" width="13.6640625" style="28" customWidth="1"/>
    <col min="8708" max="8708" width="17.109375" style="28" bestFit="1" customWidth="1"/>
    <col min="8709" max="8709" width="4" style="28" customWidth="1"/>
    <col min="8710" max="8710" width="13.6640625" style="28" customWidth="1"/>
    <col min="8711" max="8952" width="13.6640625" style="28"/>
    <col min="8953" max="8953" width="22.109375" style="28" customWidth="1"/>
    <col min="8954" max="8960" width="13.6640625" style="28" customWidth="1"/>
    <col min="8961" max="8961" width="15.88671875" style="28" customWidth="1"/>
    <col min="8962" max="8962" width="16.5546875" style="28" bestFit="1" customWidth="1"/>
    <col min="8963" max="8963" width="13.6640625" style="28" customWidth="1"/>
    <col min="8964" max="8964" width="17.109375" style="28" bestFit="1" customWidth="1"/>
    <col min="8965" max="8965" width="4" style="28" customWidth="1"/>
    <col min="8966" max="8966" width="13.6640625" style="28" customWidth="1"/>
    <col min="8967" max="9208" width="13.6640625" style="28"/>
    <col min="9209" max="9209" width="22.109375" style="28" customWidth="1"/>
    <col min="9210" max="9216" width="13.6640625" style="28" customWidth="1"/>
    <col min="9217" max="9217" width="15.88671875" style="28" customWidth="1"/>
    <col min="9218" max="9218" width="16.5546875" style="28" bestFit="1" customWidth="1"/>
    <col min="9219" max="9219" width="13.6640625" style="28" customWidth="1"/>
    <col min="9220" max="9220" width="17.109375" style="28" bestFit="1" customWidth="1"/>
    <col min="9221" max="9221" width="4" style="28" customWidth="1"/>
    <col min="9222" max="9222" width="13.6640625" style="28" customWidth="1"/>
    <col min="9223" max="9464" width="13.6640625" style="28"/>
    <col min="9465" max="9465" width="22.109375" style="28" customWidth="1"/>
    <col min="9466" max="9472" width="13.6640625" style="28" customWidth="1"/>
    <col min="9473" max="9473" width="15.88671875" style="28" customWidth="1"/>
    <col min="9474" max="9474" width="16.5546875" style="28" bestFit="1" customWidth="1"/>
    <col min="9475" max="9475" width="13.6640625" style="28" customWidth="1"/>
    <col min="9476" max="9476" width="17.109375" style="28" bestFit="1" customWidth="1"/>
    <col min="9477" max="9477" width="4" style="28" customWidth="1"/>
    <col min="9478" max="9478" width="13.6640625" style="28" customWidth="1"/>
    <col min="9479" max="9720" width="13.6640625" style="28"/>
    <col min="9721" max="9721" width="22.109375" style="28" customWidth="1"/>
    <col min="9722" max="9728" width="13.6640625" style="28" customWidth="1"/>
    <col min="9729" max="9729" width="15.88671875" style="28" customWidth="1"/>
    <col min="9730" max="9730" width="16.5546875" style="28" bestFit="1" customWidth="1"/>
    <col min="9731" max="9731" width="13.6640625" style="28" customWidth="1"/>
    <col min="9732" max="9732" width="17.109375" style="28" bestFit="1" customWidth="1"/>
    <col min="9733" max="9733" width="4" style="28" customWidth="1"/>
    <col min="9734" max="9734" width="13.6640625" style="28" customWidth="1"/>
    <col min="9735" max="9976" width="13.6640625" style="28"/>
    <col min="9977" max="9977" width="22.109375" style="28" customWidth="1"/>
    <col min="9978" max="9984" width="13.6640625" style="28" customWidth="1"/>
    <col min="9985" max="9985" width="15.88671875" style="28" customWidth="1"/>
    <col min="9986" max="9986" width="16.5546875" style="28" bestFit="1" customWidth="1"/>
    <col min="9987" max="9987" width="13.6640625" style="28" customWidth="1"/>
    <col min="9988" max="9988" width="17.109375" style="28" bestFit="1" customWidth="1"/>
    <col min="9989" max="9989" width="4" style="28" customWidth="1"/>
    <col min="9990" max="9990" width="13.6640625" style="28" customWidth="1"/>
    <col min="9991" max="10232" width="13.6640625" style="28"/>
    <col min="10233" max="10233" width="22.109375" style="28" customWidth="1"/>
    <col min="10234" max="10240" width="13.6640625" style="28" customWidth="1"/>
    <col min="10241" max="10241" width="15.88671875" style="28" customWidth="1"/>
    <col min="10242" max="10242" width="16.5546875" style="28" bestFit="1" customWidth="1"/>
    <col min="10243" max="10243" width="13.6640625" style="28" customWidth="1"/>
    <col min="10244" max="10244" width="17.109375" style="28" bestFit="1" customWidth="1"/>
    <col min="10245" max="10245" width="4" style="28" customWidth="1"/>
    <col min="10246" max="10246" width="13.6640625" style="28" customWidth="1"/>
    <col min="10247" max="10488" width="13.6640625" style="28"/>
    <col min="10489" max="10489" width="22.109375" style="28" customWidth="1"/>
    <col min="10490" max="10496" width="13.6640625" style="28" customWidth="1"/>
    <col min="10497" max="10497" width="15.88671875" style="28" customWidth="1"/>
    <col min="10498" max="10498" width="16.5546875" style="28" bestFit="1" customWidth="1"/>
    <col min="10499" max="10499" width="13.6640625" style="28" customWidth="1"/>
    <col min="10500" max="10500" width="17.109375" style="28" bestFit="1" customWidth="1"/>
    <col min="10501" max="10501" width="4" style="28" customWidth="1"/>
    <col min="10502" max="10502" width="13.6640625" style="28" customWidth="1"/>
    <col min="10503" max="10744" width="13.6640625" style="28"/>
    <col min="10745" max="10745" width="22.109375" style="28" customWidth="1"/>
    <col min="10746" max="10752" width="13.6640625" style="28" customWidth="1"/>
    <col min="10753" max="10753" width="15.88671875" style="28" customWidth="1"/>
    <col min="10754" max="10754" width="16.5546875" style="28" bestFit="1" customWidth="1"/>
    <col min="10755" max="10755" width="13.6640625" style="28" customWidth="1"/>
    <col min="10756" max="10756" width="17.109375" style="28" bestFit="1" customWidth="1"/>
    <col min="10757" max="10757" width="4" style="28" customWidth="1"/>
    <col min="10758" max="10758" width="13.6640625" style="28" customWidth="1"/>
    <col min="10759" max="11000" width="13.6640625" style="28"/>
    <col min="11001" max="11001" width="22.109375" style="28" customWidth="1"/>
    <col min="11002" max="11008" width="13.6640625" style="28" customWidth="1"/>
    <col min="11009" max="11009" width="15.88671875" style="28" customWidth="1"/>
    <col min="11010" max="11010" width="16.5546875" style="28" bestFit="1" customWidth="1"/>
    <col min="11011" max="11011" width="13.6640625" style="28" customWidth="1"/>
    <col min="11012" max="11012" width="17.109375" style="28" bestFit="1" customWidth="1"/>
    <col min="11013" max="11013" width="4" style="28" customWidth="1"/>
    <col min="11014" max="11014" width="13.6640625" style="28" customWidth="1"/>
    <col min="11015" max="11256" width="13.6640625" style="28"/>
    <col min="11257" max="11257" width="22.109375" style="28" customWidth="1"/>
    <col min="11258" max="11264" width="13.6640625" style="28" customWidth="1"/>
    <col min="11265" max="11265" width="15.88671875" style="28" customWidth="1"/>
    <col min="11266" max="11266" width="16.5546875" style="28" bestFit="1" customWidth="1"/>
    <col min="11267" max="11267" width="13.6640625" style="28" customWidth="1"/>
    <col min="11268" max="11268" width="17.109375" style="28" bestFit="1" customWidth="1"/>
    <col min="11269" max="11269" width="4" style="28" customWidth="1"/>
    <col min="11270" max="11270" width="13.6640625" style="28" customWidth="1"/>
    <col min="11271" max="11512" width="13.6640625" style="28"/>
    <col min="11513" max="11513" width="22.109375" style="28" customWidth="1"/>
    <col min="11514" max="11520" width="13.6640625" style="28" customWidth="1"/>
    <col min="11521" max="11521" width="15.88671875" style="28" customWidth="1"/>
    <col min="11522" max="11522" width="16.5546875" style="28" bestFit="1" customWidth="1"/>
    <col min="11523" max="11523" width="13.6640625" style="28" customWidth="1"/>
    <col min="11524" max="11524" width="17.109375" style="28" bestFit="1" customWidth="1"/>
    <col min="11525" max="11525" width="4" style="28" customWidth="1"/>
    <col min="11526" max="11526" width="13.6640625" style="28" customWidth="1"/>
    <col min="11527" max="11768" width="13.6640625" style="28"/>
    <col min="11769" max="11769" width="22.109375" style="28" customWidth="1"/>
    <col min="11770" max="11776" width="13.6640625" style="28" customWidth="1"/>
    <col min="11777" max="11777" width="15.88671875" style="28" customWidth="1"/>
    <col min="11778" max="11778" width="16.5546875" style="28" bestFit="1" customWidth="1"/>
    <col min="11779" max="11779" width="13.6640625" style="28" customWidth="1"/>
    <col min="11780" max="11780" width="17.109375" style="28" bestFit="1" customWidth="1"/>
    <col min="11781" max="11781" width="4" style="28" customWidth="1"/>
    <col min="11782" max="11782" width="13.6640625" style="28" customWidth="1"/>
    <col min="11783" max="12024" width="13.6640625" style="28"/>
    <col min="12025" max="12025" width="22.109375" style="28" customWidth="1"/>
    <col min="12026" max="12032" width="13.6640625" style="28" customWidth="1"/>
    <col min="12033" max="12033" width="15.88671875" style="28" customWidth="1"/>
    <col min="12034" max="12034" width="16.5546875" style="28" bestFit="1" customWidth="1"/>
    <col min="12035" max="12035" width="13.6640625" style="28" customWidth="1"/>
    <col min="12036" max="12036" width="17.109375" style="28" bestFit="1" customWidth="1"/>
    <col min="12037" max="12037" width="4" style="28" customWidth="1"/>
    <col min="12038" max="12038" width="13.6640625" style="28" customWidth="1"/>
    <col min="12039" max="12280" width="13.6640625" style="28"/>
    <col min="12281" max="12281" width="22.109375" style="28" customWidth="1"/>
    <col min="12282" max="12288" width="13.6640625" style="28" customWidth="1"/>
    <col min="12289" max="12289" width="15.88671875" style="28" customWidth="1"/>
    <col min="12290" max="12290" width="16.5546875" style="28" bestFit="1" customWidth="1"/>
    <col min="12291" max="12291" width="13.6640625" style="28" customWidth="1"/>
    <col min="12292" max="12292" width="17.109375" style="28" bestFit="1" customWidth="1"/>
    <col min="12293" max="12293" width="4" style="28" customWidth="1"/>
    <col min="12294" max="12294" width="13.6640625" style="28" customWidth="1"/>
    <col min="12295" max="12536" width="13.6640625" style="28"/>
    <col min="12537" max="12537" width="22.109375" style="28" customWidth="1"/>
    <col min="12538" max="12544" width="13.6640625" style="28" customWidth="1"/>
    <col min="12545" max="12545" width="15.88671875" style="28" customWidth="1"/>
    <col min="12546" max="12546" width="16.5546875" style="28" bestFit="1" customWidth="1"/>
    <col min="12547" max="12547" width="13.6640625" style="28" customWidth="1"/>
    <col min="12548" max="12548" width="17.109375" style="28" bestFit="1" customWidth="1"/>
    <col min="12549" max="12549" width="4" style="28" customWidth="1"/>
    <col min="12550" max="12550" width="13.6640625" style="28" customWidth="1"/>
    <col min="12551" max="12792" width="13.6640625" style="28"/>
    <col min="12793" max="12793" width="22.109375" style="28" customWidth="1"/>
    <col min="12794" max="12800" width="13.6640625" style="28" customWidth="1"/>
    <col min="12801" max="12801" width="15.88671875" style="28" customWidth="1"/>
    <col min="12802" max="12802" width="16.5546875" style="28" bestFit="1" customWidth="1"/>
    <col min="12803" max="12803" width="13.6640625" style="28" customWidth="1"/>
    <col min="12804" max="12804" width="17.109375" style="28" bestFit="1" customWidth="1"/>
    <col min="12805" max="12805" width="4" style="28" customWidth="1"/>
    <col min="12806" max="12806" width="13.6640625" style="28" customWidth="1"/>
    <col min="12807" max="13048" width="13.6640625" style="28"/>
    <col min="13049" max="13049" width="22.109375" style="28" customWidth="1"/>
    <col min="13050" max="13056" width="13.6640625" style="28" customWidth="1"/>
    <col min="13057" max="13057" width="15.88671875" style="28" customWidth="1"/>
    <col min="13058" max="13058" width="16.5546875" style="28" bestFit="1" customWidth="1"/>
    <col min="13059" max="13059" width="13.6640625" style="28" customWidth="1"/>
    <col min="13060" max="13060" width="17.109375" style="28" bestFit="1" customWidth="1"/>
    <col min="13061" max="13061" width="4" style="28" customWidth="1"/>
    <col min="13062" max="13062" width="13.6640625" style="28" customWidth="1"/>
    <col min="13063" max="13304" width="13.6640625" style="28"/>
    <col min="13305" max="13305" width="22.109375" style="28" customWidth="1"/>
    <col min="13306" max="13312" width="13.6640625" style="28" customWidth="1"/>
    <col min="13313" max="13313" width="15.88671875" style="28" customWidth="1"/>
    <col min="13314" max="13314" width="16.5546875" style="28" bestFit="1" customWidth="1"/>
    <col min="13315" max="13315" width="13.6640625" style="28" customWidth="1"/>
    <col min="13316" max="13316" width="17.109375" style="28" bestFit="1" customWidth="1"/>
    <col min="13317" max="13317" width="4" style="28" customWidth="1"/>
    <col min="13318" max="13318" width="13.6640625" style="28" customWidth="1"/>
    <col min="13319" max="13560" width="13.6640625" style="28"/>
    <col min="13561" max="13561" width="22.109375" style="28" customWidth="1"/>
    <col min="13562" max="13568" width="13.6640625" style="28" customWidth="1"/>
    <col min="13569" max="13569" width="15.88671875" style="28" customWidth="1"/>
    <col min="13570" max="13570" width="16.5546875" style="28" bestFit="1" customWidth="1"/>
    <col min="13571" max="13571" width="13.6640625" style="28" customWidth="1"/>
    <col min="13572" max="13572" width="17.109375" style="28" bestFit="1" customWidth="1"/>
    <col min="13573" max="13573" width="4" style="28" customWidth="1"/>
    <col min="13574" max="13574" width="13.6640625" style="28" customWidth="1"/>
    <col min="13575" max="13816" width="13.6640625" style="28"/>
    <col min="13817" max="13817" width="22.109375" style="28" customWidth="1"/>
    <col min="13818" max="13824" width="13.6640625" style="28" customWidth="1"/>
    <col min="13825" max="13825" width="15.88671875" style="28" customWidth="1"/>
    <col min="13826" max="13826" width="16.5546875" style="28" bestFit="1" customWidth="1"/>
    <col min="13827" max="13827" width="13.6640625" style="28" customWidth="1"/>
    <col min="13828" max="13828" width="17.109375" style="28" bestFit="1" customWidth="1"/>
    <col min="13829" max="13829" width="4" style="28" customWidth="1"/>
    <col min="13830" max="13830" width="13.6640625" style="28" customWidth="1"/>
    <col min="13831" max="14072" width="13.6640625" style="28"/>
    <col min="14073" max="14073" width="22.109375" style="28" customWidth="1"/>
    <col min="14074" max="14080" width="13.6640625" style="28" customWidth="1"/>
    <col min="14081" max="14081" width="15.88671875" style="28" customWidth="1"/>
    <col min="14082" max="14082" width="16.5546875" style="28" bestFit="1" customWidth="1"/>
    <col min="14083" max="14083" width="13.6640625" style="28" customWidth="1"/>
    <col min="14084" max="14084" width="17.109375" style="28" bestFit="1" customWidth="1"/>
    <col min="14085" max="14085" width="4" style="28" customWidth="1"/>
    <col min="14086" max="14086" width="13.6640625" style="28" customWidth="1"/>
    <col min="14087" max="14328" width="13.6640625" style="28"/>
    <col min="14329" max="14329" width="22.109375" style="28" customWidth="1"/>
    <col min="14330" max="14336" width="13.6640625" style="28" customWidth="1"/>
    <col min="14337" max="14337" width="15.88671875" style="28" customWidth="1"/>
    <col min="14338" max="14338" width="16.5546875" style="28" bestFit="1" customWidth="1"/>
    <col min="14339" max="14339" width="13.6640625" style="28" customWidth="1"/>
    <col min="14340" max="14340" width="17.109375" style="28" bestFit="1" customWidth="1"/>
    <col min="14341" max="14341" width="4" style="28" customWidth="1"/>
    <col min="14342" max="14342" width="13.6640625" style="28" customWidth="1"/>
    <col min="14343" max="14584" width="13.6640625" style="28"/>
    <col min="14585" max="14585" width="22.109375" style="28" customWidth="1"/>
    <col min="14586" max="14592" width="13.6640625" style="28" customWidth="1"/>
    <col min="14593" max="14593" width="15.88671875" style="28" customWidth="1"/>
    <col min="14594" max="14594" width="16.5546875" style="28" bestFit="1" customWidth="1"/>
    <col min="14595" max="14595" width="13.6640625" style="28" customWidth="1"/>
    <col min="14596" max="14596" width="17.109375" style="28" bestFit="1" customWidth="1"/>
    <col min="14597" max="14597" width="4" style="28" customWidth="1"/>
    <col min="14598" max="14598" width="13.6640625" style="28" customWidth="1"/>
    <col min="14599" max="14840" width="13.6640625" style="28"/>
    <col min="14841" max="14841" width="22.109375" style="28" customWidth="1"/>
    <col min="14842" max="14848" width="13.6640625" style="28" customWidth="1"/>
    <col min="14849" max="14849" width="15.88671875" style="28" customWidth="1"/>
    <col min="14850" max="14850" width="16.5546875" style="28" bestFit="1" customWidth="1"/>
    <col min="14851" max="14851" width="13.6640625" style="28" customWidth="1"/>
    <col min="14852" max="14852" width="17.109375" style="28" bestFit="1" customWidth="1"/>
    <col min="14853" max="14853" width="4" style="28" customWidth="1"/>
    <col min="14854" max="14854" width="13.6640625" style="28" customWidth="1"/>
    <col min="14855" max="15096" width="13.6640625" style="28"/>
    <col min="15097" max="15097" width="22.109375" style="28" customWidth="1"/>
    <col min="15098" max="15104" width="13.6640625" style="28" customWidth="1"/>
    <col min="15105" max="15105" width="15.88671875" style="28" customWidth="1"/>
    <col min="15106" max="15106" width="16.5546875" style="28" bestFit="1" customWidth="1"/>
    <col min="15107" max="15107" width="13.6640625" style="28" customWidth="1"/>
    <col min="15108" max="15108" width="17.109375" style="28" bestFit="1" customWidth="1"/>
    <col min="15109" max="15109" width="4" style="28" customWidth="1"/>
    <col min="15110" max="15110" width="13.6640625" style="28" customWidth="1"/>
    <col min="15111" max="15352" width="13.6640625" style="28"/>
    <col min="15353" max="15353" width="22.109375" style="28" customWidth="1"/>
    <col min="15354" max="15360" width="13.6640625" style="28" customWidth="1"/>
    <col min="15361" max="15361" width="15.88671875" style="28" customWidth="1"/>
    <col min="15362" max="15362" width="16.5546875" style="28" bestFit="1" customWidth="1"/>
    <col min="15363" max="15363" width="13.6640625" style="28" customWidth="1"/>
    <col min="15364" max="15364" width="17.109375" style="28" bestFit="1" customWidth="1"/>
    <col min="15365" max="15365" width="4" style="28" customWidth="1"/>
    <col min="15366" max="15366" width="13.6640625" style="28" customWidth="1"/>
    <col min="15367" max="15608" width="13.6640625" style="28"/>
    <col min="15609" max="15609" width="22.109375" style="28" customWidth="1"/>
    <col min="15610" max="15616" width="13.6640625" style="28" customWidth="1"/>
    <col min="15617" max="15617" width="15.88671875" style="28" customWidth="1"/>
    <col min="15618" max="15618" width="16.5546875" style="28" bestFit="1" customWidth="1"/>
    <col min="15619" max="15619" width="13.6640625" style="28" customWidth="1"/>
    <col min="15620" max="15620" width="17.109375" style="28" bestFit="1" customWidth="1"/>
    <col min="15621" max="15621" width="4" style="28" customWidth="1"/>
    <col min="15622" max="15622" width="13.6640625" style="28" customWidth="1"/>
    <col min="15623" max="15864" width="13.6640625" style="28"/>
    <col min="15865" max="15865" width="22.109375" style="28" customWidth="1"/>
    <col min="15866" max="15872" width="13.6640625" style="28" customWidth="1"/>
    <col min="15873" max="15873" width="15.88671875" style="28" customWidth="1"/>
    <col min="15874" max="15874" width="16.5546875" style="28" bestFit="1" customWidth="1"/>
    <col min="15875" max="15875" width="13.6640625" style="28" customWidth="1"/>
    <col min="15876" max="15876" width="17.109375" style="28" bestFit="1" customWidth="1"/>
    <col min="15877" max="15877" width="4" style="28" customWidth="1"/>
    <col min="15878" max="15878" width="13.6640625" style="28" customWidth="1"/>
    <col min="15879" max="16120" width="13.6640625" style="28"/>
    <col min="16121" max="16121" width="22.109375" style="28" customWidth="1"/>
    <col min="16122" max="16128" width="13.6640625" style="28" customWidth="1"/>
    <col min="16129" max="16129" width="15.88671875" style="28" customWidth="1"/>
    <col min="16130" max="16130" width="16.5546875" style="28" bestFit="1" customWidth="1"/>
    <col min="16131" max="16131" width="13.6640625" style="28" customWidth="1"/>
    <col min="16132" max="16132" width="17.109375" style="28" bestFit="1" customWidth="1"/>
    <col min="16133" max="16133" width="4" style="28" customWidth="1"/>
    <col min="16134" max="16134" width="13.6640625" style="28" customWidth="1"/>
    <col min="16135" max="16384" width="13.6640625" style="28"/>
  </cols>
  <sheetData>
    <row r="1" spans="1:27" s="22" customFormat="1">
      <c r="A1" s="310" t="s">
        <v>4</v>
      </c>
      <c r="B1" s="153"/>
      <c r="C1" s="153"/>
      <c r="D1" s="153"/>
      <c r="E1" s="91"/>
      <c r="F1" s="91"/>
      <c r="G1" s="154"/>
      <c r="H1" s="91"/>
      <c r="I1" s="91"/>
    </row>
    <row r="2" spans="1:27" s="22" customFormat="1" ht="48.6">
      <c r="A2" s="91"/>
      <c r="B2" s="153"/>
      <c r="C2" s="153"/>
      <c r="D2" s="153"/>
      <c r="E2" s="155"/>
      <c r="F2" s="450" t="s">
        <v>315</v>
      </c>
      <c r="G2" s="450" t="s">
        <v>316</v>
      </c>
      <c r="H2" s="155"/>
      <c r="I2" s="91"/>
    </row>
    <row r="3" spans="1:27" s="22" customFormat="1" ht="15.6">
      <c r="A3" s="38" t="str">
        <f>'2-Kosten per locatie'!A3</f>
        <v>Naam opdrachtgever</v>
      </c>
      <c r="B3" s="137" t="str">
        <f>'2-Kosten per locatie'!B3</f>
        <v>Gemeente Heemstede</v>
      </c>
      <c r="C3" s="137"/>
      <c r="D3" s="137"/>
      <c r="E3" s="155"/>
      <c r="F3" s="451" t="s">
        <v>317</v>
      </c>
      <c r="G3" s="452"/>
      <c r="H3" s="155"/>
      <c r="I3" s="215" t="s">
        <v>134</v>
      </c>
    </row>
    <row r="4" spans="1:27" s="22" customFormat="1" ht="15.6">
      <c r="A4" s="38" t="str">
        <f>'2-Kosten per locatie'!A4</f>
        <v>Calculatie onderdeel</v>
      </c>
      <c r="B4" s="137" t="str">
        <f ca="1">MID(CELL("bestandsnaam",$D$9),SEARCH("]",CELL("bestandsnaam",$D$9),1)+1,256)</f>
        <v>9-Vloeronderhoud</v>
      </c>
      <c r="C4" s="137"/>
      <c r="D4" s="137"/>
      <c r="E4" s="155"/>
      <c r="F4" s="451" t="s">
        <v>318</v>
      </c>
      <c r="G4" s="452"/>
      <c r="H4" s="155"/>
      <c r="I4" s="215" t="s">
        <v>140</v>
      </c>
    </row>
    <row r="5" spans="1:27" s="22" customFormat="1" ht="15.6">
      <c r="A5" s="38" t="str">
        <f>'2-Kosten per locatie'!A5</f>
        <v>Gebouw/plaats</v>
      </c>
      <c r="B5" s="137" t="str">
        <f>'2-Kosten per locatie'!B5</f>
        <v>Heemstede e.o.</v>
      </c>
      <c r="C5" s="137"/>
      <c r="D5" s="137"/>
      <c r="E5" s="155"/>
      <c r="F5" s="453" t="s">
        <v>319</v>
      </c>
      <c r="G5" s="452"/>
      <c r="H5" s="155"/>
      <c r="I5" s="215" t="s">
        <v>138</v>
      </c>
      <c r="K5" s="24"/>
      <c r="L5" s="23"/>
      <c r="M5" s="24"/>
      <c r="N5" s="24"/>
      <c r="O5" s="23"/>
      <c r="P5" s="25"/>
      <c r="Q5" s="24"/>
      <c r="R5" s="23"/>
      <c r="S5" s="24"/>
      <c r="T5" s="24"/>
      <c r="U5" s="23"/>
      <c r="V5" s="24"/>
      <c r="W5" s="24"/>
      <c r="X5" s="23"/>
      <c r="Y5" s="24"/>
      <c r="Z5" s="24"/>
      <c r="AA5" s="23"/>
    </row>
    <row r="6" spans="1:27" s="22" customFormat="1" ht="17.25" customHeight="1">
      <c r="A6" s="38" t="str">
        <f>'2-Kosten per locatie'!A6</f>
        <v>Referentie nummer</v>
      </c>
      <c r="B6" s="137">
        <f>'2-Kosten per locatie'!B6</f>
        <v>0</v>
      </c>
      <c r="C6" s="137"/>
      <c r="D6" s="137"/>
      <c r="E6" s="155"/>
      <c r="F6" s="155"/>
      <c r="G6" s="155"/>
      <c r="H6" s="155"/>
      <c r="I6" s="215" t="s">
        <v>126</v>
      </c>
      <c r="K6" s="26"/>
      <c r="L6" s="27"/>
      <c r="M6" s="24"/>
      <c r="N6" s="26"/>
      <c r="O6" s="27"/>
      <c r="P6" s="25"/>
      <c r="Q6" s="26"/>
      <c r="R6" s="27"/>
      <c r="S6" s="24"/>
      <c r="T6" s="26"/>
      <c r="U6" s="27"/>
      <c r="V6" s="24"/>
      <c r="W6" s="26"/>
      <c r="X6" s="27"/>
      <c r="Y6" s="24"/>
      <c r="Z6" s="26"/>
      <c r="AA6" s="27"/>
    </row>
    <row r="7" spans="1:27" s="22" customFormat="1" ht="17.25" customHeight="1">
      <c r="A7" s="38" t="str">
        <f>'2-Kosten per locatie'!A7</f>
        <v>Naam dienstverlener</v>
      </c>
      <c r="B7" s="137">
        <f>'2-Kosten per locatie'!B7</f>
        <v>0</v>
      </c>
      <c r="C7" s="137"/>
      <c r="D7" s="110"/>
      <c r="E7" s="155"/>
      <c r="F7" s="155"/>
      <c r="G7" s="155"/>
      <c r="H7" s="155"/>
      <c r="I7" s="219" t="s">
        <v>162</v>
      </c>
    </row>
    <row r="8" spans="1:27" s="22" customFormat="1" ht="17.25" customHeight="1">
      <c r="A8" s="38" t="str">
        <f>'2-Kosten per locatie'!A8</f>
        <v>Prijspeil</v>
      </c>
      <c r="B8" s="201">
        <f>'2-Kosten per locatie'!B8</f>
        <v>46388</v>
      </c>
      <c r="C8" s="201"/>
      <c r="D8" s="47"/>
      <c r="E8" s="155"/>
      <c r="F8" s="155"/>
      <c r="G8" s="155"/>
      <c r="H8" s="155"/>
      <c r="I8" s="156"/>
    </row>
    <row r="9" spans="1:27" s="22" customFormat="1" ht="17.25" customHeight="1">
      <c r="A9" s="155"/>
      <c r="B9" s="155"/>
      <c r="C9" s="155"/>
      <c r="D9" s="155"/>
      <c r="E9" s="155"/>
      <c r="F9" s="155"/>
      <c r="G9" s="155"/>
      <c r="H9" s="155"/>
      <c r="I9" s="156"/>
    </row>
    <row r="10" spans="1:27" s="22" customFormat="1" ht="17.25" hidden="1" customHeight="1">
      <c r="A10" s="155"/>
      <c r="B10" s="155"/>
      <c r="C10" s="155"/>
      <c r="D10" s="155"/>
      <c r="E10" s="155"/>
      <c r="F10" s="155"/>
      <c r="G10" s="155"/>
      <c r="H10" s="155"/>
      <c r="I10" s="156"/>
    </row>
    <row r="11" spans="1:27" s="22" customFormat="1" ht="15.6" hidden="1">
      <c r="A11" s="157"/>
      <c r="B11" s="155"/>
      <c r="C11" s="155"/>
      <c r="D11" s="155"/>
      <c r="E11" s="158"/>
      <c r="F11" s="155"/>
      <c r="G11" s="159"/>
      <c r="H11" s="158"/>
      <c r="I11" s="156"/>
    </row>
    <row r="12" spans="1:27" s="29" customFormat="1" ht="43.5" customHeight="1">
      <c r="A12" s="454" t="s">
        <v>27</v>
      </c>
      <c r="B12" s="455" t="s">
        <v>320</v>
      </c>
      <c r="C12" s="455" t="s">
        <v>109</v>
      </c>
      <c r="D12" s="455" t="s">
        <v>315</v>
      </c>
      <c r="E12" s="450" t="s">
        <v>321</v>
      </c>
      <c r="F12" s="455" t="s">
        <v>322</v>
      </c>
      <c r="G12" s="455" t="s">
        <v>323</v>
      </c>
      <c r="H12" s="455" t="s">
        <v>324</v>
      </c>
      <c r="I12" s="455" t="s">
        <v>325</v>
      </c>
    </row>
    <row r="13" spans="1:27">
      <c r="A13" s="456" t="s">
        <v>42</v>
      </c>
      <c r="B13" s="451" t="s">
        <v>134</v>
      </c>
      <c r="C13" s="451" t="s">
        <v>134</v>
      </c>
      <c r="D13" s="451" t="s">
        <v>317</v>
      </c>
      <c r="E13" s="457">
        <f>IF(C13="Linoleum",SUMIFS('4-Basis ruimtestaat'!J:J,'4-Basis ruimtestaat'!B:B,'9-Vloeronderhoud'!A13,'4-Basis ruimtestaat'!I:I,"Linoleum"),IF(C13="Harde vloer zonder waslaag (sanitair)",SUMIFS('4-Basis ruimtestaat'!J:J,'4-Basis ruimtestaat'!B:B,'9-Vloeronderhoud'!A13,'4-Basis ruimtestaat'!I:I,"harde vloer zonder waslaag (sanitair)"),IF(C13="harde vloer zonder waslaag (overig)",SUMIFS('4-Basis ruimtestaat'!J:J,'4-Basis ruimtestaat'!B:B,'9-Vloeronderhoud'!A13,'4-Basis ruimtestaat'!I:I,"harde vloer zonder waslaag (overig)"),IF(C13="zachte vloer",SUMIFS('4-Basis ruimtestaat'!J:J,'4-Basis ruimtestaat'!B:B,'9-Vloeronderhoud'!A13,'4-Basis ruimtestaat'!I:I,"zachte vloer"),0))))</f>
        <v>36</v>
      </c>
      <c r="F13" s="458">
        <f t="shared" ref="F13:F22" si="0">VLOOKUP(D13,$F$3:$G$10,2,FALSE)</f>
        <v>0</v>
      </c>
      <c r="G13" s="459">
        <f t="shared" ref="G13:G22" si="1">(E13*F13)</f>
        <v>0</v>
      </c>
      <c r="H13" s="460" t="s">
        <v>326</v>
      </c>
      <c r="I13" s="459">
        <f t="shared" ref="I13:I41" si="2">H13*G13</f>
        <v>0</v>
      </c>
    </row>
    <row r="14" spans="1:27">
      <c r="A14" s="456" t="s">
        <v>44</v>
      </c>
      <c r="B14" s="451" t="s">
        <v>134</v>
      </c>
      <c r="C14" s="451" t="s">
        <v>134</v>
      </c>
      <c r="D14" s="451" t="s">
        <v>317</v>
      </c>
      <c r="E14" s="457">
        <f>IF(C14="Linoleum",SUMIFS('4-Basis ruimtestaat'!J:J,'4-Basis ruimtestaat'!B:B,'9-Vloeronderhoud'!A14,'4-Basis ruimtestaat'!I:I,"Linoleum"),IF(C14="Harde vloer zonder waslaag (sanitair)",SUMIFS('4-Basis ruimtestaat'!J:J,'4-Basis ruimtestaat'!B:B,'9-Vloeronderhoud'!A14,'4-Basis ruimtestaat'!I:I,"harde vloer zonder waslaag (sanitair)"),IF(C14="harde vloer zonder waslaag (overig)",SUMIFS('4-Basis ruimtestaat'!J:J,'4-Basis ruimtestaat'!B:B,'9-Vloeronderhoud'!A14,'4-Basis ruimtestaat'!I:I,"harde vloer zonder waslaag (overig)"),IF(C14="zachte vloer",SUMIFS('4-Basis ruimtestaat'!J:J,'4-Basis ruimtestaat'!B:B,'9-Vloeronderhoud'!A14,'4-Basis ruimtestaat'!I:I,"zachte vloer"),0))))</f>
        <v>299.2</v>
      </c>
      <c r="F14" s="458">
        <f t="shared" si="0"/>
        <v>0</v>
      </c>
      <c r="G14" s="459">
        <f t="shared" si="1"/>
        <v>0</v>
      </c>
      <c r="H14" s="460" t="s">
        <v>326</v>
      </c>
      <c r="I14" s="459">
        <f t="shared" si="2"/>
        <v>0</v>
      </c>
    </row>
    <row r="15" spans="1:27">
      <c r="A15" s="456" t="s">
        <v>45</v>
      </c>
      <c r="B15" s="451" t="s">
        <v>134</v>
      </c>
      <c r="C15" s="451" t="s">
        <v>134</v>
      </c>
      <c r="D15" s="451" t="s">
        <v>317</v>
      </c>
      <c r="E15" s="457">
        <f>IF(C15="Linoleum",SUMIFS('4-Basis ruimtestaat'!J:J,'4-Basis ruimtestaat'!B:B,'9-Vloeronderhoud'!A15,'4-Basis ruimtestaat'!I:I,"Linoleum"),IF(C15="Harde vloer zonder waslaag (sanitair)",SUMIFS('4-Basis ruimtestaat'!J:J,'4-Basis ruimtestaat'!B:B,'9-Vloeronderhoud'!A15,'4-Basis ruimtestaat'!I:I,"harde vloer zonder waslaag (sanitair)"),IF(C15="harde vloer zonder waslaag (overig)",SUMIFS('4-Basis ruimtestaat'!J:J,'4-Basis ruimtestaat'!B:B,'9-Vloeronderhoud'!A15,'4-Basis ruimtestaat'!I:I,"harde vloer zonder waslaag (overig)"),IF(C15="zachte vloer",SUMIFS('4-Basis ruimtestaat'!J:J,'4-Basis ruimtestaat'!B:B,'9-Vloeronderhoud'!A15,'4-Basis ruimtestaat'!I:I,"zachte vloer"),0))))</f>
        <v>35.4</v>
      </c>
      <c r="F15" s="458">
        <f t="shared" si="0"/>
        <v>0</v>
      </c>
      <c r="G15" s="459">
        <f t="shared" si="1"/>
        <v>0</v>
      </c>
      <c r="H15" s="460" t="s">
        <v>326</v>
      </c>
      <c r="I15" s="459">
        <f t="shared" si="2"/>
        <v>0</v>
      </c>
    </row>
    <row r="16" spans="1:27">
      <c r="A16" s="456" t="s">
        <v>46</v>
      </c>
      <c r="B16" s="451" t="s">
        <v>134</v>
      </c>
      <c r="C16" s="451" t="s">
        <v>134</v>
      </c>
      <c r="D16" s="451" t="s">
        <v>317</v>
      </c>
      <c r="E16" s="457">
        <f>IF(C16="Linoleum",SUMIFS('4-Basis ruimtestaat'!J:J,'4-Basis ruimtestaat'!B:B,'9-Vloeronderhoud'!A16,'4-Basis ruimtestaat'!I:I,"Linoleum"),IF(C16="Harde vloer zonder waslaag (sanitair)",SUMIFS('4-Basis ruimtestaat'!J:J,'4-Basis ruimtestaat'!B:B,'9-Vloeronderhoud'!A16,'4-Basis ruimtestaat'!I:I,"harde vloer zonder waslaag (sanitair)"),IF(C16="harde vloer zonder waslaag (overig)",SUMIFS('4-Basis ruimtestaat'!J:J,'4-Basis ruimtestaat'!B:B,'9-Vloeronderhoud'!A16,'4-Basis ruimtestaat'!I:I,"harde vloer zonder waslaag (overig)"),IF(C16="zachte vloer",SUMIFS('4-Basis ruimtestaat'!J:J,'4-Basis ruimtestaat'!B:B,'9-Vloeronderhoud'!A16,'4-Basis ruimtestaat'!I:I,"zachte vloer"),0))))</f>
        <v>52</v>
      </c>
      <c r="F16" s="458">
        <f t="shared" si="0"/>
        <v>0</v>
      </c>
      <c r="G16" s="459">
        <f t="shared" si="1"/>
        <v>0</v>
      </c>
      <c r="H16" s="460" t="s">
        <v>326</v>
      </c>
      <c r="I16" s="459">
        <f t="shared" si="2"/>
        <v>0</v>
      </c>
    </row>
    <row r="17" spans="1:9">
      <c r="A17" s="456" t="s">
        <v>49</v>
      </c>
      <c r="B17" s="451" t="s">
        <v>134</v>
      </c>
      <c r="C17" s="451" t="s">
        <v>134</v>
      </c>
      <c r="D17" s="451" t="s">
        <v>317</v>
      </c>
      <c r="E17" s="457">
        <f>IF(C17="Linoleum",SUMIFS('4-Basis ruimtestaat'!J:J,'4-Basis ruimtestaat'!B:B,'9-Vloeronderhoud'!A17,'4-Basis ruimtestaat'!I:I,"Linoleum"),IF(C17="Harde vloer zonder waslaag (sanitair)",SUMIFS('4-Basis ruimtestaat'!J:J,'4-Basis ruimtestaat'!B:B,'9-Vloeronderhoud'!A17,'4-Basis ruimtestaat'!I:I,"harde vloer zonder waslaag (sanitair)"),IF(C17="harde vloer zonder waslaag (overig)",SUMIFS('4-Basis ruimtestaat'!J:J,'4-Basis ruimtestaat'!B:B,'9-Vloeronderhoud'!A17,'4-Basis ruimtestaat'!I:I,"harde vloer zonder waslaag (overig)"),IF(C17="zachte vloer",SUMIFS('4-Basis ruimtestaat'!J:J,'4-Basis ruimtestaat'!B:B,'9-Vloeronderhoud'!A17,'4-Basis ruimtestaat'!I:I,"zachte vloer"),0))))</f>
        <v>510.19999999999993</v>
      </c>
      <c r="F17" s="458">
        <f t="shared" si="0"/>
        <v>0</v>
      </c>
      <c r="G17" s="459">
        <f t="shared" si="1"/>
        <v>0</v>
      </c>
      <c r="H17" s="460" t="s">
        <v>326</v>
      </c>
      <c r="I17" s="459">
        <f t="shared" si="2"/>
        <v>0</v>
      </c>
    </row>
    <row r="18" spans="1:9">
      <c r="A18" s="456" t="s">
        <v>50</v>
      </c>
      <c r="B18" s="451" t="s">
        <v>134</v>
      </c>
      <c r="C18" s="451" t="s">
        <v>134</v>
      </c>
      <c r="D18" s="451" t="s">
        <v>317</v>
      </c>
      <c r="E18" s="457">
        <f>IF(C18="Linoleum",SUMIFS('4-Basis ruimtestaat'!J:J,'4-Basis ruimtestaat'!B:B,'9-Vloeronderhoud'!A18,'4-Basis ruimtestaat'!I:I,"Linoleum"),IF(C18="Harde vloer zonder waslaag (sanitair)",SUMIFS('4-Basis ruimtestaat'!J:J,'4-Basis ruimtestaat'!B:B,'9-Vloeronderhoud'!A18,'4-Basis ruimtestaat'!I:I,"harde vloer zonder waslaag (sanitair)"),IF(C18="harde vloer zonder waslaag (overig)",SUMIFS('4-Basis ruimtestaat'!J:J,'4-Basis ruimtestaat'!B:B,'9-Vloeronderhoud'!A18,'4-Basis ruimtestaat'!I:I,"harde vloer zonder waslaag (overig)"),IF(C18="zachte vloer",SUMIFS('4-Basis ruimtestaat'!J:J,'4-Basis ruimtestaat'!B:B,'9-Vloeronderhoud'!A18,'4-Basis ruimtestaat'!I:I,"zachte vloer"),0))))</f>
        <v>20</v>
      </c>
      <c r="F18" s="458">
        <f t="shared" si="0"/>
        <v>0</v>
      </c>
      <c r="G18" s="459">
        <f t="shared" si="1"/>
        <v>0</v>
      </c>
      <c r="H18" s="460" t="s">
        <v>326</v>
      </c>
      <c r="I18" s="459">
        <f t="shared" si="2"/>
        <v>0</v>
      </c>
    </row>
    <row r="19" spans="1:9">
      <c r="A19" s="456" t="s">
        <v>42</v>
      </c>
      <c r="B19" s="451" t="s">
        <v>134</v>
      </c>
      <c r="C19" s="451" t="s">
        <v>134</v>
      </c>
      <c r="D19" s="451" t="s">
        <v>318</v>
      </c>
      <c r="E19" s="457">
        <f>IF(C19="Linoleum",SUMIFS('4-Basis ruimtestaat'!J:J,'4-Basis ruimtestaat'!B:B,'9-Vloeronderhoud'!A19,'4-Basis ruimtestaat'!I:I,"Linoleum"),IF(C19="Harde vloer zonder waslaag (sanitair)",SUMIFS('4-Basis ruimtestaat'!J:J,'4-Basis ruimtestaat'!B:B,'9-Vloeronderhoud'!A19,'4-Basis ruimtestaat'!I:I,"harde vloer zonder waslaag (sanitair)"),IF(C19="harde vloer zonder waslaag (overig)",SUMIFS('4-Basis ruimtestaat'!J:J,'4-Basis ruimtestaat'!B:B,'9-Vloeronderhoud'!A19,'4-Basis ruimtestaat'!I:I,"harde vloer zonder waslaag (overig)"),IF(C19="zachte vloer",SUMIFS('4-Basis ruimtestaat'!J:J,'4-Basis ruimtestaat'!B:B,'9-Vloeronderhoud'!A19,'4-Basis ruimtestaat'!I:I,"zachte vloer"),0))))</f>
        <v>36</v>
      </c>
      <c r="F19" s="458">
        <f t="shared" si="0"/>
        <v>0</v>
      </c>
      <c r="G19" s="459">
        <f t="shared" si="1"/>
        <v>0</v>
      </c>
      <c r="H19" s="460" t="s">
        <v>327</v>
      </c>
      <c r="I19" s="459">
        <f t="shared" si="2"/>
        <v>0</v>
      </c>
    </row>
    <row r="20" spans="1:9">
      <c r="A20" s="456" t="s">
        <v>44</v>
      </c>
      <c r="B20" s="451" t="s">
        <v>134</v>
      </c>
      <c r="C20" s="451" t="s">
        <v>134</v>
      </c>
      <c r="D20" s="451" t="s">
        <v>318</v>
      </c>
      <c r="E20" s="457">
        <f>IF(C20="Linoleum",SUMIFS('4-Basis ruimtestaat'!J:J,'4-Basis ruimtestaat'!B:B,'9-Vloeronderhoud'!A20,'4-Basis ruimtestaat'!I:I,"Linoleum"),IF(C20="Harde vloer zonder waslaag (sanitair)",SUMIFS('4-Basis ruimtestaat'!J:J,'4-Basis ruimtestaat'!B:B,'9-Vloeronderhoud'!A20,'4-Basis ruimtestaat'!I:I,"harde vloer zonder waslaag (sanitair)"),IF(C20="harde vloer zonder waslaag (overig)",SUMIFS('4-Basis ruimtestaat'!J:J,'4-Basis ruimtestaat'!B:B,'9-Vloeronderhoud'!A20,'4-Basis ruimtestaat'!I:I,"harde vloer zonder waslaag (overig)"),IF(C20="zachte vloer",SUMIFS('4-Basis ruimtestaat'!J:J,'4-Basis ruimtestaat'!B:B,'9-Vloeronderhoud'!A20,'4-Basis ruimtestaat'!I:I,"zachte vloer"),0))))</f>
        <v>299.2</v>
      </c>
      <c r="F20" s="458">
        <f t="shared" si="0"/>
        <v>0</v>
      </c>
      <c r="G20" s="459">
        <f t="shared" si="1"/>
        <v>0</v>
      </c>
      <c r="H20" s="460" t="s">
        <v>327</v>
      </c>
      <c r="I20" s="459">
        <f t="shared" si="2"/>
        <v>0</v>
      </c>
    </row>
    <row r="21" spans="1:9">
      <c r="A21" s="456" t="s">
        <v>45</v>
      </c>
      <c r="B21" s="451" t="s">
        <v>134</v>
      </c>
      <c r="C21" s="451" t="s">
        <v>134</v>
      </c>
      <c r="D21" s="451" t="s">
        <v>318</v>
      </c>
      <c r="E21" s="457">
        <f>IF(C21="Linoleum",SUMIFS('4-Basis ruimtestaat'!J:J,'4-Basis ruimtestaat'!B:B,'9-Vloeronderhoud'!A21,'4-Basis ruimtestaat'!I:I,"Linoleum"),IF(C21="Harde vloer zonder waslaag (sanitair)",SUMIFS('4-Basis ruimtestaat'!J:J,'4-Basis ruimtestaat'!B:B,'9-Vloeronderhoud'!A21,'4-Basis ruimtestaat'!I:I,"harde vloer zonder waslaag (sanitair)"),IF(C21="harde vloer zonder waslaag (overig)",SUMIFS('4-Basis ruimtestaat'!J:J,'4-Basis ruimtestaat'!B:B,'9-Vloeronderhoud'!A21,'4-Basis ruimtestaat'!I:I,"harde vloer zonder waslaag (overig)"),IF(C21="zachte vloer",SUMIFS('4-Basis ruimtestaat'!J:J,'4-Basis ruimtestaat'!B:B,'9-Vloeronderhoud'!A21,'4-Basis ruimtestaat'!I:I,"zachte vloer"),0))))</f>
        <v>35.4</v>
      </c>
      <c r="F21" s="458">
        <f t="shared" si="0"/>
        <v>0</v>
      </c>
      <c r="G21" s="459">
        <f t="shared" si="1"/>
        <v>0</v>
      </c>
      <c r="H21" s="460" t="s">
        <v>327</v>
      </c>
      <c r="I21" s="459">
        <f t="shared" si="2"/>
        <v>0</v>
      </c>
    </row>
    <row r="22" spans="1:9">
      <c r="A22" s="456" t="s">
        <v>46</v>
      </c>
      <c r="B22" s="451" t="s">
        <v>134</v>
      </c>
      <c r="C22" s="451" t="s">
        <v>134</v>
      </c>
      <c r="D22" s="451" t="s">
        <v>318</v>
      </c>
      <c r="E22" s="457">
        <f>IF(C22="Linoleum",SUMIFS('4-Basis ruimtestaat'!J:J,'4-Basis ruimtestaat'!B:B,'9-Vloeronderhoud'!A22,'4-Basis ruimtestaat'!I:I,"Linoleum"),IF(C22="Harde vloer zonder waslaag (sanitair)",SUMIFS('4-Basis ruimtestaat'!J:J,'4-Basis ruimtestaat'!B:B,'9-Vloeronderhoud'!A22,'4-Basis ruimtestaat'!I:I,"harde vloer zonder waslaag (sanitair)"),IF(C22="harde vloer zonder waslaag (overig)",SUMIFS('4-Basis ruimtestaat'!J:J,'4-Basis ruimtestaat'!B:B,'9-Vloeronderhoud'!A22,'4-Basis ruimtestaat'!I:I,"harde vloer zonder waslaag (overig)"),IF(C22="zachte vloer",SUMIFS('4-Basis ruimtestaat'!J:J,'4-Basis ruimtestaat'!B:B,'9-Vloeronderhoud'!A22,'4-Basis ruimtestaat'!I:I,"zachte vloer"),0))))</f>
        <v>52</v>
      </c>
      <c r="F22" s="458">
        <f t="shared" si="0"/>
        <v>0</v>
      </c>
      <c r="G22" s="459">
        <f t="shared" si="1"/>
        <v>0</v>
      </c>
      <c r="H22" s="460" t="s">
        <v>327</v>
      </c>
      <c r="I22" s="459">
        <f t="shared" si="2"/>
        <v>0</v>
      </c>
    </row>
    <row r="23" spans="1:9">
      <c r="A23" s="456" t="s">
        <v>49</v>
      </c>
      <c r="B23" s="451" t="s">
        <v>134</v>
      </c>
      <c r="C23" s="451" t="s">
        <v>134</v>
      </c>
      <c r="D23" s="451" t="s">
        <v>318</v>
      </c>
      <c r="E23" s="457">
        <f>IF(C23="Linoleum",SUMIFS('4-Basis ruimtestaat'!J:J,'4-Basis ruimtestaat'!B:B,'9-Vloeronderhoud'!A23,'4-Basis ruimtestaat'!I:I,"Linoleum"),IF(C23="Harde vloer zonder waslaag (sanitair)",SUMIFS('4-Basis ruimtestaat'!J:J,'4-Basis ruimtestaat'!B:B,'9-Vloeronderhoud'!A23,'4-Basis ruimtestaat'!I:I,"harde vloer zonder waslaag (sanitair)"),IF(C23="harde vloer zonder waslaag (overig)",SUMIFS('4-Basis ruimtestaat'!J:J,'4-Basis ruimtestaat'!B:B,'9-Vloeronderhoud'!A23,'4-Basis ruimtestaat'!I:I,"harde vloer zonder waslaag (overig)"),IF(C23="zachte vloer",SUMIFS('4-Basis ruimtestaat'!J:J,'4-Basis ruimtestaat'!B:B,'9-Vloeronderhoud'!A23,'4-Basis ruimtestaat'!I:I,"zachte vloer"),0))))</f>
        <v>510.19999999999993</v>
      </c>
      <c r="F23" s="458">
        <f t="shared" ref="F23:F39" si="3">VLOOKUP(D23,$F$3:$G$10,2,FALSE)</f>
        <v>0</v>
      </c>
      <c r="G23" s="459">
        <f t="shared" ref="G23:G39" si="4">(E23*F23)</f>
        <v>0</v>
      </c>
      <c r="H23" s="460" t="s">
        <v>327</v>
      </c>
      <c r="I23" s="459">
        <f t="shared" si="2"/>
        <v>0</v>
      </c>
    </row>
    <row r="24" spans="1:9">
      <c r="A24" s="456" t="s">
        <v>50</v>
      </c>
      <c r="B24" s="451" t="s">
        <v>134</v>
      </c>
      <c r="C24" s="451" t="s">
        <v>134</v>
      </c>
      <c r="D24" s="451" t="s">
        <v>318</v>
      </c>
      <c r="E24" s="457">
        <f>IF(C24="Linoleum",SUMIFS('4-Basis ruimtestaat'!J:J,'4-Basis ruimtestaat'!B:B,'9-Vloeronderhoud'!A24,'4-Basis ruimtestaat'!I:I,"Linoleum"),IF(C24="Harde vloer zonder waslaag (sanitair)",SUMIFS('4-Basis ruimtestaat'!J:J,'4-Basis ruimtestaat'!B:B,'9-Vloeronderhoud'!A24,'4-Basis ruimtestaat'!I:I,"harde vloer zonder waslaag (sanitair)"),IF(C24="harde vloer zonder waslaag (overig)",SUMIFS('4-Basis ruimtestaat'!J:J,'4-Basis ruimtestaat'!B:B,'9-Vloeronderhoud'!A24,'4-Basis ruimtestaat'!I:I,"harde vloer zonder waslaag (overig)"),IF(C24="zachte vloer",SUMIFS('4-Basis ruimtestaat'!J:J,'4-Basis ruimtestaat'!B:B,'9-Vloeronderhoud'!A24,'4-Basis ruimtestaat'!I:I,"zachte vloer"),0))))</f>
        <v>20</v>
      </c>
      <c r="F24" s="458">
        <f t="shared" si="3"/>
        <v>0</v>
      </c>
      <c r="G24" s="459">
        <f t="shared" si="4"/>
        <v>0</v>
      </c>
      <c r="H24" s="460" t="s">
        <v>327</v>
      </c>
      <c r="I24" s="459">
        <f t="shared" si="2"/>
        <v>0</v>
      </c>
    </row>
    <row r="25" spans="1:9">
      <c r="A25" s="456" t="s">
        <v>42</v>
      </c>
      <c r="B25" s="453" t="s">
        <v>328</v>
      </c>
      <c r="C25" s="451" t="s">
        <v>140</v>
      </c>
      <c r="D25" s="451" t="s">
        <v>319</v>
      </c>
      <c r="E25" s="457">
        <f>IF(C25="Linoleum",SUMIFS('4-Basis ruimtestaat'!J:J,'4-Basis ruimtestaat'!B:B,'9-Vloeronderhoud'!A25,'4-Basis ruimtestaat'!I:I,"Linoleum"),IF(C25="Harde vloer zonder waslaag (sanitair)",SUMIFS('4-Basis ruimtestaat'!J:J,'4-Basis ruimtestaat'!B:B,'9-Vloeronderhoud'!A25,'4-Basis ruimtestaat'!I:I,"harde vloer zonder waslaag (sanitair)"),IF(C25="harde vloer zonder waslaag (overig)",SUMIFS('4-Basis ruimtestaat'!J:J,'4-Basis ruimtestaat'!B:B,'9-Vloeronderhoud'!A25,'4-Basis ruimtestaat'!I:I,"harde vloer zonder waslaag (overig)"),IF(C25="zachte vloer",SUMIFS('4-Basis ruimtestaat'!J:J,'4-Basis ruimtestaat'!B:B,'9-Vloeronderhoud'!A25,'4-Basis ruimtestaat'!I:I,"zachte vloer"),0))))</f>
        <v>6.5</v>
      </c>
      <c r="F25" s="458">
        <f t="shared" si="3"/>
        <v>0</v>
      </c>
      <c r="G25" s="459">
        <f t="shared" si="4"/>
        <v>0</v>
      </c>
      <c r="H25" s="460" t="s">
        <v>329</v>
      </c>
      <c r="I25" s="459">
        <f t="shared" si="2"/>
        <v>0</v>
      </c>
    </row>
    <row r="26" spans="1:9">
      <c r="A26" s="456" t="s">
        <v>43</v>
      </c>
      <c r="B26" s="453" t="s">
        <v>328</v>
      </c>
      <c r="C26" s="451" t="s">
        <v>140</v>
      </c>
      <c r="D26" s="451" t="s">
        <v>319</v>
      </c>
      <c r="E26" s="457">
        <f>IF(C26="Linoleum",SUMIFS('4-Basis ruimtestaat'!J:J,'4-Basis ruimtestaat'!B:B,'9-Vloeronderhoud'!A26,'4-Basis ruimtestaat'!I:I,"Linoleum"),IF(C26="Harde vloer zonder waslaag (sanitair)",SUMIFS('4-Basis ruimtestaat'!J:J,'4-Basis ruimtestaat'!B:B,'9-Vloeronderhoud'!A26,'4-Basis ruimtestaat'!I:I,"harde vloer zonder waslaag (sanitair)"),IF(C26="harde vloer zonder waslaag (overig)",SUMIFS('4-Basis ruimtestaat'!J:J,'4-Basis ruimtestaat'!B:B,'9-Vloeronderhoud'!A26,'4-Basis ruimtestaat'!I:I,"harde vloer zonder waslaag (overig)"),IF(C26="zachte vloer",SUMIFS('4-Basis ruimtestaat'!J:J,'4-Basis ruimtestaat'!B:B,'9-Vloeronderhoud'!A26,'4-Basis ruimtestaat'!I:I,"zachte vloer"),0))))</f>
        <v>17</v>
      </c>
      <c r="F26" s="458">
        <f t="shared" si="3"/>
        <v>0</v>
      </c>
      <c r="G26" s="459">
        <f t="shared" si="4"/>
        <v>0</v>
      </c>
      <c r="H26" s="460" t="s">
        <v>329</v>
      </c>
      <c r="I26" s="459">
        <f t="shared" si="2"/>
        <v>0</v>
      </c>
    </row>
    <row r="27" spans="1:9">
      <c r="A27" s="456" t="s">
        <v>44</v>
      </c>
      <c r="B27" s="453" t="s">
        <v>328</v>
      </c>
      <c r="C27" s="451" t="s">
        <v>140</v>
      </c>
      <c r="D27" s="451" t="s">
        <v>319</v>
      </c>
      <c r="E27" s="457">
        <f>IF(C27="Linoleum",SUMIFS('4-Basis ruimtestaat'!J:J,'4-Basis ruimtestaat'!B:B,'9-Vloeronderhoud'!A27,'4-Basis ruimtestaat'!I:I,"Linoleum"),IF(C27="Harde vloer zonder waslaag (sanitair)",SUMIFS('4-Basis ruimtestaat'!J:J,'4-Basis ruimtestaat'!B:B,'9-Vloeronderhoud'!A27,'4-Basis ruimtestaat'!I:I,"harde vloer zonder waslaag (sanitair)"),IF(C27="harde vloer zonder waslaag (overig)",SUMIFS('4-Basis ruimtestaat'!J:J,'4-Basis ruimtestaat'!B:B,'9-Vloeronderhoud'!A27,'4-Basis ruimtestaat'!I:I,"harde vloer zonder waslaag (overig)"),IF(C27="zachte vloer",SUMIFS('4-Basis ruimtestaat'!J:J,'4-Basis ruimtestaat'!B:B,'9-Vloeronderhoud'!A27,'4-Basis ruimtestaat'!I:I,"zachte vloer"),0))))</f>
        <v>36</v>
      </c>
      <c r="F27" s="458">
        <f t="shared" si="3"/>
        <v>0</v>
      </c>
      <c r="G27" s="459">
        <f t="shared" si="4"/>
        <v>0</v>
      </c>
      <c r="H27" s="460" t="s">
        <v>329</v>
      </c>
      <c r="I27" s="459">
        <f t="shared" si="2"/>
        <v>0</v>
      </c>
    </row>
    <row r="28" spans="1:9">
      <c r="A28" s="456" t="s">
        <v>45</v>
      </c>
      <c r="B28" s="453" t="s">
        <v>328</v>
      </c>
      <c r="C28" s="451" t="s">
        <v>140</v>
      </c>
      <c r="D28" s="451" t="s">
        <v>319</v>
      </c>
      <c r="E28" s="457">
        <f>IF(C28="Linoleum",SUMIFS('4-Basis ruimtestaat'!J:J,'4-Basis ruimtestaat'!B:B,'9-Vloeronderhoud'!A28,'4-Basis ruimtestaat'!I:I,"Linoleum"),IF(C28="Harde vloer zonder waslaag (sanitair)",SUMIFS('4-Basis ruimtestaat'!J:J,'4-Basis ruimtestaat'!B:B,'9-Vloeronderhoud'!A28,'4-Basis ruimtestaat'!I:I,"harde vloer zonder waslaag (sanitair)"),IF(C28="harde vloer zonder waslaag (overig)",SUMIFS('4-Basis ruimtestaat'!J:J,'4-Basis ruimtestaat'!B:B,'9-Vloeronderhoud'!A28,'4-Basis ruimtestaat'!I:I,"harde vloer zonder waslaag (overig)"),IF(C28="zachte vloer",SUMIFS('4-Basis ruimtestaat'!J:J,'4-Basis ruimtestaat'!B:B,'9-Vloeronderhoud'!A28,'4-Basis ruimtestaat'!I:I,"zachte vloer"),0))))</f>
        <v>90</v>
      </c>
      <c r="F28" s="458">
        <f t="shared" si="3"/>
        <v>0</v>
      </c>
      <c r="G28" s="459">
        <f t="shared" si="4"/>
        <v>0</v>
      </c>
      <c r="H28" s="460" t="s">
        <v>329</v>
      </c>
      <c r="I28" s="459">
        <f t="shared" si="2"/>
        <v>0</v>
      </c>
    </row>
    <row r="29" spans="1:9">
      <c r="A29" s="456" t="s">
        <v>46</v>
      </c>
      <c r="B29" s="453" t="s">
        <v>328</v>
      </c>
      <c r="C29" s="451" t="s">
        <v>140</v>
      </c>
      <c r="D29" s="451" t="s">
        <v>319</v>
      </c>
      <c r="E29" s="457">
        <f>IF(C29="Linoleum",SUMIFS('4-Basis ruimtestaat'!J:J,'4-Basis ruimtestaat'!B:B,'9-Vloeronderhoud'!A29,'4-Basis ruimtestaat'!I:I,"Linoleum"),IF(C29="Harde vloer zonder waslaag (sanitair)",SUMIFS('4-Basis ruimtestaat'!J:J,'4-Basis ruimtestaat'!B:B,'9-Vloeronderhoud'!A29,'4-Basis ruimtestaat'!I:I,"harde vloer zonder waslaag (sanitair)"),IF(C29="harde vloer zonder waslaag (overig)",SUMIFS('4-Basis ruimtestaat'!J:J,'4-Basis ruimtestaat'!B:B,'9-Vloeronderhoud'!A29,'4-Basis ruimtestaat'!I:I,"harde vloer zonder waslaag (overig)"),IF(C29="zachte vloer",SUMIFS('4-Basis ruimtestaat'!J:J,'4-Basis ruimtestaat'!B:B,'9-Vloeronderhoud'!A29,'4-Basis ruimtestaat'!I:I,"zachte vloer"),0))))</f>
        <v>92</v>
      </c>
      <c r="F29" s="458">
        <f t="shared" si="3"/>
        <v>0</v>
      </c>
      <c r="G29" s="459">
        <f t="shared" si="4"/>
        <v>0</v>
      </c>
      <c r="H29" s="460" t="s">
        <v>329</v>
      </c>
      <c r="I29" s="459">
        <f t="shared" si="2"/>
        <v>0</v>
      </c>
    </row>
    <row r="30" spans="1:9">
      <c r="A30" s="456" t="s">
        <v>48</v>
      </c>
      <c r="B30" s="453" t="s">
        <v>328</v>
      </c>
      <c r="C30" s="451" t="s">
        <v>140</v>
      </c>
      <c r="D30" s="451" t="s">
        <v>319</v>
      </c>
      <c r="E30" s="457">
        <f>IF(C30="Linoleum",SUMIFS('4-Basis ruimtestaat'!J:J,'4-Basis ruimtestaat'!B:B,'9-Vloeronderhoud'!A30,'4-Basis ruimtestaat'!I:I,"Linoleum"),IF(C30="Harde vloer zonder waslaag (sanitair)",SUMIFS('4-Basis ruimtestaat'!J:J,'4-Basis ruimtestaat'!B:B,'9-Vloeronderhoud'!A30,'4-Basis ruimtestaat'!I:I,"harde vloer zonder waslaag (sanitair)"),IF(C30="harde vloer zonder waslaag (overig)",SUMIFS('4-Basis ruimtestaat'!J:J,'4-Basis ruimtestaat'!B:B,'9-Vloeronderhoud'!A30,'4-Basis ruimtestaat'!I:I,"harde vloer zonder waslaag (overig)"),IF(C30="zachte vloer",SUMIFS('4-Basis ruimtestaat'!J:J,'4-Basis ruimtestaat'!B:B,'9-Vloeronderhoud'!A30,'4-Basis ruimtestaat'!I:I,"zachte vloer"),0))))</f>
        <v>44</v>
      </c>
      <c r="F30" s="458">
        <f t="shared" si="3"/>
        <v>0</v>
      </c>
      <c r="G30" s="459">
        <f t="shared" si="4"/>
        <v>0</v>
      </c>
      <c r="H30" s="460" t="s">
        <v>329</v>
      </c>
      <c r="I30" s="459">
        <f t="shared" si="2"/>
        <v>0</v>
      </c>
    </row>
    <row r="31" spans="1:9">
      <c r="A31" s="456" t="s">
        <v>49</v>
      </c>
      <c r="B31" s="453" t="s">
        <v>328</v>
      </c>
      <c r="C31" s="451" t="s">
        <v>140</v>
      </c>
      <c r="D31" s="451" t="s">
        <v>319</v>
      </c>
      <c r="E31" s="457">
        <f>IF(C31="Linoleum",SUMIFS('4-Basis ruimtestaat'!J:J,'4-Basis ruimtestaat'!B:B,'9-Vloeronderhoud'!A31,'4-Basis ruimtestaat'!I:I,"Linoleum"),IF(C31="Harde vloer zonder waslaag (sanitair)",SUMIFS('4-Basis ruimtestaat'!J:J,'4-Basis ruimtestaat'!B:B,'9-Vloeronderhoud'!A31,'4-Basis ruimtestaat'!I:I,"harde vloer zonder waslaag (sanitair)"),IF(C31="harde vloer zonder waslaag (overig)",SUMIFS('4-Basis ruimtestaat'!J:J,'4-Basis ruimtestaat'!B:B,'9-Vloeronderhoud'!A31,'4-Basis ruimtestaat'!I:I,"harde vloer zonder waslaag (overig)"),IF(C31="zachte vloer",SUMIFS('4-Basis ruimtestaat'!J:J,'4-Basis ruimtestaat'!B:B,'9-Vloeronderhoud'!A31,'4-Basis ruimtestaat'!I:I,"zachte vloer"),0))))</f>
        <v>70.900000000000006</v>
      </c>
      <c r="F31" s="458">
        <f t="shared" si="3"/>
        <v>0</v>
      </c>
      <c r="G31" s="459">
        <f t="shared" si="4"/>
        <v>0</v>
      </c>
      <c r="H31" s="460" t="s">
        <v>329</v>
      </c>
      <c r="I31" s="459">
        <f t="shared" si="2"/>
        <v>0</v>
      </c>
    </row>
    <row r="32" spans="1:9">
      <c r="A32" s="456" t="s">
        <v>50</v>
      </c>
      <c r="B32" s="453" t="s">
        <v>328</v>
      </c>
      <c r="C32" s="451" t="s">
        <v>140</v>
      </c>
      <c r="D32" s="451" t="s">
        <v>319</v>
      </c>
      <c r="E32" s="457">
        <f>IF(C32="Linoleum",SUMIFS('4-Basis ruimtestaat'!J:J,'4-Basis ruimtestaat'!B:B,'9-Vloeronderhoud'!A32,'4-Basis ruimtestaat'!I:I,"Linoleum"),IF(C32="Harde vloer zonder waslaag (sanitair)",SUMIFS('4-Basis ruimtestaat'!J:J,'4-Basis ruimtestaat'!B:B,'9-Vloeronderhoud'!A32,'4-Basis ruimtestaat'!I:I,"harde vloer zonder waslaag (sanitair)"),IF(C32="harde vloer zonder waslaag (overig)",SUMIFS('4-Basis ruimtestaat'!J:J,'4-Basis ruimtestaat'!B:B,'9-Vloeronderhoud'!A32,'4-Basis ruimtestaat'!I:I,"harde vloer zonder waslaag (overig)"),IF(C32="zachte vloer",SUMIFS('4-Basis ruimtestaat'!J:J,'4-Basis ruimtestaat'!B:B,'9-Vloeronderhoud'!A32,'4-Basis ruimtestaat'!I:I,"zachte vloer"),0))))</f>
        <v>71.2</v>
      </c>
      <c r="F32" s="458">
        <f t="shared" si="3"/>
        <v>0</v>
      </c>
      <c r="G32" s="459">
        <f t="shared" si="4"/>
        <v>0</v>
      </c>
      <c r="H32" s="460" t="s">
        <v>329</v>
      </c>
      <c r="I32" s="459">
        <f t="shared" si="2"/>
        <v>0</v>
      </c>
    </row>
    <row r="33" spans="1:9">
      <c r="A33" s="461" t="s">
        <v>43</v>
      </c>
      <c r="B33" s="453" t="s">
        <v>328</v>
      </c>
      <c r="C33" s="451" t="s">
        <v>138</v>
      </c>
      <c r="D33" s="451" t="s">
        <v>319</v>
      </c>
      <c r="E33" s="457">
        <f>IF(C33="Linoleum",SUMIFS('4-Basis ruimtestaat'!J:J,'4-Basis ruimtestaat'!B:B,'9-Vloeronderhoud'!A33,'4-Basis ruimtestaat'!I:I,"Linoleum"),IF(C33="Harde vloer zonder waslaag (sanitair)",SUMIFS('4-Basis ruimtestaat'!J:J,'4-Basis ruimtestaat'!B:B,'9-Vloeronderhoud'!A33,'4-Basis ruimtestaat'!I:I,"harde vloer zonder waslaag (sanitair)"),IF(C33="harde vloer zonder waslaag (overig)",SUMIFS('4-Basis ruimtestaat'!J:J,'4-Basis ruimtestaat'!B:B,'9-Vloeronderhoud'!A33,'4-Basis ruimtestaat'!I:I,"harde vloer zonder waslaag (overig)"),IF(C33="zachte vloer",SUMIFS('4-Basis ruimtestaat'!J:J,'4-Basis ruimtestaat'!B:B,'9-Vloeronderhoud'!A33,'4-Basis ruimtestaat'!I:I,"zachte vloer"),0))))</f>
        <v>10.5</v>
      </c>
      <c r="F33" s="458">
        <f t="shared" si="3"/>
        <v>0</v>
      </c>
      <c r="G33" s="459">
        <f t="shared" si="4"/>
        <v>0</v>
      </c>
      <c r="H33" s="460" t="s">
        <v>330</v>
      </c>
      <c r="I33" s="459">
        <f t="shared" si="2"/>
        <v>0</v>
      </c>
    </row>
    <row r="34" spans="1:9">
      <c r="A34" s="462" t="s">
        <v>44</v>
      </c>
      <c r="B34" s="453" t="s">
        <v>328</v>
      </c>
      <c r="C34" s="451" t="s">
        <v>138</v>
      </c>
      <c r="D34" s="451" t="s">
        <v>319</v>
      </c>
      <c r="E34" s="457">
        <f>IF(C34="Linoleum",SUMIFS('4-Basis ruimtestaat'!J:J,'4-Basis ruimtestaat'!B:B,'9-Vloeronderhoud'!A34,'4-Basis ruimtestaat'!I:I,"Linoleum"),IF(C34="Harde vloer zonder waslaag (sanitair)",SUMIFS('4-Basis ruimtestaat'!J:J,'4-Basis ruimtestaat'!B:B,'9-Vloeronderhoud'!A34,'4-Basis ruimtestaat'!I:I,"harde vloer zonder waslaag (sanitair)"),IF(C34="harde vloer zonder waslaag (overig)",SUMIFS('4-Basis ruimtestaat'!J:J,'4-Basis ruimtestaat'!B:B,'9-Vloeronderhoud'!A34,'4-Basis ruimtestaat'!I:I,"harde vloer zonder waslaag (overig)"),IF(C34="zachte vloer",SUMIFS('4-Basis ruimtestaat'!J:J,'4-Basis ruimtestaat'!B:B,'9-Vloeronderhoud'!A34,'4-Basis ruimtestaat'!I:I,"zachte vloer"),0))))</f>
        <v>44</v>
      </c>
      <c r="F34" s="458">
        <f t="shared" si="3"/>
        <v>0</v>
      </c>
      <c r="G34" s="459">
        <f t="shared" si="4"/>
        <v>0</v>
      </c>
      <c r="H34" s="460" t="s">
        <v>330</v>
      </c>
      <c r="I34" s="459">
        <f t="shared" si="2"/>
        <v>0</v>
      </c>
    </row>
    <row r="35" spans="1:9">
      <c r="A35" s="462" t="s">
        <v>45</v>
      </c>
      <c r="B35" s="453" t="s">
        <v>328</v>
      </c>
      <c r="C35" s="451" t="s">
        <v>138</v>
      </c>
      <c r="D35" s="451" t="s">
        <v>319</v>
      </c>
      <c r="E35" s="457">
        <f>IF(C35="Linoleum",SUMIFS('4-Basis ruimtestaat'!J:J,'4-Basis ruimtestaat'!B:B,'9-Vloeronderhoud'!A35,'4-Basis ruimtestaat'!I:I,"Linoleum"),IF(C35="Harde vloer zonder waslaag (sanitair)",SUMIFS('4-Basis ruimtestaat'!J:J,'4-Basis ruimtestaat'!B:B,'9-Vloeronderhoud'!A35,'4-Basis ruimtestaat'!I:I,"harde vloer zonder waslaag (sanitair)"),IF(C35="harde vloer zonder waslaag (overig)",SUMIFS('4-Basis ruimtestaat'!J:J,'4-Basis ruimtestaat'!B:B,'9-Vloeronderhoud'!A35,'4-Basis ruimtestaat'!I:I,"harde vloer zonder waslaag (overig)"),IF(C35="zachte vloer",SUMIFS('4-Basis ruimtestaat'!J:J,'4-Basis ruimtestaat'!B:B,'9-Vloeronderhoud'!A35,'4-Basis ruimtestaat'!I:I,"zachte vloer"),0))))</f>
        <v>35</v>
      </c>
      <c r="F35" s="458">
        <f t="shared" si="3"/>
        <v>0</v>
      </c>
      <c r="G35" s="459">
        <f t="shared" si="4"/>
        <v>0</v>
      </c>
      <c r="H35" s="460" t="s">
        <v>330</v>
      </c>
      <c r="I35" s="459">
        <f t="shared" si="2"/>
        <v>0</v>
      </c>
    </row>
    <row r="36" spans="1:9">
      <c r="A36" s="462" t="s">
        <v>46</v>
      </c>
      <c r="B36" s="453" t="s">
        <v>328</v>
      </c>
      <c r="C36" s="451" t="s">
        <v>138</v>
      </c>
      <c r="D36" s="451" t="s">
        <v>319</v>
      </c>
      <c r="E36" s="457">
        <f>IF(C36="Linoleum",SUMIFS('4-Basis ruimtestaat'!J:J,'4-Basis ruimtestaat'!B:B,'9-Vloeronderhoud'!A36,'4-Basis ruimtestaat'!I:I,"Linoleum"),IF(C36="Harde vloer zonder waslaag (sanitair)",SUMIFS('4-Basis ruimtestaat'!J:J,'4-Basis ruimtestaat'!B:B,'9-Vloeronderhoud'!A36,'4-Basis ruimtestaat'!I:I,"harde vloer zonder waslaag (sanitair)"),IF(C36="harde vloer zonder waslaag (overig)",SUMIFS('4-Basis ruimtestaat'!J:J,'4-Basis ruimtestaat'!B:B,'9-Vloeronderhoud'!A36,'4-Basis ruimtestaat'!I:I,"harde vloer zonder waslaag (overig)"),IF(C36="zachte vloer",SUMIFS('4-Basis ruimtestaat'!J:J,'4-Basis ruimtestaat'!B:B,'9-Vloeronderhoud'!A36,'4-Basis ruimtestaat'!I:I,"zachte vloer"),0))))</f>
        <v>37</v>
      </c>
      <c r="F36" s="458">
        <f t="shared" si="3"/>
        <v>0</v>
      </c>
      <c r="G36" s="459">
        <f t="shared" si="4"/>
        <v>0</v>
      </c>
      <c r="H36" s="460" t="s">
        <v>330</v>
      </c>
      <c r="I36" s="459">
        <f t="shared" si="2"/>
        <v>0</v>
      </c>
    </row>
    <row r="37" spans="1:9">
      <c r="A37" s="462" t="s">
        <v>48</v>
      </c>
      <c r="B37" s="453" t="s">
        <v>328</v>
      </c>
      <c r="C37" s="451" t="s">
        <v>138</v>
      </c>
      <c r="D37" s="451" t="s">
        <v>319</v>
      </c>
      <c r="E37" s="457">
        <f>IF(C37="Linoleum",SUMIFS('4-Basis ruimtestaat'!J:J,'4-Basis ruimtestaat'!B:B,'9-Vloeronderhoud'!A37,'4-Basis ruimtestaat'!I:I,"Linoleum"),IF(C37="Harde vloer zonder waslaag (sanitair)",SUMIFS('4-Basis ruimtestaat'!J:J,'4-Basis ruimtestaat'!B:B,'9-Vloeronderhoud'!A37,'4-Basis ruimtestaat'!I:I,"harde vloer zonder waslaag (sanitair)"),IF(C37="harde vloer zonder waslaag (overig)",SUMIFS('4-Basis ruimtestaat'!J:J,'4-Basis ruimtestaat'!B:B,'9-Vloeronderhoud'!A37,'4-Basis ruimtestaat'!I:I,"harde vloer zonder waslaag (overig)"),IF(C37="zachte vloer",SUMIFS('4-Basis ruimtestaat'!J:J,'4-Basis ruimtestaat'!B:B,'9-Vloeronderhoud'!A37,'4-Basis ruimtestaat'!I:I,"zachte vloer"),0))))</f>
        <v>1</v>
      </c>
      <c r="F37" s="458">
        <f t="shared" si="3"/>
        <v>0</v>
      </c>
      <c r="G37" s="459">
        <f t="shared" si="4"/>
        <v>0</v>
      </c>
      <c r="H37" s="460" t="s">
        <v>330</v>
      </c>
      <c r="I37" s="459">
        <f t="shared" si="2"/>
        <v>0</v>
      </c>
    </row>
    <row r="38" spans="1:9">
      <c r="A38" s="462" t="s">
        <v>49</v>
      </c>
      <c r="B38" s="453" t="s">
        <v>328</v>
      </c>
      <c r="C38" s="451" t="s">
        <v>138</v>
      </c>
      <c r="D38" s="451" t="s">
        <v>319</v>
      </c>
      <c r="E38" s="457">
        <f>IF(C38="Linoleum",SUMIFS('4-Basis ruimtestaat'!J:J,'4-Basis ruimtestaat'!B:B,'9-Vloeronderhoud'!A38,'4-Basis ruimtestaat'!I:I,"Linoleum"),IF(C38="Harde vloer zonder waslaag (sanitair)",SUMIFS('4-Basis ruimtestaat'!J:J,'4-Basis ruimtestaat'!B:B,'9-Vloeronderhoud'!A38,'4-Basis ruimtestaat'!I:I,"harde vloer zonder waslaag (sanitair)"),IF(C38="harde vloer zonder waslaag (overig)",SUMIFS('4-Basis ruimtestaat'!J:J,'4-Basis ruimtestaat'!B:B,'9-Vloeronderhoud'!A38,'4-Basis ruimtestaat'!I:I,"harde vloer zonder waslaag (overig)"),IF(C38="zachte vloer",SUMIFS('4-Basis ruimtestaat'!J:J,'4-Basis ruimtestaat'!B:B,'9-Vloeronderhoud'!A38,'4-Basis ruimtestaat'!I:I,"zachte vloer"),0))))</f>
        <v>146.5</v>
      </c>
      <c r="F38" s="458">
        <f t="shared" si="3"/>
        <v>0</v>
      </c>
      <c r="G38" s="459">
        <f t="shared" si="4"/>
        <v>0</v>
      </c>
      <c r="H38" s="460" t="s">
        <v>330</v>
      </c>
      <c r="I38" s="459">
        <f t="shared" si="2"/>
        <v>0</v>
      </c>
    </row>
    <row r="39" spans="1:9">
      <c r="A39" s="462" t="s">
        <v>50</v>
      </c>
      <c r="B39" s="453" t="s">
        <v>328</v>
      </c>
      <c r="C39" s="451" t="s">
        <v>138</v>
      </c>
      <c r="D39" s="451" t="s">
        <v>319</v>
      </c>
      <c r="E39" s="457">
        <f>IF(C39="Linoleum",SUMIFS('4-Basis ruimtestaat'!J:J,'4-Basis ruimtestaat'!B:B,'9-Vloeronderhoud'!A39,'4-Basis ruimtestaat'!I:I,"Linoleum"),IF(C39="Harde vloer zonder waslaag (sanitair)",SUMIFS('4-Basis ruimtestaat'!J:J,'4-Basis ruimtestaat'!B:B,'9-Vloeronderhoud'!A39,'4-Basis ruimtestaat'!I:I,"harde vloer zonder waslaag (sanitair)"),IF(C39="harde vloer zonder waslaag (overig)",SUMIFS('4-Basis ruimtestaat'!J:J,'4-Basis ruimtestaat'!B:B,'9-Vloeronderhoud'!A39,'4-Basis ruimtestaat'!I:I,"harde vloer zonder waslaag (overig)"),IF(C39="zachte vloer",SUMIFS('4-Basis ruimtestaat'!J:J,'4-Basis ruimtestaat'!B:B,'9-Vloeronderhoud'!A39,'4-Basis ruimtestaat'!I:I,"zachte vloer"),0))))</f>
        <v>473.2</v>
      </c>
      <c r="F39" s="458">
        <f t="shared" si="3"/>
        <v>0</v>
      </c>
      <c r="G39" s="459">
        <f t="shared" si="4"/>
        <v>0</v>
      </c>
      <c r="H39" s="460" t="s">
        <v>330</v>
      </c>
      <c r="I39" s="459">
        <f t="shared" si="2"/>
        <v>0</v>
      </c>
    </row>
    <row r="40" spans="1:9">
      <c r="A40" s="461" t="s">
        <v>45</v>
      </c>
      <c r="B40" s="453" t="s">
        <v>162</v>
      </c>
      <c r="C40" s="451" t="s">
        <v>162</v>
      </c>
      <c r="D40" s="451" t="s">
        <v>319</v>
      </c>
      <c r="E40" s="457">
        <f>SUMIFS('4-Basis ruimtestaat'!J:J,'4-Basis ruimtestaat'!B:B,'9-Vloeronderhoud'!A40,'4-Basis ruimtestaat'!I:I,"sportvloer")</f>
        <v>252</v>
      </c>
      <c r="F40" s="458">
        <f t="shared" ref="F40:F41" si="5">VLOOKUP(D40,$F$3:$G$10,2,FALSE)</f>
        <v>0</v>
      </c>
      <c r="G40" s="459">
        <f t="shared" ref="G40:G41" si="6">(E40*F40)</f>
        <v>0</v>
      </c>
      <c r="H40" s="460" t="s">
        <v>329</v>
      </c>
      <c r="I40" s="459">
        <f t="shared" si="2"/>
        <v>0</v>
      </c>
    </row>
    <row r="41" spans="1:9">
      <c r="A41" s="461" t="s">
        <v>46</v>
      </c>
      <c r="B41" s="453" t="s">
        <v>162</v>
      </c>
      <c r="C41" s="451" t="s">
        <v>162</v>
      </c>
      <c r="D41" s="451" t="s">
        <v>319</v>
      </c>
      <c r="E41" s="457">
        <f>SUMIFS('4-Basis ruimtestaat'!J:J,'4-Basis ruimtestaat'!B:B,'9-Vloeronderhoud'!A41,'4-Basis ruimtestaat'!I:I,"sportvloer")</f>
        <v>252</v>
      </c>
      <c r="F41" s="458">
        <f t="shared" si="5"/>
        <v>0</v>
      </c>
      <c r="G41" s="459">
        <f t="shared" si="6"/>
        <v>0</v>
      </c>
      <c r="H41" s="460" t="s">
        <v>329</v>
      </c>
      <c r="I41" s="459">
        <f t="shared" si="2"/>
        <v>0</v>
      </c>
    </row>
    <row r="42" spans="1:9">
      <c r="B42" s="160"/>
      <c r="C42" s="160"/>
      <c r="D42" s="160"/>
      <c r="E42" s="202"/>
      <c r="F42" s="202"/>
      <c r="G42" s="202"/>
      <c r="H42" s="202"/>
      <c r="I42" s="202"/>
    </row>
    <row r="43" spans="1:9">
      <c r="A43" s="463" t="s">
        <v>52</v>
      </c>
      <c r="B43" s="464"/>
      <c r="C43" s="465"/>
      <c r="D43" s="465"/>
      <c r="E43" s="466">
        <f>SUM(E13:E39)</f>
        <v>3080.3999999999996</v>
      </c>
      <c r="F43" s="467"/>
      <c r="G43" s="468"/>
      <c r="H43" s="469"/>
      <c r="I43" s="470">
        <f>SUM(I13:I41)</f>
        <v>0</v>
      </c>
    </row>
  </sheetData>
  <autoFilter ref="A12:AA43" xr:uid="{00000000-0009-0000-0000-00000A000000}"/>
  <phoneticPr fontId="72" type="noConversion"/>
  <dataValidations count="2">
    <dataValidation type="list" allowBlank="1" showInputMessage="1" showErrorMessage="1" sqref="D13:D41" xr:uid="{C736CBFC-1565-48E2-8F22-639725E5CCC0}">
      <formula1>$F$3:$F$10</formula1>
    </dataValidation>
    <dataValidation type="list" allowBlank="1" showInputMessage="1" showErrorMessage="1" sqref="C13:C41" xr:uid="{A56903C8-3F9B-4311-A32C-6EDB70957856}">
      <formula1>$I$3:$I$7</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06CFD3613B4D4B8899D02A31085809" ma:contentTypeVersion="3" ma:contentTypeDescription="Een nieuw document maken." ma:contentTypeScope="" ma:versionID="a9f0dfbdf942843c9d49348700f12f88">
  <xsd:schema xmlns:xsd="http://www.w3.org/2001/XMLSchema" xmlns:xs="http://www.w3.org/2001/XMLSchema" xmlns:p="http://schemas.microsoft.com/office/2006/metadata/properties" xmlns:ns2="e7f160de-ee84-44d0-8859-279782b209c8" targetNamespace="http://schemas.microsoft.com/office/2006/metadata/properties" ma:root="true" ma:fieldsID="7b1250891571e39cb7b68340b5710b2a" ns2:_="">
    <xsd:import namespace="e7f160de-ee84-44d0-8859-279782b209c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f160de-ee84-44d0-8859-279782b20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EF6EF1-6761-4133-A926-16175EA39DF2}"/>
</file>

<file path=customXml/itemProps2.xml><?xml version="1.0" encoding="utf-8"?>
<ds:datastoreItem xmlns:ds="http://schemas.openxmlformats.org/officeDocument/2006/customXml" ds:itemID="{AC3E4837-CE50-4A32-A54A-9639DA900BA8}">
  <ds:schemaRefs>
    <ds:schemaRef ds:uri="http://schemas.microsoft.com/office/2006/metadata/properties"/>
    <ds:schemaRef ds:uri="http://www.w3.org/XML/1998/namespace"/>
    <ds:schemaRef ds:uri="e7f160de-ee84-44d0-8859-279782b209c8"/>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CB9357A0-74EE-4EF5-91F0-DC5FEC2CA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16</vt:i4>
      </vt:variant>
    </vt:vector>
  </HeadingPairs>
  <TitlesOfParts>
    <vt:vector size="26" baseType="lpstr">
      <vt:lpstr>1-Uitgangspunten</vt:lpstr>
      <vt:lpstr>2-Kosten per locatie</vt:lpstr>
      <vt:lpstr>3-Productie normen</vt:lpstr>
      <vt:lpstr>4-Basis ruimtestaat</vt:lpstr>
      <vt:lpstr>5-Premies en opslagen</vt:lpstr>
      <vt:lpstr>6-Opbouw uurtarief productie</vt:lpstr>
      <vt:lpstr>7-Opbouw uurtarief toezicht</vt:lpstr>
      <vt:lpstr>8-Afroepprijs</vt:lpstr>
      <vt:lpstr>9-Vloeronderhoud</vt:lpstr>
      <vt:lpstr>10-Machinekosten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'8-Afroepprijs'!Afdrukbereik</vt:lpstr>
      <vt:lpstr>'2-Kosten per locatie'!Afdruktitels</vt:lpstr>
      <vt:lpstr>'4-Basis ruimtestaat'!Afdruktitels</vt:lpstr>
      <vt:lpstr>'6-Opbouw uurtarief productie'!Afdruktitels</vt:lpstr>
      <vt:lpstr>'8-Afroepprijs'!Afdruktitels</vt:lpstr>
      <vt:lpstr>'9-Vloeronderhoud'!Afdruktitels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 den Boer | CONTRAST</cp:lastModifiedBy>
  <cp:revision/>
  <dcterms:created xsi:type="dcterms:W3CDTF">1999-10-05T12:28:40Z</dcterms:created>
  <dcterms:modified xsi:type="dcterms:W3CDTF">2026-07-21T11:07:11Z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0x010100CF06CFD3613B4D4B8899D02A31085809</vt:lpwstr>
  </property>
  <property fmtid="{D5CDD505-2E9C-101B-9397-08002B2CF9AE}" pid="3" name="MediaServiceImageTags">
    <vt:lpwstr/>
  </property>
</Properties>
</file>