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G:\Inkoop - Contractbeheer\Inkoop\2024-2025\Begeleiding_Dagbesteding\Rebel\Kostprijsberekening\Laatste versie\"/>
    </mc:Choice>
  </mc:AlternateContent>
  <xr:revisionPtr revIDLastSave="0" documentId="8_{6FE3CBED-A1D9-4495-A255-AEE91F71501D}" xr6:coauthVersionLast="47" xr6:coauthVersionMax="47" xr10:uidLastSave="{00000000-0000-0000-0000-000000000000}"/>
  <bookViews>
    <workbookView xWindow="-108" yWindow="-108" windowWidth="23256" windowHeight="12456" tabRatio="945" activeTab="1" xr2:uid="{CA3D32CA-0FE8-47FC-8C23-A4F29EA97E14}"/>
  </bookViews>
  <sheets>
    <sheet name="PPT" sheetId="31" r:id="rId1"/>
    <sheet name="Tarieven" sheetId="46" r:id="rId2"/>
    <sheet name="Individuele begeleiding" sheetId="34" r:id="rId3"/>
    <sheet name="Dagbesteding" sheetId="37" r:id="rId4"/>
    <sheet name="Bron - cao's 2025"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31" l="1"/>
  <c r="BZ19" i="37"/>
  <c r="BY19" i="37"/>
  <c r="BX19" i="37"/>
  <c r="BW19" i="37"/>
  <c r="BH19" i="37"/>
  <c r="BG19" i="37"/>
  <c r="BF19" i="37"/>
  <c r="BE19" i="37"/>
  <c r="AI19" i="37"/>
  <c r="AH19" i="37"/>
  <c r="AG19" i="37"/>
  <c r="AF19" i="37"/>
  <c r="AD19" i="37"/>
  <c r="AC19" i="37"/>
  <c r="AB19" i="37"/>
  <c r="AA19" i="37"/>
  <c r="DI19" i="34"/>
  <c r="DH19" i="34"/>
  <c r="DG19" i="34"/>
  <c r="DF19" i="34"/>
  <c r="DE19" i="34"/>
  <c r="CW19" i="34"/>
  <c r="CV19" i="34"/>
  <c r="CU19" i="34"/>
  <c r="CT19" i="34"/>
  <c r="CS19" i="34"/>
  <c r="BS19" i="34"/>
  <c r="BR19" i="34"/>
  <c r="BQ19" i="34"/>
  <c r="BP19" i="34"/>
  <c r="BO19" i="34"/>
  <c r="AU19" i="34"/>
  <c r="AT19" i="34"/>
  <c r="AS19" i="34"/>
  <c r="AR19" i="34"/>
  <c r="AQ19" i="34"/>
  <c r="AO19" i="34"/>
  <c r="AN19" i="34"/>
  <c r="AM19" i="34"/>
  <c r="AL19" i="34"/>
  <c r="AK19" i="34"/>
  <c r="I37" i="46" l="1"/>
  <c r="N38" i="31"/>
  <c r="M38" i="31"/>
  <c r="L38" i="31"/>
  <c r="K38" i="31"/>
  <c r="J38" i="31"/>
  <c r="I38" i="31"/>
  <c r="H38" i="31"/>
  <c r="G38" i="31"/>
  <c r="F38" i="31"/>
  <c r="CD15" i="34"/>
  <c r="CC15" i="34"/>
  <c r="CE20" i="37" l="1"/>
  <c r="CD20" i="37"/>
  <c r="CC20" i="37"/>
  <c r="CB20" i="37"/>
  <c r="BZ20" i="37"/>
  <c r="BY20" i="37"/>
  <c r="BX20" i="37"/>
  <c r="BW20" i="37"/>
  <c r="BU20" i="37"/>
  <c r="BT20" i="37"/>
  <c r="BS20" i="37"/>
  <c r="BQ20" i="37"/>
  <c r="BP20" i="37"/>
  <c r="BO20" i="37"/>
  <c r="BM20" i="37"/>
  <c r="BL20" i="37"/>
  <c r="BK20" i="37"/>
  <c r="BJ20" i="37"/>
  <c r="AS20" i="37"/>
  <c r="AN20" i="37"/>
  <c r="AI20" i="37"/>
  <c r="AD20" i="37"/>
  <c r="Y20" i="37"/>
  <c r="T20" i="37"/>
  <c r="S20" i="37"/>
  <c r="R20" i="37"/>
  <c r="Q20" i="37"/>
  <c r="O20" i="37"/>
  <c r="N20" i="37"/>
  <c r="M20" i="37"/>
  <c r="DI20" i="34"/>
  <c r="DH20" i="34"/>
  <c r="DG20" i="34"/>
  <c r="DC20" i="34"/>
  <c r="DB20" i="34"/>
  <c r="DA20" i="34"/>
  <c r="CD20" i="34"/>
  <c r="CC20" i="34"/>
  <c r="BY20" i="34"/>
  <c r="BX20" i="34"/>
  <c r="BW20" i="34"/>
  <c r="CQ20" i="34"/>
  <c r="BH20" i="37"/>
  <c r="BG20" i="37"/>
  <c r="BF20" i="37"/>
  <c r="BE20" i="37"/>
  <c r="BC20" i="37"/>
  <c r="BB20" i="37"/>
  <c r="BA20" i="37"/>
  <c r="AZ20" i="37"/>
  <c r="AX20" i="37"/>
  <c r="AW20" i="37"/>
  <c r="AV20" i="37"/>
  <c r="AU20" i="37"/>
  <c r="DK39" i="34"/>
  <c r="CY39" i="34"/>
  <c r="CS39" i="34"/>
  <c r="BU39" i="34"/>
  <c r="BO39" i="34"/>
  <c r="CM39" i="34"/>
  <c r="BC39" i="34"/>
  <c r="AW39" i="34"/>
  <c r="AQ39" i="34"/>
  <c r="AK39" i="34"/>
  <c r="AE39" i="34"/>
  <c r="Y39" i="34"/>
  <c r="S39" i="34"/>
  <c r="L28" i="31" l="1"/>
  <c r="N14" i="31"/>
  <c r="N15" i="31"/>
  <c r="L33" i="31"/>
  <c r="M11" i="31"/>
  <c r="H9" i="31"/>
  <c r="H8" i="31"/>
  <c r="F8" i="31"/>
  <c r="F15" i="31"/>
  <c r="F14" i="31"/>
  <c r="W15" i="34"/>
  <c r="M32" i="31"/>
  <c r="M27" i="31"/>
  <c r="M17" i="31"/>
  <c r="AI15" i="37"/>
  <c r="L17" i="31"/>
  <c r="K27" i="31"/>
  <c r="K17" i="31"/>
  <c r="K15" i="31"/>
  <c r="K14" i="31"/>
  <c r="K13" i="31"/>
  <c r="I27" i="31"/>
  <c r="I28" i="31"/>
  <c r="I25" i="31"/>
  <c r="I24" i="31"/>
  <c r="I16" i="31"/>
  <c r="I37" i="31"/>
  <c r="I17" i="31"/>
  <c r="I15" i="31"/>
  <c r="I14" i="31"/>
  <c r="I8" i="31"/>
  <c r="I9" i="31"/>
  <c r="I10" i="31"/>
  <c r="I11" i="31"/>
  <c r="BQ15" i="37"/>
  <c r="BQ23" i="37"/>
  <c r="BQ24" i="37" s="1"/>
  <c r="BQ27" i="37" s="1"/>
  <c r="BQ35" i="37"/>
  <c r="BC15" i="37"/>
  <c r="AX15" i="37"/>
  <c r="Y15" i="37"/>
  <c r="T15" i="37"/>
  <c r="O15" i="37"/>
  <c r="J15" i="37"/>
  <c r="I40" i="31" l="1"/>
  <c r="CK15" i="34"/>
  <c r="CK20" i="34" s="1"/>
  <c r="CJ15" i="34"/>
  <c r="CJ20" i="34" s="1"/>
  <c r="CI15" i="34"/>
  <c r="CI20" i="34" s="1"/>
  <c r="CH15" i="34"/>
  <c r="CH20" i="34" s="1"/>
  <c r="L11" i="31"/>
  <c r="K11" i="31"/>
  <c r="N9" i="31"/>
  <c r="N8" i="31"/>
  <c r="AA130" i="46"/>
  <c r="CC48" i="37"/>
  <c r="AQ48" i="37"/>
  <c r="AL48" i="37"/>
  <c r="BX48" i="37"/>
  <c r="BT48" i="37"/>
  <c r="BP48" i="37"/>
  <c r="AG48" i="37"/>
  <c r="W48" i="37"/>
  <c r="M48" i="37"/>
  <c r="AB48" i="37"/>
  <c r="R48" i="37"/>
  <c r="H48" i="37"/>
  <c r="CE15" i="37"/>
  <c r="CE35" i="37"/>
  <c r="CE33" i="37"/>
  <c r="CE23" i="37"/>
  <c r="BZ15" i="37"/>
  <c r="BZ35" i="37"/>
  <c r="BZ33" i="37"/>
  <c r="BZ23" i="37"/>
  <c r="BU15" i="37"/>
  <c r="BT15" i="37"/>
  <c r="BS15" i="37"/>
  <c r="BM15" i="37"/>
  <c r="BM35" i="37"/>
  <c r="BM33" i="37"/>
  <c r="BM23" i="37"/>
  <c r="BM24" i="37"/>
  <c r="BM27" i="37" s="1"/>
  <c r="BH15" i="37"/>
  <c r="BH35" i="37"/>
  <c r="BH33" i="37"/>
  <c r="BH23" i="37"/>
  <c r="BC35" i="37"/>
  <c r="BC33" i="37"/>
  <c r="BC23" i="37"/>
  <c r="AX35" i="37"/>
  <c r="AX33" i="37"/>
  <c r="AX23" i="37"/>
  <c r="AS15" i="37"/>
  <c r="AS35" i="37"/>
  <c r="AS33" i="37"/>
  <c r="AS23" i="37"/>
  <c r="AN15" i="37"/>
  <c r="AN35" i="37"/>
  <c r="AN33" i="37"/>
  <c r="AN23" i="37"/>
  <c r="AD15" i="37"/>
  <c r="AI35" i="37"/>
  <c r="AI33" i="37"/>
  <c r="AI23" i="37"/>
  <c r="AD35" i="37"/>
  <c r="AD33" i="37"/>
  <c r="AD23" i="37"/>
  <c r="Y35" i="37"/>
  <c r="Y33" i="37"/>
  <c r="Y23" i="37"/>
  <c r="T35" i="37"/>
  <c r="T33" i="37"/>
  <c r="T23" i="37"/>
  <c r="O35" i="37"/>
  <c r="O33" i="37"/>
  <c r="O23" i="37"/>
  <c r="J20" i="37"/>
  <c r="J35" i="37"/>
  <c r="J33" i="37"/>
  <c r="J23" i="37"/>
  <c r="CD35" i="37"/>
  <c r="CC35" i="37"/>
  <c r="CB35" i="37"/>
  <c r="BY35" i="37"/>
  <c r="BX35" i="37"/>
  <c r="BW35" i="37"/>
  <c r="BU35" i="37"/>
  <c r="BT35" i="37"/>
  <c r="BS35" i="37"/>
  <c r="BP35" i="37"/>
  <c r="BO35" i="37"/>
  <c r="BL35" i="37"/>
  <c r="BK35" i="37"/>
  <c r="BJ35" i="37"/>
  <c r="BG35" i="37"/>
  <c r="BF35" i="37"/>
  <c r="BE35" i="37"/>
  <c r="BB35" i="37"/>
  <c r="BA35" i="37"/>
  <c r="AZ35" i="37"/>
  <c r="AW35" i="37"/>
  <c r="AV35" i="37"/>
  <c r="AU35" i="37"/>
  <c r="AR35" i="37"/>
  <c r="AQ35" i="37"/>
  <c r="AP35" i="37"/>
  <c r="AM35" i="37"/>
  <c r="AL35" i="37"/>
  <c r="AK35" i="37"/>
  <c r="AH35" i="37"/>
  <c r="AG35" i="37"/>
  <c r="AF35" i="37"/>
  <c r="AC35" i="37"/>
  <c r="AB35" i="37"/>
  <c r="AA35" i="37"/>
  <c r="X35" i="37"/>
  <c r="W35" i="37"/>
  <c r="V35" i="37"/>
  <c r="S35" i="37"/>
  <c r="R35" i="37"/>
  <c r="Q35" i="37"/>
  <c r="N35" i="37"/>
  <c r="M35" i="37"/>
  <c r="L35" i="37"/>
  <c r="H35" i="37"/>
  <c r="I35" i="37"/>
  <c r="G35" i="37"/>
  <c r="DO39" i="34"/>
  <c r="DN39" i="34"/>
  <c r="DM39" i="34"/>
  <c r="DL39" i="34"/>
  <c r="DI39" i="34"/>
  <c r="DH39" i="34"/>
  <c r="DG39" i="34"/>
  <c r="DF39" i="34"/>
  <c r="DE39" i="34"/>
  <c r="DC39" i="34"/>
  <c r="DB39" i="34"/>
  <c r="DA39" i="34"/>
  <c r="CZ39" i="34"/>
  <c r="CW39" i="34"/>
  <c r="CV39" i="34"/>
  <c r="CU39" i="34"/>
  <c r="CT39" i="34"/>
  <c r="CK39" i="34"/>
  <c r="CJ39" i="34"/>
  <c r="CI39" i="34"/>
  <c r="CH39" i="34"/>
  <c r="CG39" i="34"/>
  <c r="CE39" i="34"/>
  <c r="CD39" i="34"/>
  <c r="CC39" i="34"/>
  <c r="CB39" i="34"/>
  <c r="CA39" i="34"/>
  <c r="BY39" i="34"/>
  <c r="BX39" i="34"/>
  <c r="BW39" i="34"/>
  <c r="BV39" i="34"/>
  <c r="BS39" i="34"/>
  <c r="BR39" i="34"/>
  <c r="BQ39" i="34"/>
  <c r="BP39" i="34"/>
  <c r="CQ39" i="34"/>
  <c r="CP39" i="34"/>
  <c r="CO39" i="34"/>
  <c r="CN39" i="34"/>
  <c r="BM39" i="34"/>
  <c r="BL39" i="34"/>
  <c r="BK39" i="34"/>
  <c r="BJ39" i="34"/>
  <c r="BI39" i="34"/>
  <c r="BG39" i="34"/>
  <c r="BF39" i="34"/>
  <c r="BE39" i="34"/>
  <c r="BD39" i="34"/>
  <c r="BA39" i="34"/>
  <c r="AZ39" i="34"/>
  <c r="AY39" i="34"/>
  <c r="AX39" i="34"/>
  <c r="AU39" i="34"/>
  <c r="AT39" i="34"/>
  <c r="AS39" i="34"/>
  <c r="AR39" i="34"/>
  <c r="AO39" i="34"/>
  <c r="AN39" i="34"/>
  <c r="AM39" i="34"/>
  <c r="AL39" i="34"/>
  <c r="AI39" i="34"/>
  <c r="AH39" i="34"/>
  <c r="AG39" i="34"/>
  <c r="AF39" i="34"/>
  <c r="AC39" i="34"/>
  <c r="AB39" i="34"/>
  <c r="AA39" i="34"/>
  <c r="Z39" i="34"/>
  <c r="W39" i="34"/>
  <c r="V39" i="34"/>
  <c r="U39" i="34"/>
  <c r="T39" i="34"/>
  <c r="Q39" i="34"/>
  <c r="P39" i="34"/>
  <c r="O39" i="34"/>
  <c r="N39" i="34"/>
  <c r="M39" i="34"/>
  <c r="K39" i="34"/>
  <c r="J39" i="34"/>
  <c r="I39" i="34"/>
  <c r="H39" i="34"/>
  <c r="G39" i="34"/>
  <c r="AF88" i="46"/>
  <c r="Y88" i="46"/>
  <c r="AM88" i="46"/>
  <c r="AM75" i="46"/>
  <c r="Y75" i="46"/>
  <c r="AF75" i="46"/>
  <c r="BP15" i="37"/>
  <c r="BO15" i="37"/>
  <c r="BP52" i="37"/>
  <c r="BP23" i="37"/>
  <c r="BO23" i="37"/>
  <c r="CA15" i="34"/>
  <c r="CA20" i="34" s="1"/>
  <c r="CE24" i="37" l="1"/>
  <c r="CE27" i="37" s="1"/>
  <c r="AN24" i="37"/>
  <c r="AN27" i="37" s="1"/>
  <c r="BH24" i="37"/>
  <c r="BH27" i="37" s="1"/>
  <c r="BZ24" i="37"/>
  <c r="BZ27" i="37" s="1"/>
  <c r="AX24" i="37"/>
  <c r="AX27" i="37" s="1"/>
  <c r="I36" i="31"/>
  <c r="I39" i="31"/>
  <c r="BC24" i="37"/>
  <c r="BC27" i="37" s="1"/>
  <c r="AI24" i="37"/>
  <c r="AI27" i="37" s="1"/>
  <c r="AS24" i="37"/>
  <c r="AS27" i="37" s="1"/>
  <c r="T24" i="37"/>
  <c r="T27" i="37" s="1"/>
  <c r="O24" i="37"/>
  <c r="O27" i="37" s="1"/>
  <c r="Y24" i="37"/>
  <c r="Y27" i="37" s="1"/>
  <c r="AD24" i="37"/>
  <c r="AD27" i="37" s="1"/>
  <c r="BO24" i="37"/>
  <c r="BO27" i="37" s="1"/>
  <c r="J24" i="37"/>
  <c r="J27" i="37" s="1"/>
  <c r="BP24" i="37"/>
  <c r="BP27" i="37" s="1"/>
  <c r="BP29" i="37" l="1"/>
  <c r="CW37" i="34" l="1"/>
  <c r="CV37" i="34"/>
  <c r="CU37" i="34"/>
  <c r="CT37" i="34"/>
  <c r="CS37" i="34"/>
  <c r="CK37" i="34"/>
  <c r="CJ37" i="34"/>
  <c r="CI37" i="34"/>
  <c r="CH37" i="34"/>
  <c r="CG37" i="34"/>
  <c r="CE37" i="34"/>
  <c r="CD37" i="34"/>
  <c r="CC37" i="34"/>
  <c r="CB37" i="34"/>
  <c r="CA37" i="34"/>
  <c r="CW29" i="34"/>
  <c r="CV29" i="34"/>
  <c r="CU29" i="34"/>
  <c r="CT29" i="34"/>
  <c r="CS29" i="34"/>
  <c r="CK29" i="34"/>
  <c r="CJ29" i="34"/>
  <c r="CI29" i="34"/>
  <c r="CH29" i="34"/>
  <c r="CG29" i="34"/>
  <c r="CE29" i="34"/>
  <c r="CD29" i="34"/>
  <c r="CC29" i="34"/>
  <c r="CB29" i="34"/>
  <c r="CA29" i="34"/>
  <c r="CW23" i="34"/>
  <c r="CV23" i="34"/>
  <c r="CU23" i="34"/>
  <c r="CT23" i="34"/>
  <c r="CS23" i="34"/>
  <c r="CK23" i="34"/>
  <c r="CJ23" i="34"/>
  <c r="CI23" i="34"/>
  <c r="CH23" i="34"/>
  <c r="CG23" i="34"/>
  <c r="CE23" i="34"/>
  <c r="CD23" i="34"/>
  <c r="CC23" i="34"/>
  <c r="CB23" i="34"/>
  <c r="CA23" i="34"/>
  <c r="CW15" i="34"/>
  <c r="CW20" i="34" s="1"/>
  <c r="CV15" i="34"/>
  <c r="CV20" i="34" s="1"/>
  <c r="CU15" i="34"/>
  <c r="CU20" i="34" s="1"/>
  <c r="CT15" i="34"/>
  <c r="CT20" i="34" s="1"/>
  <c r="CS15" i="34"/>
  <c r="CS20" i="34" s="1"/>
  <c r="CG15" i="34"/>
  <c r="CG20" i="34" s="1"/>
  <c r="CE15" i="34"/>
  <c r="CE20" i="34" s="1"/>
  <c r="CB15" i="34"/>
  <c r="CB20" i="34" s="1"/>
  <c r="J9" i="31"/>
  <c r="J7" i="31"/>
  <c r="CY15" i="34"/>
  <c r="CY20" i="34" s="1"/>
  <c r="DC40" i="34"/>
  <c r="DB40" i="34"/>
  <c r="DA40" i="34"/>
  <c r="CZ40" i="34"/>
  <c r="CY40" i="34"/>
  <c r="DC37" i="34"/>
  <c r="DB37" i="34"/>
  <c r="DA37" i="34"/>
  <c r="CZ37" i="34"/>
  <c r="CY37" i="34"/>
  <c r="DC29" i="34"/>
  <c r="DB29" i="34"/>
  <c r="DA29" i="34"/>
  <c r="CZ29" i="34"/>
  <c r="CY29" i="34"/>
  <c r="DC23" i="34"/>
  <c r="DB23" i="34"/>
  <c r="DA23" i="34"/>
  <c r="CZ23" i="34"/>
  <c r="CY23" i="34"/>
  <c r="CZ15" i="34"/>
  <c r="CZ20" i="34" s="1"/>
  <c r="CG24" i="34" l="1"/>
  <c r="CG27" i="34" s="1"/>
  <c r="CG30" i="34" s="1"/>
  <c r="CG33" i="34" s="1"/>
  <c r="CV24" i="34"/>
  <c r="CV27" i="34" s="1"/>
  <c r="CV30" i="34" s="1"/>
  <c r="CV33" i="34" s="1"/>
  <c r="CW24" i="34"/>
  <c r="CW27" i="34" s="1"/>
  <c r="CW30" i="34" s="1"/>
  <c r="CW33" i="34" s="1"/>
  <c r="CB24" i="34"/>
  <c r="CB27" i="34" s="1"/>
  <c r="CB30" i="34" s="1"/>
  <c r="CB33" i="34" s="1"/>
  <c r="CU24" i="34"/>
  <c r="CU27" i="34" s="1"/>
  <c r="CU30" i="34" s="1"/>
  <c r="CU33" i="34" s="1"/>
  <c r="CC24" i="34"/>
  <c r="CC27" i="34" s="1"/>
  <c r="CC30" i="34" s="1"/>
  <c r="CC33" i="34" s="1"/>
  <c r="CD24" i="34"/>
  <c r="CD27" i="34" s="1"/>
  <c r="CD30" i="34" s="1"/>
  <c r="CD33" i="34" s="1"/>
  <c r="CE24" i="34"/>
  <c r="CE27" i="34" s="1"/>
  <c r="CE30" i="34" s="1"/>
  <c r="CE33" i="34" s="1"/>
  <c r="CH24" i="34"/>
  <c r="CH27" i="34" s="1"/>
  <c r="CH30" i="34" s="1"/>
  <c r="CH33" i="34" s="1"/>
  <c r="CI24" i="34"/>
  <c r="CI27" i="34" s="1"/>
  <c r="CI30" i="34" s="1"/>
  <c r="CI33" i="34" s="1"/>
  <c r="CJ24" i="34"/>
  <c r="CJ27" i="34" s="1"/>
  <c r="CJ30" i="34" s="1"/>
  <c r="CJ33" i="34" s="1"/>
  <c r="CK24" i="34"/>
  <c r="CK27" i="34" s="1"/>
  <c r="CK30" i="34" s="1"/>
  <c r="CK33" i="34" s="1"/>
  <c r="CA24" i="34"/>
  <c r="CA27" i="34" s="1"/>
  <c r="CA30" i="34" s="1"/>
  <c r="CA33" i="34" s="1"/>
  <c r="CZ24" i="34"/>
  <c r="CZ27" i="34" s="1"/>
  <c r="CZ30" i="34" s="1"/>
  <c r="CZ33" i="34" s="1"/>
  <c r="CS24" i="34"/>
  <c r="CS27" i="34" s="1"/>
  <c r="CS30" i="34" s="1"/>
  <c r="CS33" i="34" s="1"/>
  <c r="DA24" i="34"/>
  <c r="DA27" i="34" s="1"/>
  <c r="DA30" i="34" s="1"/>
  <c r="DA33" i="34" s="1"/>
  <c r="CT24" i="34"/>
  <c r="CT27" i="34" s="1"/>
  <c r="CT30" i="34" s="1"/>
  <c r="CT33" i="34" s="1"/>
  <c r="CY24" i="34"/>
  <c r="CY27" i="34" s="1"/>
  <c r="CY30" i="34" s="1"/>
  <c r="CY33" i="34" s="1"/>
  <c r="DB24" i="34"/>
  <c r="DB27" i="34" s="1"/>
  <c r="DB30" i="34" s="1"/>
  <c r="DB33" i="34" s="1"/>
  <c r="J36" i="31"/>
  <c r="DC24" i="34"/>
  <c r="DC27" i="34" s="1"/>
  <c r="DC30" i="34" s="1"/>
  <c r="DC33" i="34" s="1"/>
  <c r="AC81" i="46" l="1"/>
  <c r="AD81" i="46"/>
  <c r="AE81" i="46"/>
  <c r="AJ81" i="46"/>
  <c r="AK81" i="46"/>
  <c r="AL81" i="46"/>
  <c r="AL97" i="46"/>
  <c r="AK97" i="46"/>
  <c r="AL95" i="46"/>
  <c r="AK95" i="46"/>
  <c r="AL94" i="46"/>
  <c r="AK94" i="46"/>
  <c r="AJ94" i="46"/>
  <c r="AL82" i="46"/>
  <c r="AK82" i="46"/>
  <c r="AE94" i="46"/>
  <c r="AD94" i="46"/>
  <c r="AC94" i="46"/>
  <c r="AE97" i="46"/>
  <c r="AD97" i="46"/>
  <c r="AE95" i="46"/>
  <c r="AD95" i="46"/>
  <c r="AE82" i="46"/>
  <c r="AD82" i="46"/>
  <c r="BG15" i="37" l="1"/>
  <c r="AW15" i="37"/>
  <c r="W15" i="37"/>
  <c r="CM15" i="34" l="1"/>
  <c r="CM20" i="34" s="1"/>
  <c r="AE15" i="34"/>
  <c r="AF15" i="34"/>
  <c r="AC15" i="34"/>
  <c r="N28" i="46" l="1"/>
  <c r="N47" i="46" s="1"/>
  <c r="M28" i="46"/>
  <c r="M47" i="46" s="1"/>
  <c r="L28" i="46"/>
  <c r="L47" i="46" s="1"/>
  <c r="K28" i="46"/>
  <c r="K47" i="46" s="1"/>
  <c r="J28" i="46"/>
  <c r="J47" i="46" s="1"/>
  <c r="I28" i="46"/>
  <c r="I47" i="46" s="1"/>
  <c r="N27" i="46"/>
  <c r="N46" i="46" s="1"/>
  <c r="M27" i="46"/>
  <c r="M46" i="46" s="1"/>
  <c r="L27" i="46"/>
  <c r="L46" i="46" s="1"/>
  <c r="K27" i="46"/>
  <c r="K46" i="46" s="1"/>
  <c r="J27" i="46"/>
  <c r="J46" i="46" s="1"/>
  <c r="I27" i="46"/>
  <c r="I46" i="46" s="1"/>
  <c r="H43" i="46"/>
  <c r="I42" i="46"/>
  <c r="J42" i="46" s="1"/>
  <c r="J43" i="46" s="1"/>
  <c r="AI9" i="31"/>
  <c r="AI8" i="31"/>
  <c r="AI7" i="31"/>
  <c r="AI6" i="31"/>
  <c r="AK9" i="31"/>
  <c r="AK8" i="31"/>
  <c r="AK7" i="31"/>
  <c r="AK6" i="31"/>
  <c r="AA10" i="31"/>
  <c r="AA9" i="31"/>
  <c r="AA8" i="31"/>
  <c r="AA7" i="31"/>
  <c r="AA6" i="31"/>
  <c r="Y10" i="31"/>
  <c r="Y9" i="31"/>
  <c r="Y8" i="31"/>
  <c r="Y7" i="31"/>
  <c r="Y6" i="31"/>
  <c r="BX52" i="37"/>
  <c r="G23" i="37"/>
  <c r="BY23" i="34"/>
  <c r="BX23" i="34"/>
  <c r="BW23" i="34"/>
  <c r="BV23" i="34"/>
  <c r="BU23" i="34"/>
  <c r="BS23" i="34"/>
  <c r="BR23" i="34"/>
  <c r="BQ23" i="34"/>
  <c r="BP23" i="34"/>
  <c r="BO23" i="34"/>
  <c r="CQ23" i="34"/>
  <c r="CP23" i="34"/>
  <c r="CO23" i="34"/>
  <c r="CN23" i="34"/>
  <c r="CM23" i="34"/>
  <c r="BM23" i="34"/>
  <c r="BL23" i="34"/>
  <c r="BK23" i="34"/>
  <c r="BJ23" i="34"/>
  <c r="BI23" i="34"/>
  <c r="BG23" i="34"/>
  <c r="BF23" i="34"/>
  <c r="BE23" i="34"/>
  <c r="BD23" i="34"/>
  <c r="BC23" i="34"/>
  <c r="N26" i="31"/>
  <c r="N39" i="31" s="1"/>
  <c r="N34" i="31"/>
  <c r="N33" i="31"/>
  <c r="M30" i="31"/>
  <c r="L34" i="31"/>
  <c r="L32" i="31"/>
  <c r="M26" i="31"/>
  <c r="M25" i="31"/>
  <c r="M24" i="31"/>
  <c r="L26" i="31"/>
  <c r="K26" i="31"/>
  <c r="M15" i="31"/>
  <c r="M14" i="31"/>
  <c r="M13" i="31"/>
  <c r="CP15" i="34"/>
  <c r="CP20" i="34" s="1"/>
  <c r="CO15" i="34"/>
  <c r="CO20" i="34" s="1"/>
  <c r="CN15" i="34"/>
  <c r="CN20" i="34" s="1"/>
  <c r="BM15" i="34"/>
  <c r="BM20" i="34" s="1"/>
  <c r="N36" i="31"/>
  <c r="BF15" i="34"/>
  <c r="BF20" i="34" s="1"/>
  <c r="BE15" i="34"/>
  <c r="BE20" i="34" s="1"/>
  <c r="L10" i="31"/>
  <c r="BC15" i="34"/>
  <c r="BC20" i="34" s="1"/>
  <c r="L9" i="31"/>
  <c r="L8" i="31"/>
  <c r="BV15" i="34"/>
  <c r="BV20" i="34" s="1"/>
  <c r="M10" i="31"/>
  <c r="M9" i="31"/>
  <c r="BU15" i="34"/>
  <c r="BU20" i="34" s="1"/>
  <c r="M8" i="31"/>
  <c r="K10" i="31"/>
  <c r="J33" i="31"/>
  <c r="J30" i="31"/>
  <c r="J26" i="31"/>
  <c r="J23" i="31"/>
  <c r="H34" i="31"/>
  <c r="H32" i="31"/>
  <c r="H27" i="31"/>
  <c r="H26" i="31"/>
  <c r="H25" i="31"/>
  <c r="H24" i="31"/>
  <c r="I21" i="31"/>
  <c r="I20" i="31"/>
  <c r="I19" i="31"/>
  <c r="H17" i="31"/>
  <c r="H15" i="31"/>
  <c r="H14" i="31"/>
  <c r="H11" i="31"/>
  <c r="G40" i="31"/>
  <c r="J37" i="31"/>
  <c r="AL5" i="31"/>
  <c r="AK5" i="31"/>
  <c r="AJ5" i="31"/>
  <c r="AI5" i="31"/>
  <c r="AH5" i="31"/>
  <c r="AG5" i="31"/>
  <c r="AF5" i="31"/>
  <c r="AP13" i="31"/>
  <c r="M40" i="31" l="1"/>
  <c r="H36" i="31"/>
  <c r="M36" i="31"/>
  <c r="L36" i="31"/>
  <c r="M39" i="31"/>
  <c r="H40" i="31"/>
  <c r="J40" i="31"/>
  <c r="I43" i="46"/>
  <c r="K42" i="46"/>
  <c r="K43" i="46" s="1"/>
  <c r="J39" i="31"/>
  <c r="M37" i="31"/>
  <c r="H39" i="31"/>
  <c r="H37" i="31"/>
  <c r="L42" i="46" l="1"/>
  <c r="L43" i="46" s="1"/>
  <c r="M42" i="46" l="1"/>
  <c r="N42" i="46" l="1"/>
  <c r="N43" i="46" s="1"/>
  <c r="M43" i="46"/>
  <c r="BY37" i="34" l="1"/>
  <c r="BX37" i="34"/>
  <c r="BW37" i="34"/>
  <c r="BV37" i="34"/>
  <c r="BU37" i="34"/>
  <c r="BS37" i="34"/>
  <c r="BR37" i="34"/>
  <c r="BQ37" i="34"/>
  <c r="BP37" i="34"/>
  <c r="BO37" i="34"/>
  <c r="CQ37" i="34"/>
  <c r="CP37" i="34"/>
  <c r="CO37" i="34"/>
  <c r="CN37" i="34"/>
  <c r="CM37" i="34"/>
  <c r="BM37" i="34"/>
  <c r="BL37" i="34"/>
  <c r="BK37" i="34"/>
  <c r="BJ37" i="34"/>
  <c r="BI37" i="34"/>
  <c r="BG37" i="34"/>
  <c r="BF37" i="34"/>
  <c r="BE37" i="34"/>
  <c r="BD37" i="34"/>
  <c r="BC37" i="34"/>
  <c r="BY29" i="34"/>
  <c r="BX29" i="34"/>
  <c r="BW29" i="34"/>
  <c r="BV29" i="34"/>
  <c r="BU29" i="34"/>
  <c r="BS29" i="34"/>
  <c r="BR29" i="34"/>
  <c r="BQ29" i="34"/>
  <c r="BP29" i="34"/>
  <c r="BO29" i="34"/>
  <c r="CQ29" i="34"/>
  <c r="CP29" i="34"/>
  <c r="CO29" i="34"/>
  <c r="CN29" i="34"/>
  <c r="CM29" i="34"/>
  <c r="BM29" i="34"/>
  <c r="BL29" i="34"/>
  <c r="BK29" i="34"/>
  <c r="BJ29" i="34"/>
  <c r="BI29" i="34"/>
  <c r="BG29" i="34"/>
  <c r="BF29" i="34"/>
  <c r="BE29" i="34"/>
  <c r="BD29" i="34"/>
  <c r="BC29" i="34"/>
  <c r="BY24" i="34"/>
  <c r="BY27" i="34" s="1"/>
  <c r="BY30" i="34" s="1"/>
  <c r="BY33" i="34" s="1"/>
  <c r="BX24" i="34"/>
  <c r="BX27" i="34" s="1"/>
  <c r="BW24" i="34"/>
  <c r="BW27" i="34" s="1"/>
  <c r="CQ24" i="34"/>
  <c r="CQ27" i="34" s="1"/>
  <c r="BV24" i="34"/>
  <c r="BV27" i="34" s="1"/>
  <c r="BS15" i="34"/>
  <c r="BS20" i="34" s="1"/>
  <c r="BR15" i="34"/>
  <c r="BQ15" i="34"/>
  <c r="BP15" i="34"/>
  <c r="BO15" i="34"/>
  <c r="CP24" i="34"/>
  <c r="CP27" i="34" s="1"/>
  <c r="BM24" i="34"/>
  <c r="BM27" i="34" s="1"/>
  <c r="BL15" i="34"/>
  <c r="BL20" i="34" s="1"/>
  <c r="BK15" i="34"/>
  <c r="BK20" i="34" s="1"/>
  <c r="BJ15" i="34"/>
  <c r="BI15" i="34"/>
  <c r="BG15" i="34"/>
  <c r="BG20" i="34" s="1"/>
  <c r="BE24" i="34"/>
  <c r="BE27" i="34" s="1"/>
  <c r="BD15" i="34"/>
  <c r="BD20" i="34" s="1"/>
  <c r="BC24" i="34"/>
  <c r="BC27" i="34" s="1"/>
  <c r="BC30" i="34" s="1"/>
  <c r="BC33" i="34" s="1"/>
  <c r="BK52" i="37"/>
  <c r="BF52" i="37"/>
  <c r="BA52" i="37"/>
  <c r="AV52" i="37"/>
  <c r="BL33" i="37"/>
  <c r="BK33" i="37"/>
  <c r="BJ33" i="37"/>
  <c r="BG33" i="37"/>
  <c r="BF33" i="37"/>
  <c r="BE33" i="37"/>
  <c r="BB33" i="37"/>
  <c r="BA33" i="37"/>
  <c r="AZ33" i="37"/>
  <c r="AW33" i="37"/>
  <c r="AV33" i="37"/>
  <c r="AU33" i="37"/>
  <c r="BL23" i="37"/>
  <c r="BK23" i="37"/>
  <c r="BJ23" i="37"/>
  <c r="BG23" i="37"/>
  <c r="BF23" i="37"/>
  <c r="BE23" i="37"/>
  <c r="BB23" i="37"/>
  <c r="BA23" i="37"/>
  <c r="AZ23" i="37"/>
  <c r="AW23" i="37"/>
  <c r="AV23" i="37"/>
  <c r="AU23" i="37"/>
  <c r="BL15" i="37"/>
  <c r="BK15" i="37"/>
  <c r="BJ15" i="37"/>
  <c r="BF15" i="37"/>
  <c r="BE15" i="37"/>
  <c r="BB15" i="37"/>
  <c r="BA15" i="37"/>
  <c r="AZ15" i="37"/>
  <c r="AV15" i="37"/>
  <c r="AU15" i="37"/>
  <c r="BY15" i="37"/>
  <c r="BX15" i="37"/>
  <c r="BW15" i="37"/>
  <c r="BW33" i="37"/>
  <c r="BX33" i="37"/>
  <c r="BY33" i="37"/>
  <c r="BW23" i="37"/>
  <c r="BX23" i="37"/>
  <c r="BY23" i="37"/>
  <c r="G27" i="46"/>
  <c r="H27" i="46"/>
  <c r="H46" i="46" s="1"/>
  <c r="G50" i="46" s="1"/>
  <c r="G28" i="46"/>
  <c r="H28" i="46"/>
  <c r="H47" i="46" s="1"/>
  <c r="G51" i="46" s="1"/>
  <c r="BO20" i="34" l="1"/>
  <c r="BO24" i="34" s="1"/>
  <c r="BO27" i="34" s="1"/>
  <c r="BO30" i="34" s="1"/>
  <c r="BO33" i="34" s="1"/>
  <c r="BQ20" i="34"/>
  <c r="BQ24" i="34" s="1"/>
  <c r="BQ27" i="34" s="1"/>
  <c r="BQ30" i="34" s="1"/>
  <c r="BQ33" i="34" s="1"/>
  <c r="BP20" i="34"/>
  <c r="BP24" i="34" s="1"/>
  <c r="BP27" i="34" s="1"/>
  <c r="BP30" i="34" s="1"/>
  <c r="BP33" i="34" s="1"/>
  <c r="BI20" i="34"/>
  <c r="BI24" i="34" s="1"/>
  <c r="BI27" i="34" s="1"/>
  <c r="BI30" i="34" s="1"/>
  <c r="BI33" i="34" s="1"/>
  <c r="BJ20" i="34"/>
  <c r="BJ24" i="34" s="1"/>
  <c r="BJ27" i="34" s="1"/>
  <c r="BJ30" i="34" s="1"/>
  <c r="BJ33" i="34" s="1"/>
  <c r="BR20" i="34"/>
  <c r="BR24" i="34" s="1"/>
  <c r="BR27" i="34" s="1"/>
  <c r="BR30" i="34" s="1"/>
  <c r="BR33" i="34" s="1"/>
  <c r="BB24" i="37"/>
  <c r="BB27" i="37" s="1"/>
  <c r="BE24" i="37"/>
  <c r="BE27" i="37" s="1"/>
  <c r="BL24" i="37"/>
  <c r="BL27" i="37" s="1"/>
  <c r="BW30" i="34"/>
  <c r="BW33" i="34" s="1"/>
  <c r="BM30" i="34"/>
  <c r="BM33" i="34" s="1"/>
  <c r="CQ30" i="34"/>
  <c r="CQ33" i="34" s="1"/>
  <c r="AZ24" i="37"/>
  <c r="AZ27" i="37" s="1"/>
  <c r="AU24" i="37"/>
  <c r="AU27" i="37" s="1"/>
  <c r="BG24" i="37"/>
  <c r="BG27" i="37" s="1"/>
  <c r="BV30" i="34"/>
  <c r="BV33" i="34" s="1"/>
  <c r="CP30" i="34"/>
  <c r="CP33" i="34" s="1"/>
  <c r="BJ24" i="37"/>
  <c r="BJ27" i="37" s="1"/>
  <c r="BK24" i="37"/>
  <c r="BK27" i="37" s="1"/>
  <c r="AV24" i="37"/>
  <c r="AV27" i="37" s="1"/>
  <c r="AW24" i="37"/>
  <c r="AW27" i="37" s="1"/>
  <c r="BA24" i="37"/>
  <c r="BA27" i="37" s="1"/>
  <c r="BY24" i="37"/>
  <c r="BY27" i="37" s="1"/>
  <c r="BX30" i="34"/>
  <c r="BX33" i="34" s="1"/>
  <c r="BX24" i="37"/>
  <c r="BX27" i="37" s="1"/>
  <c r="BW24" i="37"/>
  <c r="BW27" i="37" s="1"/>
  <c r="BS24" i="34"/>
  <c r="BS27" i="34" s="1"/>
  <c r="BS30" i="34" s="1"/>
  <c r="BS33" i="34" s="1"/>
  <c r="BE30" i="34"/>
  <c r="BE33" i="34" s="1"/>
  <c r="BF24" i="37"/>
  <c r="BF27" i="37" s="1"/>
  <c r="BF24" i="34"/>
  <c r="BF27" i="34" s="1"/>
  <c r="BF30" i="34" s="1"/>
  <c r="BF33" i="34" s="1"/>
  <c r="CO24" i="34"/>
  <c r="CO27" i="34" s="1"/>
  <c r="CO30" i="34" s="1"/>
  <c r="CO33" i="34" s="1"/>
  <c r="BU24" i="34"/>
  <c r="BU27" i="34" s="1"/>
  <c r="BU30" i="34" s="1"/>
  <c r="BU33" i="34" s="1"/>
  <c r="BG24" i="34"/>
  <c r="BG27" i="34" s="1"/>
  <c r="BG30" i="34" s="1"/>
  <c r="BG33" i="34" s="1"/>
  <c r="BK24" i="34"/>
  <c r="BK27" i="34" s="1"/>
  <c r="BK30" i="34" s="1"/>
  <c r="BK33" i="34" s="1"/>
  <c r="BD24" i="34"/>
  <c r="BD27" i="34" s="1"/>
  <c r="BD30" i="34" s="1"/>
  <c r="BD33" i="34" s="1"/>
  <c r="CN24" i="34"/>
  <c r="CN27" i="34" s="1"/>
  <c r="CN30" i="34" s="1"/>
  <c r="CN33" i="34" s="1"/>
  <c r="BL24" i="34"/>
  <c r="BL27" i="34" s="1"/>
  <c r="BL30" i="34" s="1"/>
  <c r="BL33" i="34" s="1"/>
  <c r="CM24" i="34"/>
  <c r="CM27" i="34" s="1"/>
  <c r="CM30" i="34" s="1"/>
  <c r="CM33" i="34" s="1"/>
  <c r="BK29" i="37" l="1"/>
  <c r="AV29" i="37"/>
  <c r="BA29" i="37"/>
  <c r="BX29" i="37"/>
  <c r="BF29" i="37"/>
  <c r="F34" i="31"/>
  <c r="F32" i="31"/>
  <c r="DF15" i="34"/>
  <c r="DF20" i="34" s="1"/>
  <c r="DE15" i="34"/>
  <c r="DE20" i="34" s="1"/>
  <c r="H23" i="46"/>
  <c r="I23" i="46" s="1"/>
  <c r="J23" i="46" s="1"/>
  <c r="K23" i="46" s="1"/>
  <c r="L23" i="46" s="1"/>
  <c r="M23" i="46" s="1"/>
  <c r="N23" i="46" s="1"/>
  <c r="AW40" i="34"/>
  <c r="DI40" i="34"/>
  <c r="DH40" i="34"/>
  <c r="DG40" i="34"/>
  <c r="DF40" i="34"/>
  <c r="DE40" i="34"/>
  <c r="DO40" i="34"/>
  <c r="DN40" i="34"/>
  <c r="DM40" i="34"/>
  <c r="DL40" i="34"/>
  <c r="DK40" i="34"/>
  <c r="BA40" i="34"/>
  <c r="AZ40" i="34"/>
  <c r="AY40" i="34"/>
  <c r="AX40" i="34"/>
  <c r="AU40" i="34"/>
  <c r="AT40" i="34"/>
  <c r="AS40" i="34"/>
  <c r="AR40" i="34"/>
  <c r="AQ40" i="34"/>
  <c r="AO40" i="34"/>
  <c r="AN40" i="34"/>
  <c r="AM40" i="34"/>
  <c r="AL40" i="34"/>
  <c r="AK40" i="34"/>
  <c r="AI40" i="34"/>
  <c r="AH40" i="34"/>
  <c r="AG40" i="34"/>
  <c r="AF40" i="34"/>
  <c r="AE40" i="34"/>
  <c r="AC40" i="34"/>
  <c r="AB40" i="34"/>
  <c r="AA40" i="34"/>
  <c r="Z40" i="34"/>
  <c r="Y40" i="34"/>
  <c r="W40" i="34"/>
  <c r="V40" i="34"/>
  <c r="U40" i="34"/>
  <c r="T40" i="34"/>
  <c r="S40" i="34"/>
  <c r="Q40" i="34"/>
  <c r="P40" i="34"/>
  <c r="O40" i="34"/>
  <c r="N40" i="34"/>
  <c r="M40" i="34"/>
  <c r="K40" i="34"/>
  <c r="J40" i="34"/>
  <c r="I40" i="34"/>
  <c r="H40" i="34"/>
  <c r="G40" i="34"/>
  <c r="AR15" i="37"/>
  <c r="AQ15" i="37"/>
  <c r="AP15" i="37"/>
  <c r="AH15" i="37"/>
  <c r="AC15" i="37"/>
  <c r="N15" i="37"/>
  <c r="I15" i="37"/>
  <c r="AX15" i="34"/>
  <c r="AW15" i="34"/>
  <c r="DE37" i="34" l="1"/>
  <c r="DF37" i="34"/>
  <c r="DG37" i="34"/>
  <c r="DH37" i="34"/>
  <c r="DI37" i="34"/>
  <c r="DE29" i="34"/>
  <c r="DF29" i="34"/>
  <c r="DG29" i="34"/>
  <c r="DH29" i="34"/>
  <c r="DI29" i="34"/>
  <c r="DE23" i="34"/>
  <c r="DF23" i="34"/>
  <c r="DG23" i="34"/>
  <c r="DH23" i="34"/>
  <c r="DI23" i="34"/>
  <c r="DE24" i="34"/>
  <c r="DE27" i="34" s="1"/>
  <c r="AJ9" i="31"/>
  <c r="AJ8" i="31"/>
  <c r="AJ7" i="31"/>
  <c r="AJ6" i="31"/>
  <c r="Z9" i="31"/>
  <c r="Z7" i="31"/>
  <c r="Z6" i="31"/>
  <c r="Z10" i="31"/>
  <c r="K15" i="46"/>
  <c r="BQ34" i="37" s="1"/>
  <c r="BQ38" i="37" s="1"/>
  <c r="BQ40" i="37" s="1"/>
  <c r="A1" i="46"/>
  <c r="AX34" i="37" l="1"/>
  <c r="AX38" i="37" s="1"/>
  <c r="AX40" i="37" s="1"/>
  <c r="AI34" i="37"/>
  <c r="AI38" i="37" s="1"/>
  <c r="AI40" i="37" s="1"/>
  <c r="J34" i="37"/>
  <c r="J38" i="37" s="1"/>
  <c r="J40" i="37" s="1"/>
  <c r="Y34" i="37"/>
  <c r="Y38" i="37" s="1"/>
  <c r="Y40" i="37" s="1"/>
  <c r="AN34" i="37"/>
  <c r="AN38" i="37" s="1"/>
  <c r="AN40" i="37" s="1"/>
  <c r="BC34" i="37"/>
  <c r="BC38" i="37" s="1"/>
  <c r="BC40" i="37" s="1"/>
  <c r="O34" i="37"/>
  <c r="O38" i="37" s="1"/>
  <c r="O40" i="37" s="1"/>
  <c r="AD34" i="37"/>
  <c r="AD38" i="37" s="1"/>
  <c r="AD40" i="37" s="1"/>
  <c r="BZ34" i="37"/>
  <c r="BZ38" i="37" s="1"/>
  <c r="BZ40" i="37" s="1"/>
  <c r="BH34" i="37"/>
  <c r="BH38" i="37" s="1"/>
  <c r="BH40" i="37" s="1"/>
  <c r="AS34" i="37"/>
  <c r="AS38" i="37" s="1"/>
  <c r="AS40" i="37" s="1"/>
  <c r="BP34" i="37"/>
  <c r="BP38" i="37" s="1"/>
  <c r="BP40" i="37" s="1"/>
  <c r="BO34" i="37"/>
  <c r="BO38" i="37" s="1"/>
  <c r="BO40" i="37" s="1"/>
  <c r="BP42" i="37" s="1"/>
  <c r="BP50" i="37" s="1"/>
  <c r="BP53" i="37" s="1"/>
  <c r="BP56" i="37" s="1"/>
  <c r="O60" i="46" s="1"/>
  <c r="CE34" i="37"/>
  <c r="CE38" i="37" s="1"/>
  <c r="CE40" i="37" s="1"/>
  <c r="BM34" i="37"/>
  <c r="BM38" i="37" s="1"/>
  <c r="BM40" i="37" s="1"/>
  <c r="T34" i="37"/>
  <c r="T38" i="37" s="1"/>
  <c r="T40" i="37" s="1"/>
  <c r="CI38" i="34"/>
  <c r="CI42" i="34" s="1"/>
  <c r="CI44" i="34" s="1"/>
  <c r="CV38" i="34"/>
  <c r="CV42" i="34" s="1"/>
  <c r="CV44" i="34" s="1"/>
  <c r="CH38" i="34"/>
  <c r="CH42" i="34" s="1"/>
  <c r="CH44" i="34" s="1"/>
  <c r="CC38" i="34"/>
  <c r="CC42" i="34" s="1"/>
  <c r="CC44" i="34" s="1"/>
  <c r="CG38" i="34"/>
  <c r="CG42" i="34" s="1"/>
  <c r="CG44" i="34" s="1"/>
  <c r="CS38" i="34"/>
  <c r="CS42" i="34" s="1"/>
  <c r="CS44" i="34" s="1"/>
  <c r="CE38" i="34"/>
  <c r="CE42" i="34" s="1"/>
  <c r="CE44" i="34" s="1"/>
  <c r="CD38" i="34"/>
  <c r="CD42" i="34" s="1"/>
  <c r="CD44" i="34" s="1"/>
  <c r="CB38" i="34"/>
  <c r="CB42" i="34" s="1"/>
  <c r="CB44" i="34" s="1"/>
  <c r="CA38" i="34"/>
  <c r="CA42" i="34" s="1"/>
  <c r="CA44" i="34" s="1"/>
  <c r="CT38" i="34"/>
  <c r="CT42" i="34" s="1"/>
  <c r="CT44" i="34" s="1"/>
  <c r="CJ38" i="34"/>
  <c r="CJ42" i="34" s="1"/>
  <c r="CJ44" i="34" s="1"/>
  <c r="CW38" i="34"/>
  <c r="CW42" i="34" s="1"/>
  <c r="CW44" i="34" s="1"/>
  <c r="CU38" i="34"/>
  <c r="CU42" i="34" s="1"/>
  <c r="CU44" i="34" s="1"/>
  <c r="CK38" i="34"/>
  <c r="CK42" i="34" s="1"/>
  <c r="CK44" i="34" s="1"/>
  <c r="CY38" i="34"/>
  <c r="CY42" i="34" s="1"/>
  <c r="CY44" i="34" s="1"/>
  <c r="DC38" i="34"/>
  <c r="DC42" i="34" s="1"/>
  <c r="DC44" i="34" s="1"/>
  <c r="DB38" i="34"/>
  <c r="DB42" i="34" s="1"/>
  <c r="DB44" i="34" s="1"/>
  <c r="CZ38" i="34"/>
  <c r="CZ42" i="34" s="1"/>
  <c r="CZ44" i="34" s="1"/>
  <c r="DA38" i="34"/>
  <c r="DA42" i="34" s="1"/>
  <c r="DA44" i="34" s="1"/>
  <c r="DG24" i="34"/>
  <c r="DG27" i="34" s="1"/>
  <c r="DG30" i="34" s="1"/>
  <c r="DG33" i="34" s="1"/>
  <c r="DF24" i="34"/>
  <c r="DF27" i="34" s="1"/>
  <c r="DF30" i="34" s="1"/>
  <c r="DF33" i="34" s="1"/>
  <c r="DH24" i="34"/>
  <c r="DH27" i="34" s="1"/>
  <c r="DH30" i="34" s="1"/>
  <c r="DH33" i="34" s="1"/>
  <c r="DI24" i="34"/>
  <c r="DI27" i="34" s="1"/>
  <c r="DI30" i="34" s="1"/>
  <c r="DI33" i="34" s="1"/>
  <c r="BY38" i="34"/>
  <c r="BY42" i="34" s="1"/>
  <c r="BY44" i="34" s="1"/>
  <c r="CP38" i="34"/>
  <c r="CP42" i="34" s="1"/>
  <c r="CP44" i="34" s="1"/>
  <c r="BF34" i="37"/>
  <c r="BF38" i="37" s="1"/>
  <c r="BF40" i="37" s="1"/>
  <c r="BJ38" i="34"/>
  <c r="BJ42" i="34" s="1"/>
  <c r="BJ44" i="34" s="1"/>
  <c r="BX38" i="34"/>
  <c r="BX42" i="34" s="1"/>
  <c r="BX44" i="34" s="1"/>
  <c r="CO38" i="34"/>
  <c r="CO42" i="34" s="1"/>
  <c r="CO44" i="34" s="1"/>
  <c r="BM38" i="34"/>
  <c r="BM42" i="34" s="1"/>
  <c r="BM44" i="34" s="1"/>
  <c r="BE34" i="37"/>
  <c r="BE38" i="37" s="1"/>
  <c r="BE40" i="37" s="1"/>
  <c r="BR38" i="34"/>
  <c r="BR42" i="34" s="1"/>
  <c r="BR44" i="34" s="1"/>
  <c r="BK38" i="34"/>
  <c r="BK42" i="34" s="1"/>
  <c r="BK44" i="34" s="1"/>
  <c r="BW38" i="34"/>
  <c r="BW42" i="34" s="1"/>
  <c r="BW44" i="34" s="1"/>
  <c r="BS38" i="34"/>
  <c r="BS42" i="34" s="1"/>
  <c r="BS44" i="34" s="1"/>
  <c r="CN38" i="34"/>
  <c r="CN42" i="34" s="1"/>
  <c r="CN44" i="34" s="1"/>
  <c r="BL38" i="34"/>
  <c r="BL42" i="34" s="1"/>
  <c r="BL44" i="34" s="1"/>
  <c r="BB34" i="37"/>
  <c r="BB38" i="37" s="1"/>
  <c r="BB40" i="37" s="1"/>
  <c r="BA34" i="37"/>
  <c r="BA38" i="37" s="1"/>
  <c r="BA40" i="37" s="1"/>
  <c r="BQ38" i="34"/>
  <c r="BQ42" i="34" s="1"/>
  <c r="BQ44" i="34" s="1"/>
  <c r="BL34" i="37"/>
  <c r="BL38" i="37" s="1"/>
  <c r="BL40" i="37" s="1"/>
  <c r="BK34" i="37"/>
  <c r="BK38" i="37" s="1"/>
  <c r="BK40" i="37" s="1"/>
  <c r="BP38" i="34"/>
  <c r="BP42" i="34" s="1"/>
  <c r="BP44" i="34" s="1"/>
  <c r="BI38" i="34"/>
  <c r="BI42" i="34" s="1"/>
  <c r="BI44" i="34" s="1"/>
  <c r="BE38" i="34"/>
  <c r="BE42" i="34" s="1"/>
  <c r="BE44" i="34" s="1"/>
  <c r="BO38" i="34"/>
  <c r="BO42" i="34" s="1"/>
  <c r="BO44" i="34" s="1"/>
  <c r="BD38" i="34"/>
  <c r="BD42" i="34" s="1"/>
  <c r="BD44" i="34" s="1"/>
  <c r="BJ34" i="37"/>
  <c r="BJ38" i="37" s="1"/>
  <c r="BJ40" i="37" s="1"/>
  <c r="AV34" i="37"/>
  <c r="AV38" i="37" s="1"/>
  <c r="AV40" i="37" s="1"/>
  <c r="BG38" i="34"/>
  <c r="BG42" i="34" s="1"/>
  <c r="BG44" i="34" s="1"/>
  <c r="BU38" i="34"/>
  <c r="BU42" i="34" s="1"/>
  <c r="BU44" i="34" s="1"/>
  <c r="BF38" i="34"/>
  <c r="BF42" i="34" s="1"/>
  <c r="BF44" i="34" s="1"/>
  <c r="CQ38" i="34"/>
  <c r="CQ42" i="34" s="1"/>
  <c r="CQ44" i="34" s="1"/>
  <c r="BC38" i="34"/>
  <c r="BC42" i="34" s="1"/>
  <c r="BC44" i="34" s="1"/>
  <c r="BG34" i="37"/>
  <c r="BG38" i="37" s="1"/>
  <c r="BG40" i="37" s="1"/>
  <c r="AU34" i="37"/>
  <c r="AU38" i="37" s="1"/>
  <c r="AU40" i="37" s="1"/>
  <c r="BV38" i="34"/>
  <c r="BV42" i="34" s="1"/>
  <c r="BV44" i="34" s="1"/>
  <c r="CM38" i="34"/>
  <c r="CM42" i="34" s="1"/>
  <c r="CM44" i="34" s="1"/>
  <c r="AZ34" i="37"/>
  <c r="AZ38" i="37" s="1"/>
  <c r="AZ40" i="37" s="1"/>
  <c r="AW34" i="37"/>
  <c r="AW38" i="37" s="1"/>
  <c r="AW40" i="37" s="1"/>
  <c r="BT34" i="37"/>
  <c r="BY34" i="37"/>
  <c r="BY38" i="37" s="1"/>
  <c r="BY40" i="37" s="1"/>
  <c r="BW34" i="37"/>
  <c r="BW38" i="37" s="1"/>
  <c r="BW40" i="37" s="1"/>
  <c r="BX34" i="37"/>
  <c r="BX38" i="37" s="1"/>
  <c r="BX40" i="37" s="1"/>
  <c r="DE30" i="34"/>
  <c r="DE33" i="34" s="1"/>
  <c r="DI38" i="34"/>
  <c r="DI42" i="34" s="1"/>
  <c r="DF38" i="34"/>
  <c r="DF42" i="34" s="1"/>
  <c r="DH38" i="34"/>
  <c r="DH42" i="34" s="1"/>
  <c r="DG38" i="34"/>
  <c r="DG42" i="34" s="1"/>
  <c r="DE38" i="34"/>
  <c r="DE42" i="34" s="1"/>
  <c r="DM38" i="34"/>
  <c r="AH38" i="34"/>
  <c r="AR38" i="34"/>
  <c r="BA38" i="34"/>
  <c r="N34" i="37"/>
  <c r="O38" i="34"/>
  <c r="AP34" i="37"/>
  <c r="AB34" i="37"/>
  <c r="Y38" i="34"/>
  <c r="BU34" i="37"/>
  <c r="K16" i="46"/>
  <c r="Z8" i="31"/>
  <c r="H38" i="34"/>
  <c r="AA38" i="34"/>
  <c r="AK38" i="34"/>
  <c r="X9" i="31" s="1"/>
  <c r="AT38" i="34"/>
  <c r="DO38" i="34"/>
  <c r="R34" i="37"/>
  <c r="AF34" i="37"/>
  <c r="AR34" i="37"/>
  <c r="I38" i="34"/>
  <c r="AB38" i="34"/>
  <c r="G34" i="37"/>
  <c r="S34" i="37"/>
  <c r="AG34" i="37"/>
  <c r="CD34" i="37"/>
  <c r="J38" i="34"/>
  <c r="T38" i="34"/>
  <c r="AM38" i="34"/>
  <c r="AW38" i="34"/>
  <c r="X10" i="31" s="1"/>
  <c r="H34" i="37"/>
  <c r="V34" i="37"/>
  <c r="K38" i="34"/>
  <c r="AX38" i="34"/>
  <c r="W34" i="37"/>
  <c r="M38" i="34"/>
  <c r="V38" i="34"/>
  <c r="AF38" i="34"/>
  <c r="AO38" i="34"/>
  <c r="AY38" i="34"/>
  <c r="DK38" i="34"/>
  <c r="L34" i="37"/>
  <c r="X34" i="37"/>
  <c r="AL34" i="37"/>
  <c r="BS34" i="37"/>
  <c r="G38" i="34"/>
  <c r="X6" i="31" s="1"/>
  <c r="P38" i="34"/>
  <c r="Z38" i="34"/>
  <c r="AI38" i="34"/>
  <c r="AS38" i="34"/>
  <c r="DN38" i="34"/>
  <c r="Q34" i="37"/>
  <c r="AC34" i="37"/>
  <c r="AQ34" i="37"/>
  <c r="CB34" i="37"/>
  <c r="Q38" i="34"/>
  <c r="CC34" i="37"/>
  <c r="S38" i="34"/>
  <c r="X7" i="31" s="1"/>
  <c r="AL38" i="34"/>
  <c r="AU38" i="34"/>
  <c r="AC38" i="34"/>
  <c r="AH34" i="37"/>
  <c r="U38" i="34"/>
  <c r="AE38" i="34"/>
  <c r="X8" i="31" s="1"/>
  <c r="AN38" i="34"/>
  <c r="I34" i="37"/>
  <c r="AK34" i="37"/>
  <c r="N38" i="34"/>
  <c r="W38" i="34"/>
  <c r="AG38" i="34"/>
  <c r="AQ38" i="34"/>
  <c r="AZ38" i="34"/>
  <c r="DL38" i="34"/>
  <c r="M34" i="37"/>
  <c r="AA34" i="37"/>
  <c r="AM34" i="37"/>
  <c r="BK46" i="34" l="1"/>
  <c r="I61" i="46" s="1"/>
  <c r="W74" i="46" s="1"/>
  <c r="CI46" i="34"/>
  <c r="J61" i="46" s="1"/>
  <c r="W75" i="46" s="1"/>
  <c r="AH8" i="31"/>
  <c r="AH7" i="31"/>
  <c r="AH9" i="31"/>
  <c r="AH6" i="31"/>
  <c r="BX42" i="37"/>
  <c r="BX50" i="37" s="1"/>
  <c r="BX53" i="37" s="1"/>
  <c r="BX56" i="37" s="1"/>
  <c r="O63" i="46" s="1"/>
  <c r="BA42" i="37"/>
  <c r="BA50" i="37" s="1"/>
  <c r="BA53" i="37" s="1"/>
  <c r="BA56" i="37" s="1"/>
  <c r="N61" i="46" s="1"/>
  <c r="W79" i="46" s="1"/>
  <c r="AV42" i="37"/>
  <c r="AV50" i="37" s="1"/>
  <c r="AV53" i="37" s="1"/>
  <c r="AV56" i="37" s="1"/>
  <c r="N60" i="46" s="1"/>
  <c r="BF42" i="37"/>
  <c r="BF50" i="37" s="1"/>
  <c r="BF53" i="37" s="1"/>
  <c r="BF56" i="37" s="1"/>
  <c r="N63" i="46" s="1"/>
  <c r="BK42" i="37"/>
  <c r="BK50" i="37" s="1"/>
  <c r="BK53" i="37" s="1"/>
  <c r="BK56" i="37" s="1"/>
  <c r="N64" i="46" s="1"/>
  <c r="W92" i="46" s="1"/>
  <c r="CU46" i="34"/>
  <c r="J63" i="46" s="1"/>
  <c r="CC46" i="34"/>
  <c r="J60" i="46" s="1"/>
  <c r="DH44" i="34"/>
  <c r="DA46" i="34"/>
  <c r="K60" i="46" s="1"/>
  <c r="DG44" i="34"/>
  <c r="DI44" i="34"/>
  <c r="CO46" i="34"/>
  <c r="J62" i="46" s="1"/>
  <c r="X75" i="46" s="1"/>
  <c r="BQ46" i="34"/>
  <c r="I63" i="46" s="1"/>
  <c r="DE44" i="34"/>
  <c r="BW46" i="34"/>
  <c r="I64" i="46" s="1"/>
  <c r="W87" i="46" s="1"/>
  <c r="BE46" i="34"/>
  <c r="I60" i="46" s="1"/>
  <c r="DF44" i="34"/>
  <c r="CD33" i="37"/>
  <c r="CC33" i="37"/>
  <c r="CB33" i="37"/>
  <c r="AR33" i="37"/>
  <c r="AQ33" i="37"/>
  <c r="AP33" i="37"/>
  <c r="AM33" i="37"/>
  <c r="AL33" i="37"/>
  <c r="AK33" i="37"/>
  <c r="DO37" i="34"/>
  <c r="DN37" i="34"/>
  <c r="DM37" i="34"/>
  <c r="DL37" i="34"/>
  <c r="DK37" i="34"/>
  <c r="BA37" i="34"/>
  <c r="AZ37" i="34"/>
  <c r="AY37" i="34"/>
  <c r="AX37" i="34"/>
  <c r="AW37" i="34"/>
  <c r="W10" i="31" s="1"/>
  <c r="AH33" i="37"/>
  <c r="AG33" i="37"/>
  <c r="AF33" i="37"/>
  <c r="AC33" i="37"/>
  <c r="AB33" i="37"/>
  <c r="AA33" i="37"/>
  <c r="AU37" i="34"/>
  <c r="AT37" i="34"/>
  <c r="AS37" i="34"/>
  <c r="AR37" i="34"/>
  <c r="AQ37" i="34"/>
  <c r="AO37" i="34"/>
  <c r="AN37" i="34"/>
  <c r="AM37" i="34"/>
  <c r="AL37" i="34"/>
  <c r="AK37" i="34"/>
  <c r="W9" i="31" s="1"/>
  <c r="AI37" i="34"/>
  <c r="AH37" i="34"/>
  <c r="AG37" i="34"/>
  <c r="AF37" i="34"/>
  <c r="AE37" i="34"/>
  <c r="W8" i="31" s="1"/>
  <c r="X33" i="37"/>
  <c r="W33" i="37"/>
  <c r="V33" i="37"/>
  <c r="S33" i="37"/>
  <c r="R33" i="37"/>
  <c r="Q33" i="37"/>
  <c r="AC37" i="34"/>
  <c r="AB37" i="34"/>
  <c r="AA37" i="34"/>
  <c r="Z37" i="34"/>
  <c r="Y37" i="34"/>
  <c r="W37" i="34"/>
  <c r="V37" i="34"/>
  <c r="U37" i="34"/>
  <c r="T37" i="34"/>
  <c r="S37" i="34"/>
  <c r="W7" i="31" s="1"/>
  <c r="N33" i="37"/>
  <c r="M33" i="37"/>
  <c r="L33" i="37"/>
  <c r="I33" i="37"/>
  <c r="H33" i="37"/>
  <c r="G33" i="37"/>
  <c r="Q37" i="34"/>
  <c r="P37" i="34"/>
  <c r="O37" i="34"/>
  <c r="N37" i="34"/>
  <c r="M37" i="34"/>
  <c r="K37" i="34"/>
  <c r="J37" i="34"/>
  <c r="I37" i="34"/>
  <c r="H37" i="34"/>
  <c r="G37" i="34"/>
  <c r="W6" i="31" s="1"/>
  <c r="CC52" i="37"/>
  <c r="BT52" i="37"/>
  <c r="AQ52" i="37"/>
  <c r="AL52" i="37"/>
  <c r="AG52" i="37"/>
  <c r="AB52" i="37"/>
  <c r="W52" i="37"/>
  <c r="R52" i="37"/>
  <c r="M52" i="37"/>
  <c r="H52" i="37"/>
  <c r="AU29" i="34"/>
  <c r="AT29" i="34"/>
  <c r="AS29" i="34"/>
  <c r="AR29" i="34"/>
  <c r="AQ29" i="34"/>
  <c r="AO29" i="34"/>
  <c r="AN29" i="34"/>
  <c r="AM29" i="34"/>
  <c r="AL29" i="34"/>
  <c r="AK29" i="34"/>
  <c r="AW29" i="34"/>
  <c r="DO29" i="34"/>
  <c r="DN29" i="34"/>
  <c r="DM29" i="34"/>
  <c r="DL29" i="34"/>
  <c r="DK29" i="34"/>
  <c r="BA29" i="34"/>
  <c r="AZ29" i="34"/>
  <c r="AY29" i="34"/>
  <c r="AX29" i="34"/>
  <c r="Q29" i="34"/>
  <c r="P29" i="34"/>
  <c r="O29" i="34"/>
  <c r="N29" i="34"/>
  <c r="M29" i="34"/>
  <c r="K29" i="34"/>
  <c r="J29" i="34"/>
  <c r="I29" i="34"/>
  <c r="H29" i="34"/>
  <c r="G29" i="34"/>
  <c r="AC29" i="34"/>
  <c r="AB29" i="34"/>
  <c r="AA29" i="34"/>
  <c r="Z29" i="34"/>
  <c r="Y29" i="34"/>
  <c r="W29" i="34"/>
  <c r="V29" i="34"/>
  <c r="U29" i="34"/>
  <c r="T29" i="34"/>
  <c r="S29" i="34"/>
  <c r="BA23" i="34"/>
  <c r="AZ23" i="34"/>
  <c r="AY23" i="34"/>
  <c r="AX23" i="34"/>
  <c r="AS23" i="34"/>
  <c r="AI29" i="34"/>
  <c r="AE29" i="34"/>
  <c r="AO23" i="34"/>
  <c r="AN23" i="34"/>
  <c r="AM23" i="34"/>
  <c r="AL23" i="34"/>
  <c r="AK23" i="34"/>
  <c r="AI23" i="34"/>
  <c r="AH23" i="34"/>
  <c r="AG23" i="34"/>
  <c r="AF23" i="34"/>
  <c r="AE23" i="34"/>
  <c r="AH23" i="37"/>
  <c r="CD23" i="37"/>
  <c r="CC23" i="37"/>
  <c r="CB23" i="37"/>
  <c r="BU23" i="37"/>
  <c r="BT23" i="37"/>
  <c r="BS23" i="37"/>
  <c r="AR23" i="37"/>
  <c r="AQ23" i="37"/>
  <c r="AP23" i="37"/>
  <c r="AM23" i="37"/>
  <c r="AL23" i="37"/>
  <c r="AK23" i="37"/>
  <c r="AG23" i="37"/>
  <c r="AF23" i="37"/>
  <c r="AC23" i="37"/>
  <c r="AB23" i="37"/>
  <c r="AA23" i="37"/>
  <c r="X23" i="37"/>
  <c r="W23" i="37"/>
  <c r="V23" i="37"/>
  <c r="S23" i="37"/>
  <c r="R23" i="37"/>
  <c r="Q23" i="37"/>
  <c r="N23" i="37"/>
  <c r="M23" i="37"/>
  <c r="L23" i="37"/>
  <c r="I23" i="37"/>
  <c r="H23" i="37"/>
  <c r="DO23" i="34"/>
  <c r="DN23" i="34"/>
  <c r="DM23" i="34"/>
  <c r="DL23" i="34"/>
  <c r="DK23" i="34"/>
  <c r="AW23" i="34"/>
  <c r="AU23" i="34"/>
  <c r="AT23" i="34"/>
  <c r="AR23" i="34"/>
  <c r="AQ23" i="34"/>
  <c r="AC23" i="34"/>
  <c r="AB23" i="34"/>
  <c r="AA23" i="34"/>
  <c r="Z23" i="34"/>
  <c r="Y23" i="34"/>
  <c r="W23" i="34"/>
  <c r="V23" i="34"/>
  <c r="U23" i="34"/>
  <c r="T23" i="34"/>
  <c r="S23" i="34"/>
  <c r="Q23" i="34"/>
  <c r="P23" i="34"/>
  <c r="O23" i="34"/>
  <c r="N23" i="34"/>
  <c r="M23" i="34"/>
  <c r="K23" i="34"/>
  <c r="J23" i="34"/>
  <c r="I23" i="34"/>
  <c r="H23" i="34"/>
  <c r="G23" i="34"/>
  <c r="V74" i="46" l="1"/>
  <c r="V75" i="46"/>
  <c r="AC75" i="46" s="1"/>
  <c r="AG9" i="31"/>
  <c r="V79" i="46"/>
  <c r="AG7" i="31"/>
  <c r="AG6" i="31"/>
  <c r="AG8" i="31"/>
  <c r="AD75" i="46"/>
  <c r="AK75" i="46"/>
  <c r="AK88" i="46"/>
  <c r="AD79" i="46"/>
  <c r="AK79" i="46"/>
  <c r="AL75" i="46"/>
  <c r="AE75" i="46"/>
  <c r="AD92" i="46"/>
  <c r="AK92" i="46"/>
  <c r="AK74" i="46"/>
  <c r="AD74" i="46"/>
  <c r="AD87" i="46"/>
  <c r="AK87" i="46"/>
  <c r="DG46" i="34"/>
  <c r="K63" i="46" s="1"/>
  <c r="V82" i="46" s="1"/>
  <c r="N40" i="31"/>
  <c r="N37" i="31"/>
  <c r="CD15" i="37"/>
  <c r="CD24" i="37" s="1"/>
  <c r="CD27" i="37" s="1"/>
  <c r="CC15" i="37"/>
  <c r="CC24" i="37" s="1"/>
  <c r="CC27" i="37" s="1"/>
  <c r="CB15" i="37"/>
  <c r="CB24" i="37" s="1"/>
  <c r="CB27" i="37" s="1"/>
  <c r="BU38" i="37"/>
  <c r="BS38" i="37"/>
  <c r="BT38" i="37"/>
  <c r="BU24" i="37"/>
  <c r="BU27" i="37" s="1"/>
  <c r="BT24" i="37"/>
  <c r="BT27" i="37" s="1"/>
  <c r="BS24" i="37"/>
  <c r="BS27" i="37" s="1"/>
  <c r="CD38" i="37"/>
  <c r="CC38" i="37"/>
  <c r="CB38" i="37"/>
  <c r="L40" i="31"/>
  <c r="K32" i="31"/>
  <c r="AM15" i="37"/>
  <c r="AL15" i="37"/>
  <c r="AK15" i="37"/>
  <c r="AG15" i="37"/>
  <c r="AF15" i="37"/>
  <c r="AB15" i="37"/>
  <c r="AA15" i="37"/>
  <c r="AJ75" i="46" l="1"/>
  <c r="CC29" i="37"/>
  <c r="BT29" i="37"/>
  <c r="AC82" i="46"/>
  <c r="AJ82" i="46"/>
  <c r="AJ74" i="46"/>
  <c r="AC74" i="46"/>
  <c r="AC79" i="46"/>
  <c r="AJ79" i="46"/>
  <c r="K40" i="31"/>
  <c r="CC40" i="37"/>
  <c r="CD40" i="37"/>
  <c r="BU40" i="37"/>
  <c r="BS40" i="37"/>
  <c r="BT40" i="37"/>
  <c r="CB40" i="37"/>
  <c r="V15" i="37"/>
  <c r="X15" i="37"/>
  <c r="K9" i="31"/>
  <c r="K8" i="31"/>
  <c r="M15" i="37"/>
  <c r="L15" i="37"/>
  <c r="H15" i="37"/>
  <c r="G15" i="37"/>
  <c r="DN15" i="34"/>
  <c r="DM15" i="34"/>
  <c r="DL15" i="34"/>
  <c r="DK15" i="34"/>
  <c r="DO15" i="34"/>
  <c r="DO42" i="34"/>
  <c r="DN42" i="34"/>
  <c r="DM42" i="34"/>
  <c r="DL42" i="34"/>
  <c r="DK42" i="34"/>
  <c r="AB15" i="34"/>
  <c r="F17" i="31"/>
  <c r="W20" i="34"/>
  <c r="W24" i="34" s="1"/>
  <c r="W27" i="34" s="1"/>
  <c r="W30" i="34" s="1"/>
  <c r="W33" i="34" s="1"/>
  <c r="G28" i="31"/>
  <c r="G27" i="31"/>
  <c r="G25" i="31"/>
  <c r="G24" i="31"/>
  <c r="F27" i="31"/>
  <c r="F26" i="31"/>
  <c r="F25" i="31"/>
  <c r="F24" i="31"/>
  <c r="AU15" i="34"/>
  <c r="AT15" i="34"/>
  <c r="AS15" i="34"/>
  <c r="AR15" i="34"/>
  <c r="AQ15" i="34"/>
  <c r="AO15" i="34"/>
  <c r="AN15" i="34"/>
  <c r="AM15" i="34"/>
  <c r="AL15" i="34"/>
  <c r="AK15" i="34"/>
  <c r="G21" i="31"/>
  <c r="G20" i="31"/>
  <c r="G19" i="31"/>
  <c r="G17" i="31"/>
  <c r="DK20" i="34" l="1"/>
  <c r="DK24" i="34" s="1"/>
  <c r="DK27" i="34" s="1"/>
  <c r="DK30" i="34" s="1"/>
  <c r="DK33" i="34" s="1"/>
  <c r="DK44" i="34" s="1"/>
  <c r="DO20" i="34"/>
  <c r="DO24" i="34" s="1"/>
  <c r="DO27" i="34" s="1"/>
  <c r="DO30" i="34" s="1"/>
  <c r="DO33" i="34" s="1"/>
  <c r="DO44" i="34" s="1"/>
  <c r="DL20" i="34"/>
  <c r="DL24" i="34" s="1"/>
  <c r="DL27" i="34" s="1"/>
  <c r="DL30" i="34" s="1"/>
  <c r="DL33" i="34" s="1"/>
  <c r="DL44" i="34" s="1"/>
  <c r="DM20" i="34"/>
  <c r="DM24" i="34" s="1"/>
  <c r="DM27" i="34" s="1"/>
  <c r="DM30" i="34" s="1"/>
  <c r="DM33" i="34" s="1"/>
  <c r="DM44" i="34" s="1"/>
  <c r="DN20" i="34"/>
  <c r="DN24" i="34" s="1"/>
  <c r="DN27" i="34" s="1"/>
  <c r="DN30" i="34" s="1"/>
  <c r="DN33" i="34" s="1"/>
  <c r="DN44" i="34" s="1"/>
  <c r="CC42" i="37"/>
  <c r="CC50" i="37" s="1"/>
  <c r="CC53" i="37" s="1"/>
  <c r="CC56" i="37" s="1"/>
  <c r="O64" i="46" s="1"/>
  <c r="BT42" i="37"/>
  <c r="BT50" i="37" s="1"/>
  <c r="BT53" i="37" s="1"/>
  <c r="BT56" i="37" s="1"/>
  <c r="O61" i="46" s="1"/>
  <c r="K36" i="31"/>
  <c r="G39" i="31"/>
  <c r="F39" i="31"/>
  <c r="V97" i="46" l="1"/>
  <c r="DM46" i="34"/>
  <c r="AH15" i="34"/>
  <c r="AG15" i="34"/>
  <c r="K64" i="46" l="1"/>
  <c r="V95" i="46" s="1"/>
  <c r="AJ97" i="46"/>
  <c r="AC97" i="46"/>
  <c r="AJ95" i="46" l="1"/>
  <c r="AC95" i="46"/>
  <c r="L15" i="31" l="1"/>
  <c r="L14" i="31"/>
  <c r="G8" i="31"/>
  <c r="F11" i="31"/>
  <c r="F9" i="31"/>
  <c r="G9" i="31"/>
  <c r="G10" i="31"/>
  <c r="G11" i="31"/>
  <c r="L37" i="31" l="1"/>
  <c r="F36" i="31"/>
  <c r="G36" i="31"/>
  <c r="L20" i="37"/>
  <c r="AM20" i="37" l="1"/>
  <c r="AL20" i="37"/>
  <c r="AK20" i="37"/>
  <c r="S15" i="37"/>
  <c r="Y15" i="34" l="1"/>
  <c r="M15" i="34"/>
  <c r="P15" i="34"/>
  <c r="AK20" i="34"/>
  <c r="AK24" i="34" s="1"/>
  <c r="AK27" i="34" s="1"/>
  <c r="AK30" i="34" s="1"/>
  <c r="AK33" i="34" s="1"/>
  <c r="AK42" i="34"/>
  <c r="V15" i="34"/>
  <c r="S15" i="34"/>
  <c r="T15" i="34"/>
  <c r="AK44" i="34" l="1"/>
  <c r="J15" i="34"/>
  <c r="I15" i="34"/>
  <c r="L8" i="6" l="1"/>
  <c r="L7" i="6"/>
  <c r="AF20" i="37" l="1"/>
  <c r="AF24" i="37" s="1"/>
  <c r="AF27" i="37" s="1"/>
  <c r="AG20" i="37"/>
  <c r="AG24" i="37" s="1"/>
  <c r="AG27" i="37" s="1"/>
  <c r="AH20" i="37"/>
  <c r="AH24" i="37" s="1"/>
  <c r="AH27" i="37" s="1"/>
  <c r="AH38" i="37"/>
  <c r="AP20" i="37"/>
  <c r="AP24" i="37" s="1"/>
  <c r="AP27" i="37" s="1"/>
  <c r="AQ20" i="37"/>
  <c r="AQ24" i="37" s="1"/>
  <c r="AQ27" i="37" s="1"/>
  <c r="AR20" i="37"/>
  <c r="AR24" i="37" s="1"/>
  <c r="AR27" i="37" s="1"/>
  <c r="W20" i="37"/>
  <c r="W24" i="37" s="1"/>
  <c r="W27" i="37" s="1"/>
  <c r="X20" i="37"/>
  <c r="X24" i="37" s="1"/>
  <c r="X27" i="37" s="1"/>
  <c r="V20" i="37"/>
  <c r="V24" i="37" s="1"/>
  <c r="V27" i="37" s="1"/>
  <c r="L24" i="37"/>
  <c r="L27" i="37" s="1"/>
  <c r="M24" i="37"/>
  <c r="M27" i="37" s="1"/>
  <c r="N24" i="37"/>
  <c r="N27" i="37" s="1"/>
  <c r="AQ20" i="34"/>
  <c r="AQ24" i="34" s="1"/>
  <c r="AQ27" i="34" s="1"/>
  <c r="AQ30" i="34" s="1"/>
  <c r="AQ33" i="34" s="1"/>
  <c r="AR20" i="34"/>
  <c r="AR24" i="34" s="1"/>
  <c r="AR27" i="34" s="1"/>
  <c r="AT20" i="34"/>
  <c r="AT24" i="34" s="1"/>
  <c r="AT27" i="34" s="1"/>
  <c r="AT30" i="34" s="1"/>
  <c r="AT33" i="34" s="1"/>
  <c r="AU20" i="34"/>
  <c r="AU24" i="34" s="1"/>
  <c r="AU27" i="34" s="1"/>
  <c r="AU30" i="34" s="1"/>
  <c r="AU33" i="34" s="1"/>
  <c r="AS20" i="34"/>
  <c r="AS24" i="34" s="1"/>
  <c r="AS27" i="34" s="1"/>
  <c r="AS30" i="34" s="1"/>
  <c r="AS33" i="34" s="1"/>
  <c r="AS42" i="34"/>
  <c r="Z15" i="34"/>
  <c r="Z20" i="34" s="1"/>
  <c r="Z24" i="34" s="1"/>
  <c r="Z27" i="34" s="1"/>
  <c r="AA15" i="34"/>
  <c r="AA20" i="34" s="1"/>
  <c r="AA24" i="34" s="1"/>
  <c r="AA27" i="34" s="1"/>
  <c r="AA30" i="34" s="1"/>
  <c r="AA33" i="34" s="1"/>
  <c r="AB20" i="34"/>
  <c r="AB24" i="34" s="1"/>
  <c r="AB27" i="34" s="1"/>
  <c r="AB30" i="34" s="1"/>
  <c r="AB33" i="34" s="1"/>
  <c r="AC20" i="34"/>
  <c r="AC24" i="34" s="1"/>
  <c r="AC27" i="34" s="1"/>
  <c r="AC30" i="34" s="1"/>
  <c r="AC33" i="34" s="1"/>
  <c r="Y20" i="34"/>
  <c r="Y24" i="34" s="1"/>
  <c r="Y27" i="34" s="1"/>
  <c r="Y30" i="34" s="1"/>
  <c r="Y33" i="34" s="1"/>
  <c r="Y42" i="34"/>
  <c r="M20" i="34"/>
  <c r="M24" i="34" s="1"/>
  <c r="M27" i="34" s="1"/>
  <c r="N15" i="34"/>
  <c r="N20" i="34" s="1"/>
  <c r="N24" i="34" s="1"/>
  <c r="N27" i="34" s="1"/>
  <c r="O15" i="34"/>
  <c r="O20" i="34" s="1"/>
  <c r="O24" i="34" s="1"/>
  <c r="O27" i="34" s="1"/>
  <c r="Q15" i="34"/>
  <c r="Q20" i="34" s="1"/>
  <c r="Q24" i="34" s="1"/>
  <c r="Q27" i="34" s="1"/>
  <c r="P20" i="34"/>
  <c r="P24" i="34" s="1"/>
  <c r="P27" i="34" s="1"/>
  <c r="P30" i="34" s="1"/>
  <c r="P33" i="34" s="1"/>
  <c r="AQ29" i="37" l="1"/>
  <c r="AG29" i="37"/>
  <c r="W29" i="37"/>
  <c r="M29" i="37"/>
  <c r="AS44" i="34"/>
  <c r="N30" i="34"/>
  <c r="N33" i="34" s="1"/>
  <c r="Y44" i="34"/>
  <c r="Q30" i="34"/>
  <c r="Q33" i="34" s="1"/>
  <c r="O30" i="34"/>
  <c r="O33" i="34" s="1"/>
  <c r="M30" i="34"/>
  <c r="M33" i="34" s="1"/>
  <c r="Z30" i="34"/>
  <c r="Z33" i="34" s="1"/>
  <c r="AH40" i="37"/>
  <c r="AR30" i="34"/>
  <c r="AR33" i="34" s="1"/>
  <c r="AB10" i="31" l="1"/>
  <c r="AC10" i="31" s="1"/>
  <c r="AL7" i="31"/>
  <c r="AM7" i="31" s="1"/>
  <c r="K25" i="31" l="1"/>
  <c r="K24" i="31"/>
  <c r="G16" i="31"/>
  <c r="G15" i="31"/>
  <c r="G14" i="31"/>
  <c r="G15" i="34"/>
  <c r="AH29" i="34"/>
  <c r="AG29" i="34"/>
  <c r="AF29" i="34"/>
  <c r="K39" i="31" l="1"/>
  <c r="K37" i="31"/>
  <c r="G37" i="31"/>
  <c r="AB6" i="31"/>
  <c r="AL6" i="31"/>
  <c r="AM6" i="31" s="1"/>
  <c r="AC6" i="31" l="1"/>
  <c r="W42" i="34" l="1"/>
  <c r="BA20" i="34"/>
  <c r="AZ20" i="34"/>
  <c r="AY20" i="34"/>
  <c r="AX20" i="34"/>
  <c r="AB8" i="31" l="1"/>
  <c r="AC8" i="31" s="1"/>
  <c r="AB7" i="31"/>
  <c r="AC7" i="31" s="1"/>
  <c r="AL8" i="31"/>
  <c r="AM8" i="31" s="1"/>
  <c r="AB9" i="31"/>
  <c r="AC9" i="31" s="1"/>
  <c r="AL9" i="31"/>
  <c r="AM9" i="31" s="1"/>
  <c r="AL10" i="31" l="1"/>
  <c r="AM10" i="31" s="1"/>
  <c r="AB11" i="31"/>
  <c r="AC11" i="31" s="1"/>
  <c r="AL24" i="37" l="1"/>
  <c r="AL27" i="37" s="1"/>
  <c r="AK24" i="37"/>
  <c r="AK27" i="37" s="1"/>
  <c r="L25" i="31"/>
  <c r="F53" i="37"/>
  <c r="AA20" i="37"/>
  <c r="AA24" i="37" s="1"/>
  <c r="AA27" i="37" s="1"/>
  <c r="AM24" i="37"/>
  <c r="AM27" i="37" s="1"/>
  <c r="I20" i="37"/>
  <c r="I24" i="37" s="1"/>
  <c r="I27" i="37" s="1"/>
  <c r="AC20" i="37"/>
  <c r="AC24" i="37" s="1"/>
  <c r="AC27" i="37" s="1"/>
  <c r="AB20" i="37"/>
  <c r="AB24" i="37" s="1"/>
  <c r="AB27" i="37" s="1"/>
  <c r="S24" i="37"/>
  <c r="S27" i="37" s="1"/>
  <c r="R15" i="37"/>
  <c r="R24" i="37" s="1"/>
  <c r="R27" i="37" s="1"/>
  <c r="Q15" i="37"/>
  <c r="Q24" i="37" s="1"/>
  <c r="Q27" i="37" s="1"/>
  <c r="H20" i="37"/>
  <c r="H24" i="37" s="1"/>
  <c r="H27" i="37" s="1"/>
  <c r="G20" i="37"/>
  <c r="G24" i="37" s="1"/>
  <c r="G27" i="37" s="1"/>
  <c r="H29" i="37" s="1"/>
  <c r="A1" i="37"/>
  <c r="AW20" i="34"/>
  <c r="AW24" i="34" s="1"/>
  <c r="AW27" i="34" s="1"/>
  <c r="AW30" i="34" s="1"/>
  <c r="BA42" i="34"/>
  <c r="AZ42" i="34"/>
  <c r="AY42" i="34"/>
  <c r="AI42" i="34"/>
  <c r="AE42" i="34"/>
  <c r="J42" i="34"/>
  <c r="I42" i="34"/>
  <c r="BA24" i="34"/>
  <c r="BA27" i="34" s="1"/>
  <c r="BA30" i="34" s="1"/>
  <c r="BA33" i="34" s="1"/>
  <c r="AZ24" i="34"/>
  <c r="AZ27" i="34" s="1"/>
  <c r="AZ30" i="34" s="1"/>
  <c r="AZ33" i="34" s="1"/>
  <c r="AY24" i="34"/>
  <c r="AY27" i="34" s="1"/>
  <c r="AY30" i="34" s="1"/>
  <c r="AY33" i="34" s="1"/>
  <c r="AX24" i="34"/>
  <c r="AX27" i="34" s="1"/>
  <c r="AX30" i="34" s="1"/>
  <c r="AX33" i="34" s="1"/>
  <c r="AO20" i="34"/>
  <c r="AO24" i="34" s="1"/>
  <c r="AO27" i="34" s="1"/>
  <c r="AO30" i="34" s="1"/>
  <c r="AO33" i="34" s="1"/>
  <c r="AM20" i="34"/>
  <c r="AM24" i="34" s="1"/>
  <c r="AM27" i="34" s="1"/>
  <c r="AM30" i="34" s="1"/>
  <c r="AM33" i="34" s="1"/>
  <c r="AI20" i="34"/>
  <c r="AI24" i="34" s="1"/>
  <c r="AI27" i="34" s="1"/>
  <c r="AI30" i="34" s="1"/>
  <c r="AI33" i="34" s="1"/>
  <c r="AN20" i="34"/>
  <c r="AN24" i="34" s="1"/>
  <c r="AN27" i="34" s="1"/>
  <c r="AN30" i="34" s="1"/>
  <c r="AN33" i="34" s="1"/>
  <c r="AL20" i="34"/>
  <c r="AL24" i="34" s="1"/>
  <c r="AL27" i="34" s="1"/>
  <c r="AL30" i="34" s="1"/>
  <c r="AL33" i="34" s="1"/>
  <c r="AH20" i="34"/>
  <c r="AH24" i="34" s="1"/>
  <c r="AH27" i="34" s="1"/>
  <c r="AH30" i="34" s="1"/>
  <c r="AH33" i="34" s="1"/>
  <c r="AG20" i="34"/>
  <c r="AG24" i="34" s="1"/>
  <c r="AG27" i="34" s="1"/>
  <c r="AG30" i="34" s="1"/>
  <c r="AG33" i="34" s="1"/>
  <c r="AF20" i="34"/>
  <c r="AF24" i="34" s="1"/>
  <c r="AF27" i="34" s="1"/>
  <c r="AF30" i="34" s="1"/>
  <c r="AF33" i="34" s="1"/>
  <c r="AE20" i="34"/>
  <c r="V20" i="34"/>
  <c r="V24" i="34" s="1"/>
  <c r="V27" i="34" s="1"/>
  <c r="V30" i="34" s="1"/>
  <c r="V33" i="34" s="1"/>
  <c r="U15" i="34"/>
  <c r="T20" i="34"/>
  <c r="T24" i="34" s="1"/>
  <c r="T27" i="34" s="1"/>
  <c r="T30" i="34" s="1"/>
  <c r="T33" i="34" s="1"/>
  <c r="S20" i="34"/>
  <c r="S24" i="34" s="1"/>
  <c r="S27" i="34" s="1"/>
  <c r="S30" i="34" s="1"/>
  <c r="K15" i="34"/>
  <c r="K20" i="34" s="1"/>
  <c r="K24" i="34" s="1"/>
  <c r="K27" i="34" s="1"/>
  <c r="K30" i="34" s="1"/>
  <c r="K33" i="34" s="1"/>
  <c r="J20" i="34"/>
  <c r="J24" i="34" s="1"/>
  <c r="J27" i="34" s="1"/>
  <c r="J30" i="34" s="1"/>
  <c r="J33" i="34" s="1"/>
  <c r="I20" i="34"/>
  <c r="I24" i="34" s="1"/>
  <c r="I27" i="34" s="1"/>
  <c r="I30" i="34" s="1"/>
  <c r="I33" i="34" s="1"/>
  <c r="H15" i="34"/>
  <c r="H20" i="34" s="1"/>
  <c r="H24" i="34" s="1"/>
  <c r="H27" i="34" s="1"/>
  <c r="H30" i="34" s="1"/>
  <c r="H33" i="34" s="1"/>
  <c r="G20" i="34"/>
  <c r="G24" i="34" s="1"/>
  <c r="G27" i="34" s="1"/>
  <c r="G30" i="34" s="1"/>
  <c r="F40" i="31"/>
  <c r="A1" i="34"/>
  <c r="AL29" i="37" l="1"/>
  <c r="AB29" i="37"/>
  <c r="R29" i="37"/>
  <c r="F37" i="31"/>
  <c r="U20" i="34"/>
  <c r="U24" i="34" s="1"/>
  <c r="U27" i="34" s="1"/>
  <c r="U30" i="34" s="1"/>
  <c r="U33" i="34" s="1"/>
  <c r="L24" i="31"/>
  <c r="L39" i="31" s="1"/>
  <c r="AY44" i="34"/>
  <c r="BA44" i="34"/>
  <c r="I44" i="34"/>
  <c r="AZ44" i="34"/>
  <c r="J44" i="34"/>
  <c r="G33" i="34"/>
  <c r="AE24" i="34"/>
  <c r="AE27" i="34" s="1"/>
  <c r="AE30" i="34" s="1"/>
  <c r="S33" i="34"/>
  <c r="W44" i="34"/>
  <c r="AI44" i="34"/>
  <c r="AW33" i="34"/>
  <c r="AE33" i="34" l="1"/>
  <c r="AE44" i="34" l="1"/>
  <c r="A1" i="31" l="1"/>
  <c r="A1" i="6" l="1"/>
  <c r="N38" i="37" l="1"/>
  <c r="N40" i="37" s="1"/>
  <c r="AC38" i="37"/>
  <c r="AC40" i="37" s="1"/>
  <c r="I38" i="37"/>
  <c r="I40" i="37" s="1"/>
  <c r="S38" i="37"/>
  <c r="S40" i="37" s="1"/>
  <c r="AX42" i="34"/>
  <c r="AX44" i="34" s="1"/>
  <c r="P42" i="34"/>
  <c r="P44" i="34" s="1"/>
  <c r="G42" i="34"/>
  <c r="G44" i="34" s="1"/>
  <c r="AH42" i="34"/>
  <c r="AH44" i="34" s="1"/>
  <c r="AB38" i="37"/>
  <c r="AB40" i="37" s="1"/>
  <c r="Z42" i="34"/>
  <c r="Z44" i="34" s="1"/>
  <c r="M42" i="34"/>
  <c r="M44" i="34" s="1"/>
  <c r="S42" i="34"/>
  <c r="S44" i="34" s="1"/>
  <c r="L38" i="37"/>
  <c r="L40" i="37" s="1"/>
  <c r="AL38" i="37"/>
  <c r="AL40" i="37" s="1"/>
  <c r="AA38" i="37"/>
  <c r="AA40" i="37" s="1"/>
  <c r="G38" i="37"/>
  <c r="G40" i="37" s="1"/>
  <c r="H42" i="37" s="1"/>
  <c r="AG42" i="34"/>
  <c r="AG44" i="34" s="1"/>
  <c r="K42" i="34"/>
  <c r="K44" i="34" s="1"/>
  <c r="AM38" i="37"/>
  <c r="AM40" i="37" s="1"/>
  <c r="U42" i="34"/>
  <c r="U44" i="34" s="1"/>
  <c r="T42" i="34"/>
  <c r="T44" i="34" s="1"/>
  <c r="AL42" i="34"/>
  <c r="AL44" i="34" s="1"/>
  <c r="V42" i="34"/>
  <c r="V44" i="34" s="1"/>
  <c r="Q38" i="37"/>
  <c r="Q40" i="37" s="1"/>
  <c r="AN42" i="34"/>
  <c r="AN44" i="34" s="1"/>
  <c r="Q42" i="34"/>
  <c r="Q44" i="34" s="1"/>
  <c r="AQ38" i="37"/>
  <c r="AQ40" i="37" s="1"/>
  <c r="V38" i="37"/>
  <c r="V40" i="37" s="1"/>
  <c r="H42" i="34"/>
  <c r="H44" i="34" s="1"/>
  <c r="AU42" i="34"/>
  <c r="AU44" i="34" s="1"/>
  <c r="W38" i="37"/>
  <c r="W40" i="37" s="1"/>
  <c r="O42" i="34"/>
  <c r="O44" i="34" s="1"/>
  <c r="AB42" i="34"/>
  <c r="AB44" i="34" s="1"/>
  <c r="AO42" i="34"/>
  <c r="AO44" i="34" s="1"/>
  <c r="AW42" i="34"/>
  <c r="AW44" i="34" s="1"/>
  <c r="AP38" i="37"/>
  <c r="AP40" i="37" s="1"/>
  <c r="AC42" i="34"/>
  <c r="AC44" i="34" s="1"/>
  <c r="AR38" i="37"/>
  <c r="AR40" i="37" s="1"/>
  <c r="AA42" i="34"/>
  <c r="AA44" i="34" s="1"/>
  <c r="AM42" i="34"/>
  <c r="AM44" i="34" s="1"/>
  <c r="X38" i="37"/>
  <c r="X40" i="37" s="1"/>
  <c r="AT42" i="34"/>
  <c r="AT44" i="34" s="1"/>
  <c r="AQ42" i="34"/>
  <c r="AQ44" i="34" s="1"/>
  <c r="AG38" i="37"/>
  <c r="AG40" i="37" s="1"/>
  <c r="R38" i="37"/>
  <c r="R40" i="37" s="1"/>
  <c r="N42" i="34"/>
  <c r="N44" i="34" s="1"/>
  <c r="AR42" i="34"/>
  <c r="AR44" i="34" s="1"/>
  <c r="M38" i="37"/>
  <c r="M40" i="37" s="1"/>
  <c r="AF42" i="34"/>
  <c r="AF44" i="34" s="1"/>
  <c r="H38" i="37"/>
  <c r="H40" i="37" s="1"/>
  <c r="AF38" i="37"/>
  <c r="AF40" i="37" s="1"/>
  <c r="AK38" i="37"/>
  <c r="AK40" i="37" s="1"/>
  <c r="M42" i="37" l="1"/>
  <c r="M50" i="37" s="1"/>
  <c r="M53" i="37" s="1"/>
  <c r="M56" i="37" s="1"/>
  <c r="M60" i="46" s="1"/>
  <c r="AQ42" i="37"/>
  <c r="AQ50" i="37" s="1"/>
  <c r="AQ53" i="37" s="1"/>
  <c r="AQ56" i="37" s="1"/>
  <c r="M64" i="46" s="1"/>
  <c r="W91" i="46" s="1"/>
  <c r="AL42" i="37"/>
  <c r="AL50" i="37" s="1"/>
  <c r="AL53" i="37" s="1"/>
  <c r="AL56" i="37" s="1"/>
  <c r="L64" i="46" s="1"/>
  <c r="W90" i="46" s="1"/>
  <c r="AG42" i="37"/>
  <c r="AG50" i="37" s="1"/>
  <c r="AG53" i="37" s="1"/>
  <c r="AG56" i="37" s="1"/>
  <c r="M63" i="46" s="1"/>
  <c r="AB42" i="37"/>
  <c r="AB50" i="37" s="1"/>
  <c r="AB53" i="37" s="1"/>
  <c r="AB56" i="37" s="1"/>
  <c r="L63" i="46" s="1"/>
  <c r="W42" i="37"/>
  <c r="W50" i="37" s="1"/>
  <c r="W53" i="37" s="1"/>
  <c r="W56" i="37" s="1"/>
  <c r="M61" i="46" s="1"/>
  <c r="W78" i="46" s="1"/>
  <c r="R42" i="37"/>
  <c r="R50" i="37" s="1"/>
  <c r="R53" i="37" s="1"/>
  <c r="R56" i="37" s="1"/>
  <c r="H50" i="37"/>
  <c r="H53" i="37" s="1"/>
  <c r="H56" i="37" s="1"/>
  <c r="L60" i="46" s="1"/>
  <c r="AY46" i="34"/>
  <c r="G64" i="46" s="1"/>
  <c r="W85" i="46" s="1"/>
  <c r="I46" i="34"/>
  <c r="O46" i="34"/>
  <c r="H60" i="46" s="1"/>
  <c r="AA46" i="34"/>
  <c r="H61" i="46" s="1"/>
  <c r="W73" i="46" s="1"/>
  <c r="AG46" i="34"/>
  <c r="H62" i="46" s="1"/>
  <c r="X73" i="46" s="1"/>
  <c r="AS46" i="34"/>
  <c r="H63" i="46" s="1"/>
  <c r="AM46" i="34"/>
  <c r="G63" i="46" s="1"/>
  <c r="U46" i="34"/>
  <c r="G61" i="46" s="1"/>
  <c r="W72" i="46" s="1"/>
  <c r="V77" i="46" l="1"/>
  <c r="L61" i="46"/>
  <c r="W77" i="46" s="1"/>
  <c r="Y130" i="46" s="1"/>
  <c r="V78" i="46"/>
  <c r="V73" i="46"/>
  <c r="AD72" i="46"/>
  <c r="AK72" i="46"/>
  <c r="AL73" i="46"/>
  <c r="AE73" i="46"/>
  <c r="AD73" i="46"/>
  <c r="AK73" i="46"/>
  <c r="AK85" i="46"/>
  <c r="AD85" i="46"/>
  <c r="AK78" i="46"/>
  <c r="AD78" i="46"/>
  <c r="AD91" i="46"/>
  <c r="AK91" i="46"/>
  <c r="AD90" i="46"/>
  <c r="AK90" i="46"/>
  <c r="G60" i="46"/>
  <c r="V72" i="46" s="1"/>
  <c r="AK77" i="46" l="1"/>
  <c r="AD77" i="46"/>
  <c r="AC72" i="46"/>
  <c r="AJ72" i="46"/>
  <c r="AJ73" i="46"/>
  <c r="AC73" i="46"/>
  <c r="AJ78" i="46"/>
  <c r="AC78" i="46"/>
  <c r="AJ77" i="46"/>
  <c r="AC77"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Karin Bongers</author>
  </authors>
  <commentList>
    <comment ref="E9" authorId="0" shapeId="0" xr:uid="{C3891DEC-5530-4B3C-B53A-8480764FCD1D}">
      <text>
        <r>
          <rPr>
            <sz val="9"/>
            <color indexed="81"/>
            <rFont val="Tahoma"/>
            <family val="2"/>
          </rPr>
          <t>Doelgroep, activiteit</t>
        </r>
      </text>
    </comment>
    <comment ref="E15" authorId="0" shapeId="0" xr:uid="{8D627C6E-F625-4AFD-8F6E-E0EC42EB4265}">
      <text>
        <r>
          <rPr>
            <sz val="9"/>
            <color indexed="81"/>
            <rFont val="Tahoma"/>
            <family val="2"/>
          </rPr>
          <t>Zie tabblad 'Bron -  cao's 2025' met een overzicht van de Cao's incl. de maximaal bruto maandsalarissen per trede</t>
        </r>
      </text>
    </comment>
    <comment ref="AK19" authorId="0" shapeId="0" xr:uid="{6F6139B0-652E-4AF6-9AAE-7B7A7FA90015}">
      <text>
        <r>
          <rPr>
            <sz val="9"/>
            <color indexed="81"/>
            <rFont val="Tahoma"/>
            <family val="2"/>
          </rPr>
          <t>incl. IKB</t>
        </r>
      </text>
    </comment>
    <comment ref="AL19" authorId="0" shapeId="0" xr:uid="{C03BC7B3-C01E-4553-BBA3-D4E08A1C22FE}">
      <text>
        <r>
          <rPr>
            <sz val="9"/>
            <color indexed="81"/>
            <rFont val="Tahoma"/>
            <family val="2"/>
          </rPr>
          <t>incl. IKB</t>
        </r>
      </text>
    </comment>
    <comment ref="AM19" authorId="0" shapeId="0" xr:uid="{EBE08655-BA9F-4A22-9739-6BF0107D8F26}">
      <text>
        <r>
          <rPr>
            <sz val="9"/>
            <color indexed="81"/>
            <rFont val="Tahoma"/>
            <family val="2"/>
          </rPr>
          <t>incl. IKB</t>
        </r>
      </text>
    </comment>
    <comment ref="AN19" authorId="0" shapeId="0" xr:uid="{BB116129-E8BB-40EA-A0A8-B9A97C20D66B}">
      <text>
        <r>
          <rPr>
            <sz val="9"/>
            <color indexed="81"/>
            <rFont val="Tahoma"/>
            <family val="2"/>
          </rPr>
          <t>incl. IKB</t>
        </r>
      </text>
    </comment>
    <comment ref="AO19" authorId="0" shapeId="0" xr:uid="{538DC1D6-39E0-4996-ACE8-B1C8EE8A1968}">
      <text>
        <r>
          <rPr>
            <sz val="9"/>
            <color indexed="81"/>
            <rFont val="Tahoma"/>
            <family val="2"/>
          </rPr>
          <t>incl. IKB</t>
        </r>
      </text>
    </comment>
    <comment ref="AQ19" authorId="0" shapeId="0" xr:uid="{56D64A35-67C5-4A9D-8914-E8D41A67D0A9}">
      <text>
        <r>
          <rPr>
            <sz val="9"/>
            <color indexed="81"/>
            <rFont val="Tahoma"/>
            <family val="2"/>
          </rPr>
          <t>incl. IKB</t>
        </r>
      </text>
    </comment>
    <comment ref="AR19" authorId="0" shapeId="0" xr:uid="{4D0D6F75-649F-4644-BEAE-44191092C2DA}">
      <text>
        <r>
          <rPr>
            <sz val="9"/>
            <color indexed="81"/>
            <rFont val="Tahoma"/>
            <family val="2"/>
          </rPr>
          <t>incl. IKB</t>
        </r>
      </text>
    </comment>
    <comment ref="AS19" authorId="0" shapeId="0" xr:uid="{54D200D7-F96B-48AA-880C-4D8ACA88D718}">
      <text>
        <r>
          <rPr>
            <sz val="9"/>
            <color indexed="81"/>
            <rFont val="Tahoma"/>
            <family val="2"/>
          </rPr>
          <t>incl. IKB</t>
        </r>
      </text>
    </comment>
    <comment ref="AT19" authorId="0" shapeId="0" xr:uid="{FE692A82-3F49-44FA-A368-CA1763865E1F}">
      <text>
        <r>
          <rPr>
            <sz val="9"/>
            <color indexed="81"/>
            <rFont val="Tahoma"/>
            <family val="2"/>
          </rPr>
          <t>incl. IKB</t>
        </r>
      </text>
    </comment>
    <comment ref="AU19" authorId="0" shapeId="0" xr:uid="{05445F54-4BE2-4B2B-BFD7-BAA809578F50}">
      <text>
        <r>
          <rPr>
            <sz val="9"/>
            <color indexed="81"/>
            <rFont val="Tahoma"/>
            <family val="2"/>
          </rPr>
          <t>incl. IKB</t>
        </r>
      </text>
    </comment>
    <comment ref="BO19" authorId="0" shapeId="0" xr:uid="{8CCFE7DF-5A4A-4CAD-9E75-BD2627C486B2}">
      <text>
        <r>
          <rPr>
            <sz val="9"/>
            <color indexed="81"/>
            <rFont val="Tahoma"/>
            <family val="2"/>
          </rPr>
          <t>incl. IKB</t>
        </r>
      </text>
    </comment>
    <comment ref="BP19" authorId="0" shapeId="0" xr:uid="{0A5BA550-1D28-4000-BD76-3DB76C28CD41}">
      <text>
        <r>
          <rPr>
            <sz val="9"/>
            <color indexed="81"/>
            <rFont val="Tahoma"/>
            <family val="2"/>
          </rPr>
          <t>incl. IKB</t>
        </r>
      </text>
    </comment>
    <comment ref="BQ19" authorId="0" shapeId="0" xr:uid="{81DDD6C1-DD7F-42F9-BFEE-ADFD3F5C5715}">
      <text>
        <r>
          <rPr>
            <sz val="9"/>
            <color indexed="81"/>
            <rFont val="Tahoma"/>
            <family val="2"/>
          </rPr>
          <t>incl. IKB</t>
        </r>
      </text>
    </comment>
    <comment ref="BR19" authorId="0" shapeId="0" xr:uid="{D8203F07-45EC-42B5-8189-98DF78694EC6}">
      <text>
        <r>
          <rPr>
            <sz val="9"/>
            <color indexed="81"/>
            <rFont val="Tahoma"/>
            <family val="2"/>
          </rPr>
          <t>incl. IKB</t>
        </r>
      </text>
    </comment>
    <comment ref="BS19" authorId="0" shapeId="0" xr:uid="{14899EB2-0E50-4538-88A1-FFA403829CF2}">
      <text>
        <r>
          <rPr>
            <sz val="9"/>
            <color indexed="81"/>
            <rFont val="Tahoma"/>
            <family val="2"/>
          </rPr>
          <t>incl. IKB</t>
        </r>
      </text>
    </comment>
    <comment ref="CS19" authorId="0" shapeId="0" xr:uid="{55DA7F84-C17C-4EC5-ABB2-448CA3C23FD0}">
      <text>
        <r>
          <rPr>
            <sz val="9"/>
            <color indexed="81"/>
            <rFont val="Tahoma"/>
            <family val="2"/>
          </rPr>
          <t>incl. IKB</t>
        </r>
      </text>
    </comment>
    <comment ref="CT19" authorId="0" shapeId="0" xr:uid="{7E7BE74B-321C-4975-939D-B911514BDE6B}">
      <text>
        <r>
          <rPr>
            <sz val="9"/>
            <color indexed="81"/>
            <rFont val="Tahoma"/>
            <family val="2"/>
          </rPr>
          <t>incl. IKB</t>
        </r>
      </text>
    </comment>
    <comment ref="CU19" authorId="0" shapeId="0" xr:uid="{8734430D-6815-45EF-93E2-5DCF11B7A455}">
      <text>
        <r>
          <rPr>
            <sz val="9"/>
            <color indexed="81"/>
            <rFont val="Tahoma"/>
            <family val="2"/>
          </rPr>
          <t>incl. IKB</t>
        </r>
      </text>
    </comment>
    <comment ref="CV19" authorId="0" shapeId="0" xr:uid="{88AB6320-EA95-4EF9-8588-BB9AFAED925B}">
      <text>
        <r>
          <rPr>
            <sz val="9"/>
            <color indexed="81"/>
            <rFont val="Tahoma"/>
            <family val="2"/>
          </rPr>
          <t>incl. IKB</t>
        </r>
      </text>
    </comment>
    <comment ref="CW19" authorId="0" shapeId="0" xr:uid="{872AB562-8F66-43D2-A9DF-F87790230DE7}">
      <text>
        <r>
          <rPr>
            <sz val="9"/>
            <color indexed="81"/>
            <rFont val="Tahoma"/>
            <family val="2"/>
          </rPr>
          <t>incl. IKB</t>
        </r>
      </text>
    </comment>
    <comment ref="DE19" authorId="0" shapeId="0" xr:uid="{0180C977-0B51-406A-9DAD-0F161DA7B8B7}">
      <text>
        <r>
          <rPr>
            <sz val="9"/>
            <color indexed="81"/>
            <rFont val="Tahoma"/>
            <family val="2"/>
          </rPr>
          <t>incl. IKB</t>
        </r>
      </text>
    </comment>
    <comment ref="DF19" authorId="0" shapeId="0" xr:uid="{5864F5FB-39DB-400D-9462-D72582AE6E25}">
      <text>
        <r>
          <rPr>
            <sz val="9"/>
            <color indexed="81"/>
            <rFont val="Tahoma"/>
            <family val="2"/>
          </rPr>
          <t>incl. IKB</t>
        </r>
      </text>
    </comment>
    <comment ref="DG19" authorId="0" shapeId="0" xr:uid="{DA5DC8D4-C40C-4110-A795-404EB61410EA}">
      <text>
        <r>
          <rPr>
            <sz val="9"/>
            <color indexed="81"/>
            <rFont val="Tahoma"/>
            <family val="2"/>
          </rPr>
          <t>incl. IKB</t>
        </r>
      </text>
    </comment>
    <comment ref="DH19" authorId="0" shapeId="0" xr:uid="{BC2C2643-FC7A-4A3D-B412-EBD2A5E789A1}">
      <text>
        <r>
          <rPr>
            <sz val="9"/>
            <color indexed="81"/>
            <rFont val="Tahoma"/>
            <family val="2"/>
          </rPr>
          <t>incl. IKB</t>
        </r>
      </text>
    </comment>
    <comment ref="DI19" authorId="0" shapeId="0" xr:uid="{4F17B541-63B8-4B88-B79A-A227BC7162F2}">
      <text>
        <r>
          <rPr>
            <sz val="9"/>
            <color indexed="81"/>
            <rFont val="Tahoma"/>
            <family val="2"/>
          </rPr>
          <t>incl. IKB</t>
        </r>
      </text>
    </comment>
    <comment ref="E29" authorId="0" shapeId="0" xr:uid="{FF87B7BC-CF92-456A-91D4-E1BF286C4FBC}">
      <text>
        <r>
          <rPr>
            <sz val="9"/>
            <color indexed="81"/>
            <rFont val="Tahoma"/>
            <family val="2"/>
          </rPr>
          <t xml:space="preserve">Twee componenten:
1). Personele overhead is het geheel van functies dat sturend en ondersteunend is aan het primaire proces, waaronder leidinggevenden, zorgstaf, RvB/directie, directiesecretariaat, beleidsmedewerkers, medewerkers innovatie, medewerkers kwaliteit, P&amp;O, salaris- en financiele administratie, etc.
2). Niet personele overhead (veelal materieel), waaronder kantoorbenodigdheden,telefonie, belastingen, verzekeringen, automatiseringskosten, rente, afschrijving, huur, leasing,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Karin Bongers</author>
  </authors>
  <commentList>
    <comment ref="E9" authorId="0" shapeId="0" xr:uid="{551B09AC-C877-40C0-9606-EC42C92605CE}">
      <text>
        <r>
          <rPr>
            <sz val="9"/>
            <color indexed="81"/>
            <rFont val="Tahoma"/>
            <family val="2"/>
          </rPr>
          <t>Doelgroep, activiteit</t>
        </r>
      </text>
    </comment>
    <comment ref="E15" authorId="0" shapeId="0" xr:uid="{D5FD07ED-F9DE-4746-A7B8-7C9699AB9C3B}">
      <text>
        <r>
          <rPr>
            <sz val="9"/>
            <color indexed="81"/>
            <rFont val="Tahoma"/>
            <family val="2"/>
          </rPr>
          <t>Zie tabblad 'Bron -  cao's 2025' met een overzicht van de Cao's incl. de maximaal bruto maandsalarissen per trede</t>
        </r>
      </text>
    </comment>
    <comment ref="AA19" authorId="0" shapeId="0" xr:uid="{85AC2A2F-B42C-4DCF-BFB5-3D166A16E745}">
      <text>
        <r>
          <rPr>
            <sz val="9"/>
            <color indexed="81"/>
            <rFont val="Tahoma"/>
            <family val="2"/>
          </rPr>
          <t>incl. IKB</t>
        </r>
      </text>
    </comment>
    <comment ref="AB19" authorId="0" shapeId="0" xr:uid="{B5CEA038-CB23-40BF-9037-41B583550A18}">
      <text>
        <r>
          <rPr>
            <sz val="9"/>
            <color indexed="81"/>
            <rFont val="Tahoma"/>
            <family val="2"/>
          </rPr>
          <t>incl. IKB</t>
        </r>
      </text>
    </comment>
    <comment ref="AC19" authorId="0" shapeId="0" xr:uid="{B2305BCE-F9DA-4153-A667-461045FFB544}">
      <text>
        <r>
          <rPr>
            <sz val="9"/>
            <color indexed="81"/>
            <rFont val="Tahoma"/>
            <family val="2"/>
          </rPr>
          <t>incl. IKB</t>
        </r>
      </text>
    </comment>
    <comment ref="AF19" authorId="0" shapeId="0" xr:uid="{4A6B4592-DE80-44EF-8061-AFADC32677E3}">
      <text>
        <r>
          <rPr>
            <sz val="9"/>
            <color indexed="81"/>
            <rFont val="Tahoma"/>
            <family val="2"/>
          </rPr>
          <t>incl. IKB</t>
        </r>
      </text>
    </comment>
    <comment ref="AG19" authorId="0" shapeId="0" xr:uid="{7A855D25-4F11-4AD6-A43A-7FEEF8F8C1D0}">
      <text>
        <r>
          <rPr>
            <sz val="9"/>
            <color indexed="81"/>
            <rFont val="Tahoma"/>
            <family val="2"/>
          </rPr>
          <t>incl. IKB</t>
        </r>
      </text>
    </comment>
    <comment ref="AH19" authorId="0" shapeId="0" xr:uid="{AD378580-A5D0-46C6-96B5-501ABDE6BDA6}">
      <text>
        <r>
          <rPr>
            <sz val="9"/>
            <color indexed="81"/>
            <rFont val="Tahoma"/>
            <family val="2"/>
          </rPr>
          <t>incl. IKB</t>
        </r>
      </text>
    </comment>
    <comment ref="BE19" authorId="0" shapeId="0" xr:uid="{CE161198-F0BE-45AE-AC5C-B6068EA417ED}">
      <text>
        <r>
          <rPr>
            <sz val="9"/>
            <color indexed="81"/>
            <rFont val="Tahoma"/>
            <family val="2"/>
          </rPr>
          <t>incl. IKB</t>
        </r>
      </text>
    </comment>
    <comment ref="BF19" authorId="0" shapeId="0" xr:uid="{C1962FD1-DAC5-4A30-A466-EA41ECD6C05B}">
      <text>
        <r>
          <rPr>
            <sz val="9"/>
            <color indexed="81"/>
            <rFont val="Tahoma"/>
            <family val="2"/>
          </rPr>
          <t>incl. IKB</t>
        </r>
      </text>
    </comment>
    <comment ref="BG19" authorId="0" shapeId="0" xr:uid="{4AA0B123-2907-4110-92CD-55369421BEC4}">
      <text>
        <r>
          <rPr>
            <sz val="9"/>
            <color indexed="81"/>
            <rFont val="Tahoma"/>
            <family val="2"/>
          </rPr>
          <t>incl. IKB</t>
        </r>
      </text>
    </comment>
    <comment ref="BH19" authorId="0" shapeId="0" xr:uid="{0C864DD2-D69D-414D-93CC-985BF6297D5B}">
      <text>
        <r>
          <rPr>
            <sz val="9"/>
            <color indexed="81"/>
            <rFont val="Tahoma"/>
            <family val="2"/>
          </rPr>
          <t>incl. IKB</t>
        </r>
      </text>
    </comment>
    <comment ref="BW19" authorId="0" shapeId="0" xr:uid="{7AE9630B-4710-4C0B-82AA-DAC8FCAF574B}">
      <text>
        <r>
          <rPr>
            <sz val="9"/>
            <color indexed="81"/>
            <rFont val="Tahoma"/>
            <family val="2"/>
          </rPr>
          <t>incl. IKB</t>
        </r>
      </text>
    </comment>
    <comment ref="BX19" authorId="0" shapeId="0" xr:uid="{D2E09E98-8B51-457D-BA38-FA7B19061E24}">
      <text>
        <r>
          <rPr>
            <sz val="9"/>
            <color indexed="81"/>
            <rFont val="Tahoma"/>
            <family val="2"/>
          </rPr>
          <t>incl. IKB</t>
        </r>
      </text>
    </comment>
    <comment ref="BY19" authorId="0" shapeId="0" xr:uid="{E4419F17-5DD0-4A57-87C5-15F5A391F727}">
      <text>
        <r>
          <rPr>
            <sz val="9"/>
            <color indexed="81"/>
            <rFont val="Tahoma"/>
            <family val="2"/>
          </rPr>
          <t>incl. IKB</t>
        </r>
      </text>
    </comment>
    <comment ref="BZ19" authorId="0" shapeId="0" xr:uid="{A09DC792-4BF5-455C-8F87-BB97E7D9B327}">
      <text>
        <r>
          <rPr>
            <sz val="9"/>
            <color indexed="81"/>
            <rFont val="Tahoma"/>
            <family val="2"/>
          </rPr>
          <t>incl. IKB</t>
        </r>
      </text>
    </comment>
    <comment ref="E42" authorId="0" shapeId="0" xr:uid="{F8B793AF-8837-4CFE-8C27-59F3ECD555AA}">
      <text>
        <r>
          <rPr>
            <sz val="9"/>
            <color indexed="81"/>
            <rFont val="Tahoma"/>
            <family val="2"/>
          </rPr>
          <t>EUR / productief uur / medewerker
EUR / dagdeel / cliënt volgt hieronder</t>
        </r>
      </text>
    </comment>
    <comment ref="H42" authorId="0" shapeId="0" xr:uid="{B42AB1C8-C08E-43F3-8D15-0F5CD47B4AD3}">
      <text>
        <r>
          <rPr>
            <sz val="9"/>
            <color indexed="81"/>
            <rFont val="Tahoma"/>
            <family val="2"/>
          </rPr>
          <t>EUR / productief uur / medewerker
EUR / dagdeel / cliënt volgt hieronder</t>
        </r>
      </text>
    </comment>
    <comment ref="M42" authorId="0" shapeId="0" xr:uid="{FEE1DFA8-FD74-4BFB-8F80-D3BC1D47A841}">
      <text>
        <r>
          <rPr>
            <sz val="9"/>
            <color indexed="81"/>
            <rFont val="Tahoma"/>
            <family val="2"/>
          </rPr>
          <t>EUR / productief uur / medewerker
EUR / dagdeel / cliënt volgt hieronder</t>
        </r>
      </text>
    </comment>
    <comment ref="R42" authorId="0" shapeId="0" xr:uid="{0506D85D-EB8E-47B1-9608-43F433205140}">
      <text>
        <r>
          <rPr>
            <sz val="9"/>
            <color indexed="81"/>
            <rFont val="Tahoma"/>
            <family val="2"/>
          </rPr>
          <t>EUR / productief uur / medewerker
EUR / dagdeel / cliënt volgt hieronder</t>
        </r>
      </text>
    </comment>
    <comment ref="W42" authorId="0" shapeId="0" xr:uid="{EAD626FA-BFC0-4E18-ACFB-F64043CFCEFC}">
      <text>
        <r>
          <rPr>
            <sz val="9"/>
            <color indexed="81"/>
            <rFont val="Tahoma"/>
            <family val="2"/>
          </rPr>
          <t>EUR / productief uur / medewerker
EUR / dagdeel / cliënt volgt hieronder</t>
        </r>
      </text>
    </comment>
    <comment ref="AB42" authorId="0" shapeId="0" xr:uid="{C371ECD0-3F42-4C94-9D7A-47A6434BED1C}">
      <text>
        <r>
          <rPr>
            <sz val="9"/>
            <color indexed="81"/>
            <rFont val="Tahoma"/>
            <family val="2"/>
          </rPr>
          <t>EUR / productief uur / medewerker
EUR / dagdeel / cliënt volgt hieronder</t>
        </r>
      </text>
    </comment>
    <comment ref="AG42" authorId="0" shapeId="0" xr:uid="{A021C6A0-5333-4591-9913-943547EEE18E}">
      <text>
        <r>
          <rPr>
            <sz val="9"/>
            <color indexed="81"/>
            <rFont val="Tahoma"/>
            <family val="2"/>
          </rPr>
          <t>EUR / productief uur / medewerker
EUR / dagdeel / cliënt volgt hieronder</t>
        </r>
      </text>
    </comment>
    <comment ref="AL42" authorId="0" shapeId="0" xr:uid="{9826C890-4557-4718-B276-80406A62DB68}">
      <text>
        <r>
          <rPr>
            <sz val="9"/>
            <color indexed="81"/>
            <rFont val="Tahoma"/>
            <family val="2"/>
          </rPr>
          <t>EUR / productief uur / medewerker
EUR / dagdeel / cliënt volgt hieronder</t>
        </r>
      </text>
    </comment>
    <comment ref="AQ42" authorId="0" shapeId="0" xr:uid="{A75262EF-4D24-4FFF-B641-FCC66D37F0A7}">
      <text>
        <r>
          <rPr>
            <sz val="9"/>
            <color indexed="81"/>
            <rFont val="Tahoma"/>
            <family val="2"/>
          </rPr>
          <t>EUR / productief uur / medewerker
EUR / dagdeel / cliënt volgt hieronder</t>
        </r>
      </text>
    </comment>
    <comment ref="AV42" authorId="0" shapeId="0" xr:uid="{FB36F11D-A96C-4617-9497-5C5D1DADD865}">
      <text>
        <r>
          <rPr>
            <sz val="9"/>
            <color indexed="81"/>
            <rFont val="Tahoma"/>
            <family val="2"/>
          </rPr>
          <t>EUR / productief uur / medewerker
EUR / dagdeel / cliënt volgt hieronder</t>
        </r>
      </text>
    </comment>
    <comment ref="BA42" authorId="0" shapeId="0" xr:uid="{C6C67221-BA74-4B27-AAE1-319C44F0EDA4}">
      <text>
        <r>
          <rPr>
            <sz val="9"/>
            <color indexed="81"/>
            <rFont val="Tahoma"/>
            <family val="2"/>
          </rPr>
          <t>EUR / productief uur / medewerker
EUR / dagdeel / cliënt volgt hieronder</t>
        </r>
      </text>
    </comment>
    <comment ref="BF42" authorId="0" shapeId="0" xr:uid="{610EA1BC-72FD-4630-96FD-FAF87A2B4FF2}">
      <text>
        <r>
          <rPr>
            <sz val="9"/>
            <color indexed="81"/>
            <rFont val="Tahoma"/>
            <family val="2"/>
          </rPr>
          <t>EUR / productief uur / medewerker
EUR / dagdeel / cliënt volgt hieronder</t>
        </r>
      </text>
    </comment>
    <comment ref="BK42" authorId="0" shapeId="0" xr:uid="{8953C4B3-23CD-4447-8C81-C2550909871A}">
      <text>
        <r>
          <rPr>
            <sz val="9"/>
            <color indexed="81"/>
            <rFont val="Tahoma"/>
            <family val="2"/>
          </rPr>
          <t>EUR / productief uur / medewerker
EUR / dagdeel / cliënt volgt hieronder</t>
        </r>
      </text>
    </comment>
    <comment ref="BP42" authorId="0" shapeId="0" xr:uid="{48F8DC88-FB8D-4C60-B7A8-A65177F8173A}">
      <text>
        <r>
          <rPr>
            <sz val="9"/>
            <color indexed="81"/>
            <rFont val="Tahoma"/>
            <family val="2"/>
          </rPr>
          <t>EUR / productief uur / medewerker
EUR / dagdeel / cliënt volgt hieronder</t>
        </r>
      </text>
    </comment>
    <comment ref="BT42" authorId="0" shapeId="0" xr:uid="{292DD540-D8CE-43B0-8BD1-AB5756B238E7}">
      <text>
        <r>
          <rPr>
            <sz val="9"/>
            <color indexed="81"/>
            <rFont val="Tahoma"/>
            <family val="2"/>
          </rPr>
          <t>EUR / productief uur / medewerker
EUR / dagdeel / cliënt volgt hieronder</t>
        </r>
      </text>
    </comment>
    <comment ref="BX42" authorId="0" shapeId="0" xr:uid="{516D43BE-1012-4597-B5B3-F3A870897EE2}">
      <text>
        <r>
          <rPr>
            <sz val="9"/>
            <color indexed="81"/>
            <rFont val="Tahoma"/>
            <family val="2"/>
          </rPr>
          <t>EUR / productief uur / medewerker
EUR / dagdeel / cliënt volgt hieronder</t>
        </r>
      </text>
    </comment>
    <comment ref="CC42" authorId="0" shapeId="0" xr:uid="{F7232398-A03F-413B-A12B-6D111AC3A035}">
      <text>
        <r>
          <rPr>
            <sz val="9"/>
            <color indexed="81"/>
            <rFont val="Tahoma"/>
            <family val="2"/>
          </rPr>
          <t>EUR / productief uur / medewerker
EUR / dagdeel / cliënt volgt hieronder</t>
        </r>
      </text>
    </comment>
    <comment ref="E48" authorId="0" shapeId="0" xr:uid="{7A0A0BA0-8102-4E87-BACD-F3E97B20F1EB}">
      <text>
        <r>
          <rPr>
            <sz val="9"/>
            <color indexed="81"/>
            <rFont val="Tahoma"/>
            <family val="2"/>
          </rPr>
          <t>Sec hetgeen nodig voor de groepsactiviteit, zoals een zaal</t>
        </r>
      </text>
    </comment>
    <comment ref="E52" authorId="0" shapeId="0" xr:uid="{B828F083-1E16-426C-A325-6548B8431074}">
      <text>
        <r>
          <rPr>
            <sz val="9"/>
            <color indexed="81"/>
            <rFont val="Tahoma"/>
            <family val="2"/>
          </rPr>
          <t xml:space="preserve">Twee componenten:
1). Personele overhead is het geheel van functies dat sturend en ondersteunend is aan het primaire proces, waaronder leidinggevenden, zorgstaf, RvB/directie, directiesecretariaat, beleidsmedewerkers, medewerkers innovatie, medewerkers kwaliteit, P&amp;O, salaris- en financiele administratie, etc.
2). Niet personele overhead (veelal materieel), waaronder kantoorbenodigdheden,telefonie, belastingen, verzekeringen, automatiseringskosten, rente, afschrijving, huur, leasing,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Silvertand</author>
  </authors>
  <commentList>
    <comment ref="L7" authorId="0" shapeId="0" xr:uid="{C266A95B-0580-462B-8E90-87264509E9E5}">
      <text>
        <r>
          <rPr>
            <sz val="9"/>
            <color indexed="81"/>
            <rFont val="Tahoma"/>
            <family val="2"/>
          </rPr>
          <t>b. je functie is ingedeeld in functiegroep 5 of 10. In dat geval is salarisschaal 15 van toepassing; of
c. Per 1 januari 2026: jij en je werkgever een passend salaris overeengekomen zijn omdat je in
het kader van duurzame inzetbaarheid, zoals bedoeld in artikel 7.3.4 lid 2, een andere functie
gaat aanvaarden die, op basis van FWG VVT, is ingedeeld in een lagere salarisschaal dan waarin
je huidige functie is ingedeeld</t>
        </r>
      </text>
    </comment>
  </commentList>
</comments>
</file>

<file path=xl/sharedStrings.xml><?xml version="1.0" encoding="utf-8"?>
<sst xmlns="http://schemas.openxmlformats.org/spreadsheetml/2006/main" count="1064" uniqueCount="311">
  <si>
    <t>1) Functiemix</t>
  </si>
  <si>
    <t>2) Productiviteit</t>
  </si>
  <si>
    <t>Functiemix per product en cao</t>
  </si>
  <si>
    <t xml:space="preserve"> Cao </t>
  </si>
  <si>
    <t>GGZ</t>
  </si>
  <si>
    <t xml:space="preserve">Verlof </t>
  </si>
  <si>
    <t xml:space="preserve">Verzuim </t>
  </si>
  <si>
    <t xml:space="preserve"> Productieve uren </t>
  </si>
  <si>
    <t xml:space="preserve"> GGZ </t>
  </si>
  <si>
    <t xml:space="preserve"> VVT </t>
  </si>
  <si>
    <t xml:space="preserve"> GHZ </t>
  </si>
  <si>
    <t xml:space="preserve"> Jeugd </t>
  </si>
  <si>
    <t xml:space="preserve"> SW </t>
  </si>
  <si>
    <t>Gemiddeld</t>
  </si>
  <si>
    <t>GHZ</t>
  </si>
  <si>
    <t>Jeugd</t>
  </si>
  <si>
    <t>SW</t>
  </si>
  <si>
    <t>VVT</t>
  </si>
  <si>
    <t>check</t>
  </si>
  <si>
    <t xml:space="preserve">Het tarief is opgebouwd </t>
  </si>
  <si>
    <t>per subsector c.q. cao</t>
  </si>
  <si>
    <t>Doelgroep</t>
  </si>
  <si>
    <t>Verhouding index</t>
  </si>
  <si>
    <t>prognose: MEV '25*</t>
  </si>
  <si>
    <t>Toegepast op:</t>
  </si>
  <si>
    <t>OVA</t>
  </si>
  <si>
    <t>BGI</t>
  </si>
  <si>
    <t>HICP (vergelijkbare reeks als CPI**)</t>
  </si>
  <si>
    <t>Overig</t>
  </si>
  <si>
    <t>Gew. gem. indexatie op BGI</t>
  </si>
  <si>
    <t>* de macro-economische verkenning wordt in het najaar gepubliceerd (Prinsjesdag)</t>
  </si>
  <si>
    <t>** de geharmoniseerde consumentenprijsindex (HICP) is een relatief nieuwe index die ontwikkeld is om de inflatie in alle landen in het eurogebied vergelijkbaar te maken. De cpi- en hicp inflatie kunnen verschillen, maar doorgaans zijn deze verschillen klein. In tegenstelling tot de CPI is er van de HICP een prognose beschikbaar in het najaar voor het volgende jaar; de CPI wordt maandelijks achteraf gepubliceerd.</t>
  </si>
  <si>
    <t>n.t.b.</t>
  </si>
  <si>
    <t>Personeelsinformatie per hoofdproduct</t>
  </si>
  <si>
    <t>eenheid</t>
  </si>
  <si>
    <t>Aanbod, functiemix, CAO en inschaling</t>
  </si>
  <si>
    <t>tekst</t>
  </si>
  <si>
    <t>Korte omschrijving aanbod</t>
  </si>
  <si>
    <t>Geldende cao</t>
  </si>
  <si>
    <t>Jeugdzorg</t>
  </si>
  <si>
    <t>Schaal</t>
  </si>
  <si>
    <t>schaalnr.</t>
  </si>
  <si>
    <t>Functiemix direct personeel</t>
  </si>
  <si>
    <t>% inzet/tijdseenheid</t>
  </si>
  <si>
    <t>Kosten en benodigde vergoeding per fte</t>
  </si>
  <si>
    <t>% jaarsalaris EXCL. VU</t>
  </si>
  <si>
    <t>% jaarsalaris INCL. VU</t>
  </si>
  <si>
    <t>Bruto maandsalaris in max. van de ingevulde schaal</t>
  </si>
  <si>
    <t>EUR / jr.</t>
  </si>
  <si>
    <t>Gemiddelde trede</t>
  </si>
  <si>
    <t>% van max.</t>
  </si>
  <si>
    <t>Onregelmatigheidstoeslag (ORT)</t>
  </si>
  <si>
    <t>% jaarsalaris</t>
  </si>
  <si>
    <t>Vakantie-uitkering (VU)</t>
  </si>
  <si>
    <t>Eindejaarsuitkering</t>
  </si>
  <si>
    <t>% jaarsalaris excl/incl VU</t>
  </si>
  <si>
    <t>Totale salariskosten (TS)</t>
  </si>
  <si>
    <t>Werkgeverslasten (sociale lasten + pensioenpremies)</t>
  </si>
  <si>
    <t>% op TS</t>
  </si>
  <si>
    <t>Opslag reis- en opleidingskosten</t>
  </si>
  <si>
    <t>Totale personeelskosten (TP)</t>
  </si>
  <si>
    <t>Kosten direct personeel niet in loondienst (PNIL)</t>
  </si>
  <si>
    <t>% op TP</t>
  </si>
  <si>
    <t>Totale personeelskosten incl. PNIL (TP+PNIL)</t>
  </si>
  <si>
    <t>Opslag overhead</t>
  </si>
  <si>
    <t>% op TP+PNIL</t>
  </si>
  <si>
    <t>Totale kosten per FTE (TK)</t>
  </si>
  <si>
    <t>% op TK</t>
  </si>
  <si>
    <t>Totaal benodigde vergoeding per FTE</t>
  </si>
  <si>
    <t>Productiviteit</t>
  </si>
  <si>
    <t>Maximaal beschikbare uren volgens CAO</t>
  </si>
  <si>
    <t># uren / fte / jr.</t>
  </si>
  <si>
    <t>Verlof</t>
  </si>
  <si>
    <t>Ziekteverzuim</t>
  </si>
  <si>
    <t>Reistijd tussen cliënten</t>
  </si>
  <si>
    <t>Indirecte cliëntgebonden tijd</t>
  </si>
  <si>
    <t>Productieve uren per jaar</t>
  </si>
  <si>
    <t>Uurtarief per functie</t>
  </si>
  <si>
    <t>EUR / uur</t>
  </si>
  <si>
    <t>Gewogen gemiddelde uurtarief per medewerker</t>
  </si>
  <si>
    <t/>
  </si>
  <si>
    <t>Ambulant, per groep geleverd</t>
  </si>
  <si>
    <t>Kosten personeel niet in loondienst (PNIL)</t>
  </si>
  <si>
    <t>Totale kosten excl. overhead, huisvesting, inventaris en clientgeb. kn.</t>
  </si>
  <si>
    <t>EUR / fte</t>
  </si>
  <si>
    <t>Kosten per uur per functie</t>
  </si>
  <si>
    <t>Gewogen gemiddelde kosten per uur per medewerker</t>
  </si>
  <si>
    <t>Groepskenmerken - ambulant in groep geleverd</t>
  </si>
  <si>
    <t>Capaciteit per groep c.q. caseload per medewerker</t>
  </si>
  <si>
    <t># cliënten</t>
  </si>
  <si>
    <t>Bezettingsgraad</t>
  </si>
  <si>
    <t>% van capaciteit</t>
  </si>
  <si>
    <t>Duur van een dagdeel</t>
  </si>
  <si>
    <t># uur / dagdeel</t>
  </si>
  <si>
    <t>EUR / cliënt / dagdeel</t>
  </si>
  <si>
    <t>Cliëntgebonden materiele kosten</t>
  </si>
  <si>
    <t>Gewogen gemiddelde kosten per cliënt (GGKpC)</t>
  </si>
  <si>
    <t>EUR / dagdeel</t>
  </si>
  <si>
    <t>% op GGKpC</t>
  </si>
  <si>
    <t>Gew. gem. kosten per cliënt incl. overhead (GGKpC incl. overhead)</t>
  </si>
  <si>
    <t>% op GGKpC incl. overhead</t>
  </si>
  <si>
    <t>Gewogen gemiddelde dagdeeltarief per cliënt</t>
  </si>
  <si>
    <t>Max. bruto maandsalaris in schaal</t>
  </si>
  <si>
    <t>Cao GGZ</t>
  </si>
  <si>
    <t>Cao GHZ</t>
  </si>
  <si>
    <t>Cao VVT</t>
  </si>
  <si>
    <t>MS</t>
  </si>
  <si>
    <t>Cao Jeugd</t>
  </si>
  <si>
    <t>Cao SW</t>
  </si>
  <si>
    <t>*** Gew. gem. indexatie op overige producten: de indexatie voor 2021 was 2,56% en voor 2022 5,29%, gebaseerd op de percentages die ten tijde van publicatie bekend waren gewogen naar de verhouding OVA/HICP. Echter was de verhouding per abuis verwisseld, dat is later hersteld.</t>
  </si>
  <si>
    <t>Gew. gem. indexatie op overige producten***</t>
  </si>
  <si>
    <t xml:space="preserve">definitieve getallen 2024 richting 2025: </t>
  </si>
  <si>
    <t>Vermenigvuldigreeks BGI t.b.v. factor indexatie</t>
  </si>
  <si>
    <t>Vermenigvuldigreeks overig t.b.v. factor indexatie</t>
  </si>
  <si>
    <t>Jaartal</t>
  </si>
  <si>
    <t>Indexatiefactor</t>
  </si>
  <si>
    <t>Timing flag</t>
  </si>
  <si>
    <t>Actieve indexatiefactor o.b.v. het gekozen jaartal</t>
  </si>
  <si>
    <t xml:space="preserve"> Productiviteit individuele begeleiding ambulant (u / fte / jr.)</t>
  </si>
  <si>
    <r>
      <rPr>
        <u/>
        <sz val="11"/>
        <color theme="0"/>
        <rFont val="Calibri"/>
        <family val="2"/>
        <scheme val="minor"/>
      </rPr>
      <t>Module 2</t>
    </r>
    <r>
      <rPr>
        <sz val="11"/>
        <color theme="0"/>
        <rFont val="Calibri"/>
        <family val="2"/>
        <scheme val="minor"/>
      </rPr>
      <t>: kosten huisvesting en inventaris</t>
    </r>
  </si>
  <si>
    <t>Ambulante individuele begeleiding regulier</t>
  </si>
  <si>
    <t>GGZ BGI regulier</t>
  </si>
  <si>
    <t>GHZ BGI regulier</t>
  </si>
  <si>
    <t>SW BGI regulier</t>
  </si>
  <si>
    <t>GGZ BGG regulier</t>
  </si>
  <si>
    <t>GHZ BGG regulier</t>
  </si>
  <si>
    <t>SW BGG regulier</t>
  </si>
  <si>
    <t>VVT BGG regulier</t>
  </si>
  <si>
    <t>Ontmoeten Plus</t>
  </si>
  <si>
    <t>Dagbesteding</t>
  </si>
  <si>
    <t xml:space="preserve">Verwijzing naar het perceel </t>
  </si>
  <si>
    <t>(Gewogen) indexatiereeks in de tijd</t>
  </si>
  <si>
    <t>Perceelreferentie</t>
  </si>
  <si>
    <t>VGO BR</t>
  </si>
  <si>
    <t>OGO BR</t>
  </si>
  <si>
    <t>Ambulante individuele begeleiding gespecialiseerd</t>
  </si>
  <si>
    <t>VVT ondersteuning in eigen omgeving</t>
  </si>
  <si>
    <t>Perceel 1: Volwassen gerelateerde ondersteuning (VGO)</t>
  </si>
  <si>
    <t>Perceel 2: Ouderdom gerelateerde ondersteuning (OGO)</t>
  </si>
  <si>
    <t>Productsoort</t>
  </si>
  <si>
    <t>Begeleiding per uur</t>
  </si>
  <si>
    <t>Dagbesteding per dagdeel</t>
  </si>
  <si>
    <t>Perceel 1: Volwassen (VGO)</t>
  </si>
  <si>
    <t>GGZ BGG gespecialiseerd</t>
  </si>
  <si>
    <t>VGO BG</t>
  </si>
  <si>
    <t>VGO DG</t>
  </si>
  <si>
    <t>GGZ BGI gespecialiseerd</t>
  </si>
  <si>
    <t>GHZ BGI gespecialiseerd</t>
  </si>
  <si>
    <t>SW BGI gespecialiseerd</t>
  </si>
  <si>
    <t>VVT BGI regulier</t>
  </si>
  <si>
    <t>VGO RZT</t>
  </si>
  <si>
    <t>OGO RZT</t>
  </si>
  <si>
    <t>GHZ BGG gespecialiseerd</t>
  </si>
  <si>
    <t>VGO DR</t>
  </si>
  <si>
    <t>SW BGG gespecialiseerd</t>
  </si>
  <si>
    <t>MBO</t>
  </si>
  <si>
    <t>HBO</t>
  </si>
  <si>
    <t>WO</t>
  </si>
  <si>
    <t>FM</t>
  </si>
  <si>
    <t>HB/WO</t>
  </si>
  <si>
    <t>Perceel 2: Ouderdom (OGO)</t>
  </si>
  <si>
    <t>OGO DR</t>
  </si>
  <si>
    <t>OGO DG</t>
  </si>
  <si>
    <t>Perceel 3: Ontmoeten Plus</t>
  </si>
  <si>
    <t>O+ KW</t>
  </si>
  <si>
    <t>GGZ Ontmoeten Plus</t>
  </si>
  <si>
    <t>GHZ Ontmoeten Plus</t>
  </si>
  <si>
    <t>VVT Ontmoeten Plus</t>
  </si>
  <si>
    <t>Opslag risico, innovatie en marge</t>
  </si>
  <si>
    <t>Ziekteverzuimpercentage; AZW branches</t>
  </si>
  <si>
    <t>Onderwerp</t>
  </si>
  <si>
    <t>Ziekteverzuimpercentage</t>
  </si>
  <si>
    <t>Perioden</t>
  </si>
  <si>
    <t>2024 1e kwartaal</t>
  </si>
  <si>
    <t>2024 2e kwartaal</t>
  </si>
  <si>
    <t>2024 3e kwartaal</t>
  </si>
  <si>
    <t>2024 4e kwartaal</t>
  </si>
  <si>
    <t>Gemiddelde</t>
  </si>
  <si>
    <t>Jaargemiddelde</t>
  </si>
  <si>
    <t>Bron: CBS</t>
  </si>
  <si>
    <t>1). Ziekteverzuim: download van CBS-website. Jaargemiddelde kan afwijking geven i.v.m. afronding</t>
  </si>
  <si>
    <t>Niet-cliëntgebonden tijd</t>
  </si>
  <si>
    <t>weken per jaar</t>
  </si>
  <si>
    <t xml:space="preserve">GGZ </t>
  </si>
  <si>
    <t>2). Indexatie</t>
  </si>
  <si>
    <t>VVT BGG gespecialiseerd</t>
  </si>
  <si>
    <t xml:space="preserve"> Productiviteit Dagbesteding en Ontmoeten Plus (u / fte / jr.)</t>
  </si>
  <si>
    <t xml:space="preserve"> Niet-cliënt-gebonden tijd </t>
  </si>
  <si>
    <t xml:space="preserve"> Reistijd tussen cliënten</t>
  </si>
  <si>
    <t xml:space="preserve"> Totaal beschikbare uren per jaar</t>
  </si>
  <si>
    <t>3) ORT</t>
  </si>
  <si>
    <t>ORT bij Respijtzorg in eigen omgeving (ambulant)</t>
  </si>
  <si>
    <t>Timing inzet</t>
  </si>
  <si>
    <t>Zaterdag overdag</t>
  </si>
  <si>
    <t>Zaterdag 's nachts</t>
  </si>
  <si>
    <t>Doordeweek 's nachts</t>
  </si>
  <si>
    <t>Doordeweek overdag</t>
  </si>
  <si>
    <t>Zondag</t>
  </si>
  <si>
    <t>ORT</t>
  </si>
  <si>
    <t>Verwachte gemiddelde inzet bij product</t>
  </si>
  <si>
    <t>Gewogen gemiddelde ORT</t>
  </si>
  <si>
    <t>Indirect cliënt-gebonden tijd</t>
  </si>
  <si>
    <t>Ambulant regulier, individueel geleverd</t>
  </si>
  <si>
    <t>Ambulant gespecialiseerd, individueel geleverd</t>
  </si>
  <si>
    <t>Ambulante respijtzorg</t>
  </si>
  <si>
    <t>Dagbesteding gespecialiseerd</t>
  </si>
  <si>
    <t>Dagbesteding regulier digitaal</t>
  </si>
  <si>
    <t>Dagbesteding regulier</t>
  </si>
  <si>
    <t>SW Ontmoeten Plus</t>
  </si>
  <si>
    <t xml:space="preserve">prognose </t>
  </si>
  <si>
    <t>Respijtzorg ondersteuning in eigen woning</t>
  </si>
  <si>
    <t>Begeleiding</t>
  </si>
  <si>
    <t xml:space="preserve">Begeleiding regulier </t>
  </si>
  <si>
    <t>Begeleiding gespecialiseerd</t>
  </si>
  <si>
    <t>Dagbesteding Regulier</t>
  </si>
  <si>
    <t>Dagbesteding Gespecialiseerd</t>
  </si>
  <si>
    <t>VGO DV</t>
  </si>
  <si>
    <t>Dagbesteding Vervoer</t>
  </si>
  <si>
    <t>Respijtzorg</t>
  </si>
  <si>
    <t>VGO RZ</t>
  </si>
  <si>
    <t>Kortdurend verblijf/logeerzorg</t>
  </si>
  <si>
    <t>Ondersteuning in de eigen woning</t>
  </si>
  <si>
    <t>Perceel 2: Ouderdom Gerelateerde Ondersteuning (OGO)</t>
  </si>
  <si>
    <t>OGO BG</t>
  </si>
  <si>
    <t>OGO DV</t>
  </si>
  <si>
    <t>OGO RZ</t>
  </si>
  <si>
    <t>Perceel 3: Ontmoeten Plus (alleen voor Katwijk)</t>
  </si>
  <si>
    <t>per eenheid</t>
  </si>
  <si>
    <t>1. GGZ</t>
  </si>
  <si>
    <t>2a. GHZ</t>
  </si>
  <si>
    <t>2b. VVT</t>
  </si>
  <si>
    <t>per uur</t>
  </si>
  <si>
    <t>per dagdeel</t>
  </si>
  <si>
    <t>per etmaal</t>
  </si>
  <si>
    <t>per retour</t>
  </si>
  <si>
    <t>Percelen 1 en 2</t>
  </si>
  <si>
    <t>overig formeel</t>
  </si>
  <si>
    <t>overig informeel</t>
  </si>
  <si>
    <t>rolstoel-vervoer</t>
  </si>
  <si>
    <t>Tarief voor volwassenen</t>
  </si>
  <si>
    <t>Tarief voor ouderen</t>
  </si>
  <si>
    <t>Tarief voor alle doelgroepen</t>
  </si>
  <si>
    <t>100% INSTELLINGSTARIEF</t>
  </si>
  <si>
    <t>80% ZZP-TARIEF</t>
  </si>
  <si>
    <t>50% SOCIAAL NETWERK</t>
  </si>
  <si>
    <t>GGZ ondersteuning in eigen omgeving</t>
  </si>
  <si>
    <t>SW ondersteuning in eigen omgeving</t>
  </si>
  <si>
    <t>3. Jongvolwassenen</t>
  </si>
  <si>
    <t>SW BGG Digitaal regulier</t>
  </si>
  <si>
    <t>VVT BGG Digitaal regulier</t>
  </si>
  <si>
    <t>GHZ BGG Digitaal regulier</t>
  </si>
  <si>
    <t>GGZ BGG Digitaal regulier</t>
  </si>
  <si>
    <t>Ambulant individueel digitaal regulier</t>
  </si>
  <si>
    <t>Ambulant individueel digitaal gespecialiseerd</t>
  </si>
  <si>
    <t>Dagbesteding digitaal regulier</t>
  </si>
  <si>
    <t>VGO BDR</t>
  </si>
  <si>
    <t>VGO BDG</t>
  </si>
  <si>
    <t>Begeleiding digitaal regulier</t>
  </si>
  <si>
    <t>Begeleiding digitaal gespecialiseerd</t>
  </si>
  <si>
    <t>OGO BDR</t>
  </si>
  <si>
    <t>Dagbesteding Digitaal Regulier</t>
  </si>
  <si>
    <t>OGO BDG</t>
  </si>
  <si>
    <t>GGZ BGI regulier digitaal</t>
  </si>
  <si>
    <t>GHZ BGI regulier digitaal</t>
  </si>
  <si>
    <t>SW BGI regulier digitaal</t>
  </si>
  <si>
    <t>VVT BGI regulier digitaal</t>
  </si>
  <si>
    <t>GGZ BGI gespecialiseerd digitaal</t>
  </si>
  <si>
    <t>SW BGI gespecialiseerd digitaal</t>
  </si>
  <si>
    <t>GHZ BGI gespecialiseerd digitaal</t>
  </si>
  <si>
    <t>VGO DD</t>
  </si>
  <si>
    <t>OGO DD</t>
  </si>
  <si>
    <t>Dagbesteding Digitaal</t>
  </si>
  <si>
    <t>CPI</t>
  </si>
  <si>
    <t>PGB Reguliere Begeleiding</t>
  </si>
  <si>
    <t>Klasse 1</t>
  </si>
  <si>
    <t>Klasse 2</t>
  </si>
  <si>
    <t>Klasse 3</t>
  </si>
  <si>
    <t>Klasse 4</t>
  </si>
  <si>
    <t>Klasse 5</t>
  </si>
  <si>
    <t>Klasse 6</t>
  </si>
  <si>
    <t>Klasse 7</t>
  </si>
  <si>
    <t>Klasse 8</t>
  </si>
  <si>
    <t>Klasse waakvlam</t>
  </si>
  <si>
    <t>PGB Gespecialiseerde Begeleiding</t>
  </si>
  <si>
    <t xml:space="preserve">PGB Reguliere Dagbesteding </t>
  </si>
  <si>
    <t>Klasse 9</t>
  </si>
  <si>
    <t xml:space="preserve">PGB Gespecialiseerde Dagbesteding </t>
  </si>
  <si>
    <t xml:space="preserve">PGB Begeleiding </t>
  </si>
  <si>
    <t xml:space="preserve">Kortdurend verblijf </t>
  </si>
  <si>
    <t xml:space="preserve">Per etmaal </t>
  </si>
  <si>
    <t>Tarief</t>
  </si>
  <si>
    <t>max</t>
  </si>
  <si>
    <t>min</t>
  </si>
  <si>
    <t>average</t>
  </si>
  <si>
    <t xml:space="preserve"> </t>
  </si>
  <si>
    <t>per 1/1/2025</t>
  </si>
  <si>
    <t>JW BGI gespecialiseerd</t>
  </si>
  <si>
    <t>JW BGI gespecialiseerd digitaal</t>
  </si>
  <si>
    <t>Ambulant digitaal regulier, individueel geleverd</t>
  </si>
  <si>
    <t>Ambulant digitaal gespecialiseerd, individueel geleverd</t>
  </si>
  <si>
    <t>Ambulante individuele begeleiding digitaal regulier</t>
  </si>
  <si>
    <t>Ambulante individuele begeleiding digitaal gespecialiseerd</t>
  </si>
  <si>
    <t>Eenmalige correctie NHC in jaartal</t>
  </si>
  <si>
    <t>Totale indexatie 2026 op sec NHC</t>
  </si>
  <si>
    <t>Reguliere jaarlijkse indexatie NHC</t>
  </si>
  <si>
    <t>Correctie voor gestegen bouwkosten (o.b.v. TNO-onderzoek)</t>
  </si>
  <si>
    <t>Let op! In berekening tarieven 2026 niet dubbel indexeren.</t>
  </si>
  <si>
    <t>3). Tarieven 2025</t>
  </si>
  <si>
    <t>Berekeningwijze voor indexatie dagdeeltarief naar prijspeil 2026: in twee delen indexeren, NHC op 15,5% (indicatief) en niet-NHC volgens vaste systematiek</t>
  </si>
  <si>
    <t>indicatief, nog in te voeren voor definitieve getallen</t>
  </si>
  <si>
    <t>Vóór NvI ronde 1 (geel is gewijzigd: Dagbesteding ivm functieverzwaring VVT, SW vanwege EJU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</si>
</sst>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8" formatCode="&quot;€&quot;\ #,##0.00;[Red]&quot;€&quot;\ \-#,##0.00"/>
    <numFmt numFmtId="44" formatCode="_ &quot;€&quot;\ * #,##0.00_ ;_ &quot;€&quot;\ * \-#,##0.00_ ;_ &quot;€&quot;\ * &quot;-&quot;??_ ;_ @_ "/>
    <numFmt numFmtId="164" formatCode="#,##0_);\(#,##0\);&quot;-  &quot;;&quot; &quot;@&quot; &quot;"/>
    <numFmt numFmtId="165" formatCode="#,##0.0000_);\(#,##0.0000\);&quot;-  &quot;;&quot; &quot;@&quot; &quot;"/>
    <numFmt numFmtId="166" formatCode="dd\ mmm\ yyyy_);\(###0\);&quot;-  &quot;;&quot; &quot;@&quot; &quot;"/>
    <numFmt numFmtId="167" formatCode="dd\ mmm\ yy_);\(###0\);&quot;-  &quot;;&quot; &quot;@&quot; &quot;"/>
    <numFmt numFmtId="168" formatCode="###0_);\(###0\);&quot;-  &quot;;&quot; &quot;@&quot; &quot;"/>
    <numFmt numFmtId="169" formatCode="&quot;€&quot;\ #,##0"/>
    <numFmt numFmtId="170" formatCode="_ &quot;€&quot;\ * #,##0_ ;_ &quot;€&quot;\ * \-#,##0_ ;_ &quot;€&quot;\ * &quot;-&quot;??_ ;_ @_ "/>
    <numFmt numFmtId="171" formatCode="[$€-413]\ #,##0.00"/>
    <numFmt numFmtId="172" formatCode="[$€-413]\ #,##0"/>
    <numFmt numFmtId="173" formatCode="0%_);\-0%_);&quot;-  &quot;;&quot; &quot;@&quot; &quot;"/>
    <numFmt numFmtId="174" formatCode="_ [$€-413]\ * #,##0_ ;_ [$€-413]\ * \-#,##0_ ;_ [$€-413]\ * &quot;-&quot;??_ ;_ @_ "/>
    <numFmt numFmtId="175" formatCode="_([$€-2]\ * #,##0_);_([$€-2]\ * \(#,##0\);_([$€-2]\ * &quot;-&quot;??_);_(@_)"/>
    <numFmt numFmtId="176" formatCode="0.0%"/>
    <numFmt numFmtId="177" formatCode="#,##0.0_);\(#,##0.0\);&quot;-  &quot;;&quot; &quot;@&quot; &quot;"/>
    <numFmt numFmtId="178" formatCode="0.0%_);\-0.0%_);&quot;-  &quot;;&quot; &quot;@&quot; &quot;"/>
    <numFmt numFmtId="179" formatCode="&quot;€&quot;\ #,##0.0;[Red]&quot;€&quot;\ \-#,##0.0"/>
    <numFmt numFmtId="180" formatCode="_(* #,##0.0_);_(* \(#,##0.0\);_(* &quot;-&quot;?_);_(@_)"/>
    <numFmt numFmtId="181" formatCode="&quot;€&quot;\ #,##0.00"/>
    <numFmt numFmtId="182" formatCode="#,##0.00_);\(#,##0.00\);&quot;-  &quot;;&quot; &quot;@&quot; &quot;"/>
    <numFmt numFmtId="183" formatCode="0.00%_);\-0.00%_);&quot;-  &quot;;&quot; &quot;@&quot; &quot;"/>
    <numFmt numFmtId="184" formatCode="#,##0.0"/>
    <numFmt numFmtId="185" formatCode="_([$€-2]\ * #,##0.00_);_([$€-2]\ * \(#,##0.00\);_([$€-2]\ * &quot;-&quot;??_);_(@_)"/>
    <numFmt numFmtId="186" formatCode="_ &quot;€&quot;\ * #,##0.0_ ;_ &quot;€&quot;\ * \-#,##0.0_ ;_ &quot;€&quot;\ * &quot;-&quot;??_ ;_ @_ "/>
  </numFmts>
  <fonts count="7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color theme="0"/>
      <name val="Calibri"/>
      <family val="2"/>
      <scheme val="minor"/>
    </font>
    <font>
      <u/>
      <sz val="11"/>
      <color theme="1"/>
      <name val="Calibri"/>
      <family val="2"/>
      <scheme val="minor"/>
    </font>
    <font>
      <b/>
      <u/>
      <sz val="11"/>
      <color theme="1"/>
      <name val="Calibri"/>
      <family val="2"/>
      <scheme val="minor"/>
    </font>
    <font>
      <sz val="9"/>
      <color indexed="81"/>
      <name val="Tahoma"/>
      <family val="2"/>
    </font>
    <font>
      <sz val="10"/>
      <color theme="1"/>
      <name val="Calibri Light"/>
      <family val="2"/>
      <scheme val="major"/>
    </font>
    <font>
      <b/>
      <sz val="10"/>
      <color theme="1"/>
      <name val="Calibri Light"/>
      <family val="2"/>
      <scheme val="major"/>
    </font>
    <font>
      <u/>
      <sz val="10"/>
      <color theme="1"/>
      <name val="Calibri Light"/>
      <family val="2"/>
      <scheme val="major"/>
    </font>
    <font>
      <b/>
      <sz val="20"/>
      <color theme="1"/>
      <name val="Calibri"/>
      <family val="2"/>
      <scheme val="minor"/>
    </font>
    <font>
      <sz val="11"/>
      <color rgb="FF000000"/>
      <name val="Calibri"/>
      <family val="2"/>
      <scheme val="minor"/>
    </font>
    <font>
      <b/>
      <sz val="10"/>
      <color theme="0"/>
      <name val="Calibri Light"/>
      <family val="2"/>
      <scheme val="major"/>
    </font>
    <font>
      <b/>
      <sz val="11"/>
      <color rgb="FF000000"/>
      <name val="Calibri"/>
      <family val="2"/>
      <scheme val="minor"/>
    </font>
    <font>
      <sz val="11"/>
      <name val="Calibri"/>
      <family val="2"/>
      <scheme val="minor"/>
    </font>
    <font>
      <u/>
      <sz val="11"/>
      <color theme="0"/>
      <name val="Calibri"/>
      <family val="2"/>
      <scheme val="minor"/>
    </font>
    <font>
      <sz val="11"/>
      <color rgb="FF0000FF"/>
      <name val="Calibri"/>
      <family val="2"/>
      <scheme val="minor"/>
    </font>
    <font>
      <b/>
      <sz val="20"/>
      <color theme="1"/>
      <name val="Calibri Light"/>
      <family val="2"/>
      <scheme val="major"/>
    </font>
    <font>
      <b/>
      <sz val="11"/>
      <color rgb="FFFFFFFF"/>
      <name val="Calibri Light"/>
      <family val="2"/>
      <scheme val="major"/>
    </font>
    <font>
      <sz val="11"/>
      <color rgb="FF3C3C3B"/>
      <name val="Calibri Light"/>
      <family val="2"/>
      <scheme val="major"/>
    </font>
    <font>
      <sz val="11"/>
      <color rgb="FF0000FF"/>
      <name val="Calibri Light"/>
      <family val="2"/>
      <scheme val="major"/>
    </font>
    <font>
      <b/>
      <sz val="11"/>
      <color rgb="FF3C3C3B"/>
      <name val="Calibri Light"/>
      <family val="2"/>
      <scheme val="major"/>
    </font>
    <font>
      <b/>
      <sz val="11"/>
      <color theme="1"/>
      <name val="Calibri Light"/>
      <family val="2"/>
      <scheme val="major"/>
    </font>
    <font>
      <u/>
      <sz val="11"/>
      <color theme="1"/>
      <name val="Calibri Light"/>
      <family val="2"/>
      <scheme val="major"/>
    </font>
    <font>
      <sz val="11"/>
      <color theme="1"/>
      <name val="Calibri Light"/>
      <family val="2"/>
      <scheme val="major"/>
    </font>
    <font>
      <sz val="11"/>
      <color rgb="FF000000"/>
      <name val="Calibri Light"/>
      <family val="2"/>
      <scheme val="major"/>
    </font>
    <font>
      <b/>
      <sz val="11"/>
      <color theme="0"/>
      <name val="Calibri Light"/>
      <family val="2"/>
      <scheme val="major"/>
    </font>
    <font>
      <sz val="11"/>
      <color theme="0"/>
      <name val="Calibri Light"/>
      <family val="2"/>
      <scheme val="major"/>
    </font>
    <font>
      <b/>
      <sz val="20"/>
      <color theme="1"/>
      <name val="Ebrima"/>
    </font>
    <font>
      <b/>
      <sz val="10"/>
      <color theme="1"/>
      <name val="Ebrima"/>
    </font>
    <font>
      <u/>
      <sz val="10"/>
      <color theme="1"/>
      <name val="Ebrima"/>
    </font>
    <font>
      <sz val="10"/>
      <color theme="1"/>
      <name val="Ebrima"/>
    </font>
    <font>
      <sz val="10"/>
      <color theme="0"/>
      <name val="Ebrima"/>
    </font>
    <font>
      <b/>
      <sz val="10"/>
      <color theme="0"/>
      <name val="Ebrima"/>
    </font>
    <font>
      <sz val="10"/>
      <color rgb="FF000000"/>
      <name val="Ebrima"/>
    </font>
    <font>
      <sz val="10"/>
      <name val="Ebrima"/>
    </font>
    <font>
      <b/>
      <u/>
      <sz val="10"/>
      <color theme="1"/>
      <name val="Ebrima"/>
    </font>
    <font>
      <i/>
      <sz val="10"/>
      <color theme="1"/>
      <name val="Ebrima"/>
    </font>
    <font>
      <b/>
      <sz val="11"/>
      <color rgb="FFFF0000"/>
      <name val="Calibri"/>
      <family val="2"/>
      <scheme val="minor"/>
    </font>
    <font>
      <sz val="11"/>
      <color rgb="FFFF0000"/>
      <name val="Calibri"/>
      <family val="2"/>
      <scheme val="minor"/>
    </font>
    <font>
      <b/>
      <u/>
      <sz val="11"/>
      <color rgb="FFFF0000"/>
      <name val="Calibri"/>
      <family val="2"/>
      <scheme val="minor"/>
    </font>
    <font>
      <b/>
      <u/>
      <sz val="11"/>
      <color rgb="FF000000"/>
      <name val="Calibri"/>
      <family val="2"/>
      <scheme val="minor"/>
    </font>
    <font>
      <b/>
      <sz val="11"/>
      <color rgb="FF000000"/>
      <name val="Calibri Light"/>
      <family val="2"/>
      <scheme val="major"/>
    </font>
    <font>
      <sz val="10"/>
      <color rgb="FF000000"/>
      <name val="Calibri Light"/>
      <family val="2"/>
      <scheme val="major"/>
    </font>
    <font>
      <sz val="11"/>
      <color rgb="FFFFFFFF"/>
      <name val="Calibri Light"/>
      <family val="2"/>
      <scheme val="major"/>
    </font>
    <font>
      <sz val="11"/>
      <color theme="1"/>
      <name val="Calibri"/>
      <family val="2"/>
      <scheme val="minor"/>
    </font>
    <font>
      <sz val="11"/>
      <color theme="0"/>
      <name val="Calibri"/>
      <family val="2"/>
      <scheme val="minor"/>
    </font>
    <font>
      <sz val="11"/>
      <color rgb="FF000000"/>
      <name val="Calibri"/>
      <family val="2"/>
      <scheme val="minor"/>
    </font>
    <font>
      <sz val="11"/>
      <color rgb="FF0000FF"/>
      <name val="Calibri"/>
      <family val="2"/>
      <scheme val="minor"/>
    </font>
    <font>
      <b/>
      <sz val="11"/>
      <color theme="1"/>
      <name val="Calibri"/>
      <family val="2"/>
      <scheme val="minor"/>
    </font>
    <font>
      <b/>
      <sz val="11"/>
      <color rgb="FFFF0000"/>
      <name val="Calibri"/>
      <family val="2"/>
      <scheme val="minor"/>
    </font>
    <font>
      <b/>
      <sz val="11"/>
      <color rgb="FFFFFFFF"/>
      <name val="Calibri Light"/>
      <family val="2"/>
      <scheme val="major"/>
    </font>
    <font>
      <b/>
      <sz val="11"/>
      <color theme="0"/>
      <name val="Calibri"/>
      <family val="2"/>
      <scheme val="minor"/>
    </font>
    <font>
      <i/>
      <sz val="11"/>
      <color rgb="FF59B1CC"/>
      <name val="Calibri Light"/>
      <family val="2"/>
      <scheme val="major"/>
    </font>
    <font>
      <sz val="11"/>
      <color rgb="FF000000"/>
      <name val="Calibri"/>
      <family val="2"/>
      <scheme val="minor"/>
    </font>
    <font>
      <sz val="11"/>
      <color theme="1"/>
      <name val="Calibri"/>
      <family val="2"/>
      <scheme val="minor"/>
    </font>
    <font>
      <b/>
      <sz val="11"/>
      <color rgb="FFFF0000"/>
      <name val="Calibri"/>
      <family val="2"/>
      <scheme val="minor"/>
    </font>
    <font>
      <b/>
      <sz val="11"/>
      <color theme="1"/>
      <name val="Calibri"/>
      <family val="2"/>
      <scheme val="minor"/>
    </font>
    <font>
      <sz val="11"/>
      <name val="Calibri Light"/>
      <family val="2"/>
      <scheme val="major"/>
    </font>
    <font>
      <sz val="11"/>
      <color rgb="FF000000"/>
      <name val="Calibri Light"/>
      <family val="2"/>
      <scheme val="major"/>
    </font>
    <font>
      <b/>
      <sz val="11"/>
      <color rgb="FF152B4E"/>
      <name val="Ebrima"/>
    </font>
    <font>
      <b/>
      <sz val="11"/>
      <color rgb="FFFFFFFF"/>
      <name val="Ebrima"/>
    </font>
    <font>
      <sz val="11"/>
      <color rgb="FF152B4E"/>
      <name val="Ebrima"/>
    </font>
    <font>
      <sz val="11"/>
      <name val="Ebrima"/>
    </font>
    <font>
      <b/>
      <sz val="10"/>
      <color rgb="FF152B4E"/>
      <name val="Ebrima"/>
    </font>
    <font>
      <sz val="11"/>
      <color rgb="FF000000"/>
      <name val="Ebrima"/>
    </font>
    <font>
      <sz val="11"/>
      <color theme="6"/>
      <name val="Ebrima"/>
    </font>
    <font>
      <sz val="11"/>
      <color rgb="FFA5A5A5"/>
      <name val="Ebrima"/>
    </font>
    <font>
      <sz val="11"/>
      <color rgb="FFA5A5A5"/>
      <name val="Calibri Light"/>
      <family val="2"/>
      <scheme val="major"/>
    </font>
    <font>
      <sz val="9"/>
      <color theme="1"/>
      <name val="Verdana"/>
      <family val="2"/>
    </font>
    <font>
      <b/>
      <sz val="9"/>
      <color theme="1"/>
      <name val="Verdana"/>
      <family val="2"/>
    </font>
    <font>
      <sz val="10"/>
      <color rgb="FFFF0000"/>
      <name val="Ebrima"/>
    </font>
    <font>
      <i/>
      <sz val="10"/>
      <color rgb="FF20887E"/>
      <name val="Ebrima"/>
    </font>
    <font>
      <b/>
      <u/>
      <sz val="11"/>
      <color rgb="FFFF0000"/>
      <name val="Calibri Light"/>
      <family val="2"/>
      <scheme val="major"/>
    </font>
    <font>
      <b/>
      <sz val="11"/>
      <color rgb="FFA5A5A5"/>
      <name val="Calibri Light"/>
      <family val="2"/>
      <scheme val="major"/>
    </font>
  </fonts>
  <fills count="28">
    <fill>
      <patternFill patternType="none"/>
    </fill>
    <fill>
      <patternFill patternType="gray125"/>
    </fill>
    <fill>
      <patternFill patternType="solid">
        <fgColor rgb="FFFFFFAF"/>
        <bgColor indexed="64"/>
      </patternFill>
    </fill>
    <fill>
      <patternFill patternType="solid">
        <fgColor theme="3"/>
        <bgColor indexed="64"/>
      </patternFill>
    </fill>
    <fill>
      <patternFill patternType="solid">
        <fgColor theme="2"/>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lightUp"/>
    </fill>
    <fill>
      <patternFill patternType="solid">
        <fgColor theme="0" tint="-0.249977111117893"/>
        <bgColor indexed="64"/>
      </patternFill>
    </fill>
    <fill>
      <patternFill patternType="solid">
        <fgColor rgb="FF00FF00"/>
        <bgColor indexed="64"/>
      </patternFill>
    </fill>
    <fill>
      <patternFill patternType="solid">
        <fgColor rgb="FFA4BDD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44546A"/>
        <bgColor indexed="64"/>
      </patternFill>
    </fill>
    <fill>
      <patternFill patternType="solid">
        <fgColor rgb="FF2AB4A8"/>
        <bgColor indexed="64"/>
      </patternFill>
    </fill>
    <fill>
      <patternFill patternType="solid">
        <fgColor rgb="FF20887E"/>
        <bgColor indexed="64"/>
      </patternFill>
    </fill>
    <fill>
      <patternFill patternType="solid">
        <fgColor rgb="FFE63329"/>
        <bgColor indexed="64"/>
      </patternFill>
    </fill>
    <fill>
      <patternFill patternType="solid">
        <fgColor rgb="FF3289A4"/>
        <bgColor indexed="64"/>
      </patternFill>
    </fill>
    <fill>
      <patternFill patternType="solid">
        <fgColor rgb="FFFF8686"/>
        <bgColor indexed="64"/>
      </patternFill>
    </fill>
    <fill>
      <patternFill patternType="solid">
        <fgColor rgb="FF849DFF"/>
        <bgColor indexed="64"/>
      </patternFill>
    </fill>
    <fill>
      <patternFill patternType="solid">
        <fgColor rgb="FF152B4E"/>
        <bgColor indexed="64"/>
      </patternFill>
    </fill>
    <fill>
      <patternFill patternType="solid">
        <fgColor rgb="FF256579"/>
        <bgColor indexed="64"/>
      </patternFill>
    </fill>
    <fill>
      <patternFill patternType="solid">
        <fgColor theme="7" tint="0.79998168889431442"/>
        <bgColor indexed="64"/>
      </patternFill>
    </fill>
    <fill>
      <patternFill patternType="solid">
        <fgColor theme="8" tint="0.59999389629810485"/>
        <bgColor indexed="64"/>
      </patternFill>
    </fill>
  </fills>
  <borders count="54">
    <border>
      <left/>
      <right/>
      <top/>
      <bottom/>
      <diagonal/>
    </border>
    <border>
      <left/>
      <right/>
      <top style="thin">
        <color rgb="FF808080"/>
      </top>
      <bottom/>
      <diagonal/>
    </border>
    <border>
      <left/>
      <right/>
      <top style="thin">
        <color rgb="FF808080"/>
      </top>
      <bottom style="thin">
        <color rgb="FF80808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bottom/>
      <diagonal/>
    </border>
    <border>
      <left style="hair">
        <color auto="1"/>
      </left>
      <right/>
      <top style="thin">
        <color rgb="FF808080"/>
      </top>
      <bottom style="thin">
        <color rgb="FF808080"/>
      </bottom>
      <diagonal/>
    </border>
    <border>
      <left/>
      <right style="hair">
        <color auto="1"/>
      </right>
      <top/>
      <bottom/>
      <diagonal/>
    </border>
    <border>
      <left/>
      <right style="hair">
        <color auto="1"/>
      </right>
      <top style="thin">
        <color rgb="FF808080"/>
      </top>
      <bottom style="thin">
        <color rgb="FF808080"/>
      </bottom>
      <diagonal/>
    </border>
    <border>
      <left style="hair">
        <color auto="1"/>
      </left>
      <right/>
      <top style="thin">
        <color rgb="FF808080"/>
      </top>
      <bottom/>
      <diagonal/>
    </border>
    <border>
      <left/>
      <right style="hair">
        <color auto="1"/>
      </right>
      <top style="thin">
        <color rgb="FF808080"/>
      </top>
      <bottom/>
      <diagonal/>
    </border>
    <border>
      <left/>
      <right/>
      <top/>
      <bottom style="thin">
        <color rgb="FF808080"/>
      </bottom>
      <diagonal/>
    </border>
    <border>
      <left style="hair">
        <color auto="1"/>
      </left>
      <right/>
      <top/>
      <bottom style="thin">
        <color rgb="FF808080"/>
      </bottom>
      <diagonal/>
    </border>
    <border>
      <left/>
      <right style="hair">
        <color auto="1"/>
      </right>
      <top/>
      <bottom style="thin">
        <color rgb="FF808080"/>
      </bottom>
      <diagonal/>
    </border>
    <border>
      <left/>
      <right/>
      <top/>
      <bottom style="thin">
        <color rgb="FF82A4BD"/>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hair">
        <color auto="1"/>
      </left>
      <right style="hair">
        <color auto="1"/>
      </right>
      <top/>
      <bottom/>
      <diagonal/>
    </border>
    <border>
      <left/>
      <right/>
      <top style="thin">
        <color rgb="FF595959"/>
      </top>
      <bottom style="thin">
        <color rgb="FF595959"/>
      </bottom>
      <diagonal/>
    </border>
    <border>
      <left style="thin">
        <color rgb="FFA6A6A6"/>
      </left>
      <right style="hair">
        <color auto="1"/>
      </right>
      <top/>
      <bottom/>
      <diagonal/>
    </border>
    <border>
      <left/>
      <right style="thin">
        <color rgb="FFA6A6A6"/>
      </right>
      <top/>
      <bottom/>
      <diagonal/>
    </border>
    <border>
      <left style="hair">
        <color auto="1"/>
      </left>
      <right/>
      <top style="thin">
        <color rgb="FF595959"/>
      </top>
      <bottom style="thin">
        <color rgb="FF595959"/>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499984740745262"/>
      </bottom>
      <diagonal/>
    </border>
    <border>
      <left style="medium">
        <color rgb="FF152B4E"/>
      </left>
      <right/>
      <top style="medium">
        <color rgb="FF152B4E"/>
      </top>
      <bottom style="medium">
        <color rgb="FF152B4E"/>
      </bottom>
      <diagonal/>
    </border>
    <border>
      <left/>
      <right style="medium">
        <color rgb="FF152B4E"/>
      </right>
      <top style="medium">
        <color rgb="FF152B4E"/>
      </top>
      <bottom style="medium">
        <color rgb="FF152B4E"/>
      </bottom>
      <diagonal/>
    </border>
    <border>
      <left style="medium">
        <color rgb="FF152B4E"/>
      </left>
      <right style="medium">
        <color rgb="FF152B4E"/>
      </right>
      <top style="medium">
        <color rgb="FF152B4E"/>
      </top>
      <bottom style="medium">
        <color rgb="FF152B4E"/>
      </bottom>
      <diagonal/>
    </border>
    <border>
      <left/>
      <right/>
      <top style="medium">
        <color rgb="FF152B4E"/>
      </top>
      <bottom style="medium">
        <color rgb="FF152B4E"/>
      </bottom>
      <diagonal/>
    </border>
    <border>
      <left style="medium">
        <color rgb="FF152B4E"/>
      </left>
      <right/>
      <top style="medium">
        <color rgb="FF152B4E"/>
      </top>
      <bottom/>
      <diagonal/>
    </border>
    <border>
      <left style="medium">
        <color rgb="FF152B4E"/>
      </left>
      <right/>
      <top/>
      <bottom style="medium">
        <color rgb="FF152B4E"/>
      </bottom>
      <diagonal/>
    </border>
    <border>
      <left/>
      <right style="medium">
        <color rgb="FF152B4E"/>
      </right>
      <top style="medium">
        <color rgb="FF152B4E"/>
      </top>
      <bottom/>
      <diagonal/>
    </border>
    <border>
      <left/>
      <right style="medium">
        <color rgb="FF152B4E"/>
      </right>
      <top/>
      <bottom style="medium">
        <color rgb="FF152B4E"/>
      </bottom>
      <diagonal/>
    </border>
    <border>
      <left/>
      <right/>
      <top style="medium">
        <color rgb="FF152B4E"/>
      </top>
      <bottom/>
      <diagonal/>
    </border>
    <border>
      <left/>
      <right/>
      <top/>
      <bottom style="medium">
        <color rgb="FF152B4E"/>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152B4E"/>
      </left>
      <right style="medium">
        <color indexed="64"/>
      </right>
      <top style="medium">
        <color rgb="FF152B4E"/>
      </top>
      <bottom style="medium">
        <color rgb="FF152B4E"/>
      </bottom>
      <diagonal/>
    </border>
    <border>
      <left style="medium">
        <color indexed="64"/>
      </left>
      <right style="medium">
        <color indexed="64"/>
      </right>
      <top style="medium">
        <color indexed="64"/>
      </top>
      <bottom style="medium">
        <color rgb="FF152B4E"/>
      </bottom>
      <diagonal/>
    </border>
    <border>
      <left style="medium">
        <color indexed="64"/>
      </left>
      <right style="medium">
        <color indexed="64"/>
      </right>
      <top style="medium">
        <color rgb="FF152B4E"/>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rgb="FF808080"/>
      </top>
      <bottom style="thin">
        <color rgb="FF808080"/>
      </bottom>
      <diagonal/>
    </border>
    <border>
      <left style="medium">
        <color indexed="64"/>
      </left>
      <right/>
      <top style="thin">
        <color rgb="FF808080"/>
      </top>
      <bottom style="thin">
        <color rgb="FF808080"/>
      </bottom>
      <diagonal/>
    </border>
  </borders>
  <cellStyleXfs count="15">
    <xf numFmtId="164" fontId="0" fillId="0" borderId="0" applyFont="0" applyFill="0" applyBorder="0" applyProtection="0">
      <alignment vertical="top"/>
    </xf>
    <xf numFmtId="44" fontId="1" fillId="0" borderId="0" applyFont="0" applyFill="0" applyBorder="0" applyAlignment="0" applyProtection="0"/>
    <xf numFmtId="183" fontId="1" fillId="0" borderId="0" applyFont="0" applyFill="0" applyBorder="0" applyProtection="0">
      <alignment vertical="top"/>
    </xf>
    <xf numFmtId="0" fontId="3" fillId="0" borderId="0"/>
    <xf numFmtId="165" fontId="1" fillId="0" borderId="0" applyFont="0" applyFill="0" applyBorder="0" applyProtection="0">
      <alignment vertical="top"/>
    </xf>
    <xf numFmtId="166" fontId="1" fillId="0" borderId="0" applyFont="0" applyFill="0" applyBorder="0" applyProtection="0">
      <alignment vertical="top"/>
    </xf>
    <xf numFmtId="167" fontId="1" fillId="0" borderId="0" applyFont="0" applyFill="0" applyBorder="0" applyProtection="0">
      <alignment vertical="top"/>
    </xf>
    <xf numFmtId="168" fontId="1" fillId="0" borderId="0" applyFont="0" applyFill="0" applyBorder="0" applyProtection="0">
      <alignment vertical="top"/>
    </xf>
    <xf numFmtId="167" fontId="1" fillId="0" borderId="0" applyFont="0" applyFill="0" applyBorder="0" applyProtection="0">
      <alignment vertical="top"/>
    </xf>
    <xf numFmtId="164" fontId="70" fillId="0" borderId="0" applyFont="0" applyFill="0" applyBorder="0" applyProtection="0">
      <alignment vertical="top"/>
    </xf>
    <xf numFmtId="183" fontId="70" fillId="0" borderId="0" applyFont="0" applyFill="0" applyBorder="0" applyProtection="0">
      <alignment vertical="top"/>
    </xf>
    <xf numFmtId="165" fontId="70" fillId="0" borderId="0" applyFont="0" applyFill="0" applyBorder="0" applyProtection="0">
      <alignment vertical="top"/>
    </xf>
    <xf numFmtId="166" fontId="70" fillId="0" borderId="0" applyFont="0" applyFill="0" applyBorder="0" applyProtection="0">
      <alignment vertical="top"/>
    </xf>
    <xf numFmtId="167" fontId="70" fillId="0" borderId="0" applyFont="0" applyFill="0" applyBorder="0" applyProtection="0">
      <alignment vertical="top"/>
    </xf>
    <xf numFmtId="168" fontId="70" fillId="0" borderId="0" applyFont="0" applyFill="0" applyBorder="0" applyProtection="0">
      <alignment vertical="top"/>
    </xf>
  </cellStyleXfs>
  <cellXfs count="720">
    <xf numFmtId="164" fontId="0" fillId="0" borderId="0" xfId="0">
      <alignment vertical="top"/>
    </xf>
    <xf numFmtId="164" fontId="2" fillId="0" borderId="0" xfId="0" applyFont="1">
      <alignment vertical="top"/>
    </xf>
    <xf numFmtId="164" fontId="0" fillId="0" borderId="0" xfId="0" applyFont="1">
      <alignment vertical="top"/>
    </xf>
    <xf numFmtId="170" fontId="1" fillId="0" borderId="0" xfId="3" applyNumberFormat="1" applyFont="1" applyAlignment="1">
      <alignment horizontal="right"/>
    </xf>
    <xf numFmtId="0" fontId="8" fillId="0" borderId="0" xfId="3" applyFont="1"/>
    <xf numFmtId="0" fontId="9" fillId="0" borderId="0" xfId="3" applyFont="1"/>
    <xf numFmtId="0" fontId="10" fillId="0" borderId="0" xfId="3" applyFont="1"/>
    <xf numFmtId="0" fontId="8" fillId="0" borderId="0" xfId="3" applyFont="1" applyAlignment="1">
      <alignment horizontal="right"/>
    </xf>
    <xf numFmtId="0" fontId="1" fillId="0" borderId="0" xfId="3" applyFont="1" applyAlignment="1">
      <alignment horizontal="right"/>
    </xf>
    <xf numFmtId="0" fontId="1" fillId="0" borderId="9" xfId="3" applyFont="1" applyBorder="1" applyAlignment="1">
      <alignment horizontal="right"/>
    </xf>
    <xf numFmtId="0" fontId="1" fillId="0" borderId="11" xfId="3" applyFont="1" applyBorder="1" applyAlignment="1">
      <alignment horizontal="right"/>
    </xf>
    <xf numFmtId="170" fontId="1" fillId="0" borderId="2" xfId="3" applyNumberFormat="1" applyFont="1" applyBorder="1" applyAlignment="1">
      <alignment horizontal="right"/>
    </xf>
    <xf numFmtId="170" fontId="1" fillId="0" borderId="12" xfId="3" applyNumberFormat="1" applyFont="1" applyBorder="1" applyAlignment="1">
      <alignment horizontal="right"/>
    </xf>
    <xf numFmtId="170" fontId="2" fillId="0" borderId="2" xfId="3" applyNumberFormat="1" applyFont="1" applyBorder="1" applyAlignment="1">
      <alignment horizontal="right"/>
    </xf>
    <xf numFmtId="170" fontId="2" fillId="0" borderId="12" xfId="3" applyNumberFormat="1" applyFont="1" applyBorder="1" applyAlignment="1">
      <alignment horizontal="right"/>
    </xf>
    <xf numFmtId="164" fontId="6" fillId="0" borderId="0" xfId="0" applyFont="1">
      <alignment vertical="top"/>
    </xf>
    <xf numFmtId="0" fontId="1" fillId="0" borderId="12" xfId="3" applyFont="1" applyBorder="1"/>
    <xf numFmtId="169" fontId="2" fillId="0" borderId="12" xfId="3" applyNumberFormat="1" applyFont="1" applyBorder="1" applyAlignment="1">
      <alignment horizontal="right"/>
    </xf>
    <xf numFmtId="169" fontId="2" fillId="0" borderId="10" xfId="3" applyNumberFormat="1" applyFont="1" applyBorder="1" applyAlignment="1">
      <alignment horizontal="right"/>
    </xf>
    <xf numFmtId="0" fontId="6" fillId="0" borderId="0" xfId="3" applyFont="1"/>
    <xf numFmtId="170" fontId="1" fillId="0" borderId="13" xfId="3" applyNumberFormat="1" applyFont="1" applyBorder="1" applyAlignment="1">
      <alignment horizontal="right"/>
    </xf>
    <xf numFmtId="170" fontId="1" fillId="0" borderId="1" xfId="3" applyNumberFormat="1" applyFont="1" applyBorder="1" applyAlignment="1">
      <alignment horizontal="right"/>
    </xf>
    <xf numFmtId="170" fontId="1" fillId="0" borderId="14" xfId="3" applyNumberFormat="1" applyFont="1" applyBorder="1" applyAlignment="1">
      <alignment horizontal="right"/>
    </xf>
    <xf numFmtId="164" fontId="0" fillId="0" borderId="9" xfId="0" applyFont="1" applyFill="1" applyBorder="1">
      <alignment vertical="top"/>
    </xf>
    <xf numFmtId="164" fontId="0" fillId="0" borderId="0" xfId="0" applyFont="1" applyFill="1" applyBorder="1">
      <alignment vertical="top"/>
    </xf>
    <xf numFmtId="164" fontId="0" fillId="0" borderId="11" xfId="0" applyFont="1" applyFill="1" applyBorder="1">
      <alignment vertical="top"/>
    </xf>
    <xf numFmtId="173" fontId="1" fillId="2" borderId="0" xfId="2" applyNumberFormat="1" applyFont="1" applyFill="1" applyBorder="1">
      <alignment vertical="top"/>
    </xf>
    <xf numFmtId="0" fontId="13" fillId="3" borderId="3" xfId="3" applyFont="1" applyFill="1" applyBorder="1"/>
    <xf numFmtId="0" fontId="13" fillId="3" borderId="4" xfId="3" applyFont="1" applyFill="1" applyBorder="1"/>
    <xf numFmtId="0" fontId="13" fillId="3" borderId="5" xfId="3" applyFont="1" applyFill="1" applyBorder="1"/>
    <xf numFmtId="0" fontId="13" fillId="3" borderId="6" xfId="3" applyFont="1" applyFill="1" applyBorder="1"/>
    <xf numFmtId="0" fontId="8" fillId="0" borderId="5" xfId="3" applyFont="1" applyBorder="1"/>
    <xf numFmtId="0" fontId="8" fillId="0" borderId="7" xfId="3" applyFont="1" applyBorder="1"/>
    <xf numFmtId="0" fontId="8" fillId="5" borderId="5" xfId="3" applyFont="1" applyFill="1" applyBorder="1"/>
    <xf numFmtId="0" fontId="8" fillId="5" borderId="6" xfId="3" applyFont="1" applyFill="1" applyBorder="1"/>
    <xf numFmtId="174" fontId="8" fillId="0" borderId="6" xfId="3" applyNumberFormat="1" applyFont="1" applyBorder="1"/>
    <xf numFmtId="174" fontId="8" fillId="0" borderId="8" xfId="3" applyNumberFormat="1" applyFont="1" applyBorder="1"/>
    <xf numFmtId="0" fontId="8" fillId="5" borderId="7" xfId="3" applyFont="1" applyFill="1" applyBorder="1"/>
    <xf numFmtId="174" fontId="8" fillId="5" borderId="8" xfId="3" applyNumberFormat="1" applyFont="1" applyFill="1" applyBorder="1"/>
    <xf numFmtId="0" fontId="12" fillId="7" borderId="0" xfId="3" applyFont="1" applyFill="1"/>
    <xf numFmtId="179" fontId="1" fillId="2" borderId="0" xfId="3" applyNumberFormat="1" applyFont="1" applyFill="1"/>
    <xf numFmtId="180" fontId="1" fillId="0" borderId="0" xfId="3" applyNumberFormat="1" applyFont="1"/>
    <xf numFmtId="0" fontId="5" fillId="0" borderId="0" xfId="3" applyFont="1" applyAlignment="1">
      <alignment horizontal="right"/>
    </xf>
    <xf numFmtId="0" fontId="1" fillId="0" borderId="0" xfId="3" applyFont="1"/>
    <xf numFmtId="169" fontId="2" fillId="0" borderId="0" xfId="3" applyNumberFormat="1" applyFont="1" applyAlignment="1">
      <alignment horizontal="right"/>
    </xf>
    <xf numFmtId="179" fontId="1" fillId="0" borderId="9" xfId="3" applyNumberFormat="1" applyFont="1" applyBorder="1"/>
    <xf numFmtId="179" fontId="1" fillId="0" borderId="11" xfId="3" applyNumberFormat="1" applyFont="1" applyBorder="1"/>
    <xf numFmtId="172" fontId="1" fillId="0" borderId="0" xfId="3" applyNumberFormat="1" applyFont="1"/>
    <xf numFmtId="176" fontId="1" fillId="0" borderId="9" xfId="3" applyNumberFormat="1" applyFont="1" applyBorder="1" applyAlignment="1">
      <alignment horizontal="right"/>
    </xf>
    <xf numFmtId="176" fontId="1" fillId="0" borderId="11" xfId="3" applyNumberFormat="1" applyFont="1" applyBorder="1" applyAlignment="1">
      <alignment horizontal="right"/>
    </xf>
    <xf numFmtId="169" fontId="2" fillId="0" borderId="9" xfId="3" applyNumberFormat="1" applyFont="1" applyBorder="1" applyAlignment="1">
      <alignment horizontal="right"/>
    </xf>
    <xf numFmtId="169" fontId="2" fillId="0" borderId="11" xfId="3" applyNumberFormat="1" applyFont="1" applyBorder="1" applyAlignment="1">
      <alignment horizontal="right"/>
    </xf>
    <xf numFmtId="0" fontId="5" fillId="0" borderId="0" xfId="3" applyFont="1"/>
    <xf numFmtId="169" fontId="1" fillId="0" borderId="10" xfId="3" applyNumberFormat="1" applyFont="1" applyBorder="1" applyAlignment="1">
      <alignment horizontal="right"/>
    </xf>
    <xf numFmtId="169" fontId="1" fillId="0" borderId="2" xfId="3" applyNumberFormat="1" applyFont="1" applyBorder="1" applyAlignment="1">
      <alignment horizontal="right"/>
    </xf>
    <xf numFmtId="169" fontId="1" fillId="0" borderId="12" xfId="3" applyNumberFormat="1" applyFont="1" applyBorder="1" applyAlignment="1">
      <alignment horizontal="right"/>
    </xf>
    <xf numFmtId="177" fontId="4" fillId="8" borderId="0" xfId="0" applyNumberFormat="1" applyFont="1" applyFill="1">
      <alignment vertical="top"/>
    </xf>
    <xf numFmtId="164" fontId="0" fillId="0" borderId="1" xfId="0" applyFont="1" applyBorder="1" applyAlignment="1"/>
    <xf numFmtId="0" fontId="2" fillId="4" borderId="0" xfId="3" quotePrefix="1" applyFont="1" applyFill="1"/>
    <xf numFmtId="164" fontId="2" fillId="0" borderId="0" xfId="0" applyFont="1" applyAlignment="1"/>
    <xf numFmtId="164" fontId="0" fillId="0" borderId="0" xfId="0" applyFont="1" applyAlignment="1"/>
    <xf numFmtId="164" fontId="1" fillId="0" borderId="0" xfId="0" applyFont="1" applyAlignment="1"/>
    <xf numFmtId="0" fontId="2" fillId="0" borderId="0" xfId="3" applyFont="1"/>
    <xf numFmtId="164" fontId="1" fillId="0" borderId="0" xfId="0" applyFont="1" applyFill="1" applyAlignment="1"/>
    <xf numFmtId="164" fontId="0" fillId="0" borderId="0" xfId="0" applyFont="1" applyFill="1" applyAlignment="1"/>
    <xf numFmtId="0" fontId="1" fillId="0" borderId="0" xfId="3" applyFont="1" applyAlignment="1">
      <alignment horizontal="left"/>
    </xf>
    <xf numFmtId="164" fontId="1" fillId="0" borderId="0" xfId="0" applyFont="1" applyFill="1">
      <alignment vertical="top"/>
    </xf>
    <xf numFmtId="9" fontId="1" fillId="0" borderId="0" xfId="3" applyNumberFormat="1" applyFont="1" applyAlignment="1">
      <alignment horizontal="right"/>
    </xf>
    <xf numFmtId="10" fontId="1" fillId="0" borderId="0" xfId="3" applyNumberFormat="1" applyFont="1" applyAlignment="1">
      <alignment horizontal="right"/>
    </xf>
    <xf numFmtId="170" fontId="1" fillId="0" borderId="0" xfId="1" applyNumberFormat="1" applyFont="1" applyFill="1" applyAlignment="1">
      <alignment vertical="top"/>
    </xf>
    <xf numFmtId="164" fontId="0" fillId="0" borderId="2" xfId="0" applyFont="1" applyBorder="1" applyAlignment="1"/>
    <xf numFmtId="0" fontId="11" fillId="0" borderId="0" xfId="3" applyFont="1"/>
    <xf numFmtId="0" fontId="2" fillId="0" borderId="0" xfId="3" applyFont="1" applyAlignment="1">
      <alignment horizontal="right"/>
    </xf>
    <xf numFmtId="164" fontId="5" fillId="0" borderId="0" xfId="0" applyFont="1" applyAlignment="1">
      <alignment horizontal="left" vertical="top"/>
    </xf>
    <xf numFmtId="0" fontId="1" fillId="2" borderId="9" xfId="3" applyFont="1" applyFill="1" applyBorder="1" applyAlignment="1">
      <alignment horizontal="right"/>
    </xf>
    <xf numFmtId="9" fontId="1" fillId="0" borderId="9" xfId="3" applyNumberFormat="1" applyFont="1" applyBorder="1" applyAlignment="1">
      <alignment horizontal="right"/>
    </xf>
    <xf numFmtId="170" fontId="1" fillId="0" borderId="9" xfId="1" applyNumberFormat="1" applyFont="1" applyFill="1" applyBorder="1" applyAlignment="1">
      <alignment vertical="top"/>
    </xf>
    <xf numFmtId="164" fontId="1" fillId="2" borderId="9" xfId="0" applyFont="1" applyFill="1" applyBorder="1">
      <alignment vertical="top"/>
    </xf>
    <xf numFmtId="0" fontId="1" fillId="2" borderId="0" xfId="3" applyFont="1" applyFill="1" applyAlignment="1">
      <alignment horizontal="right"/>
    </xf>
    <xf numFmtId="0" fontId="1" fillId="2" borderId="11" xfId="3" applyFont="1" applyFill="1" applyBorder="1" applyAlignment="1">
      <alignment horizontal="right"/>
    </xf>
    <xf numFmtId="9" fontId="1" fillId="0" borderId="11" xfId="3" applyNumberFormat="1" applyFont="1" applyBorder="1" applyAlignment="1">
      <alignment horizontal="right"/>
    </xf>
    <xf numFmtId="170" fontId="1" fillId="0" borderId="0" xfId="1" applyNumberFormat="1" applyFont="1" applyFill="1" applyBorder="1" applyAlignment="1">
      <alignment vertical="top"/>
    </xf>
    <xf numFmtId="170" fontId="1" fillId="0" borderId="11" xfId="1" applyNumberFormat="1" applyFont="1" applyFill="1" applyBorder="1" applyAlignment="1">
      <alignment vertical="top"/>
    </xf>
    <xf numFmtId="164" fontId="1" fillId="2" borderId="0" xfId="0" applyFont="1" applyFill="1" applyBorder="1">
      <alignment vertical="top"/>
    </xf>
    <xf numFmtId="164" fontId="1" fillId="2" borderId="11" xfId="0" applyFont="1" applyFill="1" applyBorder="1">
      <alignment vertical="top"/>
    </xf>
    <xf numFmtId="164" fontId="1" fillId="0" borderId="9" xfId="0" applyFont="1" applyFill="1" applyBorder="1">
      <alignment vertical="top"/>
    </xf>
    <xf numFmtId="164" fontId="0" fillId="0" borderId="0" xfId="0" applyFont="1" applyFill="1" applyBorder="1" applyAlignment="1"/>
    <xf numFmtId="164" fontId="0" fillId="0" borderId="2" xfId="0" applyFont="1" applyFill="1" applyBorder="1" applyAlignment="1"/>
    <xf numFmtId="170" fontId="1" fillId="0" borderId="10" xfId="1" applyNumberFormat="1" applyFont="1" applyFill="1" applyBorder="1" applyAlignment="1">
      <alignment vertical="top"/>
    </xf>
    <xf numFmtId="170" fontId="1" fillId="0" borderId="2" xfId="1" applyNumberFormat="1" applyFont="1" applyFill="1" applyBorder="1" applyAlignment="1">
      <alignment vertical="top"/>
    </xf>
    <xf numFmtId="170" fontId="1" fillId="0" borderId="12" xfId="1" applyNumberFormat="1" applyFont="1" applyFill="1" applyBorder="1" applyAlignment="1">
      <alignment vertical="top"/>
    </xf>
    <xf numFmtId="164" fontId="1" fillId="0" borderId="0" xfId="0" applyFont="1" applyFill="1" applyBorder="1">
      <alignment vertical="top"/>
    </xf>
    <xf numFmtId="164" fontId="1" fillId="0" borderId="11" xfId="0" applyFont="1" applyFill="1" applyBorder="1">
      <alignment vertical="top"/>
    </xf>
    <xf numFmtId="164" fontId="6" fillId="0" borderId="0" xfId="0" applyFont="1" applyAlignment="1"/>
    <xf numFmtId="0" fontId="2" fillId="0" borderId="0" xfId="3" applyFont="1" applyAlignment="1">
      <alignment horizontal="left"/>
    </xf>
    <xf numFmtId="164" fontId="2" fillId="0" borderId="2" xfId="0" applyFont="1" applyBorder="1" applyAlignment="1"/>
    <xf numFmtId="164" fontId="2" fillId="0" borderId="2" xfId="0" applyFont="1" applyFill="1" applyBorder="1" applyAlignment="1"/>
    <xf numFmtId="170" fontId="2" fillId="0" borderId="10" xfId="1" applyNumberFormat="1" applyFont="1" applyFill="1" applyBorder="1" applyAlignment="1">
      <alignment vertical="top"/>
    </xf>
    <xf numFmtId="170" fontId="2" fillId="0" borderId="2" xfId="1" applyNumberFormat="1" applyFont="1" applyFill="1" applyBorder="1" applyAlignment="1">
      <alignment vertical="top"/>
    </xf>
    <xf numFmtId="170" fontId="2" fillId="0" borderId="12" xfId="1" applyNumberFormat="1" applyFont="1" applyFill="1" applyBorder="1" applyAlignment="1">
      <alignment vertical="top"/>
    </xf>
    <xf numFmtId="170" fontId="2" fillId="0" borderId="0" xfId="1" applyNumberFormat="1" applyFont="1" applyFill="1" applyAlignment="1">
      <alignment vertical="top"/>
    </xf>
    <xf numFmtId="164" fontId="2" fillId="0" borderId="0" xfId="0" applyFont="1" applyBorder="1" applyAlignment="1"/>
    <xf numFmtId="170" fontId="2" fillId="0" borderId="0" xfId="3" applyNumberFormat="1" applyFont="1" applyAlignment="1">
      <alignment horizontal="right"/>
    </xf>
    <xf numFmtId="164" fontId="6" fillId="0" borderId="0" xfId="0" applyFont="1" applyFill="1" applyAlignment="1"/>
    <xf numFmtId="0" fontId="4" fillId="0" borderId="0" xfId="3" applyFont="1" applyAlignment="1">
      <alignment horizontal="centerContinuous"/>
    </xf>
    <xf numFmtId="0" fontId="6" fillId="0" borderId="0" xfId="3" applyFont="1" applyAlignment="1">
      <alignment horizontal="right"/>
    </xf>
    <xf numFmtId="164" fontId="1" fillId="0" borderId="2" xfId="0" applyFont="1" applyBorder="1" applyAlignment="1"/>
    <xf numFmtId="164" fontId="1" fillId="0" borderId="10" xfId="0" applyFont="1" applyFill="1" applyBorder="1">
      <alignment vertical="top"/>
    </xf>
    <xf numFmtId="164" fontId="1" fillId="0" borderId="2" xfId="0" applyFont="1" applyFill="1" applyBorder="1">
      <alignment vertical="top"/>
    </xf>
    <xf numFmtId="164" fontId="1" fillId="0" borderId="12" xfId="0" applyFont="1" applyFill="1" applyBorder="1">
      <alignment vertical="top"/>
    </xf>
    <xf numFmtId="164" fontId="2" fillId="0" borderId="1" xfId="0" applyFont="1" applyBorder="1" applyAlignment="1"/>
    <xf numFmtId="170" fontId="2" fillId="0" borderId="1" xfId="3" applyNumberFormat="1" applyFont="1" applyBorder="1" applyAlignment="1">
      <alignment horizontal="right"/>
    </xf>
    <xf numFmtId="164" fontId="2" fillId="0" borderId="15" xfId="0" applyFont="1" applyBorder="1" applyAlignment="1"/>
    <xf numFmtId="172" fontId="2" fillId="0" borderId="16" xfId="3" applyNumberFormat="1" applyFont="1" applyBorder="1"/>
    <xf numFmtId="171" fontId="2" fillId="0" borderId="15" xfId="3" applyNumberFormat="1" applyFont="1" applyBorder="1"/>
    <xf numFmtId="171" fontId="2" fillId="0" borderId="17" xfId="3" applyNumberFormat="1" applyFont="1" applyBorder="1"/>
    <xf numFmtId="170" fontId="2" fillId="0" borderId="0" xfId="3" applyNumberFormat="1" applyFont="1"/>
    <xf numFmtId="164" fontId="2" fillId="0" borderId="0" xfId="0" applyFont="1" applyAlignment="1">
      <alignment horizontal="left"/>
    </xf>
    <xf numFmtId="164" fontId="1" fillId="0" borderId="0" xfId="0" applyFont="1" applyAlignment="1">
      <alignment horizontal="left"/>
    </xf>
    <xf numFmtId="175" fontId="1" fillId="2" borderId="0" xfId="3" applyNumberFormat="1" applyFont="1" applyFill="1" applyAlignment="1">
      <alignment horizontal="right"/>
    </xf>
    <xf numFmtId="175" fontId="1" fillId="2" borderId="11" xfId="3" applyNumberFormat="1" applyFont="1" applyFill="1" applyBorder="1" applyAlignment="1">
      <alignment horizontal="right"/>
    </xf>
    <xf numFmtId="176" fontId="1" fillId="2" borderId="0" xfId="3" applyNumberFormat="1" applyFont="1" applyFill="1" applyAlignment="1">
      <alignment horizontal="right"/>
    </xf>
    <xf numFmtId="0" fontId="1" fillId="0" borderId="0" xfId="3" quotePrefix="1" applyFont="1"/>
    <xf numFmtId="177" fontId="2" fillId="0" borderId="0" xfId="0" applyNumberFormat="1" applyFont="1">
      <alignment vertical="top"/>
    </xf>
    <xf numFmtId="177" fontId="6" fillId="0" borderId="0" xfId="0" applyNumberFormat="1" applyFont="1">
      <alignment vertical="top"/>
    </xf>
    <xf numFmtId="177" fontId="1" fillId="0" borderId="0" xfId="0" applyNumberFormat="1" applyFont="1">
      <alignment vertical="top"/>
    </xf>
    <xf numFmtId="177" fontId="1" fillId="0" borderId="0" xfId="0" applyNumberFormat="1" applyFont="1" applyFill="1">
      <alignment vertical="top"/>
    </xf>
    <xf numFmtId="178" fontId="2" fillId="0" borderId="0" xfId="2" applyNumberFormat="1" applyFont="1">
      <alignment vertical="top"/>
    </xf>
    <xf numFmtId="178" fontId="6" fillId="0" borderId="0" xfId="2" applyNumberFormat="1" applyFont="1">
      <alignment vertical="top"/>
    </xf>
    <xf numFmtId="178" fontId="1" fillId="0" borderId="0" xfId="2" applyNumberFormat="1" applyFont="1">
      <alignment vertical="top"/>
    </xf>
    <xf numFmtId="178" fontId="1" fillId="2" borderId="9" xfId="2" applyNumberFormat="1" applyFont="1" applyFill="1" applyBorder="1">
      <alignment vertical="top"/>
    </xf>
    <xf numFmtId="178" fontId="1" fillId="2" borderId="0" xfId="2" applyNumberFormat="1" applyFont="1" applyFill="1" applyBorder="1">
      <alignment vertical="top"/>
    </xf>
    <xf numFmtId="178" fontId="1" fillId="2" borderId="11" xfId="2" applyNumberFormat="1" applyFont="1" applyFill="1" applyBorder="1">
      <alignment vertical="top"/>
    </xf>
    <xf numFmtId="178" fontId="1" fillId="0" borderId="0" xfId="2" applyNumberFormat="1" applyFont="1" applyFill="1">
      <alignment vertical="top"/>
    </xf>
    <xf numFmtId="178" fontId="0" fillId="0" borderId="0" xfId="2" applyNumberFormat="1" applyFont="1" applyFill="1" applyBorder="1">
      <alignment vertical="top"/>
    </xf>
    <xf numFmtId="10" fontId="1" fillId="0" borderId="11" xfId="3" applyNumberFormat="1" applyFont="1" applyBorder="1" applyAlignment="1">
      <alignment horizontal="right"/>
    </xf>
    <xf numFmtId="170" fontId="2" fillId="0" borderId="0" xfId="1" applyNumberFormat="1" applyFont="1" applyAlignment="1">
      <alignment vertical="top"/>
    </xf>
    <xf numFmtId="174" fontId="17" fillId="2" borderId="9" xfId="3" applyNumberFormat="1" applyFont="1" applyFill="1" applyBorder="1" applyAlignment="1">
      <alignment horizontal="right"/>
    </xf>
    <xf numFmtId="174" fontId="17" fillId="2" borderId="0" xfId="3" applyNumberFormat="1" applyFont="1" applyFill="1" applyAlignment="1">
      <alignment horizontal="right"/>
    </xf>
    <xf numFmtId="175" fontId="17" fillId="2" borderId="11" xfId="3" applyNumberFormat="1" applyFont="1" applyFill="1" applyBorder="1" applyAlignment="1">
      <alignment horizontal="right"/>
    </xf>
    <xf numFmtId="0" fontId="12" fillId="2" borderId="9" xfId="3" applyFont="1" applyFill="1" applyBorder="1" applyAlignment="1">
      <alignment horizontal="left"/>
    </xf>
    <xf numFmtId="175" fontId="17" fillId="2" borderId="0" xfId="3" applyNumberFormat="1" applyFont="1" applyFill="1" applyAlignment="1">
      <alignment horizontal="right"/>
    </xf>
    <xf numFmtId="164" fontId="2" fillId="0" borderId="15" xfId="0" applyFont="1" applyFill="1" applyBorder="1">
      <alignment vertical="top"/>
    </xf>
    <xf numFmtId="164" fontId="2" fillId="0" borderId="0" xfId="0" applyFont="1" applyFill="1">
      <alignment vertical="top"/>
    </xf>
    <xf numFmtId="0" fontId="4" fillId="2" borderId="0" xfId="3" applyFont="1" applyFill="1" applyAlignment="1">
      <alignment horizontal="centerContinuous"/>
    </xf>
    <xf numFmtId="171" fontId="2" fillId="0" borderId="15" xfId="3" applyNumberFormat="1" applyFont="1" applyBorder="1" applyAlignment="1">
      <alignment horizontal="center"/>
    </xf>
    <xf numFmtId="9" fontId="17" fillId="0" borderId="11" xfId="3" applyNumberFormat="1" applyFont="1" applyBorder="1" applyAlignment="1">
      <alignment horizontal="right"/>
    </xf>
    <xf numFmtId="0" fontId="18" fillId="0" borderId="0" xfId="3" applyFont="1"/>
    <xf numFmtId="164" fontId="8" fillId="0" borderId="0" xfId="0" applyFont="1">
      <alignment vertical="top"/>
    </xf>
    <xf numFmtId="0" fontId="23" fillId="0" borderId="0" xfId="3" applyFont="1"/>
    <xf numFmtId="0" fontId="24" fillId="0" borderId="0" xfId="3" applyFont="1"/>
    <xf numFmtId="164" fontId="25" fillId="0" borderId="0" xfId="0" applyFont="1">
      <alignment vertical="top"/>
    </xf>
    <xf numFmtId="0" fontId="25" fillId="0" borderId="0" xfId="3" applyFont="1"/>
    <xf numFmtId="164" fontId="25" fillId="6" borderId="0" xfId="0" applyFont="1" applyFill="1">
      <alignment vertical="top"/>
    </xf>
    <xf numFmtId="0" fontId="25" fillId="0" borderId="0" xfId="3" applyFont="1" applyAlignment="1">
      <alignment horizontal="right"/>
    </xf>
    <xf numFmtId="173" fontId="26" fillId="0" borderId="0" xfId="2" applyNumberFormat="1" applyFont="1">
      <alignment vertical="top"/>
    </xf>
    <xf numFmtId="173" fontId="20" fillId="0" borderId="0" xfId="2" applyNumberFormat="1" applyFont="1">
      <alignment vertical="top"/>
    </xf>
    <xf numFmtId="173" fontId="25" fillId="0" borderId="0" xfId="2" applyNumberFormat="1" applyFont="1">
      <alignment vertical="top"/>
    </xf>
    <xf numFmtId="164" fontId="26" fillId="0" borderId="0" xfId="0" applyFont="1">
      <alignment vertical="top"/>
    </xf>
    <xf numFmtId="164" fontId="26" fillId="0" borderId="0" xfId="0" applyFont="1" applyFill="1">
      <alignment vertical="top"/>
    </xf>
    <xf numFmtId="164" fontId="26" fillId="0" borderId="0" xfId="0" applyFont="1" applyFill="1" applyBorder="1">
      <alignment vertical="top"/>
    </xf>
    <xf numFmtId="164" fontId="26" fillId="0" borderId="0" xfId="0" applyFont="1" applyBorder="1">
      <alignment vertical="top"/>
    </xf>
    <xf numFmtId="164" fontId="26" fillId="0" borderId="1" xfId="0" applyFont="1" applyFill="1" applyBorder="1">
      <alignment vertical="top"/>
    </xf>
    <xf numFmtId="164" fontId="26" fillId="0" borderId="15" xfId="0" applyFont="1" applyFill="1" applyBorder="1">
      <alignment vertical="top"/>
    </xf>
    <xf numFmtId="164" fontId="26" fillId="0" borderId="1" xfId="0" applyFont="1" applyBorder="1">
      <alignment vertical="top"/>
    </xf>
    <xf numFmtId="173" fontId="20" fillId="0" borderId="0" xfId="2" applyNumberFormat="1" applyFont="1" applyBorder="1">
      <alignment vertical="top"/>
    </xf>
    <xf numFmtId="9" fontId="21" fillId="0" borderId="0" xfId="3" applyNumberFormat="1" applyFont="1"/>
    <xf numFmtId="164" fontId="23" fillId="0" borderId="0" xfId="0" applyFont="1">
      <alignment vertical="top"/>
    </xf>
    <xf numFmtId="164" fontId="23" fillId="0" borderId="0" xfId="0" applyFont="1" applyBorder="1">
      <alignment vertical="top"/>
    </xf>
    <xf numFmtId="164" fontId="23" fillId="0" borderId="15" xfId="0" applyFont="1" applyFill="1" applyBorder="1">
      <alignment vertical="top"/>
    </xf>
    <xf numFmtId="164" fontId="23" fillId="0" borderId="0" xfId="0" applyFont="1" applyFill="1">
      <alignment vertical="top"/>
    </xf>
    <xf numFmtId="164" fontId="23" fillId="0" borderId="1" xfId="0" applyFont="1" applyFill="1" applyBorder="1">
      <alignment vertical="top"/>
    </xf>
    <xf numFmtId="164" fontId="23" fillId="0" borderId="0" xfId="0" applyFont="1" applyFill="1" applyBorder="1">
      <alignment vertical="top"/>
    </xf>
    <xf numFmtId="164" fontId="22" fillId="0" borderId="1" xfId="0" applyFont="1" applyBorder="1">
      <alignment vertical="top"/>
    </xf>
    <xf numFmtId="164" fontId="22" fillId="0" borderId="0" xfId="0" applyFont="1" applyBorder="1">
      <alignment vertical="top"/>
    </xf>
    <xf numFmtId="164" fontId="22" fillId="0" borderId="15" xfId="0" applyFont="1" applyBorder="1">
      <alignment vertical="top"/>
    </xf>
    <xf numFmtId="164" fontId="0" fillId="2" borderId="9" xfId="0" applyFill="1" applyBorder="1">
      <alignment vertical="top"/>
    </xf>
    <xf numFmtId="164" fontId="0" fillId="2" borderId="0" xfId="0" applyFill="1">
      <alignment vertical="top"/>
    </xf>
    <xf numFmtId="164" fontId="0" fillId="2" borderId="11" xfId="0" applyFill="1" applyBorder="1">
      <alignment vertical="top"/>
    </xf>
    <xf numFmtId="177" fontId="0" fillId="0" borderId="0" xfId="0" applyNumberFormat="1">
      <alignment vertical="top"/>
    </xf>
    <xf numFmtId="170" fontId="0" fillId="0" borderId="12" xfId="1" applyNumberFormat="1" applyFont="1" applyBorder="1" applyAlignment="1">
      <alignment vertical="top"/>
    </xf>
    <xf numFmtId="170" fontId="0" fillId="0" borderId="11" xfId="1" applyNumberFormat="1" applyFont="1" applyBorder="1" applyAlignment="1">
      <alignment vertical="top"/>
    </xf>
    <xf numFmtId="170" fontId="0" fillId="0" borderId="0" xfId="1" applyNumberFormat="1" applyFont="1" applyAlignment="1">
      <alignment vertical="top"/>
    </xf>
    <xf numFmtId="164" fontId="0" fillId="0" borderId="11" xfId="0" applyBorder="1">
      <alignment vertical="top"/>
    </xf>
    <xf numFmtId="164" fontId="0" fillId="0" borderId="12" xfId="0" applyBorder="1">
      <alignment vertical="top"/>
    </xf>
    <xf numFmtId="181" fontId="1" fillId="0" borderId="12" xfId="3" applyNumberFormat="1" applyFont="1" applyBorder="1" applyAlignment="1">
      <alignment horizontal="right"/>
    </xf>
    <xf numFmtId="170" fontId="12" fillId="0" borderId="0" xfId="3" applyNumberFormat="1" applyFont="1" applyAlignment="1">
      <alignment horizontal="centerContinuous"/>
    </xf>
    <xf numFmtId="164" fontId="12" fillId="0" borderId="0" xfId="0" applyFont="1" applyFill="1">
      <alignment vertical="top"/>
    </xf>
    <xf numFmtId="183" fontId="1" fillId="0" borderId="0" xfId="2" applyFont="1">
      <alignment vertical="top"/>
    </xf>
    <xf numFmtId="168" fontId="1" fillId="2" borderId="9" xfId="7" applyFont="1" applyFill="1" applyBorder="1">
      <alignment vertical="top"/>
    </xf>
    <xf numFmtId="168" fontId="1" fillId="2" borderId="0" xfId="7" applyFont="1" applyFill="1" applyBorder="1">
      <alignment vertical="top"/>
    </xf>
    <xf numFmtId="168" fontId="1" fillId="2" borderId="11" xfId="7" applyFont="1" applyFill="1" applyBorder="1">
      <alignment vertical="top"/>
    </xf>
    <xf numFmtId="174" fontId="17" fillId="2" borderId="11" xfId="3" applyNumberFormat="1" applyFont="1" applyFill="1" applyBorder="1" applyAlignment="1">
      <alignment horizontal="right"/>
    </xf>
    <xf numFmtId="168" fontId="1" fillId="2" borderId="9" xfId="7" applyFont="1" applyFill="1" applyBorder="1" applyAlignment="1">
      <alignment horizontal="right" vertical="top"/>
    </xf>
    <xf numFmtId="168" fontId="1" fillId="2" borderId="0" xfId="7" applyFont="1" applyFill="1" applyBorder="1" applyAlignment="1">
      <alignment horizontal="right" vertical="top"/>
    </xf>
    <xf numFmtId="168" fontId="1" fillId="2" borderId="11" xfId="7" applyFont="1" applyFill="1" applyBorder="1" applyAlignment="1">
      <alignment horizontal="right" vertical="top"/>
    </xf>
    <xf numFmtId="0" fontId="25" fillId="6" borderId="0" xfId="3" applyFont="1" applyFill="1"/>
    <xf numFmtId="182" fontId="1" fillId="0" borderId="11" xfId="0" applyNumberFormat="1" applyFont="1" applyFill="1" applyBorder="1">
      <alignment vertical="top"/>
    </xf>
    <xf numFmtId="0" fontId="27" fillId="3" borderId="0" xfId="3" applyFont="1" applyFill="1"/>
    <xf numFmtId="0" fontId="25" fillId="9" borderId="0" xfId="3" applyFont="1" applyFill="1"/>
    <xf numFmtId="0" fontId="23" fillId="9" borderId="0" xfId="3" applyFont="1" applyFill="1"/>
    <xf numFmtId="0" fontId="24" fillId="9" borderId="0" xfId="3" applyFont="1" applyFill="1"/>
    <xf numFmtId="164" fontId="25" fillId="9" borderId="0" xfId="0" applyFont="1" applyFill="1">
      <alignment vertical="top"/>
    </xf>
    <xf numFmtId="0" fontId="25" fillId="9" borderId="0" xfId="3" applyFont="1" applyFill="1" applyAlignment="1">
      <alignment horizontal="right"/>
    </xf>
    <xf numFmtId="3" fontId="25" fillId="0" borderId="0" xfId="3" applyNumberFormat="1" applyFont="1"/>
    <xf numFmtId="3" fontId="25" fillId="6" borderId="0" xfId="3" applyNumberFormat="1" applyFont="1" applyFill="1"/>
    <xf numFmtId="0" fontId="23" fillId="11" borderId="0" xfId="3" applyFont="1" applyFill="1"/>
    <xf numFmtId="0" fontId="25" fillId="11" borderId="0" xfId="3" applyFont="1" applyFill="1"/>
    <xf numFmtId="3" fontId="23" fillId="11" borderId="0" xfId="3" applyNumberFormat="1" applyFont="1" applyFill="1"/>
    <xf numFmtId="0" fontId="29" fillId="0" borderId="0" xfId="3" applyFont="1"/>
    <xf numFmtId="0" fontId="30" fillId="0" borderId="0" xfId="3" applyFont="1"/>
    <xf numFmtId="0" fontId="31" fillId="0" borderId="0" xfId="3" applyFont="1"/>
    <xf numFmtId="164" fontId="32" fillId="0" borderId="0" xfId="0" applyFont="1">
      <alignment vertical="top"/>
    </xf>
    <xf numFmtId="0" fontId="32" fillId="0" borderId="0" xfId="3" applyFont="1"/>
    <xf numFmtId="0" fontId="32" fillId="0" borderId="0" xfId="3" applyFont="1" applyAlignment="1">
      <alignment horizontal="right"/>
    </xf>
    <xf numFmtId="164" fontId="35" fillId="0" borderId="0" xfId="0" applyFont="1" applyAlignment="1">
      <alignment horizontal="right" vertical="center"/>
    </xf>
    <xf numFmtId="164" fontId="35" fillId="0" borderId="0" xfId="0" applyFont="1" applyFill="1" applyBorder="1" applyAlignment="1">
      <alignment horizontal="right" vertical="top" readingOrder="1"/>
    </xf>
    <xf numFmtId="164" fontId="37" fillId="6" borderId="0" xfId="0" applyFont="1" applyFill="1" applyBorder="1" applyAlignment="1">
      <alignment horizontal="left" vertical="top"/>
    </xf>
    <xf numFmtId="164" fontId="35" fillId="6" borderId="0" xfId="0" applyFont="1" applyFill="1" applyBorder="1" applyAlignment="1">
      <alignment horizontal="right" vertical="top" readingOrder="1"/>
    </xf>
    <xf numFmtId="9" fontId="32" fillId="2" borderId="2" xfId="3" applyNumberFormat="1" applyFont="1" applyFill="1" applyBorder="1"/>
    <xf numFmtId="171" fontId="39" fillId="0" borderId="15" xfId="3" applyNumberFormat="1" applyFont="1" applyBorder="1" applyAlignment="1">
      <alignment horizontal="center"/>
    </xf>
    <xf numFmtId="9" fontId="1" fillId="2" borderId="9" xfId="3" applyNumberFormat="1" applyFont="1" applyFill="1" applyBorder="1" applyAlignment="1">
      <alignment horizontal="right"/>
    </xf>
    <xf numFmtId="9" fontId="1" fillId="2" borderId="0" xfId="3" applyNumberFormat="1" applyFont="1" applyFill="1" applyAlignment="1">
      <alignment horizontal="right"/>
    </xf>
    <xf numFmtId="9" fontId="1" fillId="2" borderId="11" xfId="3" applyNumberFormat="1" applyFont="1" applyFill="1" applyBorder="1" applyAlignment="1">
      <alignment horizontal="right"/>
    </xf>
    <xf numFmtId="173" fontId="2" fillId="0" borderId="0" xfId="2" applyNumberFormat="1" applyFont="1">
      <alignment vertical="top"/>
    </xf>
    <xf numFmtId="173" fontId="6" fillId="0" borderId="0" xfId="2" applyNumberFormat="1" applyFont="1">
      <alignment vertical="top"/>
    </xf>
    <xf numFmtId="173" fontId="1" fillId="0" borderId="0" xfId="2" applyNumberFormat="1" applyFont="1">
      <alignment vertical="top"/>
    </xf>
    <xf numFmtId="173" fontId="1" fillId="0" borderId="0" xfId="2" applyNumberFormat="1" applyFont="1" applyFill="1">
      <alignment vertical="top"/>
    </xf>
    <xf numFmtId="173" fontId="0" fillId="0" borderId="0" xfId="2" applyNumberFormat="1" applyFont="1" applyFill="1" applyBorder="1">
      <alignment vertical="top"/>
    </xf>
    <xf numFmtId="173" fontId="1" fillId="2" borderId="11" xfId="2" applyNumberFormat="1" applyFont="1" applyFill="1" applyBorder="1">
      <alignment vertical="top"/>
    </xf>
    <xf numFmtId="173" fontId="1" fillId="2" borderId="9" xfId="2" applyNumberFormat="1" applyFont="1" applyFill="1" applyBorder="1">
      <alignment vertical="top"/>
    </xf>
    <xf numFmtId="173" fontId="0" fillId="0" borderId="0" xfId="2" applyNumberFormat="1" applyFont="1" applyFill="1">
      <alignment vertical="top"/>
    </xf>
    <xf numFmtId="173" fontId="0" fillId="0" borderId="0" xfId="2" applyNumberFormat="1" applyFont="1">
      <alignment vertical="top"/>
    </xf>
    <xf numFmtId="173" fontId="0" fillId="2" borderId="11" xfId="2" applyNumberFormat="1" applyFont="1" applyFill="1" applyBorder="1">
      <alignment vertical="top"/>
    </xf>
    <xf numFmtId="173" fontId="1" fillId="0" borderId="9" xfId="2" applyNumberFormat="1" applyFont="1" applyFill="1" applyBorder="1">
      <alignment vertical="top"/>
    </xf>
    <xf numFmtId="173" fontId="1" fillId="0" borderId="11" xfId="2" applyNumberFormat="1" applyFont="1" applyFill="1" applyBorder="1">
      <alignment vertical="top"/>
    </xf>
    <xf numFmtId="173" fontId="0" fillId="0" borderId="11" xfId="2" applyNumberFormat="1" applyFont="1" applyBorder="1">
      <alignment vertical="top"/>
    </xf>
    <xf numFmtId="173" fontId="1" fillId="0" borderId="11" xfId="2" applyNumberFormat="1" applyFont="1" applyBorder="1">
      <alignment vertical="top"/>
    </xf>
    <xf numFmtId="164" fontId="25" fillId="12" borderId="0" xfId="3" applyNumberFormat="1" applyFont="1" applyFill="1" applyAlignment="1">
      <alignment horizontal="right"/>
    </xf>
    <xf numFmtId="181" fontId="39" fillId="0" borderId="2" xfId="3" applyNumberFormat="1" applyFont="1" applyBorder="1" applyAlignment="1">
      <alignment horizontal="right"/>
    </xf>
    <xf numFmtId="0" fontId="30" fillId="9" borderId="0" xfId="3" applyFont="1" applyFill="1"/>
    <xf numFmtId="182" fontId="1" fillId="0" borderId="0" xfId="0" applyNumberFormat="1" applyFont="1">
      <alignment vertical="top"/>
    </xf>
    <xf numFmtId="0" fontId="35" fillId="0" borderId="19" xfId="3" applyFont="1" applyBorder="1"/>
    <xf numFmtId="10" fontId="35" fillId="0" borderId="25" xfId="3" applyNumberFormat="1" applyFont="1" applyBorder="1"/>
    <xf numFmtId="0" fontId="35" fillId="0" borderId="23" xfId="3" applyFont="1" applyBorder="1"/>
    <xf numFmtId="183" fontId="35" fillId="0" borderId="26" xfId="2" applyFont="1" applyFill="1" applyBorder="1">
      <alignment vertical="top"/>
    </xf>
    <xf numFmtId="10" fontId="35" fillId="0" borderId="26" xfId="3" applyNumberFormat="1" applyFont="1" applyBorder="1"/>
    <xf numFmtId="0" fontId="34" fillId="3" borderId="19" xfId="3" applyFont="1" applyFill="1" applyBorder="1"/>
    <xf numFmtId="0" fontId="34" fillId="3" borderId="25" xfId="3" applyFont="1" applyFill="1" applyBorder="1"/>
    <xf numFmtId="0" fontId="34" fillId="3" borderId="20" xfId="3" applyFont="1" applyFill="1" applyBorder="1"/>
    <xf numFmtId="0" fontId="35" fillId="0" borderId="21" xfId="3" applyFont="1" applyBorder="1"/>
    <xf numFmtId="10" fontId="35" fillId="0" borderId="0" xfId="3" applyNumberFormat="1" applyFont="1"/>
    <xf numFmtId="9" fontId="35" fillId="0" borderId="22" xfId="3" applyNumberFormat="1" applyFont="1" applyBorder="1"/>
    <xf numFmtId="9" fontId="35" fillId="0" borderId="24" xfId="3" applyNumberFormat="1" applyFont="1" applyBorder="1"/>
    <xf numFmtId="0" fontId="34" fillId="3" borderId="21" xfId="3" applyFont="1" applyFill="1" applyBorder="1"/>
    <xf numFmtId="183" fontId="35" fillId="0" borderId="0" xfId="2" applyFont="1" applyFill="1" applyBorder="1">
      <alignment vertical="top"/>
    </xf>
    <xf numFmtId="10" fontId="35" fillId="0" borderId="0" xfId="3" applyNumberFormat="1" applyFont="1" applyAlignment="1">
      <alignment horizontal="right"/>
    </xf>
    <xf numFmtId="0" fontId="33" fillId="3" borderId="0" xfId="3" applyFont="1" applyFill="1" applyAlignment="1">
      <alignment horizontal="right" vertical="top" wrapText="1"/>
    </xf>
    <xf numFmtId="0" fontId="33" fillId="3" borderId="22" xfId="3" applyFont="1" applyFill="1" applyBorder="1" applyAlignment="1">
      <alignment horizontal="right" vertical="top" wrapText="1"/>
    </xf>
    <xf numFmtId="0" fontId="33" fillId="3" borderId="21" xfId="3" applyFont="1" applyFill="1" applyBorder="1" applyAlignment="1">
      <alignment horizontal="right" vertical="top"/>
    </xf>
    <xf numFmtId="0" fontId="33" fillId="3" borderId="22" xfId="3" applyFont="1" applyFill="1" applyBorder="1" applyAlignment="1">
      <alignment horizontal="right" vertical="top"/>
    </xf>
    <xf numFmtId="0" fontId="33" fillId="3" borderId="22" xfId="3" applyFont="1" applyFill="1" applyBorder="1" applyAlignment="1">
      <alignment horizontal="left" vertical="top" wrapText="1"/>
    </xf>
    <xf numFmtId="0" fontId="36" fillId="0" borderId="0" xfId="3" applyFont="1"/>
    <xf numFmtId="164" fontId="36" fillId="0" borderId="0" xfId="0" applyFont="1">
      <alignment vertical="top"/>
    </xf>
    <xf numFmtId="0" fontId="36" fillId="0" borderId="23" xfId="3" applyFont="1" applyBorder="1"/>
    <xf numFmtId="10" fontId="36" fillId="0" borderId="26" xfId="3" applyNumberFormat="1" applyFont="1" applyBorder="1"/>
    <xf numFmtId="10" fontId="36" fillId="0" borderId="26" xfId="3" applyNumberFormat="1" applyFont="1" applyBorder="1" applyAlignment="1">
      <alignment horizontal="right"/>
    </xf>
    <xf numFmtId="0" fontId="32" fillId="0" borderId="0" xfId="3" applyFont="1" applyAlignment="1">
      <alignment wrapText="1"/>
    </xf>
    <xf numFmtId="0" fontId="36" fillId="0" borderId="0" xfId="3" applyFont="1" applyAlignment="1">
      <alignment horizontal="left" vertical="top" wrapText="1"/>
    </xf>
    <xf numFmtId="10" fontId="36" fillId="0" borderId="0" xfId="3" applyNumberFormat="1" applyFont="1" applyAlignment="1">
      <alignment horizontal="right"/>
    </xf>
    <xf numFmtId="10" fontId="35" fillId="2" borderId="0" xfId="3" applyNumberFormat="1" applyFont="1" applyFill="1" applyAlignment="1">
      <alignment horizontal="right"/>
    </xf>
    <xf numFmtId="10" fontId="35" fillId="2" borderId="22" xfId="3" applyNumberFormat="1" applyFont="1" applyFill="1" applyBorder="1" applyAlignment="1">
      <alignment horizontal="right"/>
    </xf>
    <xf numFmtId="165" fontId="35" fillId="2" borderId="0" xfId="4" applyFont="1" applyFill="1" applyBorder="1">
      <alignment vertical="top"/>
    </xf>
    <xf numFmtId="0" fontId="36" fillId="2" borderId="25" xfId="3" applyFont="1" applyFill="1" applyBorder="1" applyAlignment="1">
      <alignment horizontal="right" vertical="top" wrapText="1"/>
    </xf>
    <xf numFmtId="0" fontId="36" fillId="0" borderId="25" xfId="3" applyFont="1" applyBorder="1" applyAlignment="1">
      <alignment horizontal="left" vertical="top" wrapText="1"/>
    </xf>
    <xf numFmtId="0" fontId="36" fillId="0" borderId="20" xfId="3" applyFont="1" applyBorder="1"/>
    <xf numFmtId="0" fontId="36" fillId="0" borderId="21" xfId="3" applyFont="1" applyBorder="1" applyAlignment="1">
      <alignment horizontal="left" vertical="top" wrapText="1"/>
    </xf>
    <xf numFmtId="0" fontId="36" fillId="0" borderId="22" xfId="3" applyFont="1" applyBorder="1"/>
    <xf numFmtId="0" fontId="32" fillId="0" borderId="22" xfId="3" applyFont="1" applyBorder="1"/>
    <xf numFmtId="10" fontId="35" fillId="0" borderId="26" xfId="3" applyNumberFormat="1" applyFont="1" applyBorder="1" applyAlignment="1">
      <alignment horizontal="right"/>
    </xf>
    <xf numFmtId="0" fontId="32" fillId="0" borderId="26" xfId="3" applyFont="1" applyBorder="1"/>
    <xf numFmtId="0" fontId="32" fillId="0" borderId="24" xfId="3" applyFont="1" applyBorder="1"/>
    <xf numFmtId="0" fontId="35" fillId="5" borderId="21" xfId="3" applyFont="1" applyFill="1" applyBorder="1"/>
    <xf numFmtId="0" fontId="36" fillId="5" borderId="0" xfId="2" applyNumberFormat="1" applyFont="1" applyFill="1" applyBorder="1">
      <alignment vertical="top"/>
    </xf>
    <xf numFmtId="0" fontId="36" fillId="5" borderId="22" xfId="2" applyNumberFormat="1" applyFont="1" applyFill="1" applyBorder="1">
      <alignment vertical="top"/>
    </xf>
    <xf numFmtId="0" fontId="36" fillId="5" borderId="19" xfId="3" applyFont="1" applyFill="1" applyBorder="1" applyAlignment="1">
      <alignment horizontal="left" vertical="top" wrapText="1"/>
    </xf>
    <xf numFmtId="164" fontId="36" fillId="0" borderId="0" xfId="0" applyFont="1" applyBorder="1">
      <alignment vertical="top"/>
    </xf>
    <xf numFmtId="164" fontId="36" fillId="0" borderId="22" xfId="0" applyFont="1" applyBorder="1">
      <alignment vertical="top"/>
    </xf>
    <xf numFmtId="165" fontId="35" fillId="0" borderId="0" xfId="4" applyFont="1" applyFill="1" applyBorder="1">
      <alignment vertical="top"/>
    </xf>
    <xf numFmtId="165" fontId="35" fillId="0" borderId="0" xfId="0" applyNumberFormat="1" applyFont="1" applyFill="1" applyBorder="1">
      <alignment vertical="top"/>
    </xf>
    <xf numFmtId="165" fontId="35" fillId="0" borderId="22" xfId="0" applyNumberFormat="1" applyFont="1" applyFill="1" applyBorder="1">
      <alignment vertical="top"/>
    </xf>
    <xf numFmtId="164" fontId="1" fillId="0" borderId="9" xfId="0" applyFont="1" applyBorder="1">
      <alignment vertical="top"/>
    </xf>
    <xf numFmtId="164" fontId="1" fillId="0" borderId="0" xfId="0" applyFont="1" applyBorder="1">
      <alignment vertical="top"/>
    </xf>
    <xf numFmtId="164" fontId="1" fillId="0" borderId="11" xfId="0" applyFont="1" applyBorder="1">
      <alignment vertical="top"/>
    </xf>
    <xf numFmtId="164" fontId="1" fillId="0" borderId="0" xfId="0" applyFont="1">
      <alignment vertical="top"/>
    </xf>
    <xf numFmtId="182" fontId="1" fillId="0" borderId="0" xfId="0" applyNumberFormat="1" applyFont="1" applyBorder="1">
      <alignment vertical="top"/>
    </xf>
    <xf numFmtId="170" fontId="1" fillId="0" borderId="0" xfId="3" applyNumberFormat="1" applyFont="1"/>
    <xf numFmtId="44" fontId="1" fillId="0" borderId="0" xfId="3" applyNumberFormat="1" applyFont="1"/>
    <xf numFmtId="164" fontId="39" fillId="0" borderId="0" xfId="0" applyFont="1" applyAlignment="1"/>
    <xf numFmtId="164" fontId="41" fillId="0" borderId="0" xfId="0" applyFont="1" applyAlignment="1"/>
    <xf numFmtId="164" fontId="39" fillId="0" borderId="0" xfId="0" applyFont="1" applyAlignment="1">
      <alignment horizontal="left"/>
    </xf>
    <xf numFmtId="164" fontId="40" fillId="0" borderId="0" xfId="0" applyFont="1" applyAlignment="1">
      <alignment horizontal="left"/>
    </xf>
    <xf numFmtId="170" fontId="39" fillId="0" borderId="0" xfId="3" applyNumberFormat="1" applyFont="1" applyAlignment="1">
      <alignment horizontal="right"/>
    </xf>
    <xf numFmtId="164" fontId="40" fillId="0" borderId="0" xfId="0" applyFont="1" applyFill="1" applyAlignment="1"/>
    <xf numFmtId="173" fontId="0" fillId="2" borderId="0" xfId="2" applyNumberFormat="1" applyFont="1" applyFill="1" applyBorder="1">
      <alignment vertical="top"/>
    </xf>
    <xf numFmtId="170" fontId="1" fillId="0" borderId="28" xfId="1" applyNumberFormat="1" applyFont="1" applyFill="1" applyBorder="1" applyAlignment="1">
      <alignment vertical="top"/>
    </xf>
    <xf numFmtId="0" fontId="1" fillId="0" borderId="29" xfId="3" applyFont="1" applyBorder="1"/>
    <xf numFmtId="0" fontId="1" fillId="0" borderId="30" xfId="3" applyFont="1" applyBorder="1"/>
    <xf numFmtId="178" fontId="1" fillId="0" borderId="11" xfId="2" applyNumberFormat="1" applyFont="1" applyFill="1" applyBorder="1">
      <alignment vertical="top"/>
    </xf>
    <xf numFmtId="170" fontId="2" fillId="0" borderId="11" xfId="1" applyNumberFormat="1" applyFont="1" applyFill="1" applyBorder="1" applyAlignment="1">
      <alignment vertical="top"/>
    </xf>
    <xf numFmtId="0" fontId="12" fillId="2" borderId="0" xfId="3" applyFont="1" applyFill="1" applyAlignment="1">
      <alignment horizontal="left"/>
    </xf>
    <xf numFmtId="164" fontId="2" fillId="0" borderId="0" xfId="0" applyFont="1" applyFill="1" applyBorder="1">
      <alignment vertical="top"/>
    </xf>
    <xf numFmtId="172" fontId="2" fillId="0" borderId="15" xfId="3" applyNumberFormat="1" applyFont="1" applyBorder="1"/>
    <xf numFmtId="0" fontId="1" fillId="0" borderId="27" xfId="3" applyFont="1" applyBorder="1" applyAlignment="1">
      <alignment horizontal="right"/>
    </xf>
    <xf numFmtId="173" fontId="1" fillId="0" borderId="27" xfId="2" applyNumberFormat="1" applyFont="1" applyFill="1" applyBorder="1">
      <alignment vertical="top"/>
    </xf>
    <xf numFmtId="170" fontId="1" fillId="0" borderId="27" xfId="1" applyNumberFormat="1" applyFont="1" applyFill="1" applyBorder="1" applyAlignment="1">
      <alignment vertical="top"/>
    </xf>
    <xf numFmtId="178" fontId="1" fillId="0" borderId="27" xfId="2" applyNumberFormat="1" applyFont="1" applyFill="1" applyBorder="1">
      <alignment vertical="top"/>
    </xf>
    <xf numFmtId="170" fontId="2" fillId="0" borderId="27" xfId="1" applyNumberFormat="1" applyFont="1" applyFill="1" applyBorder="1" applyAlignment="1">
      <alignment vertical="top"/>
    </xf>
    <xf numFmtId="164" fontId="1" fillId="0" borderId="27" xfId="0" applyFont="1" applyFill="1" applyBorder="1">
      <alignment vertical="top"/>
    </xf>
    <xf numFmtId="164" fontId="12" fillId="0" borderId="27" xfId="0" applyFont="1" applyFill="1" applyBorder="1" applyAlignment="1"/>
    <xf numFmtId="171" fontId="39" fillId="0" borderId="0" xfId="3" applyNumberFormat="1" applyFont="1"/>
    <xf numFmtId="164" fontId="14" fillId="0" borderId="0" xfId="0" applyFont="1" applyAlignment="1"/>
    <xf numFmtId="164" fontId="42" fillId="0" borderId="0" xfId="0" applyFont="1" applyAlignment="1"/>
    <xf numFmtId="164" fontId="14" fillId="0" borderId="0" xfId="0" applyFont="1" applyAlignment="1">
      <alignment horizontal="left"/>
    </xf>
    <xf numFmtId="164" fontId="12" fillId="0" borderId="0" xfId="0" applyFont="1" applyAlignment="1">
      <alignment horizontal="left"/>
    </xf>
    <xf numFmtId="164" fontId="12" fillId="0" borderId="0" xfId="0" applyFont="1" applyAlignment="1"/>
    <xf numFmtId="170" fontId="14" fillId="0" borderId="0" xfId="3" applyNumberFormat="1" applyFont="1" applyAlignment="1">
      <alignment horizontal="right"/>
    </xf>
    <xf numFmtId="164" fontId="12" fillId="0" borderId="0" xfId="0" applyFont="1" applyFill="1" applyAlignment="1"/>
    <xf numFmtId="0" fontId="4" fillId="6" borderId="0" xfId="3" applyFont="1" applyFill="1" applyAlignment="1">
      <alignment horizontal="centerContinuous"/>
    </xf>
    <xf numFmtId="164" fontId="12" fillId="2" borderId="0" xfId="0" applyFont="1" applyFill="1" applyBorder="1" applyAlignment="1">
      <alignment horizontal="centerContinuous"/>
    </xf>
    <xf numFmtId="0" fontId="1" fillId="2" borderId="9" xfId="3" applyFont="1" applyFill="1" applyBorder="1" applyAlignment="1">
      <alignment horizontal="centerContinuous"/>
    </xf>
    <xf numFmtId="0" fontId="1" fillId="2" borderId="11" xfId="3" applyFont="1" applyFill="1" applyBorder="1" applyAlignment="1">
      <alignment horizontal="centerContinuous"/>
    </xf>
    <xf numFmtId="164" fontId="1" fillId="6" borderId="9" xfId="0" applyFont="1" applyFill="1" applyBorder="1" applyAlignment="1">
      <alignment horizontal="centerContinuous" vertical="top"/>
    </xf>
    <xf numFmtId="0" fontId="1" fillId="6" borderId="11" xfId="3" applyFont="1" applyFill="1" applyBorder="1" applyAlignment="1">
      <alignment horizontal="centerContinuous"/>
    </xf>
    <xf numFmtId="164" fontId="20" fillId="0" borderId="1" xfId="0" applyFont="1" applyFill="1" applyBorder="1">
      <alignment vertical="top"/>
    </xf>
    <xf numFmtId="164" fontId="20" fillId="0" borderId="0" xfId="0" applyFont="1" applyFill="1" applyBorder="1">
      <alignment vertical="top"/>
    </xf>
    <xf numFmtId="164" fontId="26" fillId="0" borderId="15" xfId="0" applyFont="1" applyBorder="1">
      <alignment vertical="top"/>
    </xf>
    <xf numFmtId="164" fontId="1" fillId="2" borderId="9" xfId="0" applyFont="1" applyFill="1" applyBorder="1" applyAlignment="1">
      <alignment horizontal="centerContinuous" vertical="top"/>
    </xf>
    <xf numFmtId="174" fontId="17" fillId="2" borderId="0" xfId="3" applyNumberFormat="1" applyFont="1" applyFill="1"/>
    <xf numFmtId="9" fontId="1" fillId="0" borderId="27" xfId="3" applyNumberFormat="1" applyFont="1" applyBorder="1" applyAlignment="1">
      <alignment horizontal="right"/>
    </xf>
    <xf numFmtId="175" fontId="1" fillId="0" borderId="27" xfId="3" applyNumberFormat="1" applyFont="1" applyBorder="1" applyAlignment="1">
      <alignment horizontal="right"/>
    </xf>
    <xf numFmtId="10" fontId="1" fillId="0" borderId="27" xfId="3" applyNumberFormat="1" applyFont="1" applyBorder="1" applyAlignment="1">
      <alignment horizontal="right"/>
    </xf>
    <xf numFmtId="171" fontId="2" fillId="0" borderId="0" xfId="3" applyNumberFormat="1" applyFont="1"/>
    <xf numFmtId="178" fontId="1" fillId="0" borderId="9" xfId="2" applyNumberFormat="1" applyFont="1" applyFill="1" applyBorder="1">
      <alignment vertical="top"/>
    </xf>
    <xf numFmtId="170" fontId="2" fillId="0" borderId="9" xfId="1" applyNumberFormat="1" applyFont="1" applyFill="1" applyBorder="1" applyAlignment="1">
      <alignment vertical="top"/>
    </xf>
    <xf numFmtId="164" fontId="19" fillId="13" borderId="18" xfId="0" applyFont="1" applyFill="1" applyBorder="1" applyAlignment="1">
      <alignment horizontal="centerContinuous" vertical="top" wrapText="1"/>
    </xf>
    <xf numFmtId="164" fontId="15" fillId="2" borderId="9" xfId="0" applyFont="1" applyFill="1" applyBorder="1" applyAlignment="1">
      <alignment horizontal="centerContinuous" wrapText="1"/>
    </xf>
    <xf numFmtId="0" fontId="8" fillId="14" borderId="0" xfId="3" applyFont="1" applyFill="1"/>
    <xf numFmtId="0" fontId="8" fillId="15" borderId="0" xfId="3" applyFont="1" applyFill="1"/>
    <xf numFmtId="0" fontId="8" fillId="16" borderId="0" xfId="3" applyFont="1" applyFill="1"/>
    <xf numFmtId="0" fontId="8" fillId="15" borderId="5" xfId="3" applyFont="1" applyFill="1" applyBorder="1"/>
    <xf numFmtId="0" fontId="8" fillId="16" borderId="5" xfId="3" applyFont="1" applyFill="1" applyBorder="1"/>
    <xf numFmtId="0" fontId="8" fillId="0" borderId="7" xfId="3" applyFont="1" applyBorder="1" applyAlignment="1">
      <alignment horizontal="right"/>
    </xf>
    <xf numFmtId="0" fontId="8" fillId="14" borderId="5" xfId="3" applyFont="1" applyFill="1" applyBorder="1"/>
    <xf numFmtId="164" fontId="44" fillId="0" borderId="0" xfId="0" applyFont="1">
      <alignment vertical="top"/>
    </xf>
    <xf numFmtId="164" fontId="26" fillId="9" borderId="0" xfId="0" applyFont="1" applyFill="1">
      <alignment vertical="top"/>
    </xf>
    <xf numFmtId="164" fontId="43" fillId="5" borderId="0" xfId="0" applyFont="1" applyFill="1" applyBorder="1">
      <alignment vertical="top"/>
    </xf>
    <xf numFmtId="164" fontId="26" fillId="5" borderId="0" xfId="0" applyFont="1" applyFill="1">
      <alignment vertical="top"/>
    </xf>
    <xf numFmtId="164" fontId="26" fillId="14" borderId="0" xfId="0" applyFont="1" applyFill="1">
      <alignment vertical="top"/>
    </xf>
    <xf numFmtId="164" fontId="26" fillId="15" borderId="0" xfId="0" applyFont="1" applyFill="1">
      <alignment vertical="top"/>
    </xf>
    <xf numFmtId="164" fontId="26" fillId="16" borderId="0" xfId="0" applyFont="1" applyFill="1">
      <alignment vertical="top"/>
    </xf>
    <xf numFmtId="176" fontId="1" fillId="0" borderId="0" xfId="3" applyNumberFormat="1" applyFont="1" applyAlignment="1">
      <alignment horizontal="right"/>
    </xf>
    <xf numFmtId="10" fontId="1" fillId="2" borderId="0" xfId="3" applyNumberFormat="1" applyFont="1" applyFill="1" applyAlignment="1">
      <alignment horizontal="right"/>
    </xf>
    <xf numFmtId="10" fontId="1" fillId="2" borderId="11" xfId="3" applyNumberFormat="1" applyFont="1" applyFill="1" applyBorder="1" applyAlignment="1">
      <alignment horizontal="right"/>
    </xf>
    <xf numFmtId="10" fontId="1" fillId="2" borderId="9" xfId="3" applyNumberFormat="1" applyFont="1" applyFill="1" applyBorder="1" applyAlignment="1">
      <alignment horizontal="right"/>
    </xf>
    <xf numFmtId="0" fontId="27" fillId="17" borderId="0" xfId="3" applyFont="1" applyFill="1"/>
    <xf numFmtId="164" fontId="45" fillId="17" borderId="18" xfId="0" applyFont="1" applyFill="1" applyBorder="1" applyAlignment="1">
      <alignment horizontal="right" vertical="top" wrapText="1" readingOrder="1"/>
    </xf>
    <xf numFmtId="164" fontId="45" fillId="17" borderId="0" xfId="0" applyFont="1" applyFill="1" applyBorder="1" applyAlignment="1">
      <alignment horizontal="right" vertical="top" wrapText="1" readingOrder="1"/>
    </xf>
    <xf numFmtId="164" fontId="19" fillId="17" borderId="18" xfId="0" applyFont="1" applyFill="1" applyBorder="1" applyAlignment="1">
      <alignment vertical="top" wrapText="1"/>
    </xf>
    <xf numFmtId="164" fontId="19" fillId="17" borderId="18" xfId="0" applyFont="1" applyFill="1" applyBorder="1" applyAlignment="1">
      <alignment horizontal="centerContinuous" vertical="top" wrapText="1"/>
    </xf>
    <xf numFmtId="183" fontId="1" fillId="2" borderId="9" xfId="2" applyFont="1" applyFill="1" applyBorder="1">
      <alignment vertical="top"/>
    </xf>
    <xf numFmtId="164" fontId="17" fillId="2" borderId="9" xfId="0" applyFont="1" applyFill="1" applyBorder="1">
      <alignment vertical="top"/>
    </xf>
    <xf numFmtId="170" fontId="1" fillId="0" borderId="31" xfId="1" applyNumberFormat="1" applyFont="1" applyFill="1" applyBorder="1" applyAlignment="1">
      <alignment vertical="top"/>
    </xf>
    <xf numFmtId="177" fontId="1" fillId="2" borderId="9" xfId="0" applyNumberFormat="1" applyFont="1" applyFill="1" applyBorder="1">
      <alignment vertical="top"/>
    </xf>
    <xf numFmtId="177" fontId="1" fillId="2" borderId="0" xfId="0" applyNumberFormat="1" applyFont="1" applyFill="1" applyBorder="1">
      <alignment vertical="top"/>
    </xf>
    <xf numFmtId="177" fontId="1" fillId="2" borderId="11" xfId="0" applyNumberFormat="1" applyFont="1" applyFill="1" applyBorder="1">
      <alignment vertical="top"/>
    </xf>
    <xf numFmtId="177" fontId="25" fillId="0" borderId="0" xfId="0" applyNumberFormat="1" applyFont="1">
      <alignment vertical="top"/>
    </xf>
    <xf numFmtId="164" fontId="1" fillId="2" borderId="0" xfId="0" applyFont="1" applyFill="1">
      <alignment vertical="top"/>
    </xf>
    <xf numFmtId="0" fontId="34" fillId="17" borderId="0" xfId="3" applyFont="1" applyFill="1"/>
    <xf numFmtId="178" fontId="32" fillId="0" borderId="0" xfId="2" applyNumberFormat="1" applyFont="1">
      <alignment vertical="top"/>
    </xf>
    <xf numFmtId="183" fontId="32" fillId="0" borderId="0" xfId="2" applyFont="1">
      <alignment vertical="top"/>
    </xf>
    <xf numFmtId="0" fontId="30" fillId="0" borderId="2" xfId="3" applyFont="1" applyBorder="1"/>
    <xf numFmtId="178" fontId="30" fillId="0" borderId="2" xfId="2" applyNumberFormat="1" applyFont="1" applyBorder="1">
      <alignment vertical="top"/>
    </xf>
    <xf numFmtId="183" fontId="30" fillId="0" borderId="2" xfId="2" applyFont="1" applyBorder="1">
      <alignment vertical="top"/>
    </xf>
    <xf numFmtId="177" fontId="38" fillId="0" borderId="0" xfId="0" applyNumberFormat="1" applyFont="1">
      <alignment vertical="top"/>
    </xf>
    <xf numFmtId="0" fontId="38" fillId="0" borderId="0" xfId="3" applyFont="1"/>
    <xf numFmtId="182" fontId="32" fillId="0" borderId="0" xfId="0" applyNumberFormat="1" applyFont="1">
      <alignment vertical="top"/>
    </xf>
    <xf numFmtId="164" fontId="19" fillId="17" borderId="0" xfId="0" applyFont="1" applyFill="1" applyBorder="1" applyAlignment="1">
      <alignment vertical="top" wrapText="1"/>
    </xf>
    <xf numFmtId="0" fontId="46" fillId="0" borderId="0" xfId="3" applyFont="1"/>
    <xf numFmtId="0" fontId="46" fillId="0" borderId="9" xfId="3" applyFont="1" applyBorder="1" applyAlignment="1">
      <alignment horizontal="right"/>
    </xf>
    <xf numFmtId="0" fontId="47" fillId="0" borderId="0" xfId="3" applyFont="1" applyAlignment="1">
      <alignment horizontal="centerContinuous"/>
    </xf>
    <xf numFmtId="0" fontId="46" fillId="0" borderId="11" xfId="3" applyFont="1" applyBorder="1" applyAlignment="1">
      <alignment horizontal="right"/>
    </xf>
    <xf numFmtId="164" fontId="0" fillId="0" borderId="9" xfId="0" applyBorder="1">
      <alignment vertical="top"/>
    </xf>
    <xf numFmtId="164" fontId="0" fillId="6" borderId="9" xfId="0" applyFill="1" applyBorder="1" applyAlignment="1">
      <alignment horizontal="centerContinuous" vertical="top"/>
    </xf>
    <xf numFmtId="0" fontId="47" fillId="6" borderId="0" xfId="3" applyFont="1" applyFill="1" applyAlignment="1">
      <alignment horizontal="centerContinuous"/>
    </xf>
    <xf numFmtId="0" fontId="46" fillId="6" borderId="11" xfId="3" applyFont="1" applyFill="1" applyBorder="1" applyAlignment="1">
      <alignment horizontal="centerContinuous"/>
    </xf>
    <xf numFmtId="164" fontId="12" fillId="2" borderId="0" xfId="0" applyFont="1" applyFill="1" applyAlignment="1">
      <alignment horizontal="centerContinuous"/>
    </xf>
    <xf numFmtId="0" fontId="46" fillId="2" borderId="11" xfId="3" applyFont="1" applyFill="1" applyBorder="1" applyAlignment="1">
      <alignment horizontal="centerContinuous"/>
    </xf>
    <xf numFmtId="0" fontId="46" fillId="2" borderId="9" xfId="3" applyFont="1" applyFill="1" applyBorder="1" applyAlignment="1">
      <alignment horizontal="right"/>
    </xf>
    <xf numFmtId="0" fontId="46" fillId="2" borderId="0" xfId="3" applyFont="1" applyFill="1" applyAlignment="1">
      <alignment horizontal="right"/>
    </xf>
    <xf numFmtId="0" fontId="46" fillId="2" borderId="11" xfId="3" applyFont="1" applyFill="1" applyBorder="1" applyAlignment="1">
      <alignment horizontal="right"/>
    </xf>
    <xf numFmtId="9" fontId="46" fillId="2" borderId="9" xfId="3" applyNumberFormat="1" applyFont="1" applyFill="1" applyBorder="1" applyAlignment="1">
      <alignment horizontal="right"/>
    </xf>
    <xf numFmtId="9" fontId="46" fillId="2" borderId="0" xfId="3" applyNumberFormat="1" applyFont="1" applyFill="1" applyAlignment="1">
      <alignment horizontal="right"/>
    </xf>
    <xf numFmtId="9" fontId="46" fillId="2" borderId="11" xfId="3" applyNumberFormat="1" applyFont="1" applyFill="1" applyBorder="1" applyAlignment="1">
      <alignment horizontal="right"/>
    </xf>
    <xf numFmtId="9" fontId="46" fillId="0" borderId="9" xfId="3" applyNumberFormat="1" applyFont="1" applyBorder="1" applyAlignment="1">
      <alignment horizontal="right"/>
    </xf>
    <xf numFmtId="9" fontId="46" fillId="0" borderId="0" xfId="3" applyNumberFormat="1" applyFont="1" applyAlignment="1">
      <alignment horizontal="right"/>
    </xf>
    <xf numFmtId="9" fontId="46" fillId="0" borderId="11" xfId="3" applyNumberFormat="1" applyFont="1" applyBorder="1" applyAlignment="1">
      <alignment horizontal="right"/>
    </xf>
    <xf numFmtId="0" fontId="48" fillId="2" borderId="9" xfId="3" applyFont="1" applyFill="1" applyBorder="1" applyAlignment="1">
      <alignment horizontal="left"/>
    </xf>
    <xf numFmtId="0" fontId="47" fillId="2" borderId="0" xfId="3" applyFont="1" applyFill="1" applyAlignment="1">
      <alignment horizontal="centerContinuous"/>
    </xf>
    <xf numFmtId="174" fontId="49" fillId="2" borderId="9" xfId="3" applyNumberFormat="1" applyFont="1" applyFill="1" applyBorder="1" applyAlignment="1">
      <alignment horizontal="right"/>
    </xf>
    <xf numFmtId="175" fontId="49" fillId="2" borderId="0" xfId="3" applyNumberFormat="1" applyFont="1" applyFill="1" applyAlignment="1">
      <alignment horizontal="right"/>
    </xf>
    <xf numFmtId="174" fontId="49" fillId="2" borderId="0" xfId="3" applyNumberFormat="1" applyFont="1" applyFill="1" applyAlignment="1">
      <alignment horizontal="right"/>
    </xf>
    <xf numFmtId="174" fontId="49" fillId="2" borderId="11" xfId="3" applyNumberFormat="1" applyFont="1" applyFill="1" applyBorder="1" applyAlignment="1">
      <alignment horizontal="right"/>
    </xf>
    <xf numFmtId="173" fontId="0" fillId="2" borderId="9" xfId="2" applyNumberFormat="1" applyFont="1" applyFill="1" applyBorder="1">
      <alignment vertical="top"/>
    </xf>
    <xf numFmtId="173" fontId="0" fillId="2" borderId="0" xfId="2" applyNumberFormat="1" applyFont="1" applyFill="1">
      <alignment vertical="top"/>
    </xf>
    <xf numFmtId="10" fontId="46" fillId="2" borderId="9" xfId="3" applyNumberFormat="1" applyFont="1" applyFill="1" applyBorder="1" applyAlignment="1">
      <alignment horizontal="right"/>
    </xf>
    <xf numFmtId="10" fontId="46" fillId="2" borderId="0" xfId="3" applyNumberFormat="1" applyFont="1" applyFill="1" applyAlignment="1">
      <alignment horizontal="right"/>
    </xf>
    <xf numFmtId="10" fontId="46" fillId="2" borderId="11" xfId="3" applyNumberFormat="1" applyFont="1" applyFill="1" applyBorder="1" applyAlignment="1">
      <alignment horizontal="right"/>
    </xf>
    <xf numFmtId="170" fontId="0" fillId="0" borderId="10" xfId="1" applyNumberFormat="1" applyFont="1" applyBorder="1" applyAlignment="1">
      <alignment vertical="top"/>
    </xf>
    <xf numFmtId="170" fontId="0" fillId="0" borderId="2" xfId="1" applyNumberFormat="1" applyFont="1" applyBorder="1" applyAlignment="1">
      <alignment vertical="top"/>
    </xf>
    <xf numFmtId="170" fontId="0" fillId="0" borderId="9" xfId="1" applyNumberFormat="1" applyFont="1" applyBorder="1" applyAlignment="1">
      <alignment vertical="top"/>
    </xf>
    <xf numFmtId="178" fontId="0" fillId="2" borderId="9" xfId="2" applyNumberFormat="1" applyFont="1" applyFill="1" applyBorder="1">
      <alignment vertical="top"/>
    </xf>
    <xf numFmtId="178" fontId="0" fillId="2" borderId="0" xfId="2" applyNumberFormat="1" applyFont="1" applyFill="1">
      <alignment vertical="top"/>
    </xf>
    <xf numFmtId="178" fontId="0" fillId="2" borderId="11" xfId="2" applyNumberFormat="1" applyFont="1" applyFill="1" applyBorder="1">
      <alignment vertical="top"/>
    </xf>
    <xf numFmtId="170" fontId="2" fillId="0" borderId="10" xfId="1" applyNumberFormat="1" applyFont="1" applyBorder="1" applyAlignment="1">
      <alignment vertical="top"/>
    </xf>
    <xf numFmtId="170" fontId="2" fillId="0" borderId="2" xfId="1" applyNumberFormat="1" applyFont="1" applyBorder="1" applyAlignment="1">
      <alignment vertical="top"/>
    </xf>
    <xf numFmtId="170" fontId="2" fillId="0" borderId="12" xfId="1" applyNumberFormat="1" applyFont="1" applyBorder="1" applyAlignment="1">
      <alignment vertical="top"/>
    </xf>
    <xf numFmtId="164" fontId="0" fillId="0" borderId="2" xfId="0" applyBorder="1">
      <alignment vertical="top"/>
    </xf>
    <xf numFmtId="170" fontId="50" fillId="0" borderId="1" xfId="3" applyNumberFormat="1" applyFont="1" applyBorder="1" applyAlignment="1">
      <alignment horizontal="right"/>
    </xf>
    <xf numFmtId="170" fontId="50" fillId="0" borderId="0" xfId="3" applyNumberFormat="1" applyFont="1" applyAlignment="1">
      <alignment horizontal="right"/>
    </xf>
    <xf numFmtId="164" fontId="2" fillId="0" borderId="15" xfId="0" applyFont="1" applyBorder="1">
      <alignment vertical="top"/>
    </xf>
    <xf numFmtId="171" fontId="50" fillId="0" borderId="15" xfId="3" applyNumberFormat="1" applyFont="1" applyBorder="1"/>
    <xf numFmtId="0" fontId="50" fillId="4" borderId="0" xfId="3" applyFont="1" applyFill="1"/>
    <xf numFmtId="182" fontId="1" fillId="2" borderId="9" xfId="0" applyNumberFormat="1" applyFont="1" applyFill="1" applyBorder="1">
      <alignment vertical="top"/>
    </xf>
    <xf numFmtId="182" fontId="2" fillId="0" borderId="0" xfId="0" applyNumberFormat="1" applyFont="1">
      <alignment vertical="top"/>
    </xf>
    <xf numFmtId="182" fontId="6" fillId="0" borderId="0" xfId="0" applyNumberFormat="1" applyFont="1">
      <alignment vertical="top"/>
    </xf>
    <xf numFmtId="182" fontId="1" fillId="2" borderId="0" xfId="0" applyNumberFormat="1" applyFont="1" applyFill="1" applyBorder="1">
      <alignment vertical="top"/>
    </xf>
    <xf numFmtId="182" fontId="1" fillId="2" borderId="11" xfId="0" applyNumberFormat="1" applyFont="1" applyFill="1" applyBorder="1">
      <alignment vertical="top"/>
    </xf>
    <xf numFmtId="182" fontId="1" fillId="0" borderId="0" xfId="0" applyNumberFormat="1" applyFont="1" applyFill="1">
      <alignment vertical="top"/>
    </xf>
    <xf numFmtId="182" fontId="1" fillId="0" borderId="27" xfId="0" applyNumberFormat="1" applyFont="1" applyFill="1" applyBorder="1">
      <alignment vertical="top"/>
    </xf>
    <xf numFmtId="182" fontId="1" fillId="0" borderId="9" xfId="0" applyNumberFormat="1" applyFont="1" applyFill="1" applyBorder="1">
      <alignment vertical="top"/>
    </xf>
    <xf numFmtId="182" fontId="0" fillId="2" borderId="9" xfId="0" applyNumberFormat="1" applyFill="1" applyBorder="1">
      <alignment vertical="top"/>
    </xf>
    <xf numFmtId="182" fontId="0" fillId="2" borderId="0" xfId="0" applyNumberFormat="1" applyFill="1">
      <alignment vertical="top"/>
    </xf>
    <xf numFmtId="182" fontId="0" fillId="2" borderId="11" xfId="0" applyNumberFormat="1" applyFill="1" applyBorder="1">
      <alignment vertical="top"/>
    </xf>
    <xf numFmtId="164" fontId="52" fillId="17" borderId="18" xfId="0" applyFont="1" applyFill="1" applyBorder="1" applyAlignment="1">
      <alignment horizontal="centerContinuous" vertical="top" wrapText="1"/>
    </xf>
    <xf numFmtId="184" fontId="25" fillId="0" borderId="0" xfId="3" applyNumberFormat="1" applyFont="1"/>
    <xf numFmtId="4" fontId="25" fillId="0" borderId="0" xfId="3" applyNumberFormat="1" applyFont="1"/>
    <xf numFmtId="184" fontId="25" fillId="6" borderId="0" xfId="3" applyNumberFormat="1" applyFont="1" applyFill="1"/>
    <xf numFmtId="4" fontId="25" fillId="6" borderId="0" xfId="3" applyNumberFormat="1" applyFont="1" applyFill="1"/>
    <xf numFmtId="0" fontId="28" fillId="3" borderId="0" xfId="3" applyFont="1" applyFill="1" applyAlignment="1">
      <alignment horizontal="right" vertical="top" wrapText="1"/>
    </xf>
    <xf numFmtId="0" fontId="25" fillId="0" borderId="0" xfId="3" applyFont="1" applyAlignment="1">
      <alignment vertical="top" wrapText="1"/>
    </xf>
    <xf numFmtId="0" fontId="27" fillId="3" borderId="0" xfId="3" applyFont="1" applyFill="1" applyAlignment="1">
      <alignment vertical="top" wrapText="1"/>
    </xf>
    <xf numFmtId="173" fontId="54" fillId="0" borderId="0" xfId="2" applyNumberFormat="1" applyFont="1">
      <alignment vertical="top"/>
    </xf>
    <xf numFmtId="164" fontId="23" fillId="0" borderId="1" xfId="0" applyFont="1" applyBorder="1">
      <alignment vertical="top"/>
    </xf>
    <xf numFmtId="0" fontId="27" fillId="3" borderId="0" xfId="3" applyFont="1" applyFill="1" applyAlignment="1">
      <alignment vertical="top"/>
    </xf>
    <xf numFmtId="10" fontId="35" fillId="0" borderId="20" xfId="3" applyNumberFormat="1" applyFont="1" applyBorder="1"/>
    <xf numFmtId="10" fontId="36" fillId="0" borderId="24" xfId="3" applyNumberFormat="1" applyFont="1" applyBorder="1"/>
    <xf numFmtId="9" fontId="35" fillId="0" borderId="33" xfId="3" applyNumberFormat="1" applyFont="1" applyBorder="1"/>
    <xf numFmtId="9" fontId="35" fillId="0" borderId="32" xfId="3" applyNumberFormat="1" applyFont="1" applyBorder="1"/>
    <xf numFmtId="164" fontId="26" fillId="10" borderId="0" xfId="0" applyFont="1" applyFill="1" applyAlignment="1">
      <alignment horizontal="right" vertical="top" readingOrder="1"/>
    </xf>
    <xf numFmtId="177" fontId="0" fillId="2" borderId="9" xfId="0" applyNumberFormat="1" applyFill="1" applyBorder="1">
      <alignment vertical="top"/>
    </xf>
    <xf numFmtId="177" fontId="0" fillId="2" borderId="0" xfId="0" applyNumberFormat="1" applyFill="1">
      <alignment vertical="top"/>
    </xf>
    <xf numFmtId="177" fontId="0" fillId="2" borderId="11" xfId="0" applyNumberFormat="1" applyFill="1" applyBorder="1">
      <alignment vertical="top"/>
    </xf>
    <xf numFmtId="164" fontId="0" fillId="0" borderId="10" xfId="0" applyBorder="1">
      <alignment vertical="top"/>
    </xf>
    <xf numFmtId="173" fontId="0" fillId="0" borderId="9" xfId="2" applyNumberFormat="1" applyFont="1" applyBorder="1">
      <alignment vertical="top"/>
    </xf>
    <xf numFmtId="0" fontId="2" fillId="4" borderId="0" xfId="3" applyFont="1" applyFill="1"/>
    <xf numFmtId="182" fontId="0" fillId="0" borderId="0" xfId="0" applyNumberFormat="1">
      <alignment vertical="top"/>
    </xf>
    <xf numFmtId="0" fontId="55" fillId="7" borderId="0" xfId="3" applyFont="1" applyFill="1"/>
    <xf numFmtId="170" fontId="57" fillId="0" borderId="0" xfId="3" applyNumberFormat="1" applyFont="1" applyAlignment="1">
      <alignment horizontal="right"/>
    </xf>
    <xf numFmtId="170" fontId="58" fillId="0" borderId="0" xfId="3" applyNumberFormat="1" applyFont="1" applyAlignment="1">
      <alignment horizontal="right"/>
    </xf>
    <xf numFmtId="9" fontId="56" fillId="0" borderId="0" xfId="3" applyNumberFormat="1" applyFont="1" applyAlignment="1">
      <alignment horizontal="right"/>
    </xf>
    <xf numFmtId="10" fontId="56" fillId="0" borderId="0" xfId="3" applyNumberFormat="1" applyFont="1" applyAlignment="1">
      <alignment horizontal="right"/>
    </xf>
    <xf numFmtId="170" fontId="56" fillId="0" borderId="0" xfId="3" applyNumberFormat="1" applyFont="1" applyAlignment="1">
      <alignment horizontal="right"/>
    </xf>
    <xf numFmtId="170" fontId="58" fillId="0" borderId="0" xfId="3" applyNumberFormat="1" applyFont="1"/>
    <xf numFmtId="0" fontId="56" fillId="0" borderId="0" xfId="3" applyFont="1" applyAlignment="1">
      <alignment horizontal="right"/>
    </xf>
    <xf numFmtId="178" fontId="25" fillId="2" borderId="0" xfId="2" applyNumberFormat="1" applyFont="1" applyFill="1">
      <alignment vertical="top"/>
    </xf>
    <xf numFmtId="176" fontId="25" fillId="2" borderId="0" xfId="3" applyNumberFormat="1" applyFont="1" applyFill="1"/>
    <xf numFmtId="9" fontId="59" fillId="0" borderId="1" xfId="0" applyNumberFormat="1" applyFont="1" applyFill="1" applyBorder="1" applyAlignment="1">
      <alignment horizontal="right" vertical="top" readingOrder="1"/>
    </xf>
    <xf numFmtId="9" fontId="59" fillId="0" borderId="0" xfId="2" applyNumberFormat="1" applyFont="1" applyFill="1" applyBorder="1">
      <alignment vertical="top"/>
    </xf>
    <xf numFmtId="9" fontId="59" fillId="0" borderId="0" xfId="0" applyNumberFormat="1" applyFont="1" applyFill="1" applyBorder="1" applyAlignment="1">
      <alignment horizontal="right" vertical="top" readingOrder="1"/>
    </xf>
    <xf numFmtId="9" fontId="59" fillId="0" borderId="15" xfId="0" applyNumberFormat="1" applyFont="1" applyFill="1" applyBorder="1" applyAlignment="1">
      <alignment horizontal="right" vertical="top" readingOrder="1"/>
    </xf>
    <xf numFmtId="0" fontId="23" fillId="0" borderId="2" xfId="3" applyFont="1" applyBorder="1"/>
    <xf numFmtId="178" fontId="23" fillId="0" borderId="2" xfId="2" applyNumberFormat="1" applyFont="1" applyBorder="1">
      <alignment vertical="top"/>
    </xf>
    <xf numFmtId="173" fontId="26" fillId="0" borderId="0" xfId="2" applyNumberFormat="1" applyFont="1" applyFill="1" applyBorder="1">
      <alignment vertical="top"/>
    </xf>
    <xf numFmtId="9" fontId="26" fillId="10" borderId="1" xfId="0" applyNumberFormat="1" applyFont="1" applyFill="1" applyBorder="1" applyAlignment="1">
      <alignment horizontal="right" vertical="top" readingOrder="1"/>
    </xf>
    <xf numFmtId="9" fontId="26" fillId="10" borderId="0" xfId="0" applyNumberFormat="1" applyFont="1" applyFill="1" applyBorder="1" applyAlignment="1">
      <alignment horizontal="right" vertical="top" readingOrder="1"/>
    </xf>
    <xf numFmtId="9" fontId="26" fillId="10" borderId="15" xfId="0" applyNumberFormat="1" applyFont="1" applyFill="1" applyBorder="1" applyAlignment="1">
      <alignment horizontal="right" vertical="top" readingOrder="1"/>
    </xf>
    <xf numFmtId="9" fontId="26" fillId="0" borderId="0" xfId="2" applyNumberFormat="1" applyFont="1" applyFill="1">
      <alignment vertical="top"/>
    </xf>
    <xf numFmtId="9" fontId="26" fillId="0" borderId="0" xfId="3" applyNumberFormat="1" applyFont="1"/>
    <xf numFmtId="9" fontId="26" fillId="0" borderId="0" xfId="0" applyNumberFormat="1" applyFont="1" applyFill="1" applyBorder="1" applyAlignment="1">
      <alignment horizontal="right" vertical="top" readingOrder="1"/>
    </xf>
    <xf numFmtId="9" fontId="26" fillId="0" borderId="15" xfId="0" applyNumberFormat="1" applyFont="1" applyFill="1" applyBorder="1" applyAlignment="1">
      <alignment horizontal="right" vertical="top" readingOrder="1"/>
    </xf>
    <xf numFmtId="9" fontId="26" fillId="0" borderId="1" xfId="0" applyNumberFormat="1" applyFont="1" applyFill="1" applyBorder="1" applyAlignment="1">
      <alignment horizontal="right" vertical="top" readingOrder="1"/>
    </xf>
    <xf numFmtId="9" fontId="26" fillId="10" borderId="0" xfId="0" applyNumberFormat="1" applyFont="1" applyFill="1" applyAlignment="1">
      <alignment horizontal="right" vertical="top" readingOrder="1"/>
    </xf>
    <xf numFmtId="9" fontId="26" fillId="0" borderId="0" xfId="2" applyNumberFormat="1" applyFont="1" applyFill="1" applyBorder="1">
      <alignment vertical="top"/>
    </xf>
    <xf numFmtId="9" fontId="26" fillId="0" borderId="0" xfId="2" applyNumberFormat="1" applyFont="1">
      <alignment vertical="top"/>
    </xf>
    <xf numFmtId="9" fontId="25" fillId="0" borderId="0" xfId="3" applyNumberFormat="1" applyFont="1"/>
    <xf numFmtId="9" fontId="26" fillId="0" borderId="1" xfId="2" applyNumberFormat="1" applyFont="1" applyFill="1" applyBorder="1">
      <alignment vertical="top"/>
    </xf>
    <xf numFmtId="9" fontId="59" fillId="0" borderId="15" xfId="2" applyNumberFormat="1" applyFont="1" applyFill="1" applyBorder="1">
      <alignment vertical="top"/>
    </xf>
    <xf numFmtId="9" fontId="59" fillId="0" borderId="1" xfId="2" applyNumberFormat="1" applyFont="1" applyFill="1" applyBorder="1">
      <alignment vertical="top"/>
    </xf>
    <xf numFmtId="9" fontId="26" fillId="10" borderId="34" xfId="0" applyNumberFormat="1" applyFont="1" applyFill="1" applyBorder="1" applyAlignment="1">
      <alignment horizontal="right" vertical="top" readingOrder="1"/>
    </xf>
    <xf numFmtId="0" fontId="53" fillId="18" borderId="10" xfId="3" applyFont="1" applyFill="1" applyBorder="1" applyAlignment="1">
      <alignment horizontal="centerContinuous"/>
    </xf>
    <xf numFmtId="0" fontId="53" fillId="18" borderId="2" xfId="3" applyFont="1" applyFill="1" applyBorder="1" applyAlignment="1">
      <alignment horizontal="centerContinuous"/>
    </xf>
    <xf numFmtId="0" fontId="53" fillId="18" borderId="12" xfId="3" applyFont="1" applyFill="1" applyBorder="1" applyAlignment="1">
      <alignment horizontal="centerContinuous"/>
    </xf>
    <xf numFmtId="0" fontId="53" fillId="19" borderId="10" xfId="3" applyFont="1" applyFill="1" applyBorder="1" applyAlignment="1">
      <alignment horizontal="centerContinuous"/>
    </xf>
    <xf numFmtId="0" fontId="53" fillId="19" borderId="2" xfId="3" applyFont="1" applyFill="1" applyBorder="1" applyAlignment="1">
      <alignment horizontal="centerContinuous"/>
    </xf>
    <xf numFmtId="0" fontId="53" fillId="19" borderId="12" xfId="3" applyFont="1" applyFill="1" applyBorder="1" applyAlignment="1">
      <alignment horizontal="centerContinuous"/>
    </xf>
    <xf numFmtId="0" fontId="53" fillId="20" borderId="10" xfId="3" applyFont="1" applyFill="1" applyBorder="1" applyAlignment="1">
      <alignment horizontal="centerContinuous"/>
    </xf>
    <xf numFmtId="0" fontId="53" fillId="20" borderId="2" xfId="3" applyFont="1" applyFill="1" applyBorder="1" applyAlignment="1">
      <alignment horizontal="centerContinuous"/>
    </xf>
    <xf numFmtId="0" fontId="53" fillId="20" borderId="12" xfId="3" applyFont="1" applyFill="1" applyBorder="1" applyAlignment="1">
      <alignment horizontal="centerContinuous"/>
    </xf>
    <xf numFmtId="164" fontId="60" fillId="14" borderId="0" xfId="0" applyFont="1" applyFill="1">
      <alignment vertical="top"/>
    </xf>
    <xf numFmtId="0" fontId="53" fillId="21" borderId="10" xfId="3" applyFont="1" applyFill="1" applyBorder="1" applyAlignment="1">
      <alignment horizontal="centerContinuous"/>
    </xf>
    <xf numFmtId="0" fontId="53" fillId="21" borderId="2" xfId="3" applyFont="1" applyFill="1" applyBorder="1" applyAlignment="1">
      <alignment horizontal="centerContinuous"/>
    </xf>
    <xf numFmtId="0" fontId="53" fillId="21" borderId="12" xfId="3" applyFont="1" applyFill="1" applyBorder="1" applyAlignment="1">
      <alignment horizontal="centerContinuous"/>
    </xf>
    <xf numFmtId="173" fontId="26" fillId="0" borderId="15" xfId="2" applyNumberFormat="1" applyFont="1" applyFill="1" applyBorder="1">
      <alignment vertical="top"/>
    </xf>
    <xf numFmtId="164" fontId="25" fillId="0" borderId="15" xfId="0" applyFont="1" applyFill="1" applyBorder="1">
      <alignment vertical="top"/>
    </xf>
    <xf numFmtId="9" fontId="26" fillId="0" borderId="15" xfId="2" applyNumberFormat="1" applyFont="1" applyFill="1" applyBorder="1">
      <alignment vertical="top"/>
    </xf>
    <xf numFmtId="171" fontId="51" fillId="0" borderId="15" xfId="3" applyNumberFormat="1" applyFont="1" applyBorder="1" applyAlignment="1">
      <alignment horizontal="center"/>
    </xf>
    <xf numFmtId="177" fontId="1" fillId="0" borderId="11" xfId="0" applyNumberFormat="1" applyFont="1" applyFill="1" applyBorder="1">
      <alignment vertical="top"/>
    </xf>
    <xf numFmtId="177" fontId="1" fillId="0" borderId="27" xfId="0" applyNumberFormat="1" applyFont="1" applyFill="1" applyBorder="1">
      <alignment vertical="top"/>
    </xf>
    <xf numFmtId="177" fontId="1" fillId="0" borderId="9" xfId="0" applyNumberFormat="1" applyFont="1" applyFill="1" applyBorder="1">
      <alignment vertical="top"/>
    </xf>
    <xf numFmtId="10" fontId="35" fillId="2" borderId="26" xfId="3" applyNumberFormat="1" applyFont="1" applyFill="1" applyBorder="1" applyAlignment="1">
      <alignment horizontal="right"/>
    </xf>
    <xf numFmtId="164" fontId="62" fillId="24" borderId="37" xfId="0" applyFont="1" applyFill="1" applyBorder="1" applyAlignment="1">
      <alignment horizontal="left" vertical="center" wrapText="1" readingOrder="1"/>
    </xf>
    <xf numFmtId="164" fontId="62" fillId="23" borderId="37" xfId="0" applyFont="1" applyFill="1" applyBorder="1" applyAlignment="1">
      <alignment horizontal="left" vertical="center" readingOrder="1"/>
    </xf>
    <xf numFmtId="164" fontId="62" fillId="24" borderId="37" xfId="0" applyFont="1" applyFill="1" applyBorder="1" applyAlignment="1">
      <alignment horizontal="left" vertical="center" readingOrder="1"/>
    </xf>
    <xf numFmtId="164" fontId="63" fillId="23" borderId="35" xfId="0" applyFont="1" applyFill="1" applyBorder="1" applyAlignment="1">
      <alignment horizontal="left" vertical="center" readingOrder="1"/>
    </xf>
    <xf numFmtId="164" fontId="63" fillId="0" borderId="35" xfId="0" applyFont="1" applyBorder="1" applyAlignment="1">
      <alignment horizontal="left" vertical="center" readingOrder="1"/>
    </xf>
    <xf numFmtId="164" fontId="63" fillId="0" borderId="35" xfId="0" applyFont="1" applyBorder="1" applyAlignment="1">
      <alignment horizontal="left" vertical="center" wrapText="1" readingOrder="1"/>
    </xf>
    <xf numFmtId="173" fontId="35" fillId="0" borderId="0" xfId="2" applyNumberFormat="1" applyFont="1" applyAlignment="1">
      <alignment horizontal="right" vertical="top"/>
    </xf>
    <xf numFmtId="164" fontId="61" fillId="22" borderId="35" xfId="0" applyFont="1" applyFill="1" applyBorder="1" applyAlignment="1">
      <alignment horizontal="right" vertical="center" readingOrder="1"/>
    </xf>
    <xf numFmtId="164" fontId="61" fillId="22" borderId="38" xfId="0" applyFont="1" applyFill="1" applyBorder="1" applyAlignment="1">
      <alignment horizontal="right" vertical="center" readingOrder="1"/>
    </xf>
    <xf numFmtId="164" fontId="63" fillId="23" borderId="35" xfId="0" applyFont="1" applyFill="1" applyBorder="1" applyAlignment="1">
      <alignment horizontal="right" vertical="center" readingOrder="1"/>
    </xf>
    <xf numFmtId="164" fontId="63" fillId="23" borderId="38" xfId="0" applyFont="1" applyFill="1" applyBorder="1" applyAlignment="1">
      <alignment horizontal="right" vertical="center" readingOrder="1"/>
    </xf>
    <xf numFmtId="164" fontId="63" fillId="23" borderId="36" xfId="0" applyFont="1" applyFill="1" applyBorder="1" applyAlignment="1">
      <alignment horizontal="right" vertical="center" readingOrder="1"/>
    </xf>
    <xf numFmtId="171" fontId="26" fillId="0" borderId="0" xfId="2" applyNumberFormat="1" applyFont="1" applyFill="1">
      <alignment vertical="top"/>
    </xf>
    <xf numFmtId="171" fontId="26" fillId="0" borderId="0" xfId="2" applyNumberFormat="1" applyFont="1" applyFill="1" applyBorder="1">
      <alignment vertical="top"/>
    </xf>
    <xf numFmtId="181" fontId="26" fillId="0" borderId="0" xfId="2" applyNumberFormat="1" applyFont="1" applyFill="1" applyBorder="1">
      <alignment vertical="top"/>
    </xf>
    <xf numFmtId="181" fontId="26" fillId="0" borderId="0" xfId="2" applyNumberFormat="1" applyFont="1" applyFill="1">
      <alignment vertical="top"/>
    </xf>
    <xf numFmtId="181" fontId="26" fillId="0" borderId="0" xfId="1" applyNumberFormat="1" applyFont="1" applyFill="1" applyAlignment="1">
      <alignment horizontal="right" vertical="top" readingOrder="1"/>
    </xf>
    <xf numFmtId="171" fontId="26" fillId="0" borderId="0" xfId="0" applyNumberFormat="1" applyFont="1" applyFill="1" applyAlignment="1">
      <alignment horizontal="right" vertical="top" readingOrder="1"/>
    </xf>
    <xf numFmtId="185" fontId="63" fillId="0" borderId="35" xfId="0" applyNumberFormat="1" applyFont="1" applyBorder="1" applyAlignment="1">
      <alignment horizontal="right" vertical="center" readingOrder="1"/>
    </xf>
    <xf numFmtId="185" fontId="63" fillId="0" borderId="38" xfId="0" applyNumberFormat="1" applyFont="1" applyBorder="1" applyAlignment="1">
      <alignment horizontal="right" vertical="center" readingOrder="1"/>
    </xf>
    <xf numFmtId="164" fontId="61" fillId="22" borderId="36" xfId="0" applyFont="1" applyFill="1" applyBorder="1">
      <alignment vertical="top"/>
    </xf>
    <xf numFmtId="164" fontId="63" fillId="23" borderId="36" xfId="0" applyFont="1" applyFill="1" applyBorder="1">
      <alignment vertical="top"/>
    </xf>
    <xf numFmtId="164" fontId="63" fillId="0" borderId="36" xfId="0" applyFont="1" applyBorder="1">
      <alignment vertical="top"/>
    </xf>
    <xf numFmtId="164" fontId="61" fillId="22" borderId="38" xfId="0" applyFont="1" applyFill="1" applyBorder="1" applyAlignment="1">
      <alignment horizontal="right" vertical="center" wrapText="1" readingOrder="1"/>
    </xf>
    <xf numFmtId="164" fontId="61" fillId="22" borderId="35" xfId="0" applyFont="1" applyFill="1" applyBorder="1" applyAlignment="1">
      <alignment horizontal="left" vertical="top" readingOrder="1"/>
    </xf>
    <xf numFmtId="164" fontId="61" fillId="22" borderId="38" xfId="0" applyFont="1" applyFill="1" applyBorder="1" applyAlignment="1">
      <alignment horizontal="left" vertical="top" readingOrder="1"/>
    </xf>
    <xf numFmtId="164" fontId="61" fillId="22" borderId="35" xfId="0" applyFont="1" applyFill="1" applyBorder="1" applyAlignment="1">
      <alignment horizontal="right" vertical="top" readingOrder="1"/>
    </xf>
    <xf numFmtId="164" fontId="61" fillId="22" borderId="38" xfId="0" applyFont="1" applyFill="1" applyBorder="1" applyAlignment="1">
      <alignment horizontal="right" vertical="top" readingOrder="1"/>
    </xf>
    <xf numFmtId="164" fontId="26" fillId="10" borderId="38" xfId="0" applyFont="1" applyFill="1" applyBorder="1" applyAlignment="1">
      <alignment horizontal="right" vertical="top" readingOrder="1"/>
    </xf>
    <xf numFmtId="164" fontId="26" fillId="10" borderId="35" xfId="0" applyFont="1" applyFill="1" applyBorder="1" applyAlignment="1">
      <alignment horizontal="right" vertical="top" readingOrder="1"/>
    </xf>
    <xf numFmtId="164" fontId="63" fillId="23" borderId="39" xfId="0" applyFont="1" applyFill="1" applyBorder="1" applyAlignment="1">
      <alignment horizontal="right" vertical="center" readingOrder="1"/>
    </xf>
    <xf numFmtId="164" fontId="63" fillId="23" borderId="43" xfId="0" applyFont="1" applyFill="1" applyBorder="1" applyAlignment="1">
      <alignment horizontal="right" vertical="center" readingOrder="1"/>
    </xf>
    <xf numFmtId="164" fontId="26" fillId="10" borderId="36" xfId="0" applyFont="1" applyFill="1" applyBorder="1" applyAlignment="1">
      <alignment horizontal="right" vertical="top" readingOrder="1"/>
    </xf>
    <xf numFmtId="164" fontId="60" fillId="10" borderId="36" xfId="0" applyFont="1" applyFill="1" applyBorder="1" applyAlignment="1">
      <alignment horizontal="right" vertical="top" readingOrder="1"/>
    </xf>
    <xf numFmtId="164" fontId="65" fillId="22" borderId="35" xfId="0" applyFont="1" applyFill="1" applyBorder="1" applyAlignment="1">
      <alignment horizontal="right" vertical="center" wrapText="1" readingOrder="1"/>
    </xf>
    <xf numFmtId="173" fontId="32" fillId="0" borderId="0" xfId="3" applyNumberFormat="1" applyFont="1" applyAlignment="1">
      <alignment horizontal="right"/>
    </xf>
    <xf numFmtId="173" fontId="32" fillId="0" borderId="0" xfId="3" applyNumberFormat="1" applyFont="1"/>
    <xf numFmtId="173" fontId="32" fillId="0" borderId="0" xfId="2" applyNumberFormat="1" applyFont="1">
      <alignment vertical="top"/>
    </xf>
    <xf numFmtId="0" fontId="32" fillId="9" borderId="0" xfId="3" applyFont="1" applyFill="1"/>
    <xf numFmtId="164" fontId="32" fillId="9" borderId="0" xfId="0" applyFont="1" applyFill="1">
      <alignment vertical="top"/>
    </xf>
    <xf numFmtId="9" fontId="32" fillId="2" borderId="0" xfId="3" applyNumberFormat="1" applyFont="1" applyFill="1"/>
    <xf numFmtId="185" fontId="63" fillId="0" borderId="41" xfId="0" applyNumberFormat="1" applyFont="1" applyBorder="1" applyAlignment="1">
      <alignment horizontal="right" vertical="center" readingOrder="1"/>
    </xf>
    <xf numFmtId="185" fontId="63" fillId="0" borderId="42" xfId="0" applyNumberFormat="1" applyFont="1" applyBorder="1" applyAlignment="1">
      <alignment horizontal="right" vertical="center" readingOrder="1"/>
    </xf>
    <xf numFmtId="164" fontId="63" fillId="23" borderId="41" xfId="0" applyFont="1" applyFill="1" applyBorder="1" applyAlignment="1">
      <alignment horizontal="right" vertical="center" readingOrder="1"/>
    </xf>
    <xf numFmtId="164" fontId="61" fillId="22" borderId="36" xfId="0" applyFont="1" applyFill="1" applyBorder="1" applyAlignment="1">
      <alignment horizontal="right" vertical="center" readingOrder="1"/>
    </xf>
    <xf numFmtId="164" fontId="61" fillId="22" borderId="36" xfId="0" applyFont="1" applyFill="1" applyBorder="1" applyAlignment="1">
      <alignment horizontal="right" vertical="center" wrapText="1" readingOrder="1"/>
    </xf>
    <xf numFmtId="174" fontId="17" fillId="2" borderId="9" xfId="0" applyNumberFormat="1" applyFont="1" applyFill="1" applyBorder="1">
      <alignment vertical="top"/>
    </xf>
    <xf numFmtId="0" fontId="0" fillId="0" borderId="0" xfId="3" applyFont="1"/>
    <xf numFmtId="185" fontId="63" fillId="0" borderId="35" xfId="0" applyNumberFormat="1" applyFont="1" applyFill="1" applyBorder="1" applyAlignment="1">
      <alignment horizontal="right" vertical="center" readingOrder="1"/>
    </xf>
    <xf numFmtId="185" fontId="63" fillId="0" borderId="38" xfId="0" applyNumberFormat="1" applyFont="1" applyFill="1" applyBorder="1" applyAlignment="1">
      <alignment horizontal="right" vertical="center" readingOrder="1"/>
    </xf>
    <xf numFmtId="185" fontId="63" fillId="0" borderId="42" xfId="0" applyNumberFormat="1" applyFont="1" applyFill="1" applyBorder="1" applyAlignment="1">
      <alignment horizontal="right" vertical="center" readingOrder="1"/>
    </xf>
    <xf numFmtId="185" fontId="63" fillId="0" borderId="41" xfId="0" applyNumberFormat="1" applyFont="1" applyFill="1" applyBorder="1" applyAlignment="1">
      <alignment horizontal="right" vertical="center" readingOrder="1"/>
    </xf>
    <xf numFmtId="9" fontId="32" fillId="2" borderId="2" xfId="3" applyNumberFormat="1" applyFont="1" applyFill="1" applyBorder="1" applyAlignment="1">
      <alignment vertical="top"/>
    </xf>
    <xf numFmtId="8" fontId="1" fillId="2" borderId="0" xfId="3" applyNumberFormat="1" applyFont="1" applyFill="1"/>
    <xf numFmtId="164" fontId="61" fillId="22" borderId="36" xfId="0" applyFont="1" applyFill="1" applyBorder="1" applyAlignment="1">
      <alignment horizontal="right" vertical="top" readingOrder="1"/>
    </xf>
    <xf numFmtId="164" fontId="67" fillId="0" borderId="35" xfId="0" applyFont="1" applyBorder="1" applyAlignment="1">
      <alignment horizontal="left" vertical="center" readingOrder="1"/>
    </xf>
    <xf numFmtId="164" fontId="67" fillId="0" borderId="36" xfId="0" applyFont="1" applyBorder="1">
      <alignment vertical="top"/>
    </xf>
    <xf numFmtId="173" fontId="1" fillId="0" borderId="0" xfId="2" applyNumberFormat="1" applyFont="1" applyFill="1" applyBorder="1">
      <alignment vertical="top"/>
    </xf>
    <xf numFmtId="164" fontId="63" fillId="23" borderId="38" xfId="0" applyFont="1" applyFill="1" applyBorder="1" applyAlignment="1">
      <alignment horizontal="left" vertical="center" readingOrder="1"/>
    </xf>
    <xf numFmtId="185" fontId="63" fillId="0" borderId="39" xfId="0" applyNumberFormat="1" applyFont="1" applyBorder="1" applyAlignment="1">
      <alignment horizontal="right" vertical="center" readingOrder="1"/>
    </xf>
    <xf numFmtId="164" fontId="63" fillId="23" borderId="40" xfId="0" applyFont="1" applyFill="1" applyBorder="1" applyAlignment="1">
      <alignment horizontal="right" vertical="center" readingOrder="1"/>
    </xf>
    <xf numFmtId="164" fontId="62" fillId="24" borderId="35" xfId="0" applyFont="1" applyFill="1" applyBorder="1" applyAlignment="1">
      <alignment horizontal="left" vertical="center" readingOrder="1"/>
    </xf>
    <xf numFmtId="164" fontId="63" fillId="0" borderId="39" xfId="0" applyFont="1" applyBorder="1" applyAlignment="1">
      <alignment horizontal="left" vertical="center" readingOrder="1"/>
    </xf>
    <xf numFmtId="185" fontId="63" fillId="0" borderId="47" xfId="0" applyNumberFormat="1" applyFont="1" applyBorder="1" applyAlignment="1">
      <alignment horizontal="right" vertical="center" readingOrder="1"/>
    </xf>
    <xf numFmtId="164" fontId="63" fillId="0" borderId="45" xfId="0" applyFont="1" applyBorder="1" applyAlignment="1">
      <alignment horizontal="left" vertical="center" readingOrder="1"/>
    </xf>
    <xf numFmtId="164" fontId="63" fillId="23" borderId="44" xfId="0" applyFont="1" applyFill="1" applyBorder="1" applyAlignment="1">
      <alignment horizontal="left" vertical="center" readingOrder="1"/>
    </xf>
    <xf numFmtId="164" fontId="63" fillId="0" borderId="38" xfId="0" applyFont="1" applyBorder="1" applyAlignment="1">
      <alignment horizontal="left" vertical="center" readingOrder="1"/>
    </xf>
    <xf numFmtId="164" fontId="62" fillId="23" borderId="48" xfId="0" applyFont="1" applyFill="1" applyBorder="1" applyAlignment="1">
      <alignment horizontal="left" vertical="center" readingOrder="1"/>
    </xf>
    <xf numFmtId="164" fontId="62" fillId="24" borderId="48" xfId="0" applyFont="1" applyFill="1" applyBorder="1" applyAlignment="1">
      <alignment horizontal="left" vertical="center" readingOrder="1"/>
    </xf>
    <xf numFmtId="164" fontId="63" fillId="0" borderId="40" xfId="0" applyFont="1" applyBorder="1" applyAlignment="1">
      <alignment horizontal="left" vertical="center" readingOrder="1"/>
    </xf>
    <xf numFmtId="164" fontId="63" fillId="23" borderId="46" xfId="0" applyFont="1" applyFill="1" applyBorder="1" applyAlignment="1">
      <alignment horizontal="left" vertical="center" readingOrder="1"/>
    </xf>
    <xf numFmtId="164" fontId="63" fillId="0" borderId="44" xfId="0" applyFont="1" applyBorder="1" applyAlignment="1">
      <alignment horizontal="left" vertical="center" readingOrder="1"/>
    </xf>
    <xf numFmtId="164" fontId="63" fillId="23" borderId="49" xfId="0" applyFont="1" applyFill="1" applyBorder="1" applyAlignment="1">
      <alignment horizontal="left" vertical="center" readingOrder="1"/>
    </xf>
    <xf numFmtId="164" fontId="63" fillId="0" borderId="50" xfId="0" applyFont="1" applyBorder="1" applyAlignment="1">
      <alignment horizontal="left" vertical="center" readingOrder="1"/>
    </xf>
    <xf numFmtId="164" fontId="1" fillId="0" borderId="11" xfId="0" applyFont="1" applyBorder="1" applyAlignment="1"/>
    <xf numFmtId="9" fontId="17" fillId="0" borderId="0" xfId="3" applyNumberFormat="1" applyFont="1" applyAlignment="1">
      <alignment horizontal="right"/>
    </xf>
    <xf numFmtId="182" fontId="1" fillId="0" borderId="0" xfId="0" applyNumberFormat="1" applyFont="1" applyFill="1" applyBorder="1">
      <alignment vertical="top"/>
    </xf>
    <xf numFmtId="170" fontId="2" fillId="0" borderId="10" xfId="3" applyNumberFormat="1" applyFont="1" applyBorder="1"/>
    <xf numFmtId="170" fontId="2" fillId="0" borderId="2" xfId="3" applyNumberFormat="1" applyFont="1" applyBorder="1"/>
    <xf numFmtId="170" fontId="2" fillId="0" borderId="12" xfId="3" applyNumberFormat="1" applyFont="1" applyBorder="1"/>
    <xf numFmtId="0" fontId="1" fillId="0" borderId="11" xfId="3" applyFont="1" applyBorder="1"/>
    <xf numFmtId="0" fontId="1" fillId="0" borderId="15" xfId="3" applyFont="1" applyBorder="1"/>
    <xf numFmtId="0" fontId="1" fillId="0" borderId="1" xfId="3" applyFont="1" applyBorder="1" applyAlignment="1">
      <alignment horizontal="right"/>
    </xf>
    <xf numFmtId="10" fontId="1" fillId="2" borderId="15" xfId="3" applyNumberFormat="1" applyFont="1" applyFill="1" applyBorder="1" applyAlignment="1">
      <alignment horizontal="right"/>
    </xf>
    <xf numFmtId="179" fontId="1" fillId="0" borderId="15" xfId="3" applyNumberFormat="1" applyFont="1" applyBorder="1"/>
    <xf numFmtId="181" fontId="1" fillId="0" borderId="2" xfId="3" applyNumberFormat="1" applyFont="1" applyBorder="1" applyAlignment="1">
      <alignment horizontal="right"/>
    </xf>
    <xf numFmtId="176" fontId="1" fillId="0" borderId="17" xfId="3" applyNumberFormat="1" applyFont="1" applyBorder="1" applyAlignment="1">
      <alignment horizontal="right"/>
    </xf>
    <xf numFmtId="173" fontId="1" fillId="0" borderId="17" xfId="2" applyNumberFormat="1" applyFont="1" applyFill="1" applyBorder="1">
      <alignment vertical="top"/>
    </xf>
    <xf numFmtId="169" fontId="2" fillId="0" borderId="1" xfId="3" applyNumberFormat="1" applyFont="1" applyBorder="1" applyAlignment="1">
      <alignment horizontal="right"/>
    </xf>
    <xf numFmtId="169" fontId="2" fillId="0" borderId="2" xfId="3" applyNumberFormat="1" applyFont="1" applyBorder="1" applyAlignment="1">
      <alignment horizontal="right"/>
    </xf>
    <xf numFmtId="169" fontId="2" fillId="0" borderId="14" xfId="3" applyNumberFormat="1" applyFont="1" applyBorder="1" applyAlignment="1">
      <alignment horizontal="right"/>
    </xf>
    <xf numFmtId="0" fontId="1" fillId="0" borderId="9" xfId="3" applyFont="1" applyBorder="1"/>
    <xf numFmtId="0" fontId="1" fillId="0" borderId="1" xfId="3" applyFont="1" applyBorder="1"/>
    <xf numFmtId="0" fontId="53" fillId="25" borderId="10" xfId="3" applyFont="1" applyFill="1" applyBorder="1" applyAlignment="1">
      <alignment horizontal="centerContinuous"/>
    </xf>
    <xf numFmtId="0" fontId="53" fillId="25" borderId="2" xfId="3" applyFont="1" applyFill="1" applyBorder="1" applyAlignment="1">
      <alignment horizontal="centerContinuous"/>
    </xf>
    <xf numFmtId="0" fontId="53" fillId="25" borderId="12" xfId="3" applyFont="1" applyFill="1" applyBorder="1" applyAlignment="1">
      <alignment horizontal="centerContinuous"/>
    </xf>
    <xf numFmtId="0" fontId="1" fillId="6" borderId="0" xfId="3" applyFont="1" applyFill="1" applyAlignment="1">
      <alignment horizontal="centerContinuous"/>
    </xf>
    <xf numFmtId="0" fontId="1" fillId="2" borderId="0" xfId="3" applyFont="1" applyFill="1" applyAlignment="1">
      <alignment horizontal="centerContinuous"/>
    </xf>
    <xf numFmtId="179" fontId="1" fillId="0" borderId="0" xfId="3" applyNumberFormat="1" applyFont="1"/>
    <xf numFmtId="170" fontId="0" fillId="0" borderId="0" xfId="1" applyNumberFormat="1" applyFont="1" applyBorder="1" applyAlignment="1">
      <alignment vertical="top"/>
    </xf>
    <xf numFmtId="164" fontId="0" fillId="0" borderId="0" xfId="0" applyBorder="1">
      <alignment vertical="top"/>
    </xf>
    <xf numFmtId="173" fontId="0" fillId="0" borderId="0" xfId="2" applyNumberFormat="1" applyFont="1" applyBorder="1">
      <alignment vertical="top"/>
    </xf>
    <xf numFmtId="173" fontId="1" fillId="0" borderId="0" xfId="2" applyNumberFormat="1" applyFont="1" applyBorder="1">
      <alignment vertical="top"/>
    </xf>
    <xf numFmtId="164" fontId="0" fillId="2" borderId="0" xfId="0" applyFill="1" applyBorder="1">
      <alignment vertical="top"/>
    </xf>
    <xf numFmtId="178" fontId="0" fillId="2" borderId="0" xfId="2" applyNumberFormat="1" applyFont="1" applyFill="1" applyBorder="1">
      <alignment vertical="top"/>
    </xf>
    <xf numFmtId="177" fontId="0" fillId="2" borderId="0" xfId="0" applyNumberFormat="1" applyFill="1" applyBorder="1">
      <alignment vertical="top"/>
    </xf>
    <xf numFmtId="0" fontId="53" fillId="20" borderId="0" xfId="3" applyFont="1" applyFill="1" applyAlignment="1">
      <alignment horizontal="centerContinuous"/>
    </xf>
    <xf numFmtId="164" fontId="68" fillId="0" borderId="35" xfId="0" applyFont="1" applyBorder="1" applyAlignment="1">
      <alignment horizontal="left" vertical="center" readingOrder="1"/>
    </xf>
    <xf numFmtId="164" fontId="68" fillId="0" borderId="36" xfId="0" applyFont="1" applyBorder="1">
      <alignment vertical="top"/>
    </xf>
    <xf numFmtId="164" fontId="68" fillId="0" borderId="35" xfId="0" applyFont="1" applyBorder="1" applyAlignment="1">
      <alignment horizontal="left" vertical="center" wrapText="1" readingOrder="1"/>
    </xf>
    <xf numFmtId="185" fontId="68" fillId="0" borderId="35" xfId="0" applyNumberFormat="1" applyFont="1" applyFill="1" applyBorder="1" applyAlignment="1">
      <alignment horizontal="right" vertical="center" readingOrder="1"/>
    </xf>
    <xf numFmtId="185" fontId="68" fillId="0" borderId="38" xfId="0" applyNumberFormat="1" applyFont="1" applyFill="1" applyBorder="1" applyAlignment="1">
      <alignment horizontal="right" vertical="center" readingOrder="1"/>
    </xf>
    <xf numFmtId="164" fontId="69" fillId="10" borderId="36" xfId="0" applyFont="1" applyFill="1" applyBorder="1" applyAlignment="1">
      <alignment horizontal="right" vertical="top" readingOrder="1"/>
    </xf>
    <xf numFmtId="164" fontId="69" fillId="10" borderId="35" xfId="0" applyFont="1" applyFill="1" applyBorder="1" applyAlignment="1">
      <alignment horizontal="right" vertical="top" readingOrder="1"/>
    </xf>
    <xf numFmtId="171" fontId="2" fillId="0" borderId="15" xfId="3" applyNumberFormat="1" applyFont="1" applyBorder="1" applyAlignment="1">
      <alignment horizontal="centerContinuous"/>
    </xf>
    <xf numFmtId="171" fontId="2" fillId="0" borderId="17" xfId="3" applyNumberFormat="1" applyFont="1" applyBorder="1" applyAlignment="1">
      <alignment horizontal="centerContinuous"/>
    </xf>
    <xf numFmtId="164" fontId="70" fillId="0" borderId="0" xfId="9">
      <alignment vertical="top"/>
    </xf>
    <xf numFmtId="164" fontId="70" fillId="26" borderId="51" xfId="9" applyFill="1" applyBorder="1">
      <alignment vertical="top"/>
    </xf>
    <xf numFmtId="164" fontId="70" fillId="16" borderId="51" xfId="9" applyFill="1" applyBorder="1">
      <alignment vertical="top"/>
    </xf>
    <xf numFmtId="164" fontId="70" fillId="27" borderId="51" xfId="9" applyFill="1" applyBorder="1">
      <alignment vertical="top"/>
    </xf>
    <xf numFmtId="186" fontId="32" fillId="0" borderId="0" xfId="3" applyNumberFormat="1" applyFont="1"/>
    <xf numFmtId="164" fontId="70" fillId="26" borderId="51" xfId="9" applyFill="1" applyBorder="1" applyAlignment="1">
      <alignment vertical="top" wrapText="1"/>
    </xf>
    <xf numFmtId="44" fontId="70" fillId="16" borderId="51" xfId="9" applyNumberFormat="1" applyFill="1" applyBorder="1">
      <alignment vertical="top"/>
    </xf>
    <xf numFmtId="164" fontId="70" fillId="26" borderId="51" xfId="9" applyFill="1" applyBorder="1" applyAlignment="1">
      <alignment horizontal="right" vertical="top"/>
    </xf>
    <xf numFmtId="164" fontId="71" fillId="16" borderId="51" xfId="9" applyFont="1" applyFill="1" applyBorder="1">
      <alignment vertical="top"/>
    </xf>
    <xf numFmtId="0" fontId="70" fillId="16" borderId="51" xfId="9" applyNumberFormat="1" applyFill="1" applyBorder="1">
      <alignment vertical="top"/>
    </xf>
    <xf numFmtId="170" fontId="71" fillId="16" borderId="51" xfId="9" applyNumberFormat="1" applyFont="1" applyFill="1" applyBorder="1">
      <alignment vertical="top"/>
    </xf>
    <xf numFmtId="170" fontId="70" fillId="16" borderId="51" xfId="9" applyNumberFormat="1" applyFont="1" applyFill="1" applyBorder="1">
      <alignment vertical="top"/>
    </xf>
    <xf numFmtId="9" fontId="26" fillId="0" borderId="0" xfId="0" applyNumberFormat="1" applyFont="1" applyFill="1" applyAlignment="1">
      <alignment horizontal="right" vertical="top" readingOrder="1"/>
    </xf>
    <xf numFmtId="164" fontId="63" fillId="0" borderId="43" xfId="0" applyFont="1" applyFill="1" applyBorder="1" applyAlignment="1">
      <alignment horizontal="left" vertical="center" readingOrder="1"/>
    </xf>
    <xf numFmtId="9" fontId="26" fillId="0" borderId="0" xfId="3" applyNumberFormat="1" applyFont="1" applyAlignment="1">
      <alignment horizontal="right"/>
    </xf>
    <xf numFmtId="173" fontId="26" fillId="0" borderId="1" xfId="3" applyNumberFormat="1" applyFont="1" applyBorder="1"/>
    <xf numFmtId="9" fontId="26" fillId="0" borderId="15" xfId="3" applyNumberFormat="1" applyFont="1" applyBorder="1" applyAlignment="1">
      <alignment horizontal="right"/>
    </xf>
    <xf numFmtId="9" fontId="26" fillId="0" borderId="15" xfId="3" applyNumberFormat="1" applyFont="1" applyBorder="1"/>
    <xf numFmtId="170" fontId="0" fillId="0" borderId="2" xfId="1" applyNumberFormat="1" applyFont="1" applyFill="1" applyBorder="1" applyAlignment="1">
      <alignment vertical="top"/>
    </xf>
    <xf numFmtId="170" fontId="0" fillId="0" borderId="12" xfId="1" applyNumberFormat="1" applyFont="1" applyFill="1" applyBorder="1" applyAlignment="1">
      <alignment vertical="top"/>
    </xf>
    <xf numFmtId="164" fontId="0" fillId="6" borderId="9" xfId="0" applyFont="1" applyFill="1" applyBorder="1" applyAlignment="1">
      <alignment horizontal="centerContinuous" vertical="top"/>
    </xf>
    <xf numFmtId="171" fontId="26" fillId="0" borderId="0" xfId="3" applyNumberFormat="1" applyFont="1"/>
    <xf numFmtId="183" fontId="36" fillId="0" borderId="2" xfId="2" applyFont="1" applyFill="1" applyBorder="1">
      <alignment vertical="top"/>
    </xf>
    <xf numFmtId="0" fontId="36" fillId="0" borderId="2" xfId="3" applyFont="1" applyBorder="1" applyAlignment="1">
      <alignment horizontal="left" vertical="top" wrapText="1"/>
    </xf>
    <xf numFmtId="0" fontId="36" fillId="0" borderId="52" xfId="3" applyFont="1" applyBorder="1"/>
    <xf numFmtId="183" fontId="36" fillId="2" borderId="0" xfId="2" applyFont="1" applyFill="1" applyBorder="1">
      <alignment vertical="top"/>
    </xf>
    <xf numFmtId="0" fontId="36" fillId="0" borderId="53" xfId="3" applyFont="1" applyBorder="1" applyAlignment="1">
      <alignment horizontal="left" vertical="top" wrapText="1"/>
    </xf>
    <xf numFmtId="0" fontId="36" fillId="0" borderId="21" xfId="3" applyFont="1" applyBorder="1" applyAlignment="1">
      <alignment horizontal="left" vertical="top"/>
    </xf>
    <xf numFmtId="164" fontId="72" fillId="0" borderId="2" xfId="0" applyFont="1" applyBorder="1">
      <alignment vertical="top"/>
    </xf>
    <xf numFmtId="164" fontId="72" fillId="0" borderId="26" xfId="0" applyFont="1" applyBorder="1">
      <alignment vertical="top"/>
    </xf>
    <xf numFmtId="0" fontId="35" fillId="0" borderId="0" xfId="3" applyFont="1"/>
    <xf numFmtId="0" fontId="73" fillId="0" borderId="23" xfId="3" applyFont="1" applyBorder="1"/>
    <xf numFmtId="0" fontId="36" fillId="0" borderId="0" xfId="3" applyFont="1" applyAlignment="1">
      <alignment horizontal="left" vertical="top"/>
    </xf>
    <xf numFmtId="164" fontId="74" fillId="0" borderId="0" xfId="0" applyFont="1" applyFill="1">
      <alignment vertical="top"/>
    </xf>
    <xf numFmtId="164" fontId="75" fillId="0" borderId="0" xfId="0" applyFont="1" applyFill="1">
      <alignment vertical="top"/>
    </xf>
    <xf numFmtId="171" fontId="69" fillId="0" borderId="0" xfId="2" applyNumberFormat="1" applyFont="1" applyFill="1">
      <alignment vertical="top"/>
    </xf>
    <xf numFmtId="171" fontId="69" fillId="0" borderId="0" xfId="2" applyNumberFormat="1" applyFont="1" applyFill="1" applyBorder="1">
      <alignment vertical="top"/>
    </xf>
    <xf numFmtId="181" fontId="69" fillId="0" borderId="0" xfId="2" applyNumberFormat="1" applyFont="1" applyFill="1" applyBorder="1">
      <alignment vertical="top"/>
    </xf>
    <xf numFmtId="181" fontId="69" fillId="0" borderId="0" xfId="2" applyNumberFormat="1" applyFont="1" applyFill="1">
      <alignment vertical="top"/>
    </xf>
    <xf numFmtId="181" fontId="69" fillId="0" borderId="0" xfId="1" applyNumberFormat="1" applyFont="1" applyFill="1" applyAlignment="1">
      <alignment horizontal="right" vertical="top" readingOrder="1"/>
    </xf>
    <xf numFmtId="164" fontId="69" fillId="10" borderId="0" xfId="0" applyFont="1" applyFill="1" applyAlignment="1">
      <alignment horizontal="right" vertical="top" readingOrder="1"/>
    </xf>
    <xf numFmtId="171" fontId="69" fillId="0" borderId="0" xfId="0" applyNumberFormat="1" applyFont="1" applyFill="1" applyAlignment="1">
      <alignment horizontal="right" vertical="top" readingOrder="1"/>
    </xf>
    <xf numFmtId="171" fontId="69" fillId="9" borderId="0" xfId="2" applyNumberFormat="1" applyFont="1" applyFill="1">
      <alignment vertical="top"/>
    </xf>
    <xf numFmtId="171" fontId="69" fillId="9" borderId="0" xfId="3" applyNumberFormat="1" applyFont="1" applyFill="1"/>
    <xf numFmtId="181" fontId="69" fillId="9" borderId="0" xfId="2" applyNumberFormat="1" applyFont="1" applyFill="1">
      <alignment vertical="top"/>
    </xf>
    <xf numFmtId="181" fontId="69" fillId="9" borderId="0" xfId="1" applyNumberFormat="1" applyFont="1" applyFill="1" applyAlignment="1">
      <alignment horizontal="right" vertical="top" readingOrder="1"/>
    </xf>
    <xf numFmtId="171" fontId="69" fillId="0" borderId="0" xfId="3" applyNumberFormat="1" applyFont="1"/>
    <xf numFmtId="164" fontId="19" fillId="17" borderId="18" xfId="0" applyFont="1" applyFill="1" applyBorder="1" applyAlignment="1">
      <alignment horizontal="left" vertical="top" wrapText="1"/>
    </xf>
    <xf numFmtId="164" fontId="19" fillId="17" borderId="0" xfId="0" applyFont="1" applyFill="1" applyBorder="1" applyAlignment="1">
      <alignment horizontal="left" vertical="top" wrapText="1"/>
    </xf>
    <xf numFmtId="164" fontId="61" fillId="23" borderId="35" xfId="0" applyFont="1" applyFill="1" applyBorder="1" applyAlignment="1">
      <alignment horizontal="center" vertical="center" readingOrder="1"/>
    </xf>
    <xf numFmtId="164" fontId="61" fillId="23" borderId="38" xfId="0" applyFont="1" applyFill="1" applyBorder="1" applyAlignment="1">
      <alignment horizontal="center" vertical="center" readingOrder="1"/>
    </xf>
    <xf numFmtId="164" fontId="61" fillId="23" borderId="42" xfId="0" applyFont="1" applyFill="1" applyBorder="1" applyAlignment="1">
      <alignment horizontal="center" vertical="center" readingOrder="1"/>
    </xf>
    <xf numFmtId="171" fontId="68" fillId="0" borderId="35" xfId="0" applyNumberFormat="1" applyFont="1" applyFill="1" applyBorder="1" applyAlignment="1">
      <alignment horizontal="center" vertical="center" readingOrder="1"/>
    </xf>
    <xf numFmtId="185" fontId="68" fillId="0" borderId="38" xfId="0" applyNumberFormat="1" applyFont="1" applyFill="1" applyBorder="1" applyAlignment="1">
      <alignment horizontal="center" vertical="center" readingOrder="1"/>
    </xf>
    <xf numFmtId="185" fontId="68" fillId="0" borderId="36" xfId="0" applyNumberFormat="1" applyFont="1" applyFill="1" applyBorder="1" applyAlignment="1">
      <alignment horizontal="center" vertical="center" readingOrder="1"/>
    </xf>
    <xf numFmtId="171" fontId="64" fillId="0" borderId="35" xfId="0" applyNumberFormat="1" applyFont="1" applyBorder="1" applyAlignment="1">
      <alignment horizontal="center" vertical="center" readingOrder="1"/>
    </xf>
    <xf numFmtId="185" fontId="63" fillId="0" borderId="38" xfId="0" applyNumberFormat="1" applyFont="1" applyBorder="1" applyAlignment="1">
      <alignment horizontal="center" vertical="center" readingOrder="1"/>
    </xf>
    <xf numFmtId="185" fontId="63" fillId="0" borderId="36" xfId="0" applyNumberFormat="1" applyFont="1" applyBorder="1" applyAlignment="1">
      <alignment horizontal="center" vertical="center" readingOrder="1"/>
    </xf>
    <xf numFmtId="164" fontId="61" fillId="22" borderId="35" xfId="0" applyFont="1" applyFill="1" applyBorder="1" applyAlignment="1">
      <alignment horizontal="left" vertical="center" readingOrder="1"/>
    </xf>
    <xf numFmtId="164" fontId="61" fillId="23" borderId="40" xfId="0" applyFont="1" applyFill="1" applyBorder="1" applyAlignment="1">
      <alignment horizontal="center" vertical="center" readingOrder="1"/>
    </xf>
    <xf numFmtId="164" fontId="61" fillId="23" borderId="44" xfId="0" applyFont="1" applyFill="1" applyBorder="1" applyAlignment="1">
      <alignment horizontal="center" vertical="center" readingOrder="1"/>
    </xf>
    <xf numFmtId="164" fontId="61" fillId="22" borderId="35" xfId="0" applyFont="1" applyFill="1" applyBorder="1" applyAlignment="1">
      <alignment horizontal="left" vertical="center" wrapText="1" readingOrder="1"/>
    </xf>
    <xf numFmtId="164" fontId="61" fillId="22" borderId="35" xfId="0" applyFont="1" applyFill="1" applyBorder="1" applyAlignment="1">
      <alignment horizontal="center" vertical="center" readingOrder="1"/>
    </xf>
    <xf numFmtId="164" fontId="61" fillId="22" borderId="38" xfId="0" applyFont="1" applyFill="1" applyBorder="1" applyAlignment="1">
      <alignment horizontal="center" vertical="center" readingOrder="1"/>
    </xf>
    <xf numFmtId="164" fontId="61" fillId="22" borderId="36" xfId="0" applyFont="1" applyFill="1" applyBorder="1" applyAlignment="1">
      <alignment horizontal="center" vertical="center" readingOrder="1"/>
    </xf>
    <xf numFmtId="0" fontId="32" fillId="0" borderId="0" xfId="3" applyFont="1" applyAlignment="1">
      <alignment horizontal="left" wrapText="1"/>
    </xf>
    <xf numFmtId="0" fontId="36" fillId="0" borderId="0" xfId="3" applyFont="1" applyAlignment="1">
      <alignment horizontal="left" vertical="top" wrapText="1"/>
    </xf>
    <xf numFmtId="171" fontId="66" fillId="0" borderId="35" xfId="0" applyNumberFormat="1" applyFont="1" applyFill="1" applyBorder="1" applyAlignment="1">
      <alignment horizontal="center" vertical="center" readingOrder="1"/>
    </xf>
    <xf numFmtId="185" fontId="66" fillId="0" borderId="38" xfId="0" applyNumberFormat="1" applyFont="1" applyFill="1" applyBorder="1" applyAlignment="1">
      <alignment horizontal="center" vertical="center" readingOrder="1"/>
    </xf>
    <xf numFmtId="185" fontId="66" fillId="0" borderId="36" xfId="0" applyNumberFormat="1" applyFont="1" applyFill="1" applyBorder="1" applyAlignment="1">
      <alignment horizontal="center" vertical="center" readingOrder="1"/>
    </xf>
    <xf numFmtId="164" fontId="63" fillId="0" borderId="41" xfId="0" applyFont="1" applyFill="1" applyBorder="1" applyAlignment="1">
      <alignment vertical="center"/>
    </xf>
    <xf numFmtId="164" fontId="63" fillId="0" borderId="42" xfId="0" applyFont="1" applyFill="1" applyBorder="1" applyAlignment="1">
      <alignment vertical="center"/>
    </xf>
    <xf numFmtId="171" fontId="64" fillId="0" borderId="35" xfId="0" applyNumberFormat="1" applyFont="1" applyFill="1" applyBorder="1" applyAlignment="1">
      <alignment horizontal="center" vertical="center" readingOrder="1"/>
    </xf>
    <xf numFmtId="185" fontId="63" fillId="0" borderId="38" xfId="0" applyNumberFormat="1" applyFont="1" applyFill="1" applyBorder="1" applyAlignment="1">
      <alignment horizontal="center" vertical="center" readingOrder="1"/>
    </xf>
    <xf numFmtId="185" fontId="63" fillId="0" borderId="36" xfId="0" applyNumberFormat="1" applyFont="1" applyFill="1" applyBorder="1" applyAlignment="1">
      <alignment horizontal="center" vertical="center" readingOrder="1"/>
    </xf>
    <xf numFmtId="164" fontId="61" fillId="22" borderId="35" xfId="0" applyFont="1" applyFill="1" applyBorder="1" applyAlignment="1">
      <alignment horizontal="left" vertical="top" readingOrder="1"/>
    </xf>
    <xf numFmtId="164" fontId="61" fillId="22" borderId="38" xfId="0" applyFont="1" applyFill="1" applyBorder="1" applyAlignment="1">
      <alignment horizontal="left" vertical="top" readingOrder="1"/>
    </xf>
    <xf numFmtId="185" fontId="63" fillId="0" borderId="39" xfId="0" applyNumberFormat="1" applyFont="1" applyBorder="1" applyAlignment="1">
      <alignment horizontal="center" vertical="center" readingOrder="1"/>
    </xf>
    <xf numFmtId="185" fontId="63" fillId="0" borderId="40" xfId="0" applyNumberFormat="1" applyFont="1" applyBorder="1" applyAlignment="1">
      <alignment horizontal="center" vertical="center" readingOrder="1"/>
    </xf>
    <xf numFmtId="185" fontId="63" fillId="0" borderId="43" xfId="0" applyNumberFormat="1" applyFont="1" applyBorder="1" applyAlignment="1">
      <alignment horizontal="center" vertical="center" readingOrder="1"/>
    </xf>
    <xf numFmtId="185" fontId="63" fillId="0" borderId="44" xfId="0" applyNumberFormat="1" applyFont="1" applyBorder="1" applyAlignment="1">
      <alignment horizontal="center" vertical="center" readingOrder="1"/>
    </xf>
    <xf numFmtId="185" fontId="63" fillId="0" borderId="41" xfId="0" applyNumberFormat="1" applyFont="1" applyBorder="1" applyAlignment="1">
      <alignment horizontal="center" vertical="center" readingOrder="1"/>
    </xf>
    <xf numFmtId="185" fontId="63" fillId="0" borderId="42" xfId="0" applyNumberFormat="1" applyFont="1" applyBorder="1" applyAlignment="1">
      <alignment horizontal="center" vertical="center" readingOrder="1"/>
    </xf>
  </cellXfs>
  <cellStyles count="15">
    <cellStyle name="DateLong" xfId="5" xr:uid="{82830E1C-BD3E-4CA8-88B2-EF2992A30E3B}"/>
    <cellStyle name="DateLong 2" xfId="12" xr:uid="{AA31CECE-B3C4-4D12-AA87-40D1D7FEE6E8}"/>
    <cellStyle name="DateShort" xfId="6" xr:uid="{06BBF83B-DD28-4434-8964-D892B279245A}"/>
    <cellStyle name="DateShort 2" xfId="13" xr:uid="{36F252A9-ACDE-4498-A802-9E22FB236306}"/>
    <cellStyle name="Factor" xfId="4" xr:uid="{2124D35C-E40D-48E8-B65F-081CB7F203E1}"/>
    <cellStyle name="Factor 2" xfId="11" xr:uid="{29CAE875-A10D-4E05-95C7-109DD5D8D76B}"/>
    <cellStyle name="ff_DateShort" xfId="8" xr:uid="{B0427B23-774B-43E2-9506-34DDAB2CEF5D}"/>
    <cellStyle name="Normal 2" xfId="3" xr:uid="{39C8F0A5-B567-442F-8DF5-AEA5D93052BC}"/>
    <cellStyle name="Normal 3" xfId="9" xr:uid="{6047CD4A-DFBD-4EB3-981A-7AE4206AD708}"/>
    <cellStyle name="Percent 2" xfId="10" xr:uid="{D443CF5D-3FA9-4485-B7BB-A192A027A077}"/>
    <cellStyle name="Procent" xfId="2" builtinId="5" customBuiltin="1"/>
    <cellStyle name="Standaard" xfId="0" builtinId="0" customBuiltin="1"/>
    <cellStyle name="Valuta" xfId="1" builtinId="4"/>
    <cellStyle name="Year" xfId="7" xr:uid="{A6015CB1-E2F9-4CF6-A69D-171C89795746}"/>
    <cellStyle name="Year 2" xfId="14" xr:uid="{2FF22A1F-2A6C-4C38-BB65-5C46EE2F3CCE}"/>
  </cellStyles>
  <dxfs count="2">
    <dxf>
      <fill>
        <patternFill>
          <bgColor rgb="FFFF0000"/>
        </patternFill>
      </fill>
    </dxf>
    <dxf>
      <fill>
        <patternFill>
          <bgColor rgb="FFFF0000"/>
        </patternFill>
      </fill>
    </dxf>
  </dxfs>
  <tableStyles count="0" defaultTableStyle="TableStyleMedium2" defaultPivotStyle="PivotStyleLight16"/>
  <colors>
    <mruColors>
      <color rgb="FFA5A5A5"/>
      <color rgb="FF20887E"/>
      <color rgb="FF3289A4"/>
      <color rgb="FF256579"/>
      <color rgb="FF000000"/>
      <color rgb="FF2AB4A8"/>
      <color rgb="FFFFFFAF"/>
      <color rgb="FFE63329"/>
      <color rgb="FF59B1CC"/>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2229970</xdr:colOff>
      <xdr:row>59</xdr:row>
      <xdr:rowOff>33618</xdr:rowOff>
    </xdr:from>
    <xdr:to>
      <xdr:col>5</xdr:col>
      <xdr:colOff>27902</xdr:colOff>
      <xdr:row>63</xdr:row>
      <xdr:rowOff>141868</xdr:rowOff>
    </xdr:to>
    <xdr:sp macro="" textlink="">
      <xdr:nvSpPr>
        <xdr:cNvPr id="2" name="Left Brace 1">
          <a:extLst>
            <a:ext uri="{FF2B5EF4-FFF2-40B4-BE49-F238E27FC236}">
              <a16:creationId xmlns:a16="http://schemas.microsoft.com/office/drawing/2014/main" id="{0367E124-EE03-4B7F-A64D-ADC73DF603B1}"/>
            </a:ext>
          </a:extLst>
        </xdr:cNvPr>
        <xdr:cNvSpPr/>
      </xdr:nvSpPr>
      <xdr:spPr>
        <a:xfrm>
          <a:off x="2465294" y="12360089"/>
          <a:ext cx="364079" cy="870250"/>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409018</xdr:colOff>
      <xdr:row>76</xdr:row>
      <xdr:rowOff>104117</xdr:rowOff>
    </xdr:from>
    <xdr:to>
      <xdr:col>18</xdr:col>
      <xdr:colOff>288884</xdr:colOff>
      <xdr:row>78</xdr:row>
      <xdr:rowOff>140513</xdr:rowOff>
    </xdr:to>
    <xdr:sp macro="" textlink="">
      <xdr:nvSpPr>
        <xdr:cNvPr id="14" name="Arrow: Right 3">
          <a:extLst>
            <a:ext uri="{FF2B5EF4-FFF2-40B4-BE49-F238E27FC236}">
              <a16:creationId xmlns:a16="http://schemas.microsoft.com/office/drawing/2014/main" id="{7E6CFBC2-A3E9-14E9-A452-C6EDFA469761}"/>
            </a:ext>
          </a:extLst>
        </xdr:cNvPr>
        <xdr:cNvSpPr/>
      </xdr:nvSpPr>
      <xdr:spPr>
        <a:xfrm rot="923381">
          <a:off x="5786561" y="16443574"/>
          <a:ext cx="8784380" cy="471825"/>
        </a:xfrm>
        <a:prstGeom prst="rightArrow">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43</xdr:row>
      <xdr:rowOff>125729</xdr:rowOff>
    </xdr:from>
    <xdr:to>
      <xdr:col>10</xdr:col>
      <xdr:colOff>729615</xdr:colOff>
      <xdr:row>44</xdr:row>
      <xdr:rowOff>120970</xdr:rowOff>
    </xdr:to>
    <xdr:sp macro="" textlink="">
      <xdr:nvSpPr>
        <xdr:cNvPr id="2" name="Right Brace 1">
          <a:extLst>
            <a:ext uri="{FF2B5EF4-FFF2-40B4-BE49-F238E27FC236}">
              <a16:creationId xmlns:a16="http://schemas.microsoft.com/office/drawing/2014/main" id="{6B4FA046-C917-4B65-A866-D4A89C0CA0B0}"/>
            </a:ext>
          </a:extLst>
        </xdr:cNvPr>
        <xdr:cNvSpPr/>
      </xdr:nvSpPr>
      <xdr:spPr>
        <a:xfrm rot="5400000">
          <a:off x="6973455" y="5657238"/>
          <a:ext cx="172134" cy="366875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30</xdr:col>
      <xdr:colOff>18096</xdr:colOff>
      <xdr:row>43</xdr:row>
      <xdr:rowOff>121919</xdr:rowOff>
    </xdr:from>
    <xdr:to>
      <xdr:col>34</xdr:col>
      <xdr:colOff>855344</xdr:colOff>
      <xdr:row>44</xdr:row>
      <xdr:rowOff>125729</xdr:rowOff>
    </xdr:to>
    <xdr:sp macro="" textlink="">
      <xdr:nvSpPr>
        <xdr:cNvPr id="4" name="Right Brace 3">
          <a:extLst>
            <a:ext uri="{FF2B5EF4-FFF2-40B4-BE49-F238E27FC236}">
              <a16:creationId xmlns:a16="http://schemas.microsoft.com/office/drawing/2014/main" id="{E11D7CB9-2AA6-4656-9318-0D2F51D6D284}"/>
            </a:ext>
          </a:extLst>
        </xdr:cNvPr>
        <xdr:cNvSpPr/>
      </xdr:nvSpPr>
      <xdr:spPr>
        <a:xfrm rot="5400000">
          <a:off x="14883287" y="6674643"/>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36</xdr:col>
      <xdr:colOff>18096</xdr:colOff>
      <xdr:row>43</xdr:row>
      <xdr:rowOff>121919</xdr:rowOff>
    </xdr:from>
    <xdr:to>
      <xdr:col>40</xdr:col>
      <xdr:colOff>855344</xdr:colOff>
      <xdr:row>44</xdr:row>
      <xdr:rowOff>125729</xdr:rowOff>
    </xdr:to>
    <xdr:sp macro="" textlink="">
      <xdr:nvSpPr>
        <xdr:cNvPr id="5" name="Right Brace 4">
          <a:extLst>
            <a:ext uri="{FF2B5EF4-FFF2-40B4-BE49-F238E27FC236}">
              <a16:creationId xmlns:a16="http://schemas.microsoft.com/office/drawing/2014/main" id="{773191FF-191F-41BE-8BD4-74A729FE3C37}"/>
            </a:ext>
          </a:extLst>
        </xdr:cNvPr>
        <xdr:cNvSpPr/>
      </xdr:nvSpPr>
      <xdr:spPr>
        <a:xfrm rot="5400000">
          <a:off x="18712337" y="6674643"/>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48</xdr:col>
      <xdr:colOff>18096</xdr:colOff>
      <xdr:row>43</xdr:row>
      <xdr:rowOff>121919</xdr:rowOff>
    </xdr:from>
    <xdr:to>
      <xdr:col>52</xdr:col>
      <xdr:colOff>855344</xdr:colOff>
      <xdr:row>44</xdr:row>
      <xdr:rowOff>125729</xdr:rowOff>
    </xdr:to>
    <xdr:sp macro="" textlink="">
      <xdr:nvSpPr>
        <xdr:cNvPr id="6" name="Right Brace 5">
          <a:extLst>
            <a:ext uri="{FF2B5EF4-FFF2-40B4-BE49-F238E27FC236}">
              <a16:creationId xmlns:a16="http://schemas.microsoft.com/office/drawing/2014/main" id="{31024676-786F-4875-8DD4-0005E24FA889}"/>
            </a:ext>
          </a:extLst>
        </xdr:cNvPr>
        <xdr:cNvSpPr/>
      </xdr:nvSpPr>
      <xdr:spPr>
        <a:xfrm rot="5400000">
          <a:off x="22541387" y="6674643"/>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18</xdr:col>
      <xdr:colOff>18096</xdr:colOff>
      <xdr:row>43</xdr:row>
      <xdr:rowOff>121919</xdr:rowOff>
    </xdr:from>
    <xdr:to>
      <xdr:col>22</xdr:col>
      <xdr:colOff>855344</xdr:colOff>
      <xdr:row>44</xdr:row>
      <xdr:rowOff>125729</xdr:rowOff>
    </xdr:to>
    <xdr:sp macro="" textlink="">
      <xdr:nvSpPr>
        <xdr:cNvPr id="7" name="Right Brace 6">
          <a:extLst>
            <a:ext uri="{FF2B5EF4-FFF2-40B4-BE49-F238E27FC236}">
              <a16:creationId xmlns:a16="http://schemas.microsoft.com/office/drawing/2014/main" id="{D6C557C5-EFCE-4B88-991E-484FA7B24BF0}"/>
            </a:ext>
          </a:extLst>
        </xdr:cNvPr>
        <xdr:cNvSpPr/>
      </xdr:nvSpPr>
      <xdr:spPr>
        <a:xfrm rot="5400000">
          <a:off x="11078050" y="6698455"/>
          <a:ext cx="184785" cy="3647123"/>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12</xdr:col>
      <xdr:colOff>0</xdr:colOff>
      <xdr:row>43</xdr:row>
      <xdr:rowOff>125728</xdr:rowOff>
    </xdr:from>
    <xdr:to>
      <xdr:col>17</xdr:col>
      <xdr:colOff>0</xdr:colOff>
      <xdr:row>44</xdr:row>
      <xdr:rowOff>169334</xdr:rowOff>
    </xdr:to>
    <xdr:sp macro="" textlink="">
      <xdr:nvSpPr>
        <xdr:cNvPr id="8" name="Right Brace 7">
          <a:extLst>
            <a:ext uri="{FF2B5EF4-FFF2-40B4-BE49-F238E27FC236}">
              <a16:creationId xmlns:a16="http://schemas.microsoft.com/office/drawing/2014/main" id="{2A00105E-A55D-4CC1-BE7B-6856CADF6CDE}"/>
            </a:ext>
          </a:extLst>
        </xdr:cNvPr>
        <xdr:cNvSpPr/>
      </xdr:nvSpPr>
      <xdr:spPr>
        <a:xfrm rot="5400000">
          <a:off x="14900696" y="4687780"/>
          <a:ext cx="223522" cy="5810251"/>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24</xdr:col>
      <xdr:colOff>18096</xdr:colOff>
      <xdr:row>43</xdr:row>
      <xdr:rowOff>121919</xdr:rowOff>
    </xdr:from>
    <xdr:to>
      <xdr:col>28</xdr:col>
      <xdr:colOff>855344</xdr:colOff>
      <xdr:row>44</xdr:row>
      <xdr:rowOff>125729</xdr:rowOff>
    </xdr:to>
    <xdr:sp macro="" textlink="">
      <xdr:nvSpPr>
        <xdr:cNvPr id="9" name="Right Brace 8">
          <a:extLst>
            <a:ext uri="{FF2B5EF4-FFF2-40B4-BE49-F238E27FC236}">
              <a16:creationId xmlns:a16="http://schemas.microsoft.com/office/drawing/2014/main" id="{7AA665BA-2290-4B11-9251-BEE889A8C54B}"/>
            </a:ext>
          </a:extLst>
        </xdr:cNvPr>
        <xdr:cNvSpPr/>
      </xdr:nvSpPr>
      <xdr:spPr>
        <a:xfrm rot="5400000">
          <a:off x="11078050" y="6517480"/>
          <a:ext cx="184785" cy="3647123"/>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42</xdr:col>
      <xdr:colOff>18096</xdr:colOff>
      <xdr:row>43</xdr:row>
      <xdr:rowOff>121919</xdr:rowOff>
    </xdr:from>
    <xdr:to>
      <xdr:col>46</xdr:col>
      <xdr:colOff>855344</xdr:colOff>
      <xdr:row>44</xdr:row>
      <xdr:rowOff>125729</xdr:rowOff>
    </xdr:to>
    <xdr:sp macro="" textlink="">
      <xdr:nvSpPr>
        <xdr:cNvPr id="11" name="Right Brace 9">
          <a:extLst>
            <a:ext uri="{FF2B5EF4-FFF2-40B4-BE49-F238E27FC236}">
              <a16:creationId xmlns:a16="http://schemas.microsoft.com/office/drawing/2014/main" id="{8BB7A159-96E7-4247-A110-EB06FD4AE669}"/>
            </a:ext>
          </a:extLst>
        </xdr:cNvPr>
        <xdr:cNvSpPr/>
      </xdr:nvSpPr>
      <xdr:spPr>
        <a:xfrm rot="5400000">
          <a:off x="14883287" y="6493668"/>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114</xdr:col>
      <xdr:colOff>18096</xdr:colOff>
      <xdr:row>43</xdr:row>
      <xdr:rowOff>121919</xdr:rowOff>
    </xdr:from>
    <xdr:to>
      <xdr:col>118</xdr:col>
      <xdr:colOff>855344</xdr:colOff>
      <xdr:row>44</xdr:row>
      <xdr:rowOff>125729</xdr:rowOff>
    </xdr:to>
    <xdr:sp macro="" textlink="">
      <xdr:nvSpPr>
        <xdr:cNvPr id="18" name="Right Brace 17">
          <a:extLst>
            <a:ext uri="{FF2B5EF4-FFF2-40B4-BE49-F238E27FC236}">
              <a16:creationId xmlns:a16="http://schemas.microsoft.com/office/drawing/2014/main" id="{991466AD-4291-43A5-89A7-8240A7F4619B}"/>
            </a:ext>
          </a:extLst>
        </xdr:cNvPr>
        <xdr:cNvSpPr/>
      </xdr:nvSpPr>
      <xdr:spPr>
        <a:xfrm rot="5400000">
          <a:off x="33438828" y="5725785"/>
          <a:ext cx="183104" cy="368130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108</xdr:col>
      <xdr:colOff>18096</xdr:colOff>
      <xdr:row>43</xdr:row>
      <xdr:rowOff>121919</xdr:rowOff>
    </xdr:from>
    <xdr:to>
      <xdr:col>112</xdr:col>
      <xdr:colOff>855344</xdr:colOff>
      <xdr:row>44</xdr:row>
      <xdr:rowOff>125729</xdr:rowOff>
    </xdr:to>
    <xdr:sp macro="" textlink="">
      <xdr:nvSpPr>
        <xdr:cNvPr id="3" name="Right Brace 2">
          <a:extLst>
            <a:ext uri="{FF2B5EF4-FFF2-40B4-BE49-F238E27FC236}">
              <a16:creationId xmlns:a16="http://schemas.microsoft.com/office/drawing/2014/main" id="{9EA5CFA4-AEBF-4C0D-97E0-A8C7E771264E}"/>
            </a:ext>
          </a:extLst>
        </xdr:cNvPr>
        <xdr:cNvSpPr/>
      </xdr:nvSpPr>
      <xdr:spPr>
        <a:xfrm rot="5400000">
          <a:off x="29729465" y="5841938"/>
          <a:ext cx="186983" cy="3683025"/>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54</xdr:col>
      <xdr:colOff>0</xdr:colOff>
      <xdr:row>43</xdr:row>
      <xdr:rowOff>123824</xdr:rowOff>
    </xdr:from>
    <xdr:to>
      <xdr:col>58</xdr:col>
      <xdr:colOff>735330</xdr:colOff>
      <xdr:row>44</xdr:row>
      <xdr:rowOff>119065</xdr:rowOff>
    </xdr:to>
    <xdr:sp macro="" textlink="">
      <xdr:nvSpPr>
        <xdr:cNvPr id="12" name="Right Brace 11">
          <a:extLst>
            <a:ext uri="{FF2B5EF4-FFF2-40B4-BE49-F238E27FC236}">
              <a16:creationId xmlns:a16="http://schemas.microsoft.com/office/drawing/2014/main" id="{331D6294-FE1E-478D-B339-B6CBDB214BB2}"/>
            </a:ext>
          </a:extLst>
        </xdr:cNvPr>
        <xdr:cNvSpPr/>
      </xdr:nvSpPr>
      <xdr:spPr>
        <a:xfrm rot="5400000">
          <a:off x="6944200" y="5783104"/>
          <a:ext cx="176216" cy="3663315"/>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90</xdr:col>
      <xdr:colOff>18096</xdr:colOff>
      <xdr:row>43</xdr:row>
      <xdr:rowOff>121919</xdr:rowOff>
    </xdr:from>
    <xdr:to>
      <xdr:col>94</xdr:col>
      <xdr:colOff>855344</xdr:colOff>
      <xdr:row>44</xdr:row>
      <xdr:rowOff>125729</xdr:rowOff>
    </xdr:to>
    <xdr:sp macro="" textlink="">
      <xdr:nvSpPr>
        <xdr:cNvPr id="13" name="Right Brace 12">
          <a:extLst>
            <a:ext uri="{FF2B5EF4-FFF2-40B4-BE49-F238E27FC236}">
              <a16:creationId xmlns:a16="http://schemas.microsoft.com/office/drawing/2014/main" id="{63FCFD17-CA07-4242-8BFD-FE3B82BD4F52}"/>
            </a:ext>
          </a:extLst>
        </xdr:cNvPr>
        <xdr:cNvSpPr/>
      </xdr:nvSpPr>
      <xdr:spPr>
        <a:xfrm rot="5400000">
          <a:off x="25884662" y="5769768"/>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66</xdr:col>
      <xdr:colOff>18096</xdr:colOff>
      <xdr:row>43</xdr:row>
      <xdr:rowOff>121919</xdr:rowOff>
    </xdr:from>
    <xdr:to>
      <xdr:col>70</xdr:col>
      <xdr:colOff>855344</xdr:colOff>
      <xdr:row>44</xdr:row>
      <xdr:rowOff>125729</xdr:rowOff>
    </xdr:to>
    <xdr:sp macro="" textlink="">
      <xdr:nvSpPr>
        <xdr:cNvPr id="14" name="Right Brace 13">
          <a:extLst>
            <a:ext uri="{FF2B5EF4-FFF2-40B4-BE49-F238E27FC236}">
              <a16:creationId xmlns:a16="http://schemas.microsoft.com/office/drawing/2014/main" id="{40C40FC3-412A-4CAC-961B-14A73BD04BC2}"/>
            </a:ext>
          </a:extLst>
        </xdr:cNvPr>
        <xdr:cNvSpPr/>
      </xdr:nvSpPr>
      <xdr:spPr>
        <a:xfrm rot="5400000">
          <a:off x="29713712" y="5769768"/>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72</xdr:col>
      <xdr:colOff>18096</xdr:colOff>
      <xdr:row>43</xdr:row>
      <xdr:rowOff>121919</xdr:rowOff>
    </xdr:from>
    <xdr:to>
      <xdr:col>76</xdr:col>
      <xdr:colOff>855344</xdr:colOff>
      <xdr:row>44</xdr:row>
      <xdr:rowOff>125729</xdr:rowOff>
    </xdr:to>
    <xdr:sp macro="" textlink="">
      <xdr:nvSpPr>
        <xdr:cNvPr id="15" name="Right Brace 14">
          <a:extLst>
            <a:ext uri="{FF2B5EF4-FFF2-40B4-BE49-F238E27FC236}">
              <a16:creationId xmlns:a16="http://schemas.microsoft.com/office/drawing/2014/main" id="{A3CB9A98-F112-4035-B12C-34637155C0B4}"/>
            </a:ext>
          </a:extLst>
        </xdr:cNvPr>
        <xdr:cNvSpPr/>
      </xdr:nvSpPr>
      <xdr:spPr>
        <a:xfrm rot="5400000">
          <a:off x="37371812" y="5769768"/>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60</xdr:col>
      <xdr:colOff>18096</xdr:colOff>
      <xdr:row>43</xdr:row>
      <xdr:rowOff>130386</xdr:rowOff>
    </xdr:from>
    <xdr:to>
      <xdr:col>65</xdr:col>
      <xdr:colOff>0</xdr:colOff>
      <xdr:row>44</xdr:row>
      <xdr:rowOff>134196</xdr:rowOff>
    </xdr:to>
    <xdr:sp macro="" textlink="">
      <xdr:nvSpPr>
        <xdr:cNvPr id="23" name="Right Brace 15">
          <a:extLst>
            <a:ext uri="{FF2B5EF4-FFF2-40B4-BE49-F238E27FC236}">
              <a16:creationId xmlns:a16="http://schemas.microsoft.com/office/drawing/2014/main" id="{ED3EEFA6-33D1-4C42-9E90-DE6317404488}"/>
            </a:ext>
          </a:extLst>
        </xdr:cNvPr>
        <xdr:cNvSpPr/>
      </xdr:nvSpPr>
      <xdr:spPr>
        <a:xfrm rot="5400000">
          <a:off x="41153132" y="5993817"/>
          <a:ext cx="190076" cy="36693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102</xdr:col>
      <xdr:colOff>0</xdr:colOff>
      <xdr:row>43</xdr:row>
      <xdr:rowOff>125729</xdr:rowOff>
    </xdr:from>
    <xdr:to>
      <xdr:col>106</xdr:col>
      <xdr:colOff>729615</xdr:colOff>
      <xdr:row>44</xdr:row>
      <xdr:rowOff>120970</xdr:rowOff>
    </xdr:to>
    <xdr:sp macro="" textlink="">
      <xdr:nvSpPr>
        <xdr:cNvPr id="17" name="Right Brace 16">
          <a:extLst>
            <a:ext uri="{FF2B5EF4-FFF2-40B4-BE49-F238E27FC236}">
              <a16:creationId xmlns:a16="http://schemas.microsoft.com/office/drawing/2014/main" id="{9B12E5A0-C1B9-4612-91D2-7C04CEB1FA47}"/>
            </a:ext>
          </a:extLst>
        </xdr:cNvPr>
        <xdr:cNvSpPr/>
      </xdr:nvSpPr>
      <xdr:spPr>
        <a:xfrm rot="5400000">
          <a:off x="6945152" y="5784057"/>
          <a:ext cx="176216" cy="366522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78</xdr:col>
      <xdr:colOff>0</xdr:colOff>
      <xdr:row>43</xdr:row>
      <xdr:rowOff>123824</xdr:rowOff>
    </xdr:from>
    <xdr:to>
      <xdr:col>82</xdr:col>
      <xdr:colOff>735330</xdr:colOff>
      <xdr:row>44</xdr:row>
      <xdr:rowOff>119065</xdr:rowOff>
    </xdr:to>
    <xdr:sp macro="" textlink="">
      <xdr:nvSpPr>
        <xdr:cNvPr id="10" name="Right Brace 9">
          <a:extLst>
            <a:ext uri="{FF2B5EF4-FFF2-40B4-BE49-F238E27FC236}">
              <a16:creationId xmlns:a16="http://schemas.microsoft.com/office/drawing/2014/main" id="{EF492A50-1FA9-4B32-A902-39FC37BCC59C}"/>
            </a:ext>
          </a:extLst>
        </xdr:cNvPr>
        <xdr:cNvSpPr/>
      </xdr:nvSpPr>
      <xdr:spPr>
        <a:xfrm rot="5400000">
          <a:off x="37376575" y="5783104"/>
          <a:ext cx="176216" cy="3663315"/>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96</xdr:col>
      <xdr:colOff>18096</xdr:colOff>
      <xdr:row>43</xdr:row>
      <xdr:rowOff>121919</xdr:rowOff>
    </xdr:from>
    <xdr:to>
      <xdr:col>100</xdr:col>
      <xdr:colOff>855344</xdr:colOff>
      <xdr:row>44</xdr:row>
      <xdr:rowOff>125729</xdr:rowOff>
    </xdr:to>
    <xdr:sp macro="" textlink="">
      <xdr:nvSpPr>
        <xdr:cNvPr id="20" name="Right Brace 19">
          <a:extLst>
            <a:ext uri="{FF2B5EF4-FFF2-40B4-BE49-F238E27FC236}">
              <a16:creationId xmlns:a16="http://schemas.microsoft.com/office/drawing/2014/main" id="{3B0BF82A-6293-4662-8945-6534FC8C0935}"/>
            </a:ext>
          </a:extLst>
        </xdr:cNvPr>
        <xdr:cNvSpPr/>
      </xdr:nvSpPr>
      <xdr:spPr>
        <a:xfrm rot="5400000">
          <a:off x="48801812" y="5769768"/>
          <a:ext cx="184785" cy="36947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84</xdr:col>
      <xdr:colOff>18096</xdr:colOff>
      <xdr:row>43</xdr:row>
      <xdr:rowOff>130386</xdr:rowOff>
    </xdr:from>
    <xdr:to>
      <xdr:col>95</xdr:col>
      <xdr:colOff>4444</xdr:colOff>
      <xdr:row>44</xdr:row>
      <xdr:rowOff>134196</xdr:rowOff>
    </xdr:to>
    <xdr:sp macro="" textlink="">
      <xdr:nvSpPr>
        <xdr:cNvPr id="24" name="Right Brace 21">
          <a:extLst>
            <a:ext uri="{FF2B5EF4-FFF2-40B4-BE49-F238E27FC236}">
              <a16:creationId xmlns:a16="http://schemas.microsoft.com/office/drawing/2014/main" id="{E26FCE48-F5D5-47CF-AF19-8CA1AD6734F3}"/>
            </a:ext>
          </a:extLst>
        </xdr:cNvPr>
        <xdr:cNvSpPr/>
      </xdr:nvSpPr>
      <xdr:spPr>
        <a:xfrm rot="5400000">
          <a:off x="60194665" y="5993817"/>
          <a:ext cx="190076" cy="366934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19999</xdr:colOff>
      <xdr:row>39</xdr:row>
      <xdr:rowOff>102871</xdr:rowOff>
    </xdr:from>
    <xdr:to>
      <xdr:col>9</xdr:col>
      <xdr:colOff>640079</xdr:colOff>
      <xdr:row>40</xdr:row>
      <xdr:rowOff>167642</xdr:rowOff>
    </xdr:to>
    <xdr:sp macro="" textlink="">
      <xdr:nvSpPr>
        <xdr:cNvPr id="2" name="Right Brace 1">
          <a:extLst>
            <a:ext uri="{FF2B5EF4-FFF2-40B4-BE49-F238E27FC236}">
              <a16:creationId xmlns:a16="http://schemas.microsoft.com/office/drawing/2014/main" id="{901FBC4F-63F1-40A7-8A8A-9CC57F05F015}"/>
            </a:ext>
          </a:extLst>
        </xdr:cNvPr>
        <xdr:cNvSpPr/>
      </xdr:nvSpPr>
      <xdr:spPr>
        <a:xfrm rot="5400000">
          <a:off x="6500333" y="5677377"/>
          <a:ext cx="247651" cy="281464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16</xdr:col>
      <xdr:colOff>16190</xdr:colOff>
      <xdr:row>39</xdr:row>
      <xdr:rowOff>104778</xdr:rowOff>
    </xdr:from>
    <xdr:to>
      <xdr:col>19</xdr:col>
      <xdr:colOff>716280</xdr:colOff>
      <xdr:row>40</xdr:row>
      <xdr:rowOff>169336</xdr:rowOff>
    </xdr:to>
    <xdr:sp macro="" textlink="">
      <xdr:nvSpPr>
        <xdr:cNvPr id="4" name="Right Brace 3">
          <a:extLst>
            <a:ext uri="{FF2B5EF4-FFF2-40B4-BE49-F238E27FC236}">
              <a16:creationId xmlns:a16="http://schemas.microsoft.com/office/drawing/2014/main" id="{50FD97B8-DC5F-4634-877B-94CDB9DCB235}"/>
            </a:ext>
          </a:extLst>
        </xdr:cNvPr>
        <xdr:cNvSpPr/>
      </xdr:nvSpPr>
      <xdr:spPr>
        <a:xfrm rot="5400000">
          <a:off x="12640256" y="5616312"/>
          <a:ext cx="247438" cy="294037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36</xdr:col>
      <xdr:colOff>16190</xdr:colOff>
      <xdr:row>39</xdr:row>
      <xdr:rowOff>104778</xdr:rowOff>
    </xdr:from>
    <xdr:to>
      <xdr:col>39</xdr:col>
      <xdr:colOff>739140</xdr:colOff>
      <xdr:row>40</xdr:row>
      <xdr:rowOff>129540</xdr:rowOff>
    </xdr:to>
    <xdr:sp macro="" textlink="">
      <xdr:nvSpPr>
        <xdr:cNvPr id="5" name="Right Brace 4">
          <a:extLst>
            <a:ext uri="{FF2B5EF4-FFF2-40B4-BE49-F238E27FC236}">
              <a16:creationId xmlns:a16="http://schemas.microsoft.com/office/drawing/2014/main" id="{4C6225B7-C6A1-4F13-99DE-B044CB6AE463}"/>
            </a:ext>
          </a:extLst>
        </xdr:cNvPr>
        <xdr:cNvSpPr/>
      </xdr:nvSpPr>
      <xdr:spPr>
        <a:xfrm rot="5400000">
          <a:off x="25076944" y="5584984"/>
          <a:ext cx="207642" cy="296323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11</xdr:col>
      <xdr:colOff>16189</xdr:colOff>
      <xdr:row>39</xdr:row>
      <xdr:rowOff>100967</xdr:rowOff>
    </xdr:from>
    <xdr:to>
      <xdr:col>14</xdr:col>
      <xdr:colOff>701039</xdr:colOff>
      <xdr:row>41</xdr:row>
      <xdr:rowOff>2</xdr:rowOff>
    </xdr:to>
    <xdr:sp macro="" textlink="">
      <xdr:nvSpPr>
        <xdr:cNvPr id="7" name="Right Brace 6">
          <a:extLst>
            <a:ext uri="{FF2B5EF4-FFF2-40B4-BE49-F238E27FC236}">
              <a16:creationId xmlns:a16="http://schemas.microsoft.com/office/drawing/2014/main" id="{E3F241DA-7EA3-4CFB-BC63-7E217F28D657}"/>
            </a:ext>
          </a:extLst>
        </xdr:cNvPr>
        <xdr:cNvSpPr/>
      </xdr:nvSpPr>
      <xdr:spPr>
        <a:xfrm rot="5400000">
          <a:off x="9560716" y="5651660"/>
          <a:ext cx="264795" cy="287941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21</xdr:col>
      <xdr:colOff>20000</xdr:colOff>
      <xdr:row>39</xdr:row>
      <xdr:rowOff>106683</xdr:rowOff>
    </xdr:from>
    <xdr:to>
      <xdr:col>24</xdr:col>
      <xdr:colOff>685800</xdr:colOff>
      <xdr:row>40</xdr:row>
      <xdr:rowOff>106683</xdr:rowOff>
    </xdr:to>
    <xdr:sp macro="" textlink="">
      <xdr:nvSpPr>
        <xdr:cNvPr id="8" name="Right Brace 7">
          <a:extLst>
            <a:ext uri="{FF2B5EF4-FFF2-40B4-BE49-F238E27FC236}">
              <a16:creationId xmlns:a16="http://schemas.microsoft.com/office/drawing/2014/main" id="{3DDFA528-A471-413B-8FEF-7E3EC898A7EF}"/>
            </a:ext>
          </a:extLst>
        </xdr:cNvPr>
        <xdr:cNvSpPr/>
      </xdr:nvSpPr>
      <xdr:spPr>
        <a:xfrm rot="5400000">
          <a:off x="15760540" y="5603083"/>
          <a:ext cx="182880" cy="290608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41</xdr:col>
      <xdr:colOff>10475</xdr:colOff>
      <xdr:row>39</xdr:row>
      <xdr:rowOff>114845</xdr:rowOff>
    </xdr:from>
    <xdr:to>
      <xdr:col>44</xdr:col>
      <xdr:colOff>723899</xdr:colOff>
      <xdr:row>40</xdr:row>
      <xdr:rowOff>175262</xdr:rowOff>
    </xdr:to>
    <xdr:sp macro="" textlink="">
      <xdr:nvSpPr>
        <xdr:cNvPr id="9" name="Right Brace 8">
          <a:extLst>
            <a:ext uri="{FF2B5EF4-FFF2-40B4-BE49-F238E27FC236}">
              <a16:creationId xmlns:a16="http://schemas.microsoft.com/office/drawing/2014/main" id="{47D67318-5F26-487B-99BD-745FB1FDEB76}"/>
            </a:ext>
          </a:extLst>
        </xdr:cNvPr>
        <xdr:cNvSpPr/>
      </xdr:nvSpPr>
      <xdr:spPr>
        <a:xfrm rot="5400000">
          <a:off x="28149978" y="5617642"/>
          <a:ext cx="243297" cy="2953704"/>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31</xdr:col>
      <xdr:colOff>20000</xdr:colOff>
      <xdr:row>39</xdr:row>
      <xdr:rowOff>106682</xdr:rowOff>
    </xdr:from>
    <xdr:to>
      <xdr:col>34</xdr:col>
      <xdr:colOff>723900</xdr:colOff>
      <xdr:row>40</xdr:row>
      <xdr:rowOff>160019</xdr:rowOff>
    </xdr:to>
    <xdr:sp macro="" textlink="">
      <xdr:nvSpPr>
        <xdr:cNvPr id="10" name="Right Brace 9">
          <a:extLst>
            <a:ext uri="{FF2B5EF4-FFF2-40B4-BE49-F238E27FC236}">
              <a16:creationId xmlns:a16="http://schemas.microsoft.com/office/drawing/2014/main" id="{ADA4399D-FEB8-4780-A907-C2BD22772B2D}"/>
            </a:ext>
          </a:extLst>
        </xdr:cNvPr>
        <xdr:cNvSpPr/>
      </xdr:nvSpPr>
      <xdr:spPr>
        <a:xfrm rot="5400000">
          <a:off x="21955601" y="5610701"/>
          <a:ext cx="236217" cy="294418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26</xdr:col>
      <xdr:colOff>29738</xdr:colOff>
      <xdr:row>39</xdr:row>
      <xdr:rowOff>136801</xdr:rowOff>
    </xdr:from>
    <xdr:to>
      <xdr:col>30</xdr:col>
      <xdr:colOff>40366</xdr:colOff>
      <xdr:row>40</xdr:row>
      <xdr:rowOff>136801</xdr:rowOff>
    </xdr:to>
    <xdr:sp macro="" textlink="">
      <xdr:nvSpPr>
        <xdr:cNvPr id="11" name="Right Brace 10">
          <a:extLst>
            <a:ext uri="{FF2B5EF4-FFF2-40B4-BE49-F238E27FC236}">
              <a16:creationId xmlns:a16="http://schemas.microsoft.com/office/drawing/2014/main" id="{EA415612-108D-4445-8EBC-706E040A96AA}"/>
            </a:ext>
          </a:extLst>
        </xdr:cNvPr>
        <xdr:cNvSpPr/>
      </xdr:nvSpPr>
      <xdr:spPr>
        <a:xfrm rot="5400000">
          <a:off x="19545426" y="5851779"/>
          <a:ext cx="179917" cy="2233128"/>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79</xdr:col>
      <xdr:colOff>16190</xdr:colOff>
      <xdr:row>39</xdr:row>
      <xdr:rowOff>104778</xdr:rowOff>
    </xdr:from>
    <xdr:to>
      <xdr:col>82</xdr:col>
      <xdr:colOff>693420</xdr:colOff>
      <xdr:row>41</xdr:row>
      <xdr:rowOff>83820</xdr:rowOff>
    </xdr:to>
    <xdr:sp macro="" textlink="">
      <xdr:nvSpPr>
        <xdr:cNvPr id="14" name="Right Brace 5">
          <a:extLst>
            <a:ext uri="{FF2B5EF4-FFF2-40B4-BE49-F238E27FC236}">
              <a16:creationId xmlns:a16="http://schemas.microsoft.com/office/drawing/2014/main" id="{DA6EA1BD-14B2-4D73-AA74-6F7FCC9A42B5}"/>
            </a:ext>
          </a:extLst>
        </xdr:cNvPr>
        <xdr:cNvSpPr/>
      </xdr:nvSpPr>
      <xdr:spPr>
        <a:xfrm rot="5400000">
          <a:off x="65097184" y="5676424"/>
          <a:ext cx="344802" cy="291751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70</xdr:col>
      <xdr:colOff>16190</xdr:colOff>
      <xdr:row>39</xdr:row>
      <xdr:rowOff>104778</xdr:rowOff>
    </xdr:from>
    <xdr:to>
      <xdr:col>73</xdr:col>
      <xdr:colOff>0</xdr:colOff>
      <xdr:row>40</xdr:row>
      <xdr:rowOff>169336</xdr:rowOff>
    </xdr:to>
    <xdr:sp macro="" textlink="">
      <xdr:nvSpPr>
        <xdr:cNvPr id="12" name="Right Brace 11">
          <a:extLst>
            <a:ext uri="{FF2B5EF4-FFF2-40B4-BE49-F238E27FC236}">
              <a16:creationId xmlns:a16="http://schemas.microsoft.com/office/drawing/2014/main" id="{D7092422-A5F2-4353-A055-B569B17C0325}"/>
            </a:ext>
          </a:extLst>
        </xdr:cNvPr>
        <xdr:cNvSpPr/>
      </xdr:nvSpPr>
      <xdr:spPr>
        <a:xfrm rot="5400000">
          <a:off x="10838126" y="5915397"/>
          <a:ext cx="251248" cy="220885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74</xdr:col>
      <xdr:colOff>16190</xdr:colOff>
      <xdr:row>39</xdr:row>
      <xdr:rowOff>104778</xdr:rowOff>
    </xdr:from>
    <xdr:to>
      <xdr:col>77</xdr:col>
      <xdr:colOff>723900</xdr:colOff>
      <xdr:row>40</xdr:row>
      <xdr:rowOff>114300</xdr:rowOff>
    </xdr:to>
    <xdr:sp macro="" textlink="">
      <xdr:nvSpPr>
        <xdr:cNvPr id="13" name="Right Brace 12">
          <a:extLst>
            <a:ext uri="{FF2B5EF4-FFF2-40B4-BE49-F238E27FC236}">
              <a16:creationId xmlns:a16="http://schemas.microsoft.com/office/drawing/2014/main" id="{A275A4F8-62AB-4DEF-BA51-60936A0EFAEF}"/>
            </a:ext>
          </a:extLst>
        </xdr:cNvPr>
        <xdr:cNvSpPr/>
      </xdr:nvSpPr>
      <xdr:spPr>
        <a:xfrm rot="5400000">
          <a:off x="62087284" y="5584984"/>
          <a:ext cx="192402" cy="294799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46</xdr:col>
      <xdr:colOff>16189</xdr:colOff>
      <xdr:row>39</xdr:row>
      <xdr:rowOff>100966</xdr:rowOff>
    </xdr:from>
    <xdr:to>
      <xdr:col>49</xdr:col>
      <xdr:colOff>695324</xdr:colOff>
      <xdr:row>41</xdr:row>
      <xdr:rowOff>9527</xdr:rowOff>
    </xdr:to>
    <xdr:sp macro="" textlink="">
      <xdr:nvSpPr>
        <xdr:cNvPr id="27" name="Right Brace 14">
          <a:extLst>
            <a:ext uri="{FF2B5EF4-FFF2-40B4-BE49-F238E27FC236}">
              <a16:creationId xmlns:a16="http://schemas.microsoft.com/office/drawing/2014/main" id="{00CABA31-01EF-446D-B1BB-5F7407591A8A}"/>
            </a:ext>
          </a:extLst>
        </xdr:cNvPr>
        <xdr:cNvSpPr/>
      </xdr:nvSpPr>
      <xdr:spPr>
        <a:xfrm rot="5400000">
          <a:off x="31391743" y="5451090"/>
          <a:ext cx="262347" cy="2924314"/>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51</xdr:col>
      <xdr:colOff>16190</xdr:colOff>
      <xdr:row>39</xdr:row>
      <xdr:rowOff>104778</xdr:rowOff>
    </xdr:from>
    <xdr:to>
      <xdr:col>54</xdr:col>
      <xdr:colOff>731520</xdr:colOff>
      <xdr:row>41</xdr:row>
      <xdr:rowOff>30480</xdr:rowOff>
    </xdr:to>
    <xdr:sp macro="" textlink="">
      <xdr:nvSpPr>
        <xdr:cNvPr id="30" name="Right Brace 15">
          <a:extLst>
            <a:ext uri="{FF2B5EF4-FFF2-40B4-BE49-F238E27FC236}">
              <a16:creationId xmlns:a16="http://schemas.microsoft.com/office/drawing/2014/main" id="{53131F4C-0A2C-49E2-AD9A-BF38908E7D5F}"/>
            </a:ext>
          </a:extLst>
        </xdr:cNvPr>
        <xdr:cNvSpPr/>
      </xdr:nvSpPr>
      <xdr:spPr>
        <a:xfrm rot="5400000">
          <a:off x="34274284" y="5630704"/>
          <a:ext cx="291462" cy="295561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61</xdr:col>
      <xdr:colOff>16190</xdr:colOff>
      <xdr:row>39</xdr:row>
      <xdr:rowOff>104778</xdr:rowOff>
    </xdr:from>
    <xdr:to>
      <xdr:col>64</xdr:col>
      <xdr:colOff>723900</xdr:colOff>
      <xdr:row>40</xdr:row>
      <xdr:rowOff>167640</xdr:rowOff>
    </xdr:to>
    <xdr:sp macro="" textlink="">
      <xdr:nvSpPr>
        <xdr:cNvPr id="29" name="Right Brace 16">
          <a:extLst>
            <a:ext uri="{FF2B5EF4-FFF2-40B4-BE49-F238E27FC236}">
              <a16:creationId xmlns:a16="http://schemas.microsoft.com/office/drawing/2014/main" id="{978016B6-A1A0-4613-895C-141E4A4684EE}"/>
            </a:ext>
          </a:extLst>
        </xdr:cNvPr>
        <xdr:cNvSpPr/>
      </xdr:nvSpPr>
      <xdr:spPr>
        <a:xfrm rot="5400000">
          <a:off x="40496014" y="5611654"/>
          <a:ext cx="245742" cy="294799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56</xdr:col>
      <xdr:colOff>29738</xdr:colOff>
      <xdr:row>39</xdr:row>
      <xdr:rowOff>136801</xdr:rowOff>
    </xdr:from>
    <xdr:to>
      <xdr:col>60</xdr:col>
      <xdr:colOff>40366</xdr:colOff>
      <xdr:row>40</xdr:row>
      <xdr:rowOff>136801</xdr:rowOff>
    </xdr:to>
    <xdr:sp macro="" textlink="">
      <xdr:nvSpPr>
        <xdr:cNvPr id="28" name="Right Brace 21">
          <a:extLst>
            <a:ext uri="{FF2B5EF4-FFF2-40B4-BE49-F238E27FC236}">
              <a16:creationId xmlns:a16="http://schemas.microsoft.com/office/drawing/2014/main" id="{D329F5DC-1C72-4E02-B473-E9B38FB89D25}"/>
            </a:ext>
          </a:extLst>
        </xdr:cNvPr>
        <xdr:cNvSpPr/>
      </xdr:nvSpPr>
      <xdr:spPr>
        <a:xfrm rot="5400000">
          <a:off x="15543975" y="5857599"/>
          <a:ext cx="179916" cy="2235033"/>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66</xdr:col>
      <xdr:colOff>16190</xdr:colOff>
      <xdr:row>39</xdr:row>
      <xdr:rowOff>104778</xdr:rowOff>
    </xdr:from>
    <xdr:to>
      <xdr:col>69</xdr:col>
      <xdr:colOff>0</xdr:colOff>
      <xdr:row>40</xdr:row>
      <xdr:rowOff>169336</xdr:rowOff>
    </xdr:to>
    <xdr:sp macro="" textlink="">
      <xdr:nvSpPr>
        <xdr:cNvPr id="31" name="Right Brace 30">
          <a:extLst>
            <a:ext uri="{FF2B5EF4-FFF2-40B4-BE49-F238E27FC236}">
              <a16:creationId xmlns:a16="http://schemas.microsoft.com/office/drawing/2014/main" id="{D6BE3AFC-6377-429A-8D39-53778D86934B}"/>
            </a:ext>
          </a:extLst>
        </xdr:cNvPr>
        <xdr:cNvSpPr/>
      </xdr:nvSpPr>
      <xdr:spPr>
        <a:xfrm rot="5400000">
          <a:off x="45680576" y="5915397"/>
          <a:ext cx="251248" cy="2208850"/>
        </a:xfrm>
        <a:prstGeom prst="rightBrace">
          <a:avLst>
            <a:gd name="adj1" fmla="val 8333"/>
            <a:gd name="adj2" fmla="val 48903"/>
          </a:avLst>
        </a:prstGeom>
        <a:ln>
          <a:solidFill>
            <a:schemeClr val="accent3"/>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4A0E-63EB-4A3D-9384-7AC39A42215A}">
  <sheetPr codeName="Sheet1">
    <tabColor theme="1"/>
  </sheetPr>
  <dimension ref="A1:AQ62"/>
  <sheetViews>
    <sheetView showGridLines="0" zoomScaleNormal="100" workbookViewId="0">
      <selection activeCell="G17" sqref="G17"/>
    </sheetView>
  </sheetViews>
  <sheetFormatPr defaultColWidth="9.109375" defaultRowHeight="13.8" outlineLevelCol="2" x14ac:dyDescent="0.3"/>
  <cols>
    <col min="1" max="2" width="1.109375" style="5" customWidth="1"/>
    <col min="3" max="3" width="1.109375" style="6" customWidth="1"/>
    <col min="4" max="4" width="1.109375" style="148" customWidth="1"/>
    <col min="5" max="5" width="15.44140625" style="4" customWidth="1"/>
    <col min="6" max="6" width="10.6640625" style="7" customWidth="1" outlineLevel="2"/>
    <col min="7" max="7" width="13.6640625" style="7" customWidth="1" outlineLevel="2"/>
    <col min="8" max="8" width="10.6640625" style="7" customWidth="1" outlineLevel="2"/>
    <col min="9" max="9" width="13.33203125" style="7" customWidth="1" outlineLevel="2"/>
    <col min="10" max="10" width="12.6640625" style="4" customWidth="1" outlineLevel="2"/>
    <col min="11" max="11" width="12.6640625" style="7" customWidth="1" outlineLevel="1"/>
    <col min="12" max="12" width="13.6640625" style="7" customWidth="1" outlineLevel="1"/>
    <col min="13" max="13" width="13.6640625" style="7" customWidth="1" outlineLevel="1" collapsed="1"/>
    <col min="14" max="14" width="10.6640625" style="4" customWidth="1" outlineLevel="1"/>
    <col min="15" max="15" width="1.6640625" style="4" customWidth="1"/>
    <col min="16" max="16" width="7" style="354" customWidth="1"/>
    <col min="17" max="20" width="1.6640625" style="4" customWidth="1"/>
    <col min="21" max="21" width="10.6640625" style="4" customWidth="1"/>
    <col min="22" max="22" width="11.6640625" style="4" customWidth="1"/>
    <col min="23" max="24" width="8.6640625" style="4" customWidth="1"/>
    <col min="25" max="27" width="10.6640625" style="4" customWidth="1"/>
    <col min="28" max="28" width="11.6640625" style="4" customWidth="1"/>
    <col min="29" max="29" width="5.6640625" style="4" customWidth="1"/>
    <col min="30" max="30" width="1.6640625" style="4" customWidth="1"/>
    <col min="31" max="31" width="10.6640625" style="4" customWidth="1"/>
    <col min="32" max="32" width="11.6640625" style="4" customWidth="1"/>
    <col min="33" max="34" width="8.6640625" style="4" customWidth="1"/>
    <col min="35" max="37" width="10.6640625" style="4" customWidth="1"/>
    <col min="38" max="38" width="11.6640625" style="4" customWidth="1"/>
    <col min="39" max="39" width="5.6640625" style="4" customWidth="1"/>
    <col min="40" max="40" width="1.6640625" style="4" customWidth="1"/>
    <col min="41" max="41" width="25.6640625" style="4" customWidth="1"/>
    <col min="42" max="42" width="6.33203125" style="4" customWidth="1"/>
    <col min="43" max="43" width="35.6640625" style="4" customWidth="1"/>
    <col min="44" max="44" width="5.6640625" style="4" customWidth="1"/>
    <col min="45" max="16384" width="9.109375" style="4"/>
  </cols>
  <sheetData>
    <row r="1" spans="1:43" ht="25.8" x14ac:dyDescent="0.5">
      <c r="A1" s="147" t="str">
        <f ca="1">RIGHT(CELL("filename",$A$1),LEN(CELL("filename",$A$1))-SEARCH("]",CELL("filename",$A$1)))</f>
        <v>PPT</v>
      </c>
    </row>
    <row r="2" spans="1:43" s="152" customFormat="1" ht="14.4" x14ac:dyDescent="0.3">
      <c r="A2" s="200"/>
      <c r="B2" s="200"/>
      <c r="C2" s="201"/>
      <c r="D2" s="202"/>
      <c r="E2" s="200" t="s">
        <v>0</v>
      </c>
      <c r="F2" s="203"/>
      <c r="G2" s="203"/>
      <c r="H2" s="203"/>
      <c r="I2" s="203"/>
      <c r="J2" s="199"/>
      <c r="K2" s="203"/>
      <c r="L2" s="203"/>
      <c r="M2" s="203"/>
      <c r="N2" s="199"/>
      <c r="O2" s="199"/>
      <c r="P2" s="355"/>
      <c r="U2" s="200" t="s">
        <v>1</v>
      </c>
      <c r="V2" s="199"/>
      <c r="W2" s="199"/>
      <c r="X2" s="199"/>
      <c r="Y2" s="199"/>
      <c r="Z2" s="199"/>
      <c r="AA2" s="199"/>
      <c r="AB2" s="199"/>
      <c r="AC2" s="199"/>
      <c r="AD2" s="199"/>
      <c r="AE2" s="199"/>
      <c r="AF2" s="199"/>
      <c r="AG2" s="199"/>
      <c r="AH2" s="199"/>
      <c r="AI2" s="199"/>
      <c r="AJ2" s="199"/>
      <c r="AK2" s="199"/>
      <c r="AL2" s="199"/>
      <c r="AM2" s="199"/>
      <c r="AO2" s="200" t="s">
        <v>190</v>
      </c>
    </row>
    <row r="3" spans="1:43" s="152" customFormat="1" ht="14.4" x14ac:dyDescent="0.3">
      <c r="A3" s="149"/>
      <c r="B3" s="149"/>
      <c r="C3" s="150"/>
      <c r="D3" s="151"/>
      <c r="F3" s="154"/>
      <c r="G3" s="154"/>
      <c r="H3" s="154"/>
      <c r="I3" s="154"/>
      <c r="K3" s="154"/>
      <c r="L3" s="154"/>
      <c r="M3" s="154"/>
      <c r="P3" s="158"/>
    </row>
    <row r="4" spans="1:43" s="152" customFormat="1" ht="14.4" customHeight="1" x14ac:dyDescent="0.3">
      <c r="A4" s="149"/>
      <c r="B4" s="149"/>
      <c r="C4" s="150"/>
      <c r="D4" s="685" t="s">
        <v>139</v>
      </c>
      <c r="E4" s="685"/>
      <c r="F4" s="345" t="s">
        <v>140</v>
      </c>
      <c r="G4" s="345"/>
      <c r="H4" s="345"/>
      <c r="I4" s="345"/>
      <c r="J4" s="345"/>
      <c r="K4" s="369" t="s">
        <v>141</v>
      </c>
      <c r="L4" s="369"/>
      <c r="M4" s="369"/>
      <c r="N4" s="369"/>
      <c r="P4" s="158"/>
      <c r="U4" s="198" t="s">
        <v>3</v>
      </c>
      <c r="V4" s="365" t="s">
        <v>118</v>
      </c>
      <c r="W4" s="198"/>
      <c r="X4" s="198"/>
      <c r="Y4" s="198"/>
      <c r="Z4" s="198"/>
      <c r="AA4" s="198"/>
      <c r="AB4" s="198"/>
      <c r="AE4" s="198" t="s">
        <v>3</v>
      </c>
      <c r="AF4" s="198" t="s">
        <v>186</v>
      </c>
      <c r="AG4" s="198"/>
      <c r="AH4" s="198"/>
      <c r="AI4" s="198"/>
      <c r="AJ4" s="198"/>
      <c r="AK4" s="198"/>
      <c r="AL4" s="198"/>
    </row>
    <row r="5" spans="1:43" s="152" customFormat="1" ht="75" customHeight="1" x14ac:dyDescent="0.3">
      <c r="A5" s="149"/>
      <c r="B5" s="149"/>
      <c r="C5" s="150"/>
      <c r="D5" s="684" t="s">
        <v>2</v>
      </c>
      <c r="E5" s="684"/>
      <c r="F5" s="366" t="s">
        <v>120</v>
      </c>
      <c r="G5" s="367" t="s">
        <v>135</v>
      </c>
      <c r="H5" s="367" t="s">
        <v>300</v>
      </c>
      <c r="I5" s="367" t="s">
        <v>301</v>
      </c>
      <c r="J5" s="367" t="s">
        <v>210</v>
      </c>
      <c r="K5" s="367" t="s">
        <v>207</v>
      </c>
      <c r="L5" s="367" t="s">
        <v>205</v>
      </c>
      <c r="M5" s="367" t="s">
        <v>206</v>
      </c>
      <c r="N5" s="367" t="s">
        <v>128</v>
      </c>
      <c r="P5" s="356" t="s">
        <v>158</v>
      </c>
      <c r="U5" s="198"/>
      <c r="V5" s="449" t="s">
        <v>189</v>
      </c>
      <c r="W5" s="449" t="s">
        <v>5</v>
      </c>
      <c r="X5" s="449" t="s">
        <v>6</v>
      </c>
      <c r="Y5" s="449" t="s">
        <v>187</v>
      </c>
      <c r="Z5" s="449" t="s">
        <v>188</v>
      </c>
      <c r="AA5" s="449" t="s">
        <v>201</v>
      </c>
      <c r="AB5" s="449" t="s">
        <v>7</v>
      </c>
      <c r="AC5" s="450"/>
      <c r="AD5" s="450"/>
      <c r="AE5" s="451"/>
      <c r="AF5" s="449" t="str">
        <f>V5</f>
        <v xml:space="preserve"> Totaal beschikbare uren per jaar</v>
      </c>
      <c r="AG5" s="449" t="str">
        <f t="shared" ref="AG5:AL5" si="0">W5</f>
        <v xml:space="preserve">Verlof </v>
      </c>
      <c r="AH5" s="449" t="str">
        <f t="shared" si="0"/>
        <v xml:space="preserve">Verzuim </v>
      </c>
      <c r="AI5" s="449" t="str">
        <f t="shared" si="0"/>
        <v xml:space="preserve"> Niet-cliënt-gebonden tijd </v>
      </c>
      <c r="AJ5" s="449" t="str">
        <f t="shared" si="0"/>
        <v xml:space="preserve"> Reistijd tussen cliënten</v>
      </c>
      <c r="AK5" s="449" t="str">
        <f t="shared" si="0"/>
        <v>Indirect cliënt-gebonden tijd</v>
      </c>
      <c r="AL5" s="449" t="str">
        <f t="shared" si="0"/>
        <v xml:space="preserve"> Productieve uren </v>
      </c>
      <c r="AN5" s="450"/>
    </row>
    <row r="6" spans="1:43" s="152" customFormat="1" ht="14.4" x14ac:dyDescent="0.3">
      <c r="A6" s="149"/>
      <c r="B6" s="149"/>
      <c r="C6" s="150"/>
      <c r="D6" s="167" t="s">
        <v>4</v>
      </c>
      <c r="E6" s="155"/>
      <c r="F6" s="156"/>
      <c r="G6" s="165"/>
      <c r="H6" s="165"/>
      <c r="I6" s="165"/>
      <c r="K6" s="165"/>
      <c r="L6" s="165"/>
      <c r="M6" s="165"/>
      <c r="P6" s="159"/>
      <c r="U6" s="152" t="s">
        <v>8</v>
      </c>
      <c r="V6" s="204">
        <v>1878</v>
      </c>
      <c r="W6" s="204">
        <f xml:space="preserve"> 'Individuele begeleiding'!$G$37</f>
        <v>251</v>
      </c>
      <c r="X6" s="204">
        <f xml:space="preserve"> 'Individuele begeleiding'!$G$38</f>
        <v>145.7328</v>
      </c>
      <c r="Y6" s="445">
        <f xml:space="preserve"> 'Individuele begeleiding'!$G$39</f>
        <v>56.5</v>
      </c>
      <c r="Z6" s="446">
        <f xml:space="preserve"> 'Individuele begeleiding'!$G$40</f>
        <v>133.25</v>
      </c>
      <c r="AA6" s="204">
        <f xml:space="preserve"> 'Individuele begeleiding'!$G$41</f>
        <v>20</v>
      </c>
      <c r="AB6" s="204">
        <f xml:space="preserve"> V6 - W6 - X6 - Y6 - Z6 - AA6</f>
        <v>1271.5172</v>
      </c>
      <c r="AC6" s="452">
        <f>AB6/V6</f>
        <v>0.67705921192758256</v>
      </c>
      <c r="AE6" s="152" t="s">
        <v>183</v>
      </c>
      <c r="AF6" s="204">
        <v>1878</v>
      </c>
      <c r="AG6" s="204">
        <f xml:space="preserve"> Dagbesteding!G$33</f>
        <v>251</v>
      </c>
      <c r="AH6" s="204">
        <f xml:space="preserve"> Dagbesteding!G$34</f>
        <v>145.7328</v>
      </c>
      <c r="AI6" s="204">
        <f xml:space="preserve"> Dagbesteding!H$35</f>
        <v>56.5</v>
      </c>
      <c r="AJ6" s="151">
        <f xml:space="preserve"> Dagbesteding!G$36</f>
        <v>0</v>
      </c>
      <c r="AK6" s="151">
        <f xml:space="preserve"> Dagbesteding!H$37</f>
        <v>20</v>
      </c>
      <c r="AL6" s="204">
        <f xml:space="preserve"> AF6 - AG6 - AH6 - AI6 - AJ6 - AK6</f>
        <v>1404.7672</v>
      </c>
      <c r="AM6" s="452">
        <f>AL6/AF6</f>
        <v>0.74801235356762519</v>
      </c>
      <c r="AO6" s="454" t="s">
        <v>191</v>
      </c>
      <c r="AP6" s="449"/>
      <c r="AQ6" s="449"/>
    </row>
    <row r="7" spans="1:43" s="152" customFormat="1" ht="14.4" x14ac:dyDescent="0.3">
      <c r="A7" s="149"/>
      <c r="B7" s="149"/>
      <c r="C7" s="150"/>
      <c r="D7" s="453"/>
      <c r="E7" s="164">
        <v>25</v>
      </c>
      <c r="F7" s="484"/>
      <c r="G7" s="484"/>
      <c r="H7" s="484"/>
      <c r="I7" s="484"/>
      <c r="J7" s="652">
        <f xml:space="preserve"> 'Individuele begeleiding'!CY$12</f>
        <v>0.99</v>
      </c>
      <c r="K7" s="484"/>
      <c r="L7" s="484"/>
      <c r="M7" s="484"/>
      <c r="N7" s="484"/>
      <c r="P7" s="358" t="s">
        <v>155</v>
      </c>
      <c r="U7" s="196" t="s">
        <v>10</v>
      </c>
      <c r="V7" s="205">
        <v>1878</v>
      </c>
      <c r="W7" s="205">
        <f xml:space="preserve"> 'Individuele begeleiding'!$S$37</f>
        <v>251</v>
      </c>
      <c r="X7" s="205">
        <f xml:space="preserve"> 'Individuele begeleiding'!$S$38</f>
        <v>145.7328</v>
      </c>
      <c r="Y7" s="447">
        <f xml:space="preserve"> 'Individuele begeleiding'!$S$39</f>
        <v>56.5</v>
      </c>
      <c r="Z7" s="448">
        <f xml:space="preserve"> 'Individuele begeleiding'!$S$40</f>
        <v>133.25</v>
      </c>
      <c r="AA7" s="205">
        <f xml:space="preserve"> 'Individuele begeleiding'!$S$41</f>
        <v>20</v>
      </c>
      <c r="AB7" s="205">
        <f xml:space="preserve"> V7 - W7 - X7 - Y7 - Z7 - AA7</f>
        <v>1271.5172</v>
      </c>
      <c r="AC7" s="452">
        <f>AB7/V7</f>
        <v>0.67705921192758256</v>
      </c>
      <c r="AE7" s="196" t="s">
        <v>14</v>
      </c>
      <c r="AF7" s="205">
        <v>1878</v>
      </c>
      <c r="AG7" s="205">
        <f xml:space="preserve"> Dagbesteding!Q$33</f>
        <v>251</v>
      </c>
      <c r="AH7" s="205">
        <f xml:space="preserve"> Dagbesteding!Q$34</f>
        <v>145.7328</v>
      </c>
      <c r="AI7" s="205">
        <f xml:space="preserve"> Dagbesteding!R$35</f>
        <v>56.5</v>
      </c>
      <c r="AJ7" s="153">
        <f xml:space="preserve"> Dagbesteding!Q$36</f>
        <v>0</v>
      </c>
      <c r="AK7" s="153">
        <f xml:space="preserve"> Dagbesteding!R$37</f>
        <v>20</v>
      </c>
      <c r="AL7" s="205">
        <f t="shared" ref="AL7:AL9" si="1" xml:space="preserve"> AF7 - AG7 - AH7 - AI7 - AJ7 - AK7</f>
        <v>1404.7672</v>
      </c>
      <c r="AM7" s="452">
        <f>AL7/AF7</f>
        <v>0.74801235356762519</v>
      </c>
      <c r="AO7" s="196" t="s">
        <v>192</v>
      </c>
      <c r="AP7" s="205" t="s">
        <v>198</v>
      </c>
      <c r="AQ7" s="205" t="s">
        <v>199</v>
      </c>
    </row>
    <row r="8" spans="1:43" s="152" customFormat="1" ht="14.4" x14ac:dyDescent="0.3">
      <c r="A8" s="149"/>
      <c r="B8" s="149"/>
      <c r="C8" s="150"/>
      <c r="D8" s="168"/>
      <c r="E8" s="161">
        <v>40</v>
      </c>
      <c r="F8" s="651">
        <f xml:space="preserve"> 'Individuele begeleiding'!G$12</f>
        <v>0.7</v>
      </c>
      <c r="G8" s="489">
        <f xml:space="preserve"> 'Individuele begeleiding'!M$12</f>
        <v>0.2</v>
      </c>
      <c r="H8" s="489">
        <f xml:space="preserve"> 'Individuele begeleiding'!BC$12</f>
        <v>0.7</v>
      </c>
      <c r="I8" s="483">
        <f>'Individuele begeleiding'!CA$12</f>
        <v>0.2</v>
      </c>
      <c r="J8" s="485"/>
      <c r="K8" s="489">
        <f xml:space="preserve"> Dagbesteding!$G$12</f>
        <v>0.8</v>
      </c>
      <c r="L8" s="489">
        <f xml:space="preserve"> Dagbesteding!L$12</f>
        <v>0.2</v>
      </c>
      <c r="M8" s="489">
        <f xml:space="preserve"> Dagbesteding!AU$12</f>
        <v>0.8</v>
      </c>
      <c r="N8" s="493">
        <f>Dagbesteding!BO12</f>
        <v>0.5</v>
      </c>
      <c r="P8" s="358" t="s">
        <v>155</v>
      </c>
      <c r="U8" s="152" t="s">
        <v>11</v>
      </c>
      <c r="V8" s="204">
        <v>1878</v>
      </c>
      <c r="W8" s="204">
        <f xml:space="preserve"> 'Individuele begeleiding'!$AE$37</f>
        <v>250</v>
      </c>
      <c r="X8" s="204">
        <f xml:space="preserve"> 'Individuele begeleiding'!$AE$38</f>
        <v>145.7328</v>
      </c>
      <c r="Y8" s="445">
        <f xml:space="preserve"> 'Individuele begeleiding'!$AE$39</f>
        <v>56.5</v>
      </c>
      <c r="Z8" s="446">
        <f xml:space="preserve"> 'Individuele begeleiding'!$AE$40</f>
        <v>133.25</v>
      </c>
      <c r="AA8" s="204">
        <f xml:space="preserve"> 'Individuele begeleiding'!$AE$41</f>
        <v>20</v>
      </c>
      <c r="AB8" s="204">
        <f xml:space="preserve"> V8 - W8 - X8 - Y8 - Z8 - AA8</f>
        <v>1272.5172</v>
      </c>
      <c r="AC8" s="452">
        <f>AB8/V8</f>
        <v>0.67759169329073488</v>
      </c>
      <c r="AE8" s="152" t="s">
        <v>16</v>
      </c>
      <c r="AF8" s="204">
        <v>1878</v>
      </c>
      <c r="AG8" s="204">
        <f xml:space="preserve"> Dagbesteding!AA$33</f>
        <v>220</v>
      </c>
      <c r="AH8" s="204">
        <f xml:space="preserve"> Dagbesteding!AA$34</f>
        <v>145.7328</v>
      </c>
      <c r="AI8" s="204">
        <f xml:space="preserve"> Dagbesteding!AB$35</f>
        <v>56.5</v>
      </c>
      <c r="AJ8" s="151">
        <f xml:space="preserve"> Dagbesteding!AA$36</f>
        <v>0</v>
      </c>
      <c r="AK8" s="151">
        <f xml:space="preserve"> Dagbesteding!AB$37</f>
        <v>20</v>
      </c>
      <c r="AL8" s="204">
        <f t="shared" si="1"/>
        <v>1435.7672</v>
      </c>
      <c r="AM8" s="452">
        <f>AL8/AF8</f>
        <v>0.76451927582534607</v>
      </c>
      <c r="AO8" s="152" t="s">
        <v>196</v>
      </c>
      <c r="AP8" s="157">
        <v>0</v>
      </c>
      <c r="AQ8" s="475">
        <v>0.9</v>
      </c>
    </row>
    <row r="9" spans="1:43" s="152" customFormat="1" ht="14.4" x14ac:dyDescent="0.3">
      <c r="A9" s="149"/>
      <c r="B9" s="149"/>
      <c r="C9" s="150"/>
      <c r="D9" s="168"/>
      <c r="E9" s="161">
        <v>45</v>
      </c>
      <c r="F9" s="651">
        <f xml:space="preserve"> 'Individuele begeleiding'!H$12</f>
        <v>0.28999999999999998</v>
      </c>
      <c r="G9" s="493">
        <f xml:space="preserve"> 'Individuele begeleiding'!N$12</f>
        <v>0.4</v>
      </c>
      <c r="H9" s="493">
        <f xml:space="preserve"> 'Individuele begeleiding'!BD$12</f>
        <v>0.28999999999999998</v>
      </c>
      <c r="I9" s="483">
        <f>'Individuele begeleiding'!CB$12</f>
        <v>0.4</v>
      </c>
      <c r="J9" s="489">
        <f xml:space="preserve"> 'Individuele begeleiding'!CZ$12</f>
        <v>0.01</v>
      </c>
      <c r="K9" s="489">
        <f xml:space="preserve"> Dagbesteding!$H$12</f>
        <v>0.1</v>
      </c>
      <c r="L9" s="489">
        <f xml:space="preserve"> Dagbesteding!M$12</f>
        <v>0.6</v>
      </c>
      <c r="M9" s="489">
        <f xml:space="preserve"> Dagbesteding!AV$12</f>
        <v>0.1</v>
      </c>
      <c r="N9" s="489">
        <f>Dagbesteding!BP12</f>
        <v>0.5</v>
      </c>
      <c r="P9" s="359" t="s">
        <v>156</v>
      </c>
      <c r="U9" s="196" t="s">
        <v>12</v>
      </c>
      <c r="V9" s="205">
        <v>1878</v>
      </c>
      <c r="W9" s="205">
        <f xml:space="preserve"> 'Individuele begeleiding'!$AK$37</f>
        <v>220</v>
      </c>
      <c r="X9" s="205">
        <f xml:space="preserve"> 'Individuele begeleiding'!$AK$38</f>
        <v>145.7328</v>
      </c>
      <c r="Y9" s="447">
        <f xml:space="preserve"> 'Individuele begeleiding'!$AK$39</f>
        <v>56.5</v>
      </c>
      <c r="Z9" s="448">
        <f xml:space="preserve"> 'Individuele begeleiding'!$AK$40</f>
        <v>133.25</v>
      </c>
      <c r="AA9" s="205">
        <f xml:space="preserve"> 'Individuele begeleiding'!$AK$41</f>
        <v>20</v>
      </c>
      <c r="AB9" s="205">
        <f xml:space="preserve"> V9 - W9 - X9 - Y9 - Z9 - AA9</f>
        <v>1302.5172</v>
      </c>
      <c r="AC9" s="452">
        <f>AB9/V9</f>
        <v>0.69356613418530355</v>
      </c>
      <c r="AE9" s="196" t="s">
        <v>17</v>
      </c>
      <c r="AF9" s="205">
        <v>1878</v>
      </c>
      <c r="AG9" s="205">
        <f xml:space="preserve"> Dagbesteding!AK$33</f>
        <v>287.39999999999998</v>
      </c>
      <c r="AH9" s="205">
        <f xml:space="preserve"> Dagbesteding!AK$34</f>
        <v>145.7328</v>
      </c>
      <c r="AI9" s="205">
        <f xml:space="preserve"> Dagbesteding!AL$35</f>
        <v>56.5</v>
      </c>
      <c r="AJ9" s="153">
        <f xml:space="preserve"> Dagbesteding!AK$36</f>
        <v>0</v>
      </c>
      <c r="AK9" s="153">
        <f xml:space="preserve"> Dagbesteding!AL$37</f>
        <v>20</v>
      </c>
      <c r="AL9" s="205">
        <f t="shared" si="1"/>
        <v>1368.3671999999999</v>
      </c>
      <c r="AM9" s="452">
        <f>AL9/AF9</f>
        <v>0.72863003194888176</v>
      </c>
      <c r="AO9" s="152" t="s">
        <v>195</v>
      </c>
      <c r="AP9" s="157">
        <v>0.44</v>
      </c>
      <c r="AQ9" s="476">
        <v>2.5000000000000001E-2</v>
      </c>
    </row>
    <row r="10" spans="1:43" s="152" customFormat="1" ht="14.4" x14ac:dyDescent="0.3">
      <c r="A10" s="149"/>
      <c r="B10" s="149"/>
      <c r="C10" s="150"/>
      <c r="D10" s="168"/>
      <c r="E10" s="161">
        <v>50</v>
      </c>
      <c r="F10" s="485"/>
      <c r="G10" s="493">
        <f xml:space="preserve"> 'Individuele begeleiding'!O$12</f>
        <v>0.39</v>
      </c>
      <c r="H10" s="485"/>
      <c r="I10" s="483">
        <f>'Individuele begeleiding'!CC$12</f>
        <v>0.39</v>
      </c>
      <c r="J10" s="485"/>
      <c r="K10" s="493">
        <f xml:space="preserve"> Dagbesteding!I$12</f>
        <v>0.09</v>
      </c>
      <c r="L10" s="493">
        <f xml:space="preserve"> Dagbesteding!N$12</f>
        <v>0.19</v>
      </c>
      <c r="M10" s="489">
        <f xml:space="preserve"> Dagbesteding!AW$12</f>
        <v>0.09</v>
      </c>
      <c r="N10" s="485"/>
      <c r="P10" s="359" t="s">
        <v>156</v>
      </c>
      <c r="U10" s="152" t="s">
        <v>9</v>
      </c>
      <c r="V10" s="204">
        <v>1878</v>
      </c>
      <c r="W10" s="204">
        <f xml:space="preserve"> 'Individuele begeleiding'!$AW$37</f>
        <v>287.39999999999998</v>
      </c>
      <c r="X10" s="204">
        <f xml:space="preserve"> 'Individuele begeleiding'!$AW$38</f>
        <v>145.7328</v>
      </c>
      <c r="Y10" s="445">
        <f xml:space="preserve"> 'Individuele begeleiding'!$AW$39</f>
        <v>56.5</v>
      </c>
      <c r="Z10" s="446">
        <f xml:space="preserve"> 'Individuele begeleiding'!$AW$40</f>
        <v>133.25</v>
      </c>
      <c r="AA10" s="204">
        <f xml:space="preserve"> 'Individuele begeleiding'!$AW$41</f>
        <v>20</v>
      </c>
      <c r="AB10" s="204">
        <f t="shared" ref="AB10" si="2" xml:space="preserve"> V10 - W10 - X10 - Y10 - Z10 - AA10</f>
        <v>1235.1171999999999</v>
      </c>
      <c r="AC10" s="452">
        <f>AB10/V10</f>
        <v>0.65767689030883913</v>
      </c>
      <c r="AE10" s="206" t="s">
        <v>13</v>
      </c>
      <c r="AF10" s="207"/>
      <c r="AG10" s="207"/>
      <c r="AH10" s="207"/>
      <c r="AI10" s="207"/>
      <c r="AJ10" s="207"/>
      <c r="AK10" s="207"/>
      <c r="AL10" s="208">
        <f xml:space="preserve"> AVERAGE( AL6:AL9)</f>
        <v>1403.4171999999999</v>
      </c>
      <c r="AM10" s="452">
        <f>AL10/AF9</f>
        <v>0.74729350372736947</v>
      </c>
      <c r="AO10" s="152" t="s">
        <v>193</v>
      </c>
      <c r="AP10" s="157">
        <v>0.38</v>
      </c>
      <c r="AQ10" s="476">
        <v>2.5000000000000001E-2</v>
      </c>
    </row>
    <row r="11" spans="1:43" s="152" customFormat="1" ht="14.4" x14ac:dyDescent="0.3">
      <c r="A11" s="149"/>
      <c r="B11" s="149"/>
      <c r="C11" s="150"/>
      <c r="D11" s="169"/>
      <c r="E11" s="163">
        <v>60</v>
      </c>
      <c r="F11" s="653">
        <f xml:space="preserve"> 'Individuele begeleiding'!K$12</f>
        <v>0.01</v>
      </c>
      <c r="G11" s="515">
        <f xml:space="preserve"> 'Individuele begeleiding'!Q$12</f>
        <v>0.01</v>
      </c>
      <c r="H11" s="513">
        <f xml:space="preserve"> 'Individuele begeleiding'!BG$12</f>
        <v>0.01</v>
      </c>
      <c r="I11" s="513">
        <f>'Individuele begeleiding'!CE$12</f>
        <v>0.01</v>
      </c>
      <c r="J11" s="486"/>
      <c r="K11" s="490">
        <f>Dagbesteding!J12</f>
        <v>0.01</v>
      </c>
      <c r="L11" s="490">
        <f>Dagbesteding!O12</f>
        <v>0.01</v>
      </c>
      <c r="M11" s="490">
        <f xml:space="preserve"> Dagbesteding!AX$12</f>
        <v>0.01</v>
      </c>
      <c r="N11" s="486"/>
      <c r="P11" s="360" t="s">
        <v>157</v>
      </c>
      <c r="U11" s="206" t="s">
        <v>13</v>
      </c>
      <c r="V11" s="207"/>
      <c r="W11" s="207"/>
      <c r="X11" s="207"/>
      <c r="Y11" s="207"/>
      <c r="Z11" s="207"/>
      <c r="AA11" s="207"/>
      <c r="AB11" s="208">
        <f xml:space="preserve"> AVERAGE( AB6:AB10)</f>
        <v>1270.6371999999999</v>
      </c>
      <c r="AC11" s="452">
        <f>AB11/V10</f>
        <v>0.67659062832800843</v>
      </c>
      <c r="AO11" s="152" t="s">
        <v>194</v>
      </c>
      <c r="AP11" s="157">
        <v>0.49</v>
      </c>
      <c r="AQ11" s="476">
        <v>2.5000000000000001E-2</v>
      </c>
    </row>
    <row r="12" spans="1:43" s="152" customFormat="1" ht="14.4" customHeight="1" x14ac:dyDescent="0.3">
      <c r="A12" s="149"/>
      <c r="B12" s="149"/>
      <c r="C12" s="150"/>
      <c r="D12" s="170" t="s">
        <v>14</v>
      </c>
      <c r="E12" s="159"/>
      <c r="F12" s="487"/>
      <c r="G12" s="487"/>
      <c r="H12" s="487"/>
      <c r="I12" s="487"/>
      <c r="J12" s="488"/>
      <c r="K12" s="487"/>
      <c r="L12" s="487"/>
      <c r="M12" s="487"/>
      <c r="N12" s="488"/>
      <c r="P12" s="159"/>
      <c r="AO12" s="152" t="s">
        <v>197</v>
      </c>
      <c r="AP12" s="157">
        <v>0.6</v>
      </c>
      <c r="AQ12" s="476">
        <v>2.5000000000000001E-2</v>
      </c>
    </row>
    <row r="13" spans="1:43" s="152" customFormat="1" ht="14.4" x14ac:dyDescent="0.3">
      <c r="A13" s="149"/>
      <c r="B13" s="149"/>
      <c r="C13" s="150"/>
      <c r="D13" s="171"/>
      <c r="E13" s="162">
        <v>35</v>
      </c>
      <c r="F13" s="484"/>
      <c r="G13" s="484"/>
      <c r="H13" s="484"/>
      <c r="I13" s="484"/>
      <c r="J13" s="484"/>
      <c r="K13" s="498">
        <f>Dagbesteding!Q12</f>
        <v>0.4</v>
      </c>
      <c r="L13" s="484"/>
      <c r="M13" s="491">
        <f xml:space="preserve"> Dagbesteding!AZ$12</f>
        <v>0.4</v>
      </c>
      <c r="N13" s="484"/>
      <c r="P13" s="358" t="s">
        <v>155</v>
      </c>
      <c r="AO13" s="481" t="s">
        <v>200</v>
      </c>
      <c r="AP13" s="482">
        <f>SUMPRODUCT(AP8:AP12,AQ8:AQ12)</f>
        <v>4.7750000000000001E-2</v>
      </c>
    </row>
    <row r="14" spans="1:43" s="152" customFormat="1" ht="14.4" x14ac:dyDescent="0.3">
      <c r="A14" s="149"/>
      <c r="B14" s="149"/>
      <c r="C14" s="150"/>
      <c r="D14" s="172"/>
      <c r="E14" s="160">
        <v>40</v>
      </c>
      <c r="F14" s="649">
        <f xml:space="preserve"> 'Individuele begeleiding'!T$12</f>
        <v>0.7</v>
      </c>
      <c r="G14" s="489">
        <f xml:space="preserve"> 'Individuele begeleiding'!Z$12</f>
        <v>0.2</v>
      </c>
      <c r="H14" s="489">
        <f xml:space="preserve"> 'Individuele begeleiding'!BJ$12</f>
        <v>0.7</v>
      </c>
      <c r="I14" s="489">
        <f>'Individuele begeleiding'!CH12</f>
        <v>0.2</v>
      </c>
      <c r="J14" s="492"/>
      <c r="K14" s="478">
        <f>Dagbesteding!R12</f>
        <v>0.5</v>
      </c>
      <c r="L14" s="478">
        <f xml:space="preserve"> Dagbesteding!W$12</f>
        <v>0.5</v>
      </c>
      <c r="M14" s="489">
        <f xml:space="preserve"> Dagbesteding!BA$12</f>
        <v>0.5</v>
      </c>
      <c r="N14" s="489">
        <f xml:space="preserve"> Dagbesteding!BS$12</f>
        <v>0.5</v>
      </c>
      <c r="P14" s="358" t="s">
        <v>155</v>
      </c>
      <c r="W14" s="376"/>
    </row>
    <row r="15" spans="1:43" s="152" customFormat="1" ht="14.4" x14ac:dyDescent="0.3">
      <c r="A15" s="149"/>
      <c r="B15" s="149"/>
      <c r="C15" s="150"/>
      <c r="D15" s="172"/>
      <c r="E15" s="160">
        <v>45</v>
      </c>
      <c r="F15" s="493">
        <f xml:space="preserve"> 'Individuele begeleiding'!U$12</f>
        <v>0.28999999999999998</v>
      </c>
      <c r="G15" s="493">
        <f xml:space="preserve"> 'Individuele begeleiding'!AA$12</f>
        <v>0.59</v>
      </c>
      <c r="H15" s="489">
        <f xml:space="preserve"> 'Individuele begeleiding'!BK$12</f>
        <v>0.28999999999999998</v>
      </c>
      <c r="I15" s="489">
        <f>'Individuele begeleiding'!CI12</f>
        <v>0.59</v>
      </c>
      <c r="J15" s="485"/>
      <c r="K15" s="493">
        <f>Dagbesteding!S12</f>
        <v>0.09</v>
      </c>
      <c r="L15" s="478">
        <f xml:space="preserve"> Dagbesteding!X$12</f>
        <v>0.49</v>
      </c>
      <c r="M15" s="489">
        <f xml:space="preserve"> Dagbesteding!BB$12</f>
        <v>0.09</v>
      </c>
      <c r="N15" s="489">
        <f xml:space="preserve"> Dagbesteding!BT$12</f>
        <v>0.5</v>
      </c>
      <c r="P15" s="359" t="s">
        <v>156</v>
      </c>
    </row>
    <row r="16" spans="1:43" s="152" customFormat="1" ht="14.4" x14ac:dyDescent="0.3">
      <c r="A16" s="149"/>
      <c r="B16" s="149"/>
      <c r="C16" s="150"/>
      <c r="D16" s="172"/>
      <c r="E16" s="160">
        <v>50</v>
      </c>
      <c r="F16" s="492"/>
      <c r="G16" s="493">
        <f xml:space="preserve"> 'Individuele begeleiding'!AB$12</f>
        <v>0.2</v>
      </c>
      <c r="H16" s="492"/>
      <c r="I16" s="649">
        <f>'Individuele begeleiding'!CJ12</f>
        <v>0.2</v>
      </c>
      <c r="J16" s="485"/>
      <c r="K16" s="485"/>
      <c r="L16" s="485"/>
      <c r="M16" s="492"/>
      <c r="N16" s="485"/>
      <c r="P16" s="359" t="s">
        <v>156</v>
      </c>
    </row>
    <row r="17" spans="1:20" s="152" customFormat="1" ht="14.4" x14ac:dyDescent="0.3">
      <c r="A17" s="149"/>
      <c r="B17" s="149"/>
      <c r="C17" s="150"/>
      <c r="D17" s="169"/>
      <c r="E17" s="163">
        <v>65</v>
      </c>
      <c r="F17" s="490">
        <f xml:space="preserve"> 'Individuele begeleiding'!W$12</f>
        <v>0.01</v>
      </c>
      <c r="G17" s="490">
        <f xml:space="preserve"> 'Individuele begeleiding'!AC$12</f>
        <v>0.01</v>
      </c>
      <c r="H17" s="490">
        <f xml:space="preserve"> 'Individuele begeleiding'!BM$12</f>
        <v>0.01</v>
      </c>
      <c r="I17" s="490">
        <f>'Individuele begeleiding'!CK12</f>
        <v>0.01</v>
      </c>
      <c r="J17" s="499"/>
      <c r="K17" s="490">
        <f>Dagbesteding!T12</f>
        <v>0.01</v>
      </c>
      <c r="L17" s="490">
        <f>Dagbesteding!Y12</f>
        <v>0.01</v>
      </c>
      <c r="M17" s="490">
        <f>Dagbesteding!BC12</f>
        <v>0.01</v>
      </c>
      <c r="N17" s="486"/>
      <c r="P17" s="360" t="s">
        <v>157</v>
      </c>
    </row>
    <row r="18" spans="1:20" s="152" customFormat="1" ht="14.4" x14ac:dyDescent="0.3">
      <c r="A18" s="149"/>
      <c r="B18" s="149"/>
      <c r="C18" s="150"/>
      <c r="D18" s="167" t="s">
        <v>15</v>
      </c>
      <c r="E18" s="158"/>
      <c r="F18" s="487"/>
      <c r="G18" s="487"/>
      <c r="H18" s="487"/>
      <c r="I18" s="487"/>
      <c r="J18" s="488"/>
      <c r="K18" s="487"/>
      <c r="L18" s="487"/>
      <c r="M18" s="487"/>
      <c r="N18" s="488"/>
      <c r="P18" s="159"/>
    </row>
    <row r="19" spans="1:20" s="152" customFormat="1" ht="14.4" x14ac:dyDescent="0.3">
      <c r="A19" s="149"/>
      <c r="B19" s="149"/>
      <c r="C19" s="150"/>
      <c r="D19" s="173"/>
      <c r="E19" s="164">
        <v>8</v>
      </c>
      <c r="F19" s="484"/>
      <c r="G19" s="477">
        <f xml:space="preserve"> 'Individuele begeleiding'!AF$12</f>
        <v>0.22</v>
      </c>
      <c r="H19" s="484"/>
      <c r="I19" s="491">
        <f xml:space="preserve"> 'Individuele begeleiding'!CN$12</f>
        <v>0.22</v>
      </c>
      <c r="J19" s="484"/>
      <c r="K19" s="484"/>
      <c r="L19" s="484"/>
      <c r="M19" s="484"/>
      <c r="N19" s="484"/>
      <c r="P19" s="359" t="s">
        <v>156</v>
      </c>
    </row>
    <row r="20" spans="1:20" s="152" customFormat="1" ht="14.4" x14ac:dyDescent="0.3">
      <c r="A20" s="149"/>
      <c r="B20" s="149"/>
      <c r="C20" s="150"/>
      <c r="D20" s="174"/>
      <c r="E20" s="161">
        <v>9</v>
      </c>
      <c r="F20" s="485"/>
      <c r="G20" s="479">
        <f xml:space="preserve"> 'Individuele begeleiding'!AG$12</f>
        <v>0.76</v>
      </c>
      <c r="H20" s="485"/>
      <c r="I20" s="489">
        <f xml:space="preserve"> 'Individuele begeleiding'!CO$12</f>
        <v>0.76</v>
      </c>
      <c r="J20" s="485"/>
      <c r="K20" s="485"/>
      <c r="L20" s="485"/>
      <c r="M20" s="485"/>
      <c r="N20" s="485"/>
      <c r="P20" s="359" t="s">
        <v>156</v>
      </c>
    </row>
    <row r="21" spans="1:20" s="152" customFormat="1" ht="14.4" x14ac:dyDescent="0.3">
      <c r="A21" s="149"/>
      <c r="B21" s="149"/>
      <c r="C21" s="150"/>
      <c r="D21" s="175"/>
      <c r="E21" s="163">
        <v>11</v>
      </c>
      <c r="F21" s="486"/>
      <c r="G21" s="480">
        <f xml:space="preserve"> 'Individuele begeleiding'!AH$12</f>
        <v>0.02</v>
      </c>
      <c r="H21" s="486"/>
      <c r="I21" s="490">
        <f xml:space="preserve"> 'Individuele begeleiding'!CP$12</f>
        <v>0.02</v>
      </c>
      <c r="J21" s="486"/>
      <c r="K21" s="486"/>
      <c r="L21" s="486"/>
      <c r="M21" s="486"/>
      <c r="N21" s="486"/>
      <c r="P21" s="360" t="s">
        <v>157</v>
      </c>
    </row>
    <row r="22" spans="1:20" s="152" customFormat="1" ht="14.4" x14ac:dyDescent="0.3">
      <c r="A22" s="149"/>
      <c r="B22" s="149"/>
      <c r="C22" s="150"/>
      <c r="D22" s="167" t="s">
        <v>16</v>
      </c>
      <c r="E22" s="161"/>
      <c r="F22" s="493"/>
      <c r="G22" s="493"/>
      <c r="H22" s="493"/>
      <c r="I22" s="493"/>
      <c r="J22" s="488"/>
      <c r="K22" s="493"/>
      <c r="L22" s="493"/>
      <c r="M22" s="493"/>
      <c r="N22" s="488"/>
      <c r="P22" s="159"/>
    </row>
    <row r="23" spans="1:20" s="152" customFormat="1" ht="14.4" x14ac:dyDescent="0.3">
      <c r="A23" s="149"/>
      <c r="B23" s="149"/>
      <c r="C23" s="150"/>
      <c r="D23" s="453"/>
      <c r="E23" s="164">
        <v>3</v>
      </c>
      <c r="F23" s="484"/>
      <c r="G23" s="484"/>
      <c r="H23" s="484"/>
      <c r="I23" s="484"/>
      <c r="J23" s="496">
        <f xml:space="preserve"> 'Individuele begeleiding'!DE$12</f>
        <v>0.99</v>
      </c>
      <c r="K23" s="484"/>
      <c r="L23" s="484"/>
      <c r="M23" s="484"/>
      <c r="N23" s="484"/>
      <c r="P23" s="509" t="s">
        <v>155</v>
      </c>
    </row>
    <row r="24" spans="1:20" s="152" customFormat="1" ht="14.4" x14ac:dyDescent="0.3">
      <c r="A24" s="149"/>
      <c r="B24" s="149"/>
      <c r="C24" s="150"/>
      <c r="D24" s="174"/>
      <c r="E24" s="161">
        <v>6</v>
      </c>
      <c r="F24" s="478">
        <f xml:space="preserve"> 'Individuele begeleiding'!$AK$12</f>
        <v>0.7</v>
      </c>
      <c r="G24" s="478">
        <f xml:space="preserve"> 'Individuele begeleiding'!$AQ$12</f>
        <v>0.2</v>
      </c>
      <c r="H24" s="493">
        <f xml:space="preserve"> 'Individuele begeleiding'!BO$12</f>
        <v>0.7</v>
      </c>
      <c r="I24" s="493">
        <f>'Individuele begeleiding'!CS12</f>
        <v>0.2</v>
      </c>
      <c r="J24" s="485"/>
      <c r="K24" s="479">
        <f xml:space="preserve"> Dagbesteding!AA$12</f>
        <v>0.8</v>
      </c>
      <c r="L24" s="478">
        <f xml:space="preserve"> Dagbesteding!AF$12</f>
        <v>0.2</v>
      </c>
      <c r="M24" s="493">
        <f xml:space="preserve"> Dagbesteding!BE$12</f>
        <v>0.8</v>
      </c>
      <c r="N24" s="485"/>
      <c r="P24" s="358" t="s">
        <v>155</v>
      </c>
    </row>
    <row r="25" spans="1:20" s="152" customFormat="1" ht="14.4" x14ac:dyDescent="0.3">
      <c r="A25" s="149"/>
      <c r="B25" s="149"/>
      <c r="C25" s="150"/>
      <c r="D25" s="174"/>
      <c r="E25" s="161">
        <v>7</v>
      </c>
      <c r="F25" s="478">
        <f xml:space="preserve"> 'Individuele begeleiding'!$AL$12</f>
        <v>0.15</v>
      </c>
      <c r="G25" s="478">
        <f xml:space="preserve"> 'Individuele begeleiding'!$AR$12</f>
        <v>0.2</v>
      </c>
      <c r="H25" s="489">
        <f xml:space="preserve"> 'Individuele begeleiding'!BP$12</f>
        <v>0.15</v>
      </c>
      <c r="I25" s="489">
        <f>'Individuele begeleiding'!CT12</f>
        <v>0.2</v>
      </c>
      <c r="J25" s="485"/>
      <c r="K25" s="479">
        <f xml:space="preserve"> Dagbesteding!AB$12</f>
        <v>0.1</v>
      </c>
      <c r="L25" s="479">
        <f xml:space="preserve"> Dagbesteding!AG$12</f>
        <v>0.6</v>
      </c>
      <c r="M25" s="493">
        <f xml:space="preserve"> Dagbesteding!BF$12</f>
        <v>0.1</v>
      </c>
      <c r="N25" s="485"/>
      <c r="P25" s="359" t="s">
        <v>156</v>
      </c>
    </row>
    <row r="26" spans="1:20" s="152" customFormat="1" ht="14.4" x14ac:dyDescent="0.3">
      <c r="A26" s="149"/>
      <c r="B26" s="149"/>
      <c r="C26" s="150"/>
      <c r="D26" s="174"/>
      <c r="E26" s="160">
        <v>8</v>
      </c>
      <c r="F26" s="478">
        <f xml:space="preserve"> 'Individuele begeleiding'!$AM$12</f>
        <v>0.14000000000000001</v>
      </c>
      <c r="G26" s="485"/>
      <c r="H26" s="493">
        <f xml:space="preserve"> 'Individuele begeleiding'!BQ$12</f>
        <v>0.14000000000000001</v>
      </c>
      <c r="I26" s="485"/>
      <c r="J26" s="493">
        <f xml:space="preserve"> 'Individuele begeleiding'!DF$12</f>
        <v>0.01</v>
      </c>
      <c r="K26" s="479">
        <f xml:space="preserve"> Dagbesteding!AC$12</f>
        <v>0.09</v>
      </c>
      <c r="L26" s="479">
        <f xml:space="preserve"> Dagbesteding!AH$12</f>
        <v>0.19</v>
      </c>
      <c r="M26" s="493">
        <f xml:space="preserve"> Dagbesteding!BG$12</f>
        <v>0.09</v>
      </c>
      <c r="N26" s="493">
        <f xml:space="preserve"> Dagbesteding!BY$12</f>
        <v>1</v>
      </c>
      <c r="P26" s="359" t="s">
        <v>156</v>
      </c>
    </row>
    <row r="27" spans="1:20" s="152" customFormat="1" ht="14.4" x14ac:dyDescent="0.3">
      <c r="A27" s="149"/>
      <c r="B27" s="149"/>
      <c r="C27" s="150"/>
      <c r="D27" s="174"/>
      <c r="E27" s="161">
        <v>9</v>
      </c>
      <c r="F27" s="478">
        <f xml:space="preserve"> 'Individuele begeleiding'!$AN$12</f>
        <v>0.01</v>
      </c>
      <c r="G27" s="478">
        <f xml:space="preserve"> 'Individuele begeleiding'!$AT$12</f>
        <v>0.59</v>
      </c>
      <c r="H27" s="489">
        <f xml:space="preserve"> 'Individuele begeleiding'!BR$12</f>
        <v>0.01</v>
      </c>
      <c r="I27" s="489">
        <f>'Individuele begeleiding'!CV12</f>
        <v>0.59</v>
      </c>
      <c r="J27" s="485"/>
      <c r="K27" s="489">
        <f>Dagbesteding!AD12</f>
        <v>0.01</v>
      </c>
      <c r="L27" s="485"/>
      <c r="M27" s="489">
        <f>Dagbesteding!BH12</f>
        <v>0.01</v>
      </c>
      <c r="N27" s="485"/>
      <c r="P27" s="359" t="s">
        <v>156</v>
      </c>
    </row>
    <row r="28" spans="1:20" s="152" customFormat="1" ht="14.4" x14ac:dyDescent="0.3">
      <c r="A28" s="149"/>
      <c r="B28" s="149"/>
      <c r="C28" s="150"/>
      <c r="D28" s="175"/>
      <c r="E28" s="163">
        <v>10</v>
      </c>
      <c r="F28" s="486"/>
      <c r="G28" s="497">
        <f xml:space="preserve"> 'Individuele begeleiding'!$AU$12</f>
        <v>0.01</v>
      </c>
      <c r="H28" s="486"/>
      <c r="I28" s="490">
        <f>'Individuele begeleiding'!CW12</f>
        <v>0.01</v>
      </c>
      <c r="J28" s="486"/>
      <c r="K28" s="486"/>
      <c r="L28" s="490">
        <f xml:space="preserve"> Dagbesteding!AI$12</f>
        <v>0.01</v>
      </c>
      <c r="M28" s="486"/>
      <c r="N28" s="486"/>
      <c r="P28" s="357" t="s">
        <v>159</v>
      </c>
      <c r="Q28" s="166"/>
      <c r="R28" s="166"/>
      <c r="S28" s="166"/>
      <c r="T28" s="166"/>
    </row>
    <row r="29" spans="1:20" s="152" customFormat="1" ht="14.4" x14ac:dyDescent="0.3">
      <c r="A29" s="149"/>
      <c r="B29" s="149"/>
      <c r="C29" s="150"/>
      <c r="D29" s="167" t="s">
        <v>17</v>
      </c>
      <c r="E29" s="158"/>
      <c r="F29" s="494"/>
      <c r="G29" s="494"/>
      <c r="H29" s="487"/>
      <c r="I29" s="487"/>
      <c r="J29" s="495"/>
      <c r="K29" s="494"/>
      <c r="L29" s="494"/>
      <c r="M29" s="487"/>
      <c r="N29" s="495"/>
      <c r="P29" s="159"/>
    </row>
    <row r="30" spans="1:20" s="152" customFormat="1" ht="14.4" x14ac:dyDescent="0.3">
      <c r="A30" s="149"/>
      <c r="B30" s="149"/>
      <c r="C30" s="150"/>
      <c r="D30" s="334"/>
      <c r="E30" s="164">
        <v>25</v>
      </c>
      <c r="F30" s="484"/>
      <c r="G30" s="484"/>
      <c r="H30" s="484"/>
      <c r="I30" s="484"/>
      <c r="J30" s="496">
        <f xml:space="preserve"> 'Individuele begeleiding'!DK$12</f>
        <v>0.99</v>
      </c>
      <c r="K30" s="484"/>
      <c r="L30" s="484"/>
      <c r="M30" s="491">
        <f xml:space="preserve"> Dagbesteding!BJ$12</f>
        <v>0.4</v>
      </c>
      <c r="N30" s="484"/>
      <c r="P30" s="358" t="s">
        <v>155</v>
      </c>
    </row>
    <row r="31" spans="1:20" s="152" customFormat="1" ht="14.4" x14ac:dyDescent="0.3">
      <c r="A31" s="149"/>
      <c r="B31" s="149"/>
      <c r="D31" s="335"/>
      <c r="E31" s="161">
        <v>30</v>
      </c>
      <c r="F31" s="485"/>
      <c r="G31" s="485"/>
      <c r="H31" s="485"/>
      <c r="I31" s="485"/>
      <c r="J31" s="485"/>
      <c r="K31" s="485"/>
      <c r="L31" s="485"/>
      <c r="M31" s="485"/>
      <c r="N31" s="485"/>
      <c r="P31" s="358" t="s">
        <v>155</v>
      </c>
    </row>
    <row r="32" spans="1:20" s="152" customFormat="1" ht="14.4" x14ac:dyDescent="0.3">
      <c r="A32" s="149"/>
      <c r="B32" s="149"/>
      <c r="D32" s="335"/>
      <c r="E32" s="161">
        <v>35</v>
      </c>
      <c r="F32" s="478">
        <f xml:space="preserve"> 'Individuele begeleiding'!AW$12</f>
        <v>0.8</v>
      </c>
      <c r="G32" s="485"/>
      <c r="H32" s="489">
        <f xml:space="preserve"> 'Individuele begeleiding'!BU$12</f>
        <v>0.8</v>
      </c>
      <c r="I32" s="485"/>
      <c r="J32" s="485"/>
      <c r="K32" s="478">
        <f xml:space="preserve"> Dagbesteding!AM$12</f>
        <v>0.3</v>
      </c>
      <c r="L32" s="493">
        <f xml:space="preserve"> Dagbesteding!AP$12</f>
        <v>0.3</v>
      </c>
      <c r="M32" s="489">
        <f>Dagbesteding!BL12</f>
        <v>0.6</v>
      </c>
      <c r="N32" s="485"/>
      <c r="P32" s="358" t="s">
        <v>155</v>
      </c>
    </row>
    <row r="33" spans="1:16" s="152" customFormat="1" ht="14.4" x14ac:dyDescent="0.3">
      <c r="A33" s="149"/>
      <c r="B33" s="149"/>
      <c r="D33" s="335"/>
      <c r="E33" s="160">
        <v>40</v>
      </c>
      <c r="F33" s="485"/>
      <c r="G33" s="485"/>
      <c r="H33" s="485"/>
      <c r="I33" s="485"/>
      <c r="J33" s="489">
        <f xml:space="preserve"> 'Individuele begeleiding'!DN$12</f>
        <v>0.01</v>
      </c>
      <c r="K33" s="478">
        <f xml:space="preserve"> Dagbesteding!AN$12</f>
        <v>0.7</v>
      </c>
      <c r="L33" s="493">
        <f xml:space="preserve"> Dagbesteding!AQ$12</f>
        <v>0.45</v>
      </c>
      <c r="M33" s="485"/>
      <c r="N33" s="493">
        <f xml:space="preserve"> Dagbesteding!CC$12</f>
        <v>0.5</v>
      </c>
      <c r="P33" s="359" t="s">
        <v>156</v>
      </c>
    </row>
    <row r="34" spans="1:16" s="152" customFormat="1" ht="14.4" x14ac:dyDescent="0.3">
      <c r="A34" s="149"/>
      <c r="B34" s="149"/>
      <c r="D34" s="514"/>
      <c r="E34" s="336">
        <v>45</v>
      </c>
      <c r="F34" s="497">
        <f xml:space="preserve"> 'Individuele begeleiding'!AX$12</f>
        <v>0.2</v>
      </c>
      <c r="G34" s="486"/>
      <c r="H34" s="515">
        <f xml:space="preserve"> 'Individuele begeleiding'!BV$12</f>
        <v>0.2</v>
      </c>
      <c r="I34" s="486"/>
      <c r="J34" s="486"/>
      <c r="K34" s="486"/>
      <c r="L34" s="515">
        <f xml:space="preserve"> Dagbesteding!AR$12</f>
        <v>0.25</v>
      </c>
      <c r="M34" s="486"/>
      <c r="N34" s="654">
        <f xml:space="preserve"> Dagbesteding!CD$12</f>
        <v>0.5</v>
      </c>
      <c r="P34" s="359" t="s">
        <v>156</v>
      </c>
    </row>
    <row r="35" spans="1:16" s="152" customFormat="1" ht="14.4" x14ac:dyDescent="0.3">
      <c r="A35" s="149"/>
      <c r="B35" s="149"/>
      <c r="D35" s="151"/>
      <c r="E35" s="157"/>
      <c r="F35" s="157"/>
      <c r="G35" s="157"/>
      <c r="H35" s="157"/>
      <c r="I35" s="157"/>
      <c r="K35" s="157"/>
      <c r="L35" s="157"/>
      <c r="M35" s="157"/>
      <c r="P35" s="158"/>
    </row>
    <row r="36" spans="1:16" s="152" customFormat="1" ht="14.4" x14ac:dyDescent="0.3">
      <c r="A36" s="149"/>
      <c r="B36" s="149"/>
      <c r="C36" s="150"/>
      <c r="D36" s="151"/>
      <c r="E36" s="152" t="s">
        <v>4</v>
      </c>
      <c r="F36" s="238">
        <f>IF(SUM(F7:F11)&lt;&gt;0, IF(ABS(SUM(F7:F11)-1)&lt;=0.005, 0, SUM(F7:F11)-1), 0)</f>
        <v>0</v>
      </c>
      <c r="G36" s="238">
        <f t="shared" ref="G36:M36" si="3">IF(SUM(G7:G11)&lt;&gt;0, IF(ABS(SUM(G7:G11)-1)&lt;=0.005, 0, SUM(G7:G11)-1), 0)</f>
        <v>0</v>
      </c>
      <c r="H36" s="238">
        <f t="shared" si="3"/>
        <v>0</v>
      </c>
      <c r="I36" s="238">
        <f t="shared" ref="I36" si="4">IF(SUM(I7:I11)&lt;&gt;0, IF(ABS(SUM(I7:I11)-1)&lt;=0.005, 0, SUM(I7:I11)-1), 0)</f>
        <v>0</v>
      </c>
      <c r="J36" s="238">
        <f t="shared" si="3"/>
        <v>0</v>
      </c>
      <c r="K36" s="238">
        <f t="shared" si="3"/>
        <v>0</v>
      </c>
      <c r="L36" s="238">
        <f t="shared" si="3"/>
        <v>0</v>
      </c>
      <c r="M36" s="238">
        <f t="shared" si="3"/>
        <v>0</v>
      </c>
      <c r="N36" s="238">
        <f>IF(SUM(N7:N11)&lt;&gt;0, IF(ABS(SUM(N7:N11)-1)&lt;=0.005, 0, SUM(N7:N11)-1), 0)</f>
        <v>0</v>
      </c>
      <c r="O36" s="152" t="s">
        <v>18</v>
      </c>
      <c r="P36" s="158"/>
    </row>
    <row r="37" spans="1:16" s="152" customFormat="1" ht="14.4" x14ac:dyDescent="0.3">
      <c r="A37" s="149"/>
      <c r="B37" s="149"/>
      <c r="C37" s="150"/>
      <c r="D37" s="151"/>
      <c r="E37" s="152" t="s">
        <v>14</v>
      </c>
      <c r="F37" s="238">
        <f t="shared" ref="F37:N37" si="5">IF(SUM(F13:F17)&lt;&gt;0, IF(ABS(SUM(F13:F17)-1)&lt;=0.005, 0, SUM(F13:F17)-1), 0)</f>
        <v>0</v>
      </c>
      <c r="G37" s="238">
        <f t="shared" si="5"/>
        <v>0</v>
      </c>
      <c r="H37" s="238">
        <f t="shared" si="5"/>
        <v>0</v>
      </c>
      <c r="I37" s="238">
        <f>IF(SUM(I13:I17)&lt;&gt;0, IF(ABS(SUM(I13:I17)-1)&lt;=0.005, 0, SUM(I13:I17)-1), 0)</f>
        <v>0</v>
      </c>
      <c r="J37" s="238">
        <f t="shared" si="5"/>
        <v>0</v>
      </c>
      <c r="K37" s="238">
        <f t="shared" si="5"/>
        <v>0</v>
      </c>
      <c r="L37" s="238">
        <f t="shared" si="5"/>
        <v>0</v>
      </c>
      <c r="M37" s="238">
        <f t="shared" si="5"/>
        <v>0</v>
      </c>
      <c r="N37" s="238">
        <f t="shared" si="5"/>
        <v>0</v>
      </c>
      <c r="O37" s="152" t="s">
        <v>18</v>
      </c>
      <c r="P37" s="158"/>
    </row>
    <row r="38" spans="1:16" s="152" customFormat="1" ht="14.4" x14ac:dyDescent="0.3">
      <c r="A38" s="149"/>
      <c r="B38" s="149"/>
      <c r="C38" s="150"/>
      <c r="D38" s="151"/>
      <c r="E38" s="152" t="s">
        <v>15</v>
      </c>
      <c r="F38" s="238">
        <f>IF(SUM(F19:F21)&lt;&gt;0, IF(ABS(SUM(F19:F21)-1)&lt;=0.005, 0, SUM(F19:F21)-1), 0)</f>
        <v>0</v>
      </c>
      <c r="G38" s="238">
        <f t="shared" ref="G38:N38" si="6">IF(SUM(G19:G21)&lt;&gt;0, IF(ABS(SUM(G19:G21)-1)&lt;=0.005, 0, SUM(G19:G21)-1), 0)</f>
        <v>0</v>
      </c>
      <c r="H38" s="238">
        <f t="shared" si="6"/>
        <v>0</v>
      </c>
      <c r="I38" s="238">
        <f t="shared" si="6"/>
        <v>0</v>
      </c>
      <c r="J38" s="238">
        <f t="shared" si="6"/>
        <v>0</v>
      </c>
      <c r="K38" s="238">
        <f t="shared" si="6"/>
        <v>0</v>
      </c>
      <c r="L38" s="238">
        <f t="shared" si="6"/>
        <v>0</v>
      </c>
      <c r="M38" s="238">
        <f t="shared" si="6"/>
        <v>0</v>
      </c>
      <c r="N38" s="238">
        <f t="shared" si="6"/>
        <v>0</v>
      </c>
      <c r="O38" s="152" t="s">
        <v>18</v>
      </c>
      <c r="P38" s="158"/>
    </row>
    <row r="39" spans="1:16" s="152" customFormat="1" ht="14.4" x14ac:dyDescent="0.3">
      <c r="A39" s="149"/>
      <c r="B39" s="149"/>
      <c r="C39" s="150"/>
      <c r="D39" s="151"/>
      <c r="E39" s="152" t="s">
        <v>16</v>
      </c>
      <c r="F39" s="238">
        <f>IF(SUM(F23:F28)&lt;&gt;0, IF(ABS(SUM(F23:F28)-1)&lt;=0.005, 0, SUM(F23:F28)-1), 0)</f>
        <v>0</v>
      </c>
      <c r="G39" s="238">
        <f t="shared" ref="G39:N39" si="7">IF(SUM(G23:G28)&lt;&gt;0, IF(ABS(SUM(G23:G28)-1)&lt;=0.005, 0, SUM(G23:G28)-1), 0)</f>
        <v>0</v>
      </c>
      <c r="H39" s="238">
        <f>IF(SUM(H23:H28)&lt;&gt;0, IF(ABS(SUM(H23:H28)-1)&lt;=0.005, 0, SUM(H23:H28)-1), 0)</f>
        <v>0</v>
      </c>
      <c r="I39" s="238">
        <f>IF(SUM(I23:I28)&lt;&gt;0, IF(ABS(SUM(I23:I28)-1)&lt;=0.005, 0, SUM(I23:I28)-1), 0)</f>
        <v>0</v>
      </c>
      <c r="J39" s="238">
        <f t="shared" si="7"/>
        <v>0</v>
      </c>
      <c r="K39" s="238">
        <f t="shared" si="7"/>
        <v>0</v>
      </c>
      <c r="L39" s="238">
        <f>IF(SUM(L23:L28)&lt;&gt;0, IF(ABS(SUM(L23:L28)-1)&lt;=0.005, 0, SUM(L23:L28)-1), 0)</f>
        <v>0</v>
      </c>
      <c r="M39" s="238">
        <f t="shared" si="7"/>
        <v>0</v>
      </c>
      <c r="N39" s="238">
        <f t="shared" si="7"/>
        <v>0</v>
      </c>
      <c r="O39" s="152" t="s">
        <v>18</v>
      </c>
      <c r="P39" s="158"/>
    </row>
    <row r="40" spans="1:16" s="152" customFormat="1" ht="14.4" x14ac:dyDescent="0.3">
      <c r="A40" s="149"/>
      <c r="B40" s="149"/>
      <c r="C40" s="150"/>
      <c r="D40" s="151"/>
      <c r="E40" s="152" t="s">
        <v>17</v>
      </c>
      <c r="F40" s="238">
        <f t="shared" ref="F40:N40" si="8">IF(SUM(F30:F34)&lt;&gt;0, IF(ABS(SUM(F30:F34)-1)&lt;=0.005, 0, SUM(F30:F34)-1), 0)</f>
        <v>0</v>
      </c>
      <c r="G40" s="238">
        <f t="shared" si="8"/>
        <v>0</v>
      </c>
      <c r="H40" s="238">
        <f t="shared" si="8"/>
        <v>0</v>
      </c>
      <c r="I40" s="238">
        <f>IF(SUM(I30:I34)&lt;&gt;0, IF(ABS(SUM(I30:I34)-1)&lt;=0.005, 0, SUM(I30:I34)-1), 0)</f>
        <v>0</v>
      </c>
      <c r="J40" s="238">
        <f t="shared" si="8"/>
        <v>0</v>
      </c>
      <c r="K40" s="238">
        <f t="shared" si="8"/>
        <v>0</v>
      </c>
      <c r="L40" s="238">
        <f t="shared" si="8"/>
        <v>0</v>
      </c>
      <c r="M40" s="238">
        <f t="shared" si="8"/>
        <v>0</v>
      </c>
      <c r="N40" s="238">
        <f t="shared" si="8"/>
        <v>0</v>
      </c>
      <c r="O40" s="152" t="s">
        <v>18</v>
      </c>
      <c r="P40" s="158"/>
    </row>
    <row r="41" spans="1:16" s="152" customFormat="1" ht="14.4" x14ac:dyDescent="0.3">
      <c r="A41" s="149"/>
      <c r="B41" s="149"/>
      <c r="C41" s="150"/>
      <c r="D41" s="151"/>
      <c r="F41" s="154"/>
      <c r="G41" s="154"/>
      <c r="H41" s="154"/>
      <c r="I41" s="154"/>
      <c r="K41" s="154"/>
      <c r="L41" s="154"/>
      <c r="M41" s="154"/>
      <c r="P41" s="158"/>
    </row>
    <row r="42" spans="1:16" s="152" customFormat="1" ht="14.4" x14ac:dyDescent="0.3">
      <c r="A42" s="149"/>
      <c r="B42" s="149"/>
      <c r="C42" s="150"/>
      <c r="D42" s="151"/>
      <c r="F42" s="154"/>
      <c r="G42" s="154"/>
      <c r="H42" s="154"/>
      <c r="I42" s="154"/>
      <c r="K42" s="154"/>
      <c r="L42" s="154"/>
      <c r="M42" s="154"/>
      <c r="P42" s="158"/>
    </row>
    <row r="43" spans="1:16" s="152" customFormat="1" ht="14.4" x14ac:dyDescent="0.3">
      <c r="A43" s="149"/>
      <c r="B43" s="149"/>
      <c r="C43" s="150"/>
      <c r="D43" s="151"/>
      <c r="F43" s="154"/>
      <c r="G43" s="154"/>
      <c r="H43" s="154"/>
      <c r="I43" s="154"/>
      <c r="K43" s="154"/>
      <c r="L43" s="154"/>
      <c r="M43" s="154"/>
      <c r="P43" s="158"/>
    </row>
    <row r="44" spans="1:16" s="152" customFormat="1" ht="14.4" x14ac:dyDescent="0.3">
      <c r="A44" s="149"/>
      <c r="B44" s="149"/>
      <c r="C44" s="150"/>
      <c r="D44" s="151"/>
      <c r="F44" s="154"/>
      <c r="G44" s="154"/>
      <c r="H44" s="154"/>
      <c r="I44" s="154"/>
      <c r="K44" s="154"/>
      <c r="L44" s="154"/>
      <c r="M44" s="154"/>
      <c r="P44" s="158"/>
    </row>
    <row r="45" spans="1:16" s="152" customFormat="1" ht="14.4" x14ac:dyDescent="0.3">
      <c r="A45" s="149"/>
      <c r="B45" s="149"/>
      <c r="C45" s="150"/>
      <c r="D45" s="151"/>
      <c r="F45" s="154"/>
      <c r="G45" s="154"/>
      <c r="H45" s="154"/>
      <c r="I45" s="154"/>
      <c r="K45" s="154"/>
      <c r="L45" s="154"/>
      <c r="M45" s="154"/>
      <c r="P45" s="158"/>
    </row>
    <row r="46" spans="1:16" s="152" customFormat="1" ht="14.4" x14ac:dyDescent="0.3">
      <c r="A46" s="149"/>
      <c r="B46" s="149"/>
      <c r="C46" s="150"/>
      <c r="D46" s="151"/>
      <c r="F46" s="154"/>
      <c r="G46" s="154"/>
      <c r="H46" s="154"/>
      <c r="I46" s="154"/>
      <c r="K46" s="154"/>
      <c r="L46" s="154"/>
      <c r="M46" s="154"/>
      <c r="P46" s="158"/>
    </row>
    <row r="47" spans="1:16" s="152" customFormat="1" ht="14.4" x14ac:dyDescent="0.3">
      <c r="A47" s="149"/>
      <c r="B47" s="149"/>
      <c r="C47" s="150"/>
      <c r="D47" s="151"/>
      <c r="F47" s="154"/>
      <c r="G47" s="154"/>
      <c r="H47" s="154"/>
      <c r="I47" s="154"/>
      <c r="K47" s="154"/>
      <c r="L47" s="154"/>
      <c r="M47" s="154"/>
      <c r="P47" s="158"/>
    </row>
    <row r="48" spans="1:16" s="152" customFormat="1" ht="14.4" x14ac:dyDescent="0.3">
      <c r="A48" s="149"/>
      <c r="B48" s="149"/>
      <c r="C48" s="150"/>
      <c r="D48" s="151"/>
      <c r="F48" s="154"/>
      <c r="G48" s="154"/>
      <c r="H48" s="154"/>
      <c r="I48" s="154"/>
      <c r="J48" s="4"/>
      <c r="K48" s="154"/>
      <c r="L48" s="154"/>
      <c r="M48" s="154"/>
      <c r="N48" s="4"/>
      <c r="P48" s="158"/>
    </row>
    <row r="49" spans="1:29" s="152" customFormat="1" ht="14.4" x14ac:dyDescent="0.3">
      <c r="A49" s="149"/>
      <c r="B49" s="149"/>
      <c r="C49" s="150"/>
      <c r="D49" s="151"/>
      <c r="F49" s="154"/>
      <c r="G49" s="154"/>
      <c r="H49" s="154"/>
      <c r="I49" s="154"/>
      <c r="J49" s="4"/>
      <c r="K49" s="154"/>
      <c r="L49" s="154"/>
      <c r="M49" s="154"/>
      <c r="N49" s="4"/>
      <c r="P49" s="158"/>
    </row>
    <row r="50" spans="1:29" s="152" customFormat="1" ht="14.4" x14ac:dyDescent="0.3">
      <c r="A50" s="149"/>
      <c r="B50" s="149"/>
      <c r="C50" s="150"/>
      <c r="D50" s="151"/>
      <c r="F50" s="154"/>
      <c r="G50" s="154"/>
      <c r="H50" s="154"/>
      <c r="I50" s="154"/>
      <c r="J50" s="4"/>
      <c r="K50" s="154"/>
      <c r="L50" s="154"/>
      <c r="M50" s="154"/>
      <c r="N50" s="4"/>
      <c r="O50" s="4"/>
      <c r="P50" s="158"/>
    </row>
    <row r="51" spans="1:29" s="152" customFormat="1" ht="14.4" x14ac:dyDescent="0.3">
      <c r="A51" s="149"/>
      <c r="B51" s="149"/>
      <c r="C51" s="150"/>
      <c r="D51" s="151"/>
      <c r="F51" s="154"/>
      <c r="G51" s="154"/>
      <c r="H51" s="154"/>
      <c r="I51" s="154"/>
      <c r="J51" s="4"/>
      <c r="K51" s="154"/>
      <c r="L51" s="154"/>
      <c r="M51" s="154"/>
      <c r="N51" s="4"/>
      <c r="O51" s="4"/>
      <c r="P51" s="158"/>
    </row>
    <row r="52" spans="1:29" s="152" customFormat="1" ht="14.4" x14ac:dyDescent="0.3">
      <c r="A52" s="149"/>
      <c r="B52" s="149"/>
      <c r="C52" s="150"/>
      <c r="D52" s="151"/>
      <c r="F52" s="154"/>
      <c r="G52" s="154"/>
      <c r="H52" s="154"/>
      <c r="I52" s="154"/>
      <c r="J52" s="4"/>
      <c r="K52" s="154"/>
      <c r="L52" s="154"/>
      <c r="M52" s="154"/>
      <c r="N52" s="4"/>
      <c r="O52" s="4"/>
      <c r="P52" s="354"/>
    </row>
    <row r="53" spans="1:29" s="152" customFormat="1" ht="14.4" x14ac:dyDescent="0.3">
      <c r="A53" s="149"/>
      <c r="B53" s="149"/>
      <c r="C53" s="150"/>
      <c r="D53" s="151"/>
      <c r="F53" s="154"/>
      <c r="G53" s="154"/>
      <c r="H53" s="154"/>
      <c r="I53" s="154"/>
      <c r="J53" s="4"/>
      <c r="K53" s="154"/>
      <c r="L53" s="154"/>
      <c r="M53" s="154"/>
      <c r="N53" s="4"/>
      <c r="O53" s="4"/>
      <c r="P53" s="354"/>
    </row>
    <row r="54" spans="1:29" s="152" customFormat="1" ht="14.4" x14ac:dyDescent="0.3">
      <c r="A54" s="149"/>
      <c r="B54" s="149"/>
      <c r="C54" s="150"/>
      <c r="D54" s="151"/>
      <c r="F54" s="154"/>
      <c r="G54" s="154"/>
      <c r="H54" s="154"/>
      <c r="I54" s="154"/>
      <c r="J54" s="4"/>
      <c r="K54" s="154"/>
      <c r="L54" s="154"/>
      <c r="M54" s="154"/>
      <c r="N54" s="4"/>
      <c r="O54" s="4"/>
      <c r="P54" s="354"/>
    </row>
    <row r="55" spans="1:29" s="152" customFormat="1" ht="14.4" x14ac:dyDescent="0.3">
      <c r="A55" s="149"/>
      <c r="B55" s="149"/>
      <c r="C55" s="150"/>
      <c r="D55" s="148"/>
      <c r="E55" s="4"/>
      <c r="F55" s="7"/>
      <c r="G55" s="7"/>
      <c r="H55" s="7"/>
      <c r="I55" s="7"/>
      <c r="J55" s="4"/>
      <c r="K55" s="7"/>
      <c r="L55" s="7"/>
      <c r="M55" s="7"/>
      <c r="N55" s="4"/>
      <c r="O55" s="4"/>
      <c r="P55" s="354"/>
    </row>
    <row r="56" spans="1:29" s="152" customFormat="1" ht="14.4" x14ac:dyDescent="0.3">
      <c r="A56" s="149"/>
      <c r="B56" s="149"/>
      <c r="C56" s="150"/>
      <c r="D56" s="148"/>
      <c r="E56" s="4"/>
      <c r="F56" s="7"/>
      <c r="G56" s="7"/>
      <c r="H56" s="7"/>
      <c r="I56" s="7"/>
      <c r="J56" s="4"/>
      <c r="K56" s="7"/>
      <c r="L56" s="7"/>
      <c r="M56" s="7"/>
      <c r="N56" s="4"/>
      <c r="O56" s="4"/>
      <c r="P56" s="354"/>
    </row>
    <row r="57" spans="1:29" s="152" customFormat="1" ht="14.4" x14ac:dyDescent="0.3">
      <c r="A57" s="5"/>
      <c r="B57" s="5"/>
      <c r="C57" s="6"/>
      <c r="D57" s="148"/>
      <c r="E57" s="4"/>
      <c r="F57" s="7"/>
      <c r="G57" s="7"/>
      <c r="H57" s="7"/>
      <c r="I57" s="7"/>
      <c r="J57" s="4"/>
      <c r="K57" s="7"/>
      <c r="L57" s="7"/>
      <c r="M57" s="7"/>
      <c r="N57" s="4"/>
      <c r="O57" s="4"/>
      <c r="P57" s="354"/>
    </row>
    <row r="58" spans="1:29" s="152" customFormat="1" ht="14.4" x14ac:dyDescent="0.3">
      <c r="A58" s="5"/>
      <c r="B58" s="5"/>
      <c r="C58" s="6"/>
      <c r="D58" s="148"/>
      <c r="E58" s="4"/>
      <c r="F58" s="7"/>
      <c r="G58" s="7"/>
      <c r="H58" s="7"/>
      <c r="I58" s="7"/>
      <c r="J58" s="4"/>
      <c r="K58" s="7"/>
      <c r="L58" s="7"/>
      <c r="M58" s="7"/>
      <c r="N58" s="4"/>
      <c r="O58" s="4"/>
      <c r="P58" s="354"/>
    </row>
    <row r="59" spans="1:29" s="152" customFormat="1" ht="14.4" x14ac:dyDescent="0.3">
      <c r="A59" s="5"/>
      <c r="B59" s="5"/>
      <c r="C59" s="6"/>
      <c r="D59" s="148"/>
      <c r="E59" s="4"/>
      <c r="F59" s="7"/>
      <c r="G59" s="7"/>
      <c r="H59" s="7"/>
      <c r="I59" s="7"/>
      <c r="J59" s="4"/>
      <c r="K59" s="7"/>
      <c r="L59" s="7"/>
      <c r="M59" s="7"/>
      <c r="O59" s="4"/>
      <c r="P59" s="354"/>
    </row>
    <row r="60" spans="1:29" s="152" customFormat="1" ht="14.4" x14ac:dyDescent="0.3">
      <c r="A60" s="5"/>
      <c r="B60" s="5"/>
      <c r="C60" s="6"/>
      <c r="D60" s="148"/>
      <c r="E60" s="4"/>
      <c r="F60" s="7"/>
      <c r="G60" s="7"/>
      <c r="H60" s="7"/>
      <c r="I60" s="7"/>
      <c r="J60" s="4"/>
      <c r="K60" s="7"/>
      <c r="L60" s="7"/>
      <c r="M60" s="7"/>
      <c r="N60" s="4"/>
      <c r="O60" s="4"/>
      <c r="P60" s="354"/>
    </row>
    <row r="61" spans="1:29" s="152" customFormat="1" ht="14.4" x14ac:dyDescent="0.3">
      <c r="A61" s="5"/>
      <c r="B61" s="5"/>
      <c r="C61" s="6"/>
      <c r="D61" s="148"/>
      <c r="E61" s="4"/>
      <c r="F61" s="7"/>
      <c r="G61" s="7"/>
      <c r="H61" s="7"/>
      <c r="I61" s="7"/>
      <c r="J61" s="4"/>
      <c r="K61" s="7"/>
      <c r="L61" s="7"/>
      <c r="M61" s="7"/>
      <c r="N61" s="4"/>
      <c r="O61" s="4"/>
      <c r="P61" s="354"/>
      <c r="U61" s="4"/>
      <c r="V61" s="4"/>
      <c r="W61" s="4"/>
      <c r="X61" s="4"/>
      <c r="Y61" s="4"/>
      <c r="Z61" s="4"/>
      <c r="AA61" s="4"/>
      <c r="AB61" s="4"/>
      <c r="AC61" s="4"/>
    </row>
    <row r="62" spans="1:29" ht="14.4" x14ac:dyDescent="0.3">
      <c r="Q62" s="152"/>
      <c r="R62" s="152"/>
      <c r="S62" s="152"/>
      <c r="T62" s="152"/>
    </row>
  </sheetData>
  <sheetProtection algorithmName="SHA-512" hashValue="ZCJHDP0frPRM64e4rl0PUft129b7jpKQSnUbpzbRV0vSrvHFSeLSg749wQ7EahnutqPEaEMMlgJVXiu7P14YPg==" saltValue="FIMLDELz7F9P95VfGcFUTA==" spinCount="100000" sheet="1" objects="1" scenarios="1"/>
  <mergeCells count="2">
    <mergeCell ref="D5:E5"/>
    <mergeCell ref="D4:E4"/>
  </mergeCells>
  <conditionalFormatting sqref="F36:N40">
    <cfRule type="cellIs" dxfId="1" priority="3" stopIfTrue="1" operator="notEqual">
      <formula>0</formula>
    </cfRule>
    <cfRule type="cellIs" dxfId="0" priority="4" stopIfTrue="1" operator="equal">
      <formula>""</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F616-9370-4C5B-A0F9-6E96F04BC93C}">
  <sheetPr>
    <tabColor theme="1"/>
  </sheetPr>
  <dimension ref="A1:AM162"/>
  <sheetViews>
    <sheetView showGridLines="0" tabSelected="1" zoomScale="60" zoomScaleNormal="60" workbookViewId="0">
      <selection activeCell="I14" sqref="I14"/>
    </sheetView>
  </sheetViews>
  <sheetFormatPr defaultColWidth="9.109375" defaultRowHeight="15" x14ac:dyDescent="0.35"/>
  <cols>
    <col min="1" max="2" width="1.109375" style="210" customWidth="1"/>
    <col min="3" max="3" width="1.109375" style="211" customWidth="1"/>
    <col min="4" max="4" width="24.109375" style="214" customWidth="1"/>
    <col min="5" max="5" width="3.6640625" style="214" customWidth="1"/>
    <col min="6" max="6" width="33.5546875" style="213" customWidth="1"/>
    <col min="7" max="7" width="13.77734375" style="213" customWidth="1"/>
    <col min="8" max="8" width="16" style="213" customWidth="1"/>
    <col min="9" max="10" width="10.6640625" style="213" customWidth="1"/>
    <col min="11" max="11" width="13.6640625" style="213" customWidth="1"/>
    <col min="12" max="12" width="12.6640625" style="213" customWidth="1"/>
    <col min="13" max="13" width="13.6640625" style="213" customWidth="1"/>
    <col min="14" max="14" width="12.6640625" style="213" customWidth="1"/>
    <col min="15" max="15" width="11.6640625" style="213" customWidth="1"/>
    <col min="16" max="16" width="9.109375" style="213"/>
    <col min="17" max="18" width="9.5546875" style="213" bestFit="1" customWidth="1"/>
    <col min="19" max="19" width="9.109375" style="213"/>
    <col min="20" max="20" width="15.77734375" style="213" customWidth="1"/>
    <col min="21" max="21" width="45.77734375" style="213" customWidth="1"/>
    <col min="22" max="23" width="10.77734375" style="213" customWidth="1"/>
    <col min="24" max="24" width="23.77734375" style="213" customWidth="1"/>
    <col min="25" max="25" width="15.77734375" style="212" customWidth="1"/>
    <col min="26" max="26" width="1.6640625" style="213" customWidth="1"/>
    <col min="27" max="27" width="15.77734375" style="213" customWidth="1"/>
    <col min="28" max="28" width="45.77734375" style="213" customWidth="1"/>
    <col min="29" max="30" width="10.77734375" style="213" customWidth="1"/>
    <col min="31" max="31" width="23.77734375" style="213" customWidth="1"/>
    <col min="32" max="32" width="15.77734375" style="212" customWidth="1"/>
    <col min="33" max="33" width="1.6640625" style="213" customWidth="1"/>
    <col min="34" max="34" width="15.77734375" style="213" customWidth="1"/>
    <col min="35" max="35" width="45.77734375" style="213" customWidth="1"/>
    <col min="36" max="37" width="10.77734375" style="213" customWidth="1"/>
    <col min="38" max="38" width="23.77734375" style="213" customWidth="1"/>
    <col min="39" max="39" width="15.77734375" style="212" customWidth="1"/>
    <col min="40" max="16384" width="9.109375" style="213"/>
  </cols>
  <sheetData>
    <row r="1" spans="1:39" ht="29.4" x14ac:dyDescent="0.65">
      <c r="A1" s="209" t="str">
        <f ca="1">RIGHT(CELL("filename",$A$1),LEN(CELL("filename",$A$1))-SEARCH("]",CELL("filename",$A$1)))</f>
        <v>Tarieven</v>
      </c>
      <c r="X1" s="212"/>
      <c r="Y1" s="213"/>
      <c r="AE1" s="212"/>
      <c r="AF1" s="213"/>
      <c r="AL1" s="212"/>
      <c r="AM1" s="213"/>
    </row>
    <row r="2" spans="1:39" x14ac:dyDescent="0.35">
      <c r="X2" s="212"/>
      <c r="Y2" s="213"/>
      <c r="AE2" s="212"/>
      <c r="AF2" s="213"/>
      <c r="AL2" s="212"/>
      <c r="AM2" s="213"/>
    </row>
    <row r="3" spans="1:39" x14ac:dyDescent="0.35">
      <c r="F3" s="240" t="s">
        <v>180</v>
      </c>
      <c r="G3" s="240"/>
      <c r="H3" s="240"/>
      <c r="I3" s="240"/>
      <c r="J3" s="240"/>
      <c r="K3" s="240"/>
      <c r="X3" s="212"/>
      <c r="Y3" s="213"/>
      <c r="AE3" s="212"/>
      <c r="AF3" s="213"/>
      <c r="AL3" s="212"/>
      <c r="AM3" s="213"/>
    </row>
    <row r="4" spans="1:39" x14ac:dyDescent="0.35">
      <c r="X4" s="212"/>
      <c r="Y4" s="213"/>
      <c r="AE4" s="212"/>
      <c r="AF4" s="213"/>
      <c r="AL4" s="212"/>
      <c r="AM4" s="213"/>
    </row>
    <row r="5" spans="1:39" x14ac:dyDescent="0.35">
      <c r="F5" s="213" t="s">
        <v>169</v>
      </c>
      <c r="X5" s="212"/>
      <c r="Y5" s="213"/>
      <c r="AE5" s="212"/>
      <c r="AF5" s="213"/>
      <c r="AL5" s="212"/>
      <c r="AM5" s="213"/>
    </row>
    <row r="6" spans="1:39" x14ac:dyDescent="0.35">
      <c r="X6" s="212"/>
      <c r="Y6" s="213"/>
      <c r="AE6" s="212"/>
      <c r="AF6" s="213"/>
      <c r="AL6" s="212"/>
      <c r="AM6" s="213"/>
    </row>
    <row r="7" spans="1:39" x14ac:dyDescent="0.35">
      <c r="X7" s="212"/>
      <c r="Y7" s="213"/>
      <c r="AE7" s="212"/>
      <c r="AF7" s="213"/>
      <c r="AL7" s="212"/>
      <c r="AM7" s="213"/>
    </row>
    <row r="8" spans="1:39" x14ac:dyDescent="0.35">
      <c r="F8" s="213" t="s">
        <v>170</v>
      </c>
      <c r="G8" s="213" t="s">
        <v>171</v>
      </c>
      <c r="X8" s="212"/>
      <c r="Y8" s="213"/>
      <c r="AE8" s="212"/>
      <c r="AF8" s="213"/>
      <c r="AL8" s="212"/>
      <c r="AM8" s="213"/>
    </row>
    <row r="9" spans="1:39" x14ac:dyDescent="0.35">
      <c r="F9" s="378" t="s">
        <v>172</v>
      </c>
      <c r="G9" s="378" t="s">
        <v>173</v>
      </c>
      <c r="H9" s="378" t="s">
        <v>174</v>
      </c>
      <c r="I9" s="378" t="s">
        <v>175</v>
      </c>
      <c r="J9" s="378" t="s">
        <v>176</v>
      </c>
      <c r="K9" s="378">
        <v>2024</v>
      </c>
      <c r="X9" s="212"/>
      <c r="Y9" s="213"/>
      <c r="AE9" s="212"/>
      <c r="AF9" s="213"/>
      <c r="AL9" s="212"/>
      <c r="AM9" s="213"/>
    </row>
    <row r="10" spans="1:39" x14ac:dyDescent="0.35">
      <c r="F10" s="213" t="s">
        <v>4</v>
      </c>
      <c r="G10" s="379">
        <v>7.6999999999999999E-2</v>
      </c>
      <c r="H10" s="379">
        <v>7.2999999999999995E-2</v>
      </c>
      <c r="I10" s="379">
        <v>7.0000000000000007E-2</v>
      </c>
      <c r="J10" s="379">
        <v>7.8E-2</v>
      </c>
      <c r="K10" s="380">
        <v>7.3999999999999996E-2</v>
      </c>
      <c r="X10" s="212"/>
      <c r="Y10" s="213"/>
      <c r="AE10" s="212"/>
      <c r="AF10" s="213"/>
      <c r="AL10" s="212"/>
      <c r="AM10" s="213"/>
    </row>
    <row r="11" spans="1:39" x14ac:dyDescent="0.35">
      <c r="F11" s="213" t="s">
        <v>14</v>
      </c>
      <c r="G11" s="379">
        <v>8.5000000000000006E-2</v>
      </c>
      <c r="H11" s="379">
        <v>7.6999999999999999E-2</v>
      </c>
      <c r="I11" s="379">
        <v>7.4999999999999997E-2</v>
      </c>
      <c r="J11" s="379">
        <v>8.2000000000000003E-2</v>
      </c>
      <c r="K11" s="380">
        <v>0.08</v>
      </c>
      <c r="X11" s="212"/>
      <c r="Y11" s="213"/>
      <c r="AE11" s="212"/>
      <c r="AF11" s="213"/>
      <c r="AL11" s="212"/>
      <c r="AM11" s="213"/>
    </row>
    <row r="12" spans="1:39" x14ac:dyDescent="0.35">
      <c r="F12" s="213" t="s">
        <v>15</v>
      </c>
      <c r="G12" s="379">
        <v>8.1000000000000003E-2</v>
      </c>
      <c r="H12" s="379">
        <v>7.1999999999999995E-2</v>
      </c>
      <c r="I12" s="379">
        <v>6.6000000000000003E-2</v>
      </c>
      <c r="J12" s="379">
        <v>7.0999999999999994E-2</v>
      </c>
      <c r="K12" s="380">
        <v>7.1999999999999995E-2</v>
      </c>
      <c r="X12" s="212"/>
      <c r="Y12" s="213"/>
      <c r="AE12" s="212"/>
      <c r="AF12" s="213"/>
      <c r="AL12" s="212"/>
      <c r="AM12" s="213"/>
    </row>
    <row r="13" spans="1:39" x14ac:dyDescent="0.35">
      <c r="F13" s="213" t="s">
        <v>16</v>
      </c>
      <c r="G13" s="379">
        <v>7.9000000000000001E-2</v>
      </c>
      <c r="H13" s="379">
        <v>7.1999999999999995E-2</v>
      </c>
      <c r="I13" s="379">
        <v>6.9000000000000006E-2</v>
      </c>
      <c r="J13" s="379">
        <v>7.2999999999999995E-2</v>
      </c>
      <c r="K13" s="380">
        <v>7.2999999999999995E-2</v>
      </c>
      <c r="X13" s="212"/>
      <c r="Y13" s="213"/>
      <c r="AE13" s="212"/>
      <c r="AF13" s="213"/>
      <c r="AL13" s="212"/>
      <c r="AM13" s="213"/>
    </row>
    <row r="14" spans="1:39" x14ac:dyDescent="0.35">
      <c r="F14" s="213" t="s">
        <v>17</v>
      </c>
      <c r="G14" s="379">
        <v>9.5000000000000001E-2</v>
      </c>
      <c r="H14" s="379">
        <v>8.7999999999999995E-2</v>
      </c>
      <c r="I14" s="379">
        <v>8.4000000000000005E-2</v>
      </c>
      <c r="J14" s="379">
        <v>9.0999999999999998E-2</v>
      </c>
      <c r="K14" s="380">
        <v>8.8999999999999996E-2</v>
      </c>
      <c r="X14" s="212"/>
      <c r="Y14" s="213"/>
      <c r="AE14" s="212"/>
      <c r="AF14" s="213"/>
      <c r="AL14" s="212"/>
      <c r="AM14" s="213"/>
    </row>
    <row r="15" spans="1:39" x14ac:dyDescent="0.35">
      <c r="F15" s="381" t="s">
        <v>177</v>
      </c>
      <c r="G15" s="382">
        <v>8.3400000000000002E-2</v>
      </c>
      <c r="H15" s="382">
        <v>7.6399999999999996E-2</v>
      </c>
      <c r="I15" s="382">
        <v>7.2800000000000004E-2</v>
      </c>
      <c r="J15" s="382">
        <v>7.9000000000000001E-2</v>
      </c>
      <c r="K15" s="383">
        <f>AVERAGE(K10:K14)</f>
        <v>7.7600000000000002E-2</v>
      </c>
      <c r="X15" s="212"/>
      <c r="Y15" s="213"/>
      <c r="AE15" s="212"/>
      <c r="AF15" s="213"/>
      <c r="AL15" s="212"/>
      <c r="AM15" s="213"/>
    </row>
    <row r="16" spans="1:39" x14ac:dyDescent="0.35">
      <c r="F16" s="213" t="s">
        <v>178</v>
      </c>
      <c r="K16" s="384">
        <f>K15*52</f>
        <v>4.0351999999999997</v>
      </c>
      <c r="L16" s="385" t="s">
        <v>182</v>
      </c>
      <c r="O16" s="386"/>
      <c r="X16" s="212"/>
      <c r="Y16" s="213"/>
      <c r="AE16" s="212"/>
      <c r="AF16" s="213"/>
      <c r="AL16" s="212"/>
      <c r="AM16" s="213"/>
    </row>
    <row r="17" spans="6:39" x14ac:dyDescent="0.35">
      <c r="X17" s="212"/>
      <c r="Y17" s="213"/>
      <c r="AE17" s="212"/>
      <c r="AF17" s="213"/>
      <c r="AL17" s="212"/>
      <c r="AM17" s="213"/>
    </row>
    <row r="18" spans="6:39" x14ac:dyDescent="0.35">
      <c r="F18" s="213" t="s">
        <v>179</v>
      </c>
      <c r="X18" s="212"/>
      <c r="Y18" s="213"/>
      <c r="AE18" s="212"/>
      <c r="AF18" s="213"/>
      <c r="AL18" s="212"/>
      <c r="AM18" s="213"/>
    </row>
    <row r="19" spans="6:39" x14ac:dyDescent="0.35">
      <c r="X19" s="212"/>
      <c r="Y19" s="213"/>
      <c r="AE19" s="212"/>
      <c r="AF19" s="213"/>
      <c r="AL19" s="212"/>
      <c r="AM19" s="213"/>
    </row>
    <row r="20" spans="6:39" x14ac:dyDescent="0.35">
      <c r="X20" s="212"/>
      <c r="Y20" s="213"/>
      <c r="AE20" s="212"/>
      <c r="AF20" s="213"/>
      <c r="AL20" s="212"/>
      <c r="AM20" s="213"/>
    </row>
    <row r="21" spans="6:39" x14ac:dyDescent="0.35">
      <c r="F21" s="240" t="s">
        <v>184</v>
      </c>
      <c r="G21" s="240"/>
      <c r="H21" s="240"/>
      <c r="I21" s="240"/>
      <c r="J21" s="240"/>
      <c r="K21" s="240"/>
      <c r="X21" s="212"/>
      <c r="Y21" s="213"/>
      <c r="AE21" s="212"/>
      <c r="AF21" s="213"/>
      <c r="AL21" s="212"/>
      <c r="AM21" s="213"/>
    </row>
    <row r="22" spans="6:39" ht="15.6" thickBot="1" x14ac:dyDescent="0.4">
      <c r="X22" s="212"/>
      <c r="Y22" s="213"/>
      <c r="AE22" s="212"/>
      <c r="AF22" s="213"/>
      <c r="AL22" s="212"/>
      <c r="AM22" s="213"/>
    </row>
    <row r="23" spans="6:39" x14ac:dyDescent="0.35">
      <c r="F23" s="247" t="s">
        <v>131</v>
      </c>
      <c r="G23" s="248">
        <v>2024</v>
      </c>
      <c r="H23" s="248">
        <f t="shared" ref="H23:M23" si="0">G23+1</f>
        <v>2025</v>
      </c>
      <c r="I23" s="248">
        <f t="shared" si="0"/>
        <v>2026</v>
      </c>
      <c r="J23" s="248">
        <f>I23+1</f>
        <v>2027</v>
      </c>
      <c r="K23" s="248">
        <f t="shared" si="0"/>
        <v>2028</v>
      </c>
      <c r="L23" s="248">
        <f t="shared" si="0"/>
        <v>2029</v>
      </c>
      <c r="M23" s="248">
        <f t="shared" si="0"/>
        <v>2030</v>
      </c>
      <c r="N23" s="249">
        <f>M23+1</f>
        <v>2031</v>
      </c>
      <c r="P23" s="247" t="s">
        <v>22</v>
      </c>
      <c r="Q23" s="249"/>
      <c r="R23" s="249"/>
      <c r="X23" s="212"/>
      <c r="Y23" s="213"/>
      <c r="AE23" s="212"/>
      <c r="AF23" s="213"/>
      <c r="AL23" s="212"/>
      <c r="AM23" s="213"/>
    </row>
    <row r="24" spans="6:39" ht="45" x14ac:dyDescent="0.35">
      <c r="F24" s="254"/>
      <c r="G24" s="257" t="s">
        <v>111</v>
      </c>
      <c r="H24" s="257" t="s">
        <v>23</v>
      </c>
      <c r="I24" s="257" t="s">
        <v>209</v>
      </c>
      <c r="J24" s="257" t="s">
        <v>209</v>
      </c>
      <c r="K24" s="257" t="s">
        <v>209</v>
      </c>
      <c r="L24" s="257" t="s">
        <v>209</v>
      </c>
      <c r="M24" s="257" t="s">
        <v>209</v>
      </c>
      <c r="N24" s="258" t="s">
        <v>209</v>
      </c>
      <c r="P24" s="259"/>
      <c r="Q24" s="260"/>
      <c r="R24" s="261" t="s">
        <v>24</v>
      </c>
      <c r="T24" s="267"/>
      <c r="X24" s="212"/>
      <c r="Y24" s="213"/>
      <c r="AA24" s="267"/>
      <c r="AE24" s="212"/>
      <c r="AF24" s="213"/>
      <c r="AH24" s="267"/>
      <c r="AL24" s="212"/>
      <c r="AM24" s="213"/>
    </row>
    <row r="25" spans="6:39" x14ac:dyDescent="0.35">
      <c r="F25" s="250" t="s">
        <v>25</v>
      </c>
      <c r="G25" s="269">
        <v>0.06</v>
      </c>
      <c r="H25" s="270">
        <v>5.1799999999999999E-2</v>
      </c>
      <c r="I25" s="270" t="s">
        <v>32</v>
      </c>
      <c r="J25" s="270" t="s">
        <v>32</v>
      </c>
      <c r="K25" s="270" t="s">
        <v>32</v>
      </c>
      <c r="L25" s="270" t="s">
        <v>32</v>
      </c>
      <c r="M25" s="270" t="s">
        <v>32</v>
      </c>
      <c r="N25" s="271" t="s">
        <v>32</v>
      </c>
      <c r="P25" s="457">
        <v>0.9</v>
      </c>
      <c r="Q25" s="252">
        <v>0.1</v>
      </c>
      <c r="R25" s="252" t="s">
        <v>26</v>
      </c>
      <c r="X25" s="212"/>
      <c r="Y25" s="213"/>
      <c r="AE25" s="212"/>
      <c r="AF25" s="213"/>
      <c r="AL25" s="212"/>
      <c r="AM25" s="213"/>
    </row>
    <row r="26" spans="6:39" ht="15.6" thickBot="1" x14ac:dyDescent="0.4">
      <c r="F26" s="244" t="s">
        <v>27</v>
      </c>
      <c r="G26" s="266">
        <v>3.2000000000000001E-2</v>
      </c>
      <c r="H26" s="520">
        <v>2.8000000000000001E-2</v>
      </c>
      <c r="I26" s="270" t="s">
        <v>32</v>
      </c>
      <c r="J26" s="270" t="s">
        <v>32</v>
      </c>
      <c r="K26" s="270" t="s">
        <v>32</v>
      </c>
      <c r="L26" s="270" t="s">
        <v>32</v>
      </c>
      <c r="M26" s="270" t="s">
        <v>32</v>
      </c>
      <c r="N26" s="271" t="s">
        <v>32</v>
      </c>
      <c r="P26" s="458">
        <v>0.7</v>
      </c>
      <c r="Q26" s="253">
        <v>0.3</v>
      </c>
      <c r="R26" s="253" t="s">
        <v>28</v>
      </c>
      <c r="X26" s="212"/>
      <c r="Y26" s="213"/>
      <c r="AE26" s="212"/>
      <c r="AF26" s="213"/>
      <c r="AL26" s="212"/>
      <c r="AM26" s="213"/>
    </row>
    <row r="27" spans="6:39" x14ac:dyDescent="0.35">
      <c r="F27" s="242" t="s">
        <v>29</v>
      </c>
      <c r="G27" s="243">
        <f>G$25 * $P25 + G$26 *$Q25</f>
        <v>5.7200000000000001E-2</v>
      </c>
      <c r="H27" s="243">
        <f>H$25 * $P25 + H$26 *$Q25</f>
        <v>4.9420000000000006E-2</v>
      </c>
      <c r="I27" s="243" t="str">
        <f t="shared" ref="I27:N27" si="1">IFERROR(I$25 * $P25 + I$26 *$Q25, "")</f>
        <v/>
      </c>
      <c r="J27" s="243" t="str">
        <f t="shared" si="1"/>
        <v/>
      </c>
      <c r="K27" s="243" t="str">
        <f t="shared" si="1"/>
        <v/>
      </c>
      <c r="L27" s="243" t="str">
        <f t="shared" si="1"/>
        <v/>
      </c>
      <c r="M27" s="243" t="str">
        <f t="shared" si="1"/>
        <v/>
      </c>
      <c r="N27" s="455" t="str">
        <f t="shared" si="1"/>
        <v/>
      </c>
      <c r="R27" s="213" t="s">
        <v>294</v>
      </c>
      <c r="X27" s="212"/>
      <c r="Y27" s="213"/>
      <c r="AE27" s="212"/>
      <c r="AF27" s="213"/>
      <c r="AL27" s="212"/>
      <c r="AM27" s="213"/>
    </row>
    <row r="28" spans="6:39" ht="15.6" thickBot="1" x14ac:dyDescent="0.4">
      <c r="F28" s="264" t="s">
        <v>110</v>
      </c>
      <c r="G28" s="265">
        <f>G$25 * $P26 + G$26 * $Q26</f>
        <v>5.1599999999999993E-2</v>
      </c>
      <c r="H28" s="265">
        <f>H$25 * $P26 + H$26 * $Q26</f>
        <v>4.4659999999999991E-2</v>
      </c>
      <c r="I28" s="265" t="str">
        <f t="shared" ref="I28:N28" si="2">IFERROR(I$25 * $P26 + I$26 * $Q26, "")</f>
        <v/>
      </c>
      <c r="J28" s="265" t="str">
        <f t="shared" si="2"/>
        <v/>
      </c>
      <c r="K28" s="265" t="str">
        <f t="shared" si="2"/>
        <v/>
      </c>
      <c r="L28" s="265" t="str">
        <f t="shared" si="2"/>
        <v/>
      </c>
      <c r="M28" s="265" t="str">
        <f t="shared" si="2"/>
        <v/>
      </c>
      <c r="N28" s="456" t="str">
        <f t="shared" si="2"/>
        <v/>
      </c>
      <c r="X28" s="212"/>
      <c r="Y28" s="213"/>
      <c r="AE28" s="212"/>
      <c r="AF28" s="213"/>
      <c r="AL28" s="212"/>
      <c r="AM28" s="213"/>
    </row>
    <row r="29" spans="6:39" x14ac:dyDescent="0.35">
      <c r="F29" s="213" t="s">
        <v>30</v>
      </c>
      <c r="X29" s="212"/>
      <c r="Y29" s="213"/>
      <c r="AE29" s="212"/>
      <c r="AF29" s="213"/>
      <c r="AL29" s="212"/>
      <c r="AM29" s="213"/>
    </row>
    <row r="30" spans="6:39" ht="14.25" customHeight="1" x14ac:dyDescent="0.35">
      <c r="F30" s="702" t="s">
        <v>31</v>
      </c>
      <c r="G30" s="702"/>
      <c r="H30" s="702"/>
      <c r="I30" s="702"/>
      <c r="J30" s="702"/>
      <c r="K30" s="702"/>
      <c r="L30" s="702"/>
      <c r="M30" s="702"/>
      <c r="N30" s="702"/>
      <c r="O30" s="702"/>
      <c r="P30" s="702"/>
      <c r="X30" s="212"/>
      <c r="Y30" s="213"/>
      <c r="AE30" s="212"/>
      <c r="AF30" s="213"/>
      <c r="AL30" s="212"/>
      <c r="AM30" s="213"/>
    </row>
    <row r="31" spans="6:39" ht="14.25" customHeight="1" x14ac:dyDescent="0.35">
      <c r="F31" s="703" t="s">
        <v>109</v>
      </c>
      <c r="G31" s="703"/>
      <c r="H31" s="703"/>
      <c r="I31" s="703"/>
      <c r="J31" s="703"/>
      <c r="K31" s="703"/>
      <c r="L31" s="703"/>
      <c r="M31" s="703"/>
      <c r="N31" s="262"/>
      <c r="O31" s="262"/>
      <c r="P31" s="262"/>
      <c r="Q31" s="262"/>
      <c r="R31" s="262"/>
      <c r="S31" s="262"/>
      <c r="T31" s="262"/>
      <c r="U31" s="262"/>
      <c r="V31" s="262"/>
      <c r="W31" s="262"/>
      <c r="X31" s="263"/>
      <c r="Y31" s="262"/>
      <c r="Z31" s="262"/>
      <c r="AA31" s="262"/>
      <c r="AB31" s="262"/>
      <c r="AC31" s="262"/>
      <c r="AD31" s="262"/>
      <c r="AE31" s="263"/>
      <c r="AF31" s="262"/>
      <c r="AG31" s="262"/>
      <c r="AH31" s="262"/>
      <c r="AI31" s="262"/>
      <c r="AJ31" s="262"/>
      <c r="AK31" s="262"/>
      <c r="AL31" s="263"/>
      <c r="AM31" s="213"/>
    </row>
    <row r="32" spans="6:39" x14ac:dyDescent="0.35">
      <c r="F32" s="703"/>
      <c r="G32" s="703"/>
      <c r="H32" s="703"/>
      <c r="I32" s="703"/>
      <c r="J32" s="703"/>
      <c r="K32" s="703"/>
      <c r="L32" s="703"/>
      <c r="M32" s="703"/>
      <c r="N32" s="262"/>
      <c r="O32" s="262"/>
      <c r="P32" s="262"/>
      <c r="Q32" s="262"/>
      <c r="R32" s="262"/>
      <c r="S32" s="262"/>
      <c r="T32" s="262"/>
      <c r="U32" s="262"/>
      <c r="V32" s="262"/>
      <c r="W32" s="262"/>
      <c r="X32" s="263"/>
      <c r="Y32" s="262"/>
      <c r="Z32" s="262"/>
      <c r="AA32" s="262"/>
      <c r="AB32" s="262"/>
      <c r="AC32" s="262"/>
      <c r="AD32" s="262"/>
      <c r="AE32" s="263"/>
      <c r="AF32" s="262"/>
      <c r="AG32" s="262"/>
      <c r="AH32" s="262"/>
      <c r="AI32" s="262"/>
      <c r="AJ32" s="262"/>
      <c r="AK32" s="262"/>
      <c r="AL32" s="263"/>
      <c r="AM32" s="213"/>
    </row>
    <row r="33" spans="6:39" ht="15.6" thickBot="1" x14ac:dyDescent="0.4">
      <c r="X33" s="212"/>
      <c r="Y33" s="213"/>
      <c r="AE33" s="212"/>
      <c r="AF33" s="213"/>
      <c r="AL33" s="212"/>
      <c r="AM33" s="213"/>
    </row>
    <row r="34" spans="6:39" x14ac:dyDescent="0.35">
      <c r="F34" s="285" t="s">
        <v>302</v>
      </c>
      <c r="G34" s="273">
        <v>2026</v>
      </c>
      <c r="H34" s="274"/>
      <c r="I34" s="274"/>
      <c r="J34" s="274"/>
      <c r="K34" s="274"/>
      <c r="L34" s="274"/>
      <c r="M34" s="274"/>
      <c r="N34" s="275"/>
      <c r="X34" s="212"/>
      <c r="Y34" s="213"/>
      <c r="AE34" s="212"/>
      <c r="AF34" s="213"/>
      <c r="AL34" s="212"/>
      <c r="AM34" s="213"/>
    </row>
    <row r="35" spans="6:39" x14ac:dyDescent="0.35">
      <c r="F35" s="276" t="s">
        <v>304</v>
      </c>
      <c r="G35" s="268"/>
      <c r="H35" s="268"/>
      <c r="I35" s="662">
        <v>2.5000000000000001E-2</v>
      </c>
      <c r="J35" s="669"/>
      <c r="K35" s="268"/>
      <c r="L35" s="268"/>
      <c r="M35" s="268"/>
      <c r="N35" s="277"/>
      <c r="X35" s="212"/>
      <c r="Y35" s="213"/>
      <c r="AE35" s="212"/>
      <c r="AF35" s="213"/>
      <c r="AL35" s="212"/>
      <c r="AM35" s="213"/>
    </row>
    <row r="36" spans="6:39" x14ac:dyDescent="0.35">
      <c r="F36" s="664" t="s">
        <v>305</v>
      </c>
      <c r="G36" s="268"/>
      <c r="H36" s="268"/>
      <c r="I36" s="662">
        <v>0.13</v>
      </c>
      <c r="J36" s="669" t="s">
        <v>309</v>
      </c>
      <c r="K36" s="268"/>
      <c r="L36" s="268"/>
      <c r="M36" s="268"/>
      <c r="N36" s="277"/>
      <c r="X36" s="212"/>
      <c r="Y36" s="213"/>
      <c r="AE36" s="212"/>
      <c r="AF36" s="213"/>
      <c r="AL36" s="212"/>
      <c r="AM36" s="213"/>
    </row>
    <row r="37" spans="6:39" x14ac:dyDescent="0.35">
      <c r="F37" s="663" t="s">
        <v>303</v>
      </c>
      <c r="G37" s="660"/>
      <c r="H37" s="660"/>
      <c r="I37" s="659">
        <f>SUM(I35:I36)</f>
        <v>0.155</v>
      </c>
      <c r="J37" s="665" t="s">
        <v>306</v>
      </c>
      <c r="K37" s="660"/>
      <c r="L37" s="660"/>
      <c r="M37" s="660"/>
      <c r="N37" s="661"/>
      <c r="O37" s="667"/>
      <c r="X37" s="212"/>
      <c r="Y37" s="213"/>
      <c r="AE37" s="212"/>
      <c r="AF37" s="213"/>
      <c r="AL37" s="212"/>
      <c r="AM37" s="213"/>
    </row>
    <row r="38" spans="6:39" ht="15.6" thickBot="1" x14ac:dyDescent="0.4">
      <c r="F38" s="668" t="s">
        <v>308</v>
      </c>
      <c r="G38" s="245"/>
      <c r="H38" s="246"/>
      <c r="I38" s="246"/>
      <c r="J38" s="666"/>
      <c r="K38" s="280"/>
      <c r="L38" s="280"/>
      <c r="M38" s="280"/>
      <c r="N38" s="281"/>
      <c r="O38" s="262"/>
      <c r="P38" s="262"/>
      <c r="Q38" s="262"/>
      <c r="R38" s="262"/>
      <c r="S38" s="262"/>
      <c r="T38" s="262"/>
      <c r="X38" s="212"/>
      <c r="Y38" s="213"/>
      <c r="Z38" s="262"/>
      <c r="AA38" s="262"/>
      <c r="AE38" s="212"/>
      <c r="AF38" s="213"/>
      <c r="AG38" s="262"/>
      <c r="AH38" s="262"/>
      <c r="AL38" s="212"/>
      <c r="AM38" s="213"/>
    </row>
    <row r="39" spans="6:39" ht="15.6" thickBot="1" x14ac:dyDescent="0.4">
      <c r="X39" s="212"/>
      <c r="Y39" s="213"/>
      <c r="AE39" s="212"/>
      <c r="AF39" s="213"/>
      <c r="AL39" s="212"/>
      <c r="AM39" s="213"/>
    </row>
    <row r="40" spans="6:39" x14ac:dyDescent="0.35">
      <c r="F40" s="285" t="s">
        <v>114</v>
      </c>
      <c r="G40" s="273">
        <v>2025</v>
      </c>
      <c r="H40" s="274"/>
      <c r="I40" s="274"/>
      <c r="J40" s="274"/>
      <c r="K40" s="274"/>
      <c r="L40" s="274"/>
      <c r="M40" s="274"/>
      <c r="N40" s="275"/>
      <c r="O40" s="262"/>
      <c r="P40" s="262"/>
      <c r="Q40" s="262"/>
      <c r="R40" s="262"/>
      <c r="S40" s="262"/>
      <c r="T40" s="262"/>
      <c r="X40" s="212"/>
      <c r="Y40" s="213"/>
      <c r="Z40" s="262"/>
      <c r="AA40" s="262"/>
      <c r="AE40" s="212"/>
      <c r="AF40" s="213"/>
      <c r="AG40" s="262"/>
      <c r="AH40" s="262"/>
      <c r="AL40" s="212"/>
      <c r="AM40" s="213"/>
    </row>
    <row r="41" spans="6:39" x14ac:dyDescent="0.35">
      <c r="F41" s="276"/>
      <c r="G41" s="268"/>
      <c r="H41" s="268"/>
      <c r="I41" s="268"/>
      <c r="J41" s="268"/>
      <c r="K41" s="268"/>
      <c r="L41" s="268"/>
      <c r="M41" s="268"/>
      <c r="N41" s="277"/>
      <c r="O41" s="262"/>
      <c r="P41" s="262"/>
      <c r="Q41" s="262"/>
      <c r="R41" s="262"/>
      <c r="S41" s="262"/>
      <c r="T41" s="262"/>
      <c r="X41" s="212"/>
      <c r="Y41" s="213"/>
      <c r="Z41" s="262"/>
      <c r="AA41" s="262"/>
      <c r="AE41" s="212"/>
      <c r="AF41" s="213"/>
      <c r="AG41" s="262"/>
      <c r="AH41" s="262"/>
      <c r="AL41" s="212"/>
      <c r="AM41" s="213"/>
    </row>
    <row r="42" spans="6:39" x14ac:dyDescent="0.35">
      <c r="F42" s="282" t="s">
        <v>116</v>
      </c>
      <c r="G42" s="283"/>
      <c r="H42" s="283">
        <v>2025</v>
      </c>
      <c r="I42" s="283">
        <f>H42+1</f>
        <v>2026</v>
      </c>
      <c r="J42" s="283">
        <f>I42+1</f>
        <v>2027</v>
      </c>
      <c r="K42" s="283">
        <f t="shared" ref="K42:M42" si="3">J42+1</f>
        <v>2028</v>
      </c>
      <c r="L42" s="283">
        <f t="shared" si="3"/>
        <v>2029</v>
      </c>
      <c r="M42" s="283">
        <f t="shared" si="3"/>
        <v>2030</v>
      </c>
      <c r="N42" s="284">
        <f>M42+1</f>
        <v>2031</v>
      </c>
      <c r="O42" s="262"/>
      <c r="P42" s="262"/>
      <c r="Q42" s="262"/>
      <c r="R42" s="262"/>
      <c r="S42" s="262"/>
      <c r="T42" s="262"/>
      <c r="X42" s="212"/>
      <c r="Y42" s="213"/>
      <c r="Z42" s="262"/>
      <c r="AA42" s="262"/>
      <c r="AE42" s="212"/>
      <c r="AF42" s="213"/>
      <c r="AG42" s="262"/>
      <c r="AH42" s="262"/>
      <c r="AL42" s="212"/>
      <c r="AM42" s="213"/>
    </row>
    <row r="43" spans="6:39" x14ac:dyDescent="0.35">
      <c r="F43" s="276" t="s">
        <v>116</v>
      </c>
      <c r="G43" s="286"/>
      <c r="H43" s="286">
        <f t="shared" ref="H43:N43" si="4">IF( $G$40 = H42, 1, 0)</f>
        <v>1</v>
      </c>
      <c r="I43" s="286">
        <f t="shared" si="4"/>
        <v>0</v>
      </c>
      <c r="J43" s="286">
        <f t="shared" si="4"/>
        <v>0</v>
      </c>
      <c r="K43" s="286">
        <f t="shared" si="4"/>
        <v>0</v>
      </c>
      <c r="L43" s="286">
        <f t="shared" si="4"/>
        <v>0</v>
      </c>
      <c r="M43" s="286">
        <f t="shared" si="4"/>
        <v>0</v>
      </c>
      <c r="N43" s="287">
        <f t="shared" si="4"/>
        <v>0</v>
      </c>
      <c r="O43" s="262"/>
      <c r="P43" s="262"/>
      <c r="Q43" s="262"/>
      <c r="R43" s="262"/>
      <c r="S43" s="262"/>
      <c r="T43" s="262"/>
      <c r="X43" s="212"/>
      <c r="Y43" s="213"/>
      <c r="Z43" s="262"/>
      <c r="AA43" s="262"/>
      <c r="AE43" s="212"/>
      <c r="AF43" s="213"/>
      <c r="AG43" s="262"/>
      <c r="AH43" s="262"/>
      <c r="AL43" s="212"/>
      <c r="AM43" s="213"/>
    </row>
    <row r="44" spans="6:39" x14ac:dyDescent="0.35">
      <c r="F44" s="276"/>
      <c r="G44" s="268"/>
      <c r="H44" s="268"/>
      <c r="I44" s="268"/>
      <c r="J44" s="268"/>
      <c r="K44" s="268"/>
      <c r="L44" s="268"/>
      <c r="M44" s="268"/>
      <c r="N44" s="277"/>
      <c r="O44" s="262"/>
      <c r="P44" s="262"/>
      <c r="Q44" s="262"/>
      <c r="R44" s="262"/>
      <c r="S44" s="262"/>
      <c r="T44" s="262"/>
      <c r="X44" s="212"/>
      <c r="Y44" s="213"/>
      <c r="Z44" s="262"/>
      <c r="AA44" s="262"/>
      <c r="AE44" s="212"/>
      <c r="AF44" s="213"/>
      <c r="AG44" s="262"/>
      <c r="AH44" s="262"/>
      <c r="AL44" s="212"/>
      <c r="AM44" s="213"/>
    </row>
    <row r="45" spans="6:39" x14ac:dyDescent="0.35">
      <c r="F45" s="282" t="s">
        <v>115</v>
      </c>
      <c r="G45" s="283"/>
      <c r="H45" s="283"/>
      <c r="I45" s="283"/>
      <c r="J45" s="283"/>
      <c r="K45" s="283"/>
      <c r="L45" s="283"/>
      <c r="M45" s="283"/>
      <c r="N45" s="284"/>
      <c r="O45" s="262"/>
      <c r="P45" s="262"/>
      <c r="Q45" s="262"/>
      <c r="R45" s="262"/>
      <c r="S45" s="262"/>
      <c r="T45" s="262"/>
      <c r="X45" s="212"/>
      <c r="Y45" s="213"/>
      <c r="Z45" s="262"/>
      <c r="AA45" s="262"/>
      <c r="AE45" s="212"/>
      <c r="AF45" s="213"/>
      <c r="AG45" s="262"/>
      <c r="AH45" s="262"/>
      <c r="AL45" s="212"/>
      <c r="AM45" s="213"/>
    </row>
    <row r="46" spans="6:39" x14ac:dyDescent="0.35">
      <c r="F46" s="250" t="s">
        <v>112</v>
      </c>
      <c r="G46" s="272">
        <v>1</v>
      </c>
      <c r="H46" s="289">
        <f>IF( H27 = "", "", G46 * ( 1 + H27 ))</f>
        <v>1.04942</v>
      </c>
      <c r="I46" s="251" t="str">
        <f t="shared" ref="I46:M46" si="5">IF( I27 = "", "", H46 * ( 1 + I27 ))</f>
        <v/>
      </c>
      <c r="J46" s="289" t="str">
        <f>IF( J27 = "", "", I46 * ( 1 + J27 ))</f>
        <v/>
      </c>
      <c r="K46" s="289" t="str">
        <f t="shared" si="5"/>
        <v/>
      </c>
      <c r="L46" s="289" t="str">
        <f t="shared" si="5"/>
        <v/>
      </c>
      <c r="M46" s="289" t="str">
        <f t="shared" si="5"/>
        <v/>
      </c>
      <c r="N46" s="290" t="str">
        <f>IF( N27 = "", "", M46 * ( 1 + N27 ))</f>
        <v/>
      </c>
      <c r="O46" s="262"/>
      <c r="P46" s="262"/>
      <c r="Q46" s="262"/>
      <c r="R46" s="262"/>
      <c r="S46" s="262"/>
      <c r="T46" s="262"/>
      <c r="X46" s="212"/>
      <c r="Y46" s="213"/>
      <c r="Z46" s="262"/>
      <c r="AA46" s="262"/>
      <c r="AE46" s="212"/>
      <c r="AF46" s="213"/>
      <c r="AG46" s="262"/>
      <c r="AH46" s="262"/>
      <c r="AL46" s="212"/>
      <c r="AM46" s="213"/>
    </row>
    <row r="47" spans="6:39" x14ac:dyDescent="0.35">
      <c r="F47" s="250" t="s">
        <v>113</v>
      </c>
      <c r="G47" s="272">
        <v>1</v>
      </c>
      <c r="H47" s="289">
        <f>IF( H28 = "", "", G47 * ( 1 + H28 ))</f>
        <v>1.0446599999999999</v>
      </c>
      <c r="I47" s="251" t="str">
        <f t="shared" ref="I47:M47" si="6">IF( I28 = "", "", H47 * ( 1 + I28 ))</f>
        <v/>
      </c>
      <c r="J47" s="289" t="str">
        <f>IF( J28 = "", "", I47 * ( 1 + J28 ))</f>
        <v/>
      </c>
      <c r="K47" s="289" t="str">
        <f t="shared" si="6"/>
        <v/>
      </c>
      <c r="L47" s="289" t="str">
        <f t="shared" si="6"/>
        <v/>
      </c>
      <c r="M47" s="289" t="str">
        <f t="shared" si="6"/>
        <v/>
      </c>
      <c r="N47" s="290" t="str">
        <f>IF( N28 = "", "", M47 * ( 1 + N28 ))</f>
        <v/>
      </c>
      <c r="O47" s="262"/>
      <c r="P47" s="262"/>
      <c r="Q47" s="262"/>
      <c r="R47" s="262"/>
      <c r="S47" s="262"/>
      <c r="T47" s="262"/>
      <c r="X47" s="212"/>
      <c r="Y47" s="213"/>
      <c r="Z47" s="262"/>
      <c r="AA47" s="262"/>
      <c r="AE47" s="212"/>
      <c r="AF47" s="213"/>
      <c r="AG47" s="262"/>
      <c r="AH47" s="262"/>
      <c r="AL47" s="212"/>
      <c r="AM47" s="213"/>
    </row>
    <row r="48" spans="6:39" x14ac:dyDescent="0.35">
      <c r="F48" s="250"/>
      <c r="G48" s="255"/>
      <c r="H48" s="251"/>
      <c r="I48" s="251"/>
      <c r="J48" s="256"/>
      <c r="N48" s="278"/>
      <c r="O48" s="262"/>
      <c r="P48" s="262"/>
      <c r="Q48" s="262"/>
      <c r="R48" s="262"/>
      <c r="S48" s="262"/>
      <c r="T48" s="262"/>
      <c r="X48" s="212"/>
      <c r="Y48" s="213"/>
      <c r="Z48" s="262"/>
      <c r="AA48" s="262"/>
      <c r="AE48" s="212"/>
      <c r="AF48" s="213"/>
      <c r="AG48" s="262"/>
      <c r="AH48" s="262"/>
      <c r="AL48" s="212"/>
      <c r="AM48" s="213"/>
    </row>
    <row r="49" spans="4:39" x14ac:dyDescent="0.35">
      <c r="F49" s="282" t="s">
        <v>117</v>
      </c>
      <c r="G49" s="283"/>
      <c r="H49" s="283"/>
      <c r="I49" s="283"/>
      <c r="J49" s="283"/>
      <c r="K49" s="283"/>
      <c r="L49" s="283"/>
      <c r="M49" s="283"/>
      <c r="N49" s="284"/>
      <c r="O49" s="262"/>
      <c r="P49" s="262"/>
      <c r="Q49" s="262"/>
      <c r="R49" s="262"/>
      <c r="S49" s="262"/>
      <c r="T49" s="262"/>
      <c r="X49" s="212"/>
      <c r="Y49" s="213"/>
      <c r="Z49" s="262"/>
      <c r="AA49" s="262"/>
      <c r="AE49" s="212"/>
      <c r="AF49" s="213"/>
      <c r="AG49" s="262"/>
      <c r="AH49" s="262"/>
      <c r="AL49" s="212"/>
      <c r="AM49" s="213"/>
    </row>
    <row r="50" spans="4:39" x14ac:dyDescent="0.35">
      <c r="F50" s="250" t="s">
        <v>112</v>
      </c>
      <c r="G50" s="288">
        <f>SUMPRODUCT($G$43:$N$43,G46:N46)</f>
        <v>1.04942</v>
      </c>
      <c r="H50" s="289"/>
      <c r="I50" s="251"/>
      <c r="J50" s="289"/>
      <c r="K50" s="289"/>
      <c r="L50" s="289"/>
      <c r="M50" s="289"/>
      <c r="N50" s="290"/>
      <c r="O50" s="262"/>
      <c r="P50" s="262"/>
      <c r="Q50" s="262"/>
      <c r="R50" s="262"/>
      <c r="S50" s="262"/>
      <c r="T50" s="262"/>
      <c r="X50" s="212"/>
      <c r="Y50" s="213"/>
      <c r="Z50" s="262"/>
      <c r="AA50" s="262"/>
      <c r="AE50" s="212"/>
      <c r="AF50" s="213"/>
      <c r="AG50" s="262"/>
      <c r="AH50" s="262"/>
      <c r="AL50" s="212"/>
      <c r="AM50" s="213"/>
    </row>
    <row r="51" spans="4:39" x14ac:dyDescent="0.35">
      <c r="F51" s="250" t="s">
        <v>113</v>
      </c>
      <c r="G51" s="288">
        <f>SUMPRODUCT($G$43:$N$43,G47:N47)</f>
        <v>1.0446599999999999</v>
      </c>
      <c r="H51" s="289"/>
      <c r="I51" s="251"/>
      <c r="J51" s="289"/>
      <c r="K51" s="289"/>
      <c r="L51" s="289"/>
      <c r="M51" s="289"/>
      <c r="N51" s="290"/>
      <c r="O51" s="262"/>
      <c r="P51" s="262"/>
      <c r="Q51" s="262"/>
      <c r="R51" s="262"/>
      <c r="S51" s="262"/>
      <c r="T51" s="262"/>
      <c r="X51" s="212"/>
      <c r="Y51" s="213"/>
      <c r="Z51" s="262"/>
      <c r="AA51" s="262"/>
      <c r="AE51" s="212"/>
      <c r="AF51" s="213"/>
      <c r="AG51" s="262"/>
      <c r="AH51" s="262"/>
      <c r="AL51" s="212"/>
      <c r="AM51" s="213"/>
    </row>
    <row r="52" spans="4:39" ht="15.6" thickBot="1" x14ac:dyDescent="0.4">
      <c r="F52" s="244"/>
      <c r="G52" s="245"/>
      <c r="H52" s="246"/>
      <c r="I52" s="246"/>
      <c r="J52" s="279"/>
      <c r="K52" s="280"/>
      <c r="L52" s="280"/>
      <c r="M52" s="280"/>
      <c r="N52" s="281"/>
      <c r="O52" s="262"/>
      <c r="P52" s="262"/>
      <c r="Q52" s="262"/>
      <c r="R52" s="262"/>
      <c r="S52" s="262"/>
      <c r="T52" s="262"/>
      <c r="X52" s="212"/>
      <c r="Y52" s="213"/>
      <c r="Z52" s="262"/>
      <c r="AA52" s="262"/>
      <c r="AE52" s="212"/>
      <c r="AF52" s="213"/>
      <c r="AG52" s="262"/>
      <c r="AH52" s="262"/>
      <c r="AL52" s="212"/>
      <c r="AM52" s="213"/>
    </row>
    <row r="53" spans="4:39" x14ac:dyDescent="0.35">
      <c r="O53" s="262"/>
      <c r="P53" s="262"/>
      <c r="Q53" s="262"/>
      <c r="R53" s="262"/>
      <c r="S53" s="262"/>
      <c r="T53" s="262"/>
      <c r="X53" s="212"/>
      <c r="Y53" s="213"/>
      <c r="Z53" s="262"/>
      <c r="AA53" s="262"/>
      <c r="AE53" s="212"/>
      <c r="AF53" s="213"/>
      <c r="AG53" s="262"/>
      <c r="AH53" s="262"/>
      <c r="AL53" s="212"/>
      <c r="AM53" s="213"/>
    </row>
    <row r="54" spans="4:39" x14ac:dyDescent="0.35">
      <c r="X54" s="212"/>
      <c r="Y54" s="213"/>
      <c r="AE54" s="212"/>
      <c r="AF54" s="213"/>
      <c r="AL54" s="212"/>
      <c r="AM54" s="213"/>
    </row>
    <row r="55" spans="4:39" x14ac:dyDescent="0.35">
      <c r="X55" s="212"/>
      <c r="Y55" s="213"/>
      <c r="AE55" s="212"/>
      <c r="AF55" s="213"/>
      <c r="AL55" s="212"/>
      <c r="AM55" s="213"/>
    </row>
    <row r="56" spans="4:39" x14ac:dyDescent="0.35">
      <c r="F56" s="240" t="s">
        <v>307</v>
      </c>
      <c r="G56" s="240"/>
      <c r="H56" s="240"/>
      <c r="I56" s="240"/>
      <c r="J56" s="240"/>
      <c r="K56" s="240"/>
      <c r="X56" s="212"/>
      <c r="Y56" s="213"/>
      <c r="AE56" s="212"/>
      <c r="AF56" s="213"/>
      <c r="AL56" s="212"/>
      <c r="AM56" s="213"/>
    </row>
    <row r="58" spans="4:39" ht="17.399999999999999" customHeight="1" x14ac:dyDescent="0.35">
      <c r="F58" s="387" t="s">
        <v>139</v>
      </c>
      <c r="G58" s="345" t="s">
        <v>140</v>
      </c>
      <c r="H58" s="345"/>
      <c r="I58" s="345"/>
      <c r="J58" s="345"/>
      <c r="K58" s="345"/>
      <c r="L58" s="369" t="s">
        <v>141</v>
      </c>
      <c r="M58" s="369"/>
      <c r="N58" s="369"/>
      <c r="O58" s="444"/>
    </row>
    <row r="59" spans="4:39" ht="75" customHeight="1" x14ac:dyDescent="0.35">
      <c r="F59" s="368" t="s">
        <v>2</v>
      </c>
      <c r="G59" s="366" t="s">
        <v>120</v>
      </c>
      <c r="H59" s="367" t="s">
        <v>135</v>
      </c>
      <c r="I59" s="367" t="s">
        <v>252</v>
      </c>
      <c r="J59" s="367" t="s">
        <v>253</v>
      </c>
      <c r="K59" s="367" t="s">
        <v>210</v>
      </c>
      <c r="L59" s="367" t="s">
        <v>207</v>
      </c>
      <c r="M59" s="367" t="s">
        <v>205</v>
      </c>
      <c r="N59" s="367" t="s">
        <v>254</v>
      </c>
      <c r="O59" s="367" t="s">
        <v>128</v>
      </c>
    </row>
    <row r="60" spans="4:39" x14ac:dyDescent="0.35">
      <c r="F60" s="170" t="s">
        <v>4</v>
      </c>
      <c r="G60" s="533">
        <f xml:space="preserve"> 'Individuele begeleiding'!I$46</f>
        <v>65.584101186303087</v>
      </c>
      <c r="H60" s="534">
        <f xml:space="preserve"> 'Individuele begeleiding'!O$46</f>
        <v>71.285091842664059</v>
      </c>
      <c r="I60" s="534">
        <f xml:space="preserve"> 'Individuele begeleiding'!BE$46</f>
        <v>59.486101713767688</v>
      </c>
      <c r="J60" s="534">
        <f>'Individuele begeleiding'!CC46</f>
        <v>64.657015150397257</v>
      </c>
      <c r="K60" s="535">
        <f xml:space="preserve"> 'Individuele begeleiding'!DA$46</f>
        <v>53.760783033611403</v>
      </c>
      <c r="L60" s="535">
        <f>Dagbesteding!H56</f>
        <v>44.801345134974966</v>
      </c>
      <c r="M60" s="536">
        <f xml:space="preserve"> Dagbesteding!M$56</f>
        <v>72.241072879461896</v>
      </c>
      <c r="N60" s="535">
        <f xml:space="preserve"> Dagbesteding!AV$56</f>
        <v>26.204279282206606</v>
      </c>
      <c r="O60" s="537">
        <f>Dagbesteding!BP56</f>
        <v>20.024543942463556</v>
      </c>
      <c r="Q60" s="556">
        <v>0.16</v>
      </c>
      <c r="R60" s="558">
        <v>0.57999999999999996</v>
      </c>
    </row>
    <row r="61" spans="4:39" x14ac:dyDescent="0.35">
      <c r="D61" s="215" t="s">
        <v>19</v>
      </c>
      <c r="E61" s="215"/>
      <c r="F61" s="170" t="s">
        <v>14</v>
      </c>
      <c r="G61" s="533">
        <f>'Individuele begeleiding'!U46</f>
        <v>63.084476784903693</v>
      </c>
      <c r="H61" s="533">
        <f xml:space="preserve"> 'Individuele begeleiding'!AA$46</f>
        <v>67.283720459381286</v>
      </c>
      <c r="I61" s="533">
        <f xml:space="preserve"> 'Individuele begeleiding'!BK$46</f>
        <v>57.218891998329617</v>
      </c>
      <c r="J61" s="533">
        <f>'Individuele begeleiding'!CI46</f>
        <v>61.027690652614432</v>
      </c>
      <c r="K61" s="459"/>
      <c r="L61" s="536">
        <f>Dagbesteding!R56</f>
        <v>41.695057651072439</v>
      </c>
      <c r="M61" s="536">
        <f xml:space="preserve"> Dagbesteding!W$56</f>
        <v>67.153359514495037</v>
      </c>
      <c r="N61" s="536">
        <f xml:space="preserve"> Dagbesteding!BA$56</f>
        <v>24.065882230510937</v>
      </c>
      <c r="O61" s="537">
        <f xml:space="preserve"> Dagbesteding!BT$56</f>
        <v>20.01799199908902</v>
      </c>
      <c r="Q61" s="556">
        <v>0.44</v>
      </c>
      <c r="R61" s="558">
        <v>0.08</v>
      </c>
    </row>
    <row r="62" spans="4:39" x14ac:dyDescent="0.35">
      <c r="D62" s="215" t="s">
        <v>20</v>
      </c>
      <c r="E62" s="215"/>
      <c r="F62" s="170" t="s">
        <v>15</v>
      </c>
      <c r="G62" s="459"/>
      <c r="H62" s="533">
        <f xml:space="preserve"> 'Individuele begeleiding'!AG$46</f>
        <v>78.406537046088275</v>
      </c>
      <c r="I62" s="459"/>
      <c r="J62" s="538">
        <f xml:space="preserve"> 'Individuele begeleiding'!CO$46</f>
        <v>71.121611017062719</v>
      </c>
      <c r="K62" s="459"/>
      <c r="L62" s="459"/>
      <c r="M62" s="459"/>
      <c r="N62" s="459"/>
      <c r="O62" s="459"/>
      <c r="Q62" s="556">
        <v>0</v>
      </c>
      <c r="R62" s="558"/>
    </row>
    <row r="63" spans="4:39" x14ac:dyDescent="0.35">
      <c r="F63" s="170" t="s">
        <v>16</v>
      </c>
      <c r="G63" s="533">
        <f xml:space="preserve"> 'Individuele begeleiding'!AM$46</f>
        <v>73.329032463212997</v>
      </c>
      <c r="H63" s="533">
        <f xml:space="preserve"> 'Individuele begeleiding'!AS$46</f>
        <v>85.466326391601427</v>
      </c>
      <c r="I63" s="533">
        <f xml:space="preserve"> 'Individuele begeleiding'!BQ$46</f>
        <v>66.661403227586646</v>
      </c>
      <c r="J63" s="533">
        <f>'Individuele begeleiding'!CU46</f>
        <v>77.69508276042292</v>
      </c>
      <c r="K63" s="658">
        <f xml:space="preserve"> 'Individuele begeleiding'!DG$46</f>
        <v>57.581758717973486</v>
      </c>
      <c r="L63" s="536">
        <f xml:space="preserve"> Dagbesteding!AB$56</f>
        <v>48.187835918628657</v>
      </c>
      <c r="M63" s="536">
        <f xml:space="preserve"> Dagbesteding!AG$56</f>
        <v>78.126008102106397</v>
      </c>
      <c r="N63" s="536">
        <f xml:space="preserve"> Dagbesteding!BF$56</f>
        <v>28.918591086269661</v>
      </c>
      <c r="O63" s="537">
        <f xml:space="preserve"> Dagbesteding!BX$56</f>
        <v>25.250149294350521</v>
      </c>
      <c r="Q63" s="556">
        <v>0.18</v>
      </c>
      <c r="R63" s="558">
        <v>0.22</v>
      </c>
    </row>
    <row r="64" spans="4:39" x14ac:dyDescent="0.35">
      <c r="F64" s="170" t="s">
        <v>17</v>
      </c>
      <c r="G64" s="533">
        <f xml:space="preserve"> 'Individuele begeleiding'!AY$46</f>
        <v>58.453467820624716</v>
      </c>
      <c r="H64" s="459"/>
      <c r="I64" s="533">
        <f xml:space="preserve"> 'Individuele begeleiding'!BW$46</f>
        <v>52.870674717190987</v>
      </c>
      <c r="J64" s="459"/>
      <c r="K64" s="658">
        <f xml:space="preserve"> 'Individuele begeleiding'!DM$46</f>
        <v>53.298668991371244</v>
      </c>
      <c r="L64" s="536">
        <f xml:space="preserve"> Dagbesteding!AL$56</f>
        <v>43.402475819138488</v>
      </c>
      <c r="M64" s="536">
        <f xml:space="preserve"> Dagbesteding!AQ$56</f>
        <v>64.868615407026155</v>
      </c>
      <c r="N64" s="536">
        <f xml:space="preserve"> Dagbesteding!BK$56</f>
        <v>21.76631400963354</v>
      </c>
      <c r="O64" s="537">
        <f xml:space="preserve"> Dagbesteding!CC$56</f>
        <v>20.083591333199621</v>
      </c>
      <c r="Q64" s="557">
        <v>0.22</v>
      </c>
      <c r="R64" s="558">
        <v>0.13</v>
      </c>
      <c r="T64" s="214"/>
      <c r="AA64" s="214"/>
      <c r="AH64" s="214"/>
    </row>
    <row r="66" spans="6:39" x14ac:dyDescent="0.35">
      <c r="F66" s="217" t="s">
        <v>21</v>
      </c>
      <c r="G66" s="218"/>
      <c r="H66" s="218"/>
      <c r="I66" s="218"/>
      <c r="J66" s="218"/>
      <c r="K66" s="218"/>
      <c r="L66" s="218"/>
      <c r="M66" s="218"/>
      <c r="N66" s="218"/>
      <c r="O66" s="218"/>
      <c r="P66" s="218"/>
      <c r="Q66" s="218"/>
      <c r="R66" s="218"/>
    </row>
    <row r="67" spans="6:39" x14ac:dyDescent="0.35">
      <c r="F67" s="216" t="s">
        <v>4</v>
      </c>
      <c r="G67" s="219">
        <v>0.6</v>
      </c>
      <c r="N67" s="216" t="s">
        <v>4</v>
      </c>
      <c r="O67" s="219">
        <v>0.1</v>
      </c>
    </row>
    <row r="68" spans="6:39" x14ac:dyDescent="0.35">
      <c r="F68" s="527" t="s">
        <v>16</v>
      </c>
      <c r="G68" s="219">
        <v>0.4</v>
      </c>
      <c r="N68" s="527" t="s">
        <v>14</v>
      </c>
      <c r="O68" s="219">
        <v>0.1</v>
      </c>
      <c r="T68" s="559" t="s">
        <v>242</v>
      </c>
      <c r="U68" s="559"/>
      <c r="V68" s="559"/>
      <c r="W68" s="559"/>
      <c r="X68" s="559"/>
      <c r="Y68" s="560"/>
      <c r="AA68" s="559" t="s">
        <v>243</v>
      </c>
      <c r="AB68" s="559"/>
      <c r="AC68" s="561">
        <v>0.8</v>
      </c>
      <c r="AD68" s="559"/>
      <c r="AE68" s="559"/>
      <c r="AF68" s="560"/>
      <c r="AH68" s="559" t="s">
        <v>244</v>
      </c>
      <c r="AI68" s="559"/>
      <c r="AJ68" s="561">
        <v>0.5</v>
      </c>
      <c r="AK68" s="559"/>
      <c r="AL68" s="559"/>
      <c r="AM68" s="560"/>
    </row>
    <row r="69" spans="6:39" ht="15.6" thickBot="1" x14ac:dyDescent="0.4">
      <c r="N69" s="216" t="s">
        <v>16</v>
      </c>
      <c r="O69" s="219">
        <v>0.1</v>
      </c>
    </row>
    <row r="70" spans="6:39" ht="17.399999999999999" thickBot="1" x14ac:dyDescent="0.4">
      <c r="N70" s="216" t="s">
        <v>17</v>
      </c>
      <c r="O70" s="573">
        <v>0.7</v>
      </c>
      <c r="T70" s="545" t="s">
        <v>137</v>
      </c>
      <c r="U70" s="546"/>
      <c r="V70" s="547" t="s">
        <v>228</v>
      </c>
      <c r="W70" s="548" t="s">
        <v>229</v>
      </c>
      <c r="X70" s="575" t="s">
        <v>247</v>
      </c>
      <c r="Y70" s="541" t="s">
        <v>227</v>
      </c>
      <c r="AA70" s="545" t="s">
        <v>137</v>
      </c>
      <c r="AB70" s="546"/>
      <c r="AC70" s="547" t="s">
        <v>228</v>
      </c>
      <c r="AD70" s="548" t="s">
        <v>229</v>
      </c>
      <c r="AE70" s="575" t="s">
        <v>247</v>
      </c>
      <c r="AF70" s="541" t="s">
        <v>227</v>
      </c>
      <c r="AH70" s="545" t="s">
        <v>137</v>
      </c>
      <c r="AI70" s="546"/>
      <c r="AJ70" s="547" t="s">
        <v>228</v>
      </c>
      <c r="AK70" s="548" t="s">
        <v>229</v>
      </c>
      <c r="AL70" s="575" t="s">
        <v>247</v>
      </c>
      <c r="AM70" s="541" t="s">
        <v>227</v>
      </c>
    </row>
    <row r="71" spans="6:39" ht="17.399999999999999" thickBot="1" x14ac:dyDescent="0.4">
      <c r="T71" s="522" t="s">
        <v>211</v>
      </c>
      <c r="U71" s="524"/>
      <c r="V71" s="530"/>
      <c r="W71" s="531"/>
      <c r="X71" s="532"/>
      <c r="Y71" s="542"/>
      <c r="AA71" s="522" t="s">
        <v>211</v>
      </c>
      <c r="AB71" s="524"/>
      <c r="AC71" s="530"/>
      <c r="AD71" s="531"/>
      <c r="AE71" s="532"/>
      <c r="AF71" s="542"/>
      <c r="AH71" s="522" t="s">
        <v>211</v>
      </c>
      <c r="AI71" s="524"/>
      <c r="AJ71" s="530"/>
      <c r="AK71" s="531"/>
      <c r="AL71" s="532"/>
      <c r="AM71" s="542"/>
    </row>
    <row r="72" spans="6:39" ht="17.399999999999999" thickBot="1" x14ac:dyDescent="0.4">
      <c r="T72" s="523" t="s">
        <v>133</v>
      </c>
      <c r="U72" s="525" t="s">
        <v>212</v>
      </c>
      <c r="V72" s="569">
        <f xml:space="preserve"> ( $G$60 * $G$67 + $G$63 * $G$68 )</f>
        <v>68.682073697067054</v>
      </c>
      <c r="W72" s="570">
        <f xml:space="preserve"> G$61</f>
        <v>63.084476784903693</v>
      </c>
      <c r="X72" s="553"/>
      <c r="Y72" s="543" t="s">
        <v>231</v>
      </c>
      <c r="AA72" s="523" t="s">
        <v>133</v>
      </c>
      <c r="AB72" s="525" t="s">
        <v>212</v>
      </c>
      <c r="AC72" s="539">
        <f>V72*$AC$68</f>
        <v>54.945658957653649</v>
      </c>
      <c r="AD72" s="540">
        <f t="shared" ref="AD72:AD74" si="7">W72*$AC$68</f>
        <v>50.467581427922958</v>
      </c>
      <c r="AE72" s="554"/>
      <c r="AF72" s="543" t="s">
        <v>231</v>
      </c>
      <c r="AH72" s="523" t="s">
        <v>133</v>
      </c>
      <c r="AI72" s="525" t="s">
        <v>212</v>
      </c>
      <c r="AJ72" s="539">
        <f>V72*$AJ$68</f>
        <v>34.341036848533527</v>
      </c>
      <c r="AK72" s="540">
        <f t="shared" ref="AK72" si="8">W72*$AJ$68</f>
        <v>31.542238392451846</v>
      </c>
      <c r="AL72" s="554"/>
      <c r="AM72" s="543" t="s">
        <v>231</v>
      </c>
    </row>
    <row r="73" spans="6:39" ht="17.399999999999999" thickBot="1" x14ac:dyDescent="0.4">
      <c r="T73" s="523" t="s">
        <v>144</v>
      </c>
      <c r="U73" s="525" t="s">
        <v>213</v>
      </c>
      <c r="V73" s="569">
        <f xml:space="preserve"> ( $H$60 * $G$67 + $H$63 * $G$68 )</f>
        <v>76.957585662239012</v>
      </c>
      <c r="W73" s="570">
        <f>H61</f>
        <v>67.283720459381286</v>
      </c>
      <c r="X73" s="572">
        <f xml:space="preserve"> H$62</f>
        <v>78.406537046088275</v>
      </c>
      <c r="Y73" s="543" t="s">
        <v>231</v>
      </c>
      <c r="AA73" s="523" t="s">
        <v>144</v>
      </c>
      <c r="AB73" s="525" t="s">
        <v>213</v>
      </c>
      <c r="AC73" s="539">
        <f t="shared" ref="AC73:AC74" si="9">V73*$AC$68</f>
        <v>61.56606852979121</v>
      </c>
      <c r="AD73" s="540">
        <f t="shared" si="7"/>
        <v>53.826976367505033</v>
      </c>
      <c r="AE73" s="562">
        <f>X73*$AC$68</f>
        <v>62.725229636870623</v>
      </c>
      <c r="AF73" s="543" t="s">
        <v>231</v>
      </c>
      <c r="AH73" s="523" t="s">
        <v>144</v>
      </c>
      <c r="AI73" s="525" t="s">
        <v>213</v>
      </c>
      <c r="AJ73" s="539">
        <f t="shared" ref="AJ73:AK73" si="10">V73*$AJ$68</f>
        <v>38.478792831119506</v>
      </c>
      <c r="AK73" s="540">
        <f t="shared" si="10"/>
        <v>33.641860229690643</v>
      </c>
      <c r="AL73" s="562">
        <f>X73*$AJ$68</f>
        <v>39.203268523044137</v>
      </c>
      <c r="AM73" s="543" t="s">
        <v>231</v>
      </c>
    </row>
    <row r="74" spans="6:39" ht="17.399999999999999" thickBot="1" x14ac:dyDescent="0.4">
      <c r="T74" s="523" t="s">
        <v>255</v>
      </c>
      <c r="U74" s="525" t="s">
        <v>257</v>
      </c>
      <c r="V74" s="569">
        <f xml:space="preserve"> ( $I$60 * $G$67 + $I$63 * $G$68 )</f>
        <v>62.35622231929527</v>
      </c>
      <c r="W74" s="570">
        <f xml:space="preserve"> I$61</f>
        <v>57.218891998329617</v>
      </c>
      <c r="X74" s="553"/>
      <c r="Y74" s="543" t="s">
        <v>231</v>
      </c>
      <c r="AA74" s="523" t="s">
        <v>255</v>
      </c>
      <c r="AB74" s="583" t="s">
        <v>257</v>
      </c>
      <c r="AC74" s="580">
        <f t="shared" si="9"/>
        <v>49.884977855436219</v>
      </c>
      <c r="AD74" s="540">
        <f t="shared" si="7"/>
        <v>45.775113598663694</v>
      </c>
      <c r="AE74" s="554"/>
      <c r="AF74" s="543" t="s">
        <v>231</v>
      </c>
      <c r="AH74" s="523" t="s">
        <v>255</v>
      </c>
      <c r="AI74" s="525" t="s">
        <v>257</v>
      </c>
      <c r="AJ74" s="539">
        <f t="shared" ref="AJ74:AK74" si="11">V74*$AJ$68</f>
        <v>31.178111159647635</v>
      </c>
      <c r="AK74" s="540">
        <f t="shared" si="11"/>
        <v>28.609445999164809</v>
      </c>
      <c r="AL74" s="554"/>
      <c r="AM74" s="543" t="s">
        <v>231</v>
      </c>
    </row>
    <row r="75" spans="6:39" ht="17.399999999999999" thickBot="1" x14ac:dyDescent="0.4">
      <c r="T75" s="589" t="s">
        <v>256</v>
      </c>
      <c r="U75" s="650" t="s">
        <v>258</v>
      </c>
      <c r="V75" s="569">
        <f>($J$60 * $G$67 + $J$63 * $G$68 )</f>
        <v>69.872242194407519</v>
      </c>
      <c r="W75" s="570">
        <f>J61</f>
        <v>61.027690652614432</v>
      </c>
      <c r="X75" s="571">
        <f xml:space="preserve"> J$62</f>
        <v>71.121611017062719</v>
      </c>
      <c r="Y75" s="543" t="str">
        <f>Y74</f>
        <v>per uur</v>
      </c>
      <c r="AA75" s="582" t="s">
        <v>256</v>
      </c>
      <c r="AB75" s="585" t="s">
        <v>258</v>
      </c>
      <c r="AC75" s="584">
        <f>V75 *$AC$68</f>
        <v>55.897793755526017</v>
      </c>
      <c r="AD75" s="540">
        <f>W75 *$AC$68</f>
        <v>48.82215252209155</v>
      </c>
      <c r="AE75" s="563">
        <f>X75*$AC$68</f>
        <v>56.897288813650178</v>
      </c>
      <c r="AF75" s="543" t="str">
        <f>AF74</f>
        <v>per uur</v>
      </c>
      <c r="AH75" s="523" t="s">
        <v>256</v>
      </c>
      <c r="AI75" s="525" t="s">
        <v>258</v>
      </c>
      <c r="AJ75" s="539">
        <f t="shared" ref="AJ75" si="12">V75*$AJ$68</f>
        <v>34.93612109720376</v>
      </c>
      <c r="AK75" s="540">
        <f t="shared" ref="AK75" si="13">W75*$AJ$68</f>
        <v>30.513845326307216</v>
      </c>
      <c r="AL75" s="563">
        <f>X75*$AJ$68</f>
        <v>35.560805508531359</v>
      </c>
      <c r="AM75" s="543" t="str">
        <f>AM74</f>
        <v>per uur</v>
      </c>
    </row>
    <row r="76" spans="6:39" ht="17.399999999999999" thickBot="1" x14ac:dyDescent="0.4">
      <c r="T76" s="588" t="s">
        <v>129</v>
      </c>
      <c r="U76" s="591"/>
      <c r="V76" s="531"/>
      <c r="W76" s="531"/>
      <c r="X76" s="564"/>
      <c r="Y76" s="542"/>
      <c r="AA76" s="588" t="s">
        <v>129</v>
      </c>
      <c r="AB76" s="586"/>
      <c r="AC76" s="581"/>
      <c r="AD76" s="531"/>
      <c r="AE76" s="564"/>
      <c r="AF76" s="542"/>
      <c r="AH76" s="522" t="s">
        <v>129</v>
      </c>
      <c r="AI76" s="524"/>
      <c r="AJ76" s="530"/>
      <c r="AK76" s="531"/>
      <c r="AL76" s="564"/>
      <c r="AM76" s="542"/>
    </row>
    <row r="77" spans="6:39" ht="17.399999999999999" thickBot="1" x14ac:dyDescent="0.4">
      <c r="T77" s="589" t="s">
        <v>153</v>
      </c>
      <c r="U77" s="592" t="s">
        <v>214</v>
      </c>
      <c r="V77" s="569">
        <f xml:space="preserve"> ( $L$60 * $G$67 + $L$63 * $G$68 )</f>
        <v>46.155941448436444</v>
      </c>
      <c r="W77" s="570">
        <f xml:space="preserve"> L$61</f>
        <v>41.695057651072439</v>
      </c>
      <c r="X77" s="553"/>
      <c r="Y77" s="543" t="s">
        <v>232</v>
      </c>
      <c r="AA77" s="589" t="s">
        <v>153</v>
      </c>
      <c r="AB77" s="587" t="s">
        <v>214</v>
      </c>
      <c r="AC77" s="539">
        <f t="shared" ref="AC77:AC79" si="14">V77*$AC$68</f>
        <v>36.924753158749155</v>
      </c>
      <c r="AD77" s="540">
        <f t="shared" ref="AD77:AD79" si="15">W77*$AC$68</f>
        <v>33.356046120857954</v>
      </c>
      <c r="AE77" s="553"/>
      <c r="AF77" s="543" t="s">
        <v>232</v>
      </c>
      <c r="AH77" s="523" t="s">
        <v>153</v>
      </c>
      <c r="AI77" s="628" t="s">
        <v>214</v>
      </c>
      <c r="AJ77" s="631">
        <f t="shared" ref="AJ77:AJ79" si="16">V77*$AJ$68</f>
        <v>23.077970724218222</v>
      </c>
      <c r="AK77" s="632">
        <f t="shared" ref="AK77:AK79" si="17">W77*$AJ$68</f>
        <v>20.847528825536219</v>
      </c>
      <c r="AL77" s="633"/>
      <c r="AM77" s="629" t="s">
        <v>232</v>
      </c>
    </row>
    <row r="78" spans="6:39" ht="17.399999999999999" thickBot="1" x14ac:dyDescent="0.4">
      <c r="T78" s="523" t="s">
        <v>145</v>
      </c>
      <c r="U78" s="525" t="s">
        <v>215</v>
      </c>
      <c r="V78" s="569">
        <f xml:space="preserve"> ( $M$60 * $G$67 + $M$63 * $G$68 )</f>
        <v>74.595046968519696</v>
      </c>
      <c r="W78" s="540">
        <f xml:space="preserve"> M$61</f>
        <v>67.153359514495037</v>
      </c>
      <c r="X78" s="553"/>
      <c r="Y78" s="543" t="s">
        <v>232</v>
      </c>
      <c r="AA78" s="523" t="s">
        <v>145</v>
      </c>
      <c r="AB78" s="525" t="s">
        <v>215</v>
      </c>
      <c r="AC78" s="539">
        <f t="shared" si="14"/>
        <v>59.676037574815759</v>
      </c>
      <c r="AD78" s="540">
        <f t="shared" si="15"/>
        <v>53.722687611596029</v>
      </c>
      <c r="AE78" s="553"/>
      <c r="AF78" s="543" t="s">
        <v>232</v>
      </c>
      <c r="AH78" s="523" t="s">
        <v>145</v>
      </c>
      <c r="AI78" s="628" t="s">
        <v>215</v>
      </c>
      <c r="AJ78" s="631">
        <f t="shared" si="16"/>
        <v>37.297523484259848</v>
      </c>
      <c r="AK78" s="632">
        <f t="shared" si="17"/>
        <v>33.576679757247518</v>
      </c>
      <c r="AL78" s="633"/>
      <c r="AM78" s="629" t="s">
        <v>232</v>
      </c>
    </row>
    <row r="79" spans="6:39" ht="17.399999999999999" thickBot="1" x14ac:dyDescent="0.4">
      <c r="T79" s="523" t="s">
        <v>269</v>
      </c>
      <c r="U79" s="525" t="s">
        <v>271</v>
      </c>
      <c r="V79" s="569">
        <f xml:space="preserve"> ( $N$60 * $G$67 + $N$63 * $G$68 )</f>
        <v>27.290004003831829</v>
      </c>
      <c r="W79" s="570">
        <f xml:space="preserve"> N$61</f>
        <v>24.065882230510937</v>
      </c>
      <c r="X79" s="553"/>
      <c r="Y79" s="543" t="s">
        <v>232</v>
      </c>
      <c r="AA79" s="523" t="s">
        <v>269</v>
      </c>
      <c r="AB79" s="525" t="s">
        <v>271</v>
      </c>
      <c r="AC79" s="539">
        <f t="shared" si="14"/>
        <v>21.832003203065465</v>
      </c>
      <c r="AD79" s="540">
        <f t="shared" si="15"/>
        <v>19.25270578440875</v>
      </c>
      <c r="AE79" s="553"/>
      <c r="AF79" s="543" t="s">
        <v>232</v>
      </c>
      <c r="AH79" s="523" t="s">
        <v>269</v>
      </c>
      <c r="AI79" s="628" t="s">
        <v>271</v>
      </c>
      <c r="AJ79" s="631">
        <f t="shared" si="16"/>
        <v>13.645002001915914</v>
      </c>
      <c r="AK79" s="632">
        <f t="shared" si="17"/>
        <v>12.032941115255468</v>
      </c>
      <c r="AL79" s="633"/>
      <c r="AM79" s="629" t="s">
        <v>232</v>
      </c>
    </row>
    <row r="80" spans="6:39" ht="17.399999999999999" thickBot="1" x14ac:dyDescent="0.4">
      <c r="T80" s="522" t="s">
        <v>218</v>
      </c>
      <c r="U80" s="524"/>
      <c r="V80" s="686" t="s">
        <v>239</v>
      </c>
      <c r="W80" s="687"/>
      <c r="X80" s="688"/>
      <c r="Y80" s="542"/>
      <c r="AA80" s="522" t="s">
        <v>218</v>
      </c>
      <c r="AB80" s="524"/>
      <c r="AC80" s="686" t="s">
        <v>239</v>
      </c>
      <c r="AD80" s="687"/>
      <c r="AE80" s="688"/>
      <c r="AF80" s="542"/>
      <c r="AH80" s="522" t="s">
        <v>218</v>
      </c>
      <c r="AI80" s="524"/>
      <c r="AJ80" s="686" t="s">
        <v>239</v>
      </c>
      <c r="AK80" s="687"/>
      <c r="AL80" s="688"/>
      <c r="AM80" s="542"/>
    </row>
    <row r="81" spans="6:39" ht="17.399999999999999" thickBot="1" x14ac:dyDescent="0.4">
      <c r="T81" s="523" t="s">
        <v>219</v>
      </c>
      <c r="U81" s="525" t="s">
        <v>220</v>
      </c>
      <c r="V81" s="704">
        <v>118.15</v>
      </c>
      <c r="W81" s="705"/>
      <c r="X81" s="706"/>
      <c r="Y81" s="543" t="s">
        <v>233</v>
      </c>
      <c r="AA81" s="523" t="s">
        <v>219</v>
      </c>
      <c r="AB81" s="628" t="s">
        <v>220</v>
      </c>
      <c r="AC81" s="689">
        <f t="shared" ref="AC81:AC82" si="18">V81*$AC$68</f>
        <v>94.52000000000001</v>
      </c>
      <c r="AD81" s="690">
        <f t="shared" ref="AD81:AD82" si="19">W81*$AC$68</f>
        <v>0</v>
      </c>
      <c r="AE81" s="691">
        <f t="shared" ref="AE81:AE82" si="20">X81*$AC$68</f>
        <v>0</v>
      </c>
      <c r="AF81" s="629" t="s">
        <v>233</v>
      </c>
      <c r="AH81" s="523" t="s">
        <v>219</v>
      </c>
      <c r="AI81" s="628" t="s">
        <v>220</v>
      </c>
      <c r="AJ81" s="689">
        <f t="shared" ref="AJ81:AJ82" si="21">V81*$AJ$68</f>
        <v>59.075000000000003</v>
      </c>
      <c r="AK81" s="690">
        <f t="shared" ref="AK81:AK82" si="22">W81*$AJ$68</f>
        <v>0</v>
      </c>
      <c r="AL81" s="691">
        <f t="shared" ref="AL81:AL82" si="23">X81*$AJ$68</f>
        <v>0</v>
      </c>
      <c r="AM81" s="629" t="s">
        <v>233</v>
      </c>
    </row>
    <row r="82" spans="6:39" ht="17.399999999999999" thickBot="1" x14ac:dyDescent="0.4">
      <c r="F82" s="670" t="s">
        <v>310</v>
      </c>
      <c r="T82" s="523" t="s">
        <v>150</v>
      </c>
      <c r="U82" s="628" t="s">
        <v>221</v>
      </c>
      <c r="V82" s="689">
        <f xml:space="preserve"> ( $K$60 * $G$67 + $K$63 * $G$68 )</f>
        <v>55.289173307356236</v>
      </c>
      <c r="W82" s="690"/>
      <c r="X82" s="691"/>
      <c r="Y82" s="629" t="s">
        <v>231</v>
      </c>
      <c r="AA82" s="523" t="s">
        <v>150</v>
      </c>
      <c r="AB82" s="628" t="s">
        <v>221</v>
      </c>
      <c r="AC82" s="689">
        <f t="shared" si="18"/>
        <v>44.231338645884989</v>
      </c>
      <c r="AD82" s="690">
        <f t="shared" si="19"/>
        <v>0</v>
      </c>
      <c r="AE82" s="691">
        <f t="shared" si="20"/>
        <v>0</v>
      </c>
      <c r="AF82" s="629" t="s">
        <v>231</v>
      </c>
      <c r="AH82" s="523" t="s">
        <v>150</v>
      </c>
      <c r="AI82" s="525" t="s">
        <v>221</v>
      </c>
      <c r="AJ82" s="692">
        <f t="shared" si="21"/>
        <v>27.644586653678118</v>
      </c>
      <c r="AK82" s="693">
        <f t="shared" si="22"/>
        <v>0</v>
      </c>
      <c r="AL82" s="694">
        <f t="shared" si="23"/>
        <v>0</v>
      </c>
      <c r="AM82" s="543" t="s">
        <v>231</v>
      </c>
    </row>
    <row r="83" spans="6:39" ht="17.399999999999999" thickBot="1" x14ac:dyDescent="0.4">
      <c r="F83" s="671" t="s">
        <v>4</v>
      </c>
      <c r="G83" s="672">
        <v>65.584101186303087</v>
      </c>
      <c r="H83" s="673">
        <v>71.285091842664059</v>
      </c>
      <c r="I83" s="673">
        <v>59.486101713767688</v>
      </c>
      <c r="J83" s="673">
        <v>64.657015150397257</v>
      </c>
      <c r="K83" s="674">
        <v>53.760783033611403</v>
      </c>
      <c r="L83" s="674">
        <v>44.801345134974966</v>
      </c>
      <c r="M83" s="675">
        <v>72.241072879461896</v>
      </c>
      <c r="N83" s="674">
        <v>26.204279282206606</v>
      </c>
      <c r="O83" s="676">
        <v>20.024543942463556</v>
      </c>
      <c r="T83" s="695" t="s">
        <v>222</v>
      </c>
      <c r="U83" s="695"/>
      <c r="V83" s="528"/>
      <c r="W83" s="529" t="s">
        <v>230</v>
      </c>
      <c r="X83" s="565"/>
      <c r="Y83" s="541"/>
      <c r="AA83" s="695" t="s">
        <v>222</v>
      </c>
      <c r="AB83" s="695"/>
      <c r="AC83" s="528"/>
      <c r="AD83" s="529" t="s">
        <v>230</v>
      </c>
      <c r="AE83" s="565"/>
      <c r="AF83" s="541"/>
      <c r="AH83" s="695" t="s">
        <v>222</v>
      </c>
      <c r="AI83" s="695"/>
      <c r="AJ83" s="528"/>
      <c r="AK83" s="529" t="s">
        <v>230</v>
      </c>
      <c r="AL83" s="565"/>
      <c r="AM83" s="541"/>
    </row>
    <row r="84" spans="6:39" ht="17.399999999999999" thickBot="1" x14ac:dyDescent="0.4">
      <c r="F84" s="671" t="s">
        <v>14</v>
      </c>
      <c r="G84" s="672">
        <v>63.084476784903693</v>
      </c>
      <c r="H84" s="672">
        <v>67.283720459381286</v>
      </c>
      <c r="I84" s="672">
        <v>57.218891998329617</v>
      </c>
      <c r="J84" s="672">
        <v>61.027690652614432</v>
      </c>
      <c r="K84" s="677"/>
      <c r="L84" s="675">
        <v>41.695057651072439</v>
      </c>
      <c r="M84" s="675">
        <v>67.153359514495037</v>
      </c>
      <c r="N84" s="675">
        <v>24.065882230510937</v>
      </c>
      <c r="O84" s="676">
        <v>20.01799199908902</v>
      </c>
      <c r="T84" s="522" t="s">
        <v>211</v>
      </c>
      <c r="U84" s="524"/>
      <c r="V84" s="551"/>
      <c r="W84" s="552"/>
      <c r="X84" s="564"/>
      <c r="Y84" s="542"/>
      <c r="AA84" s="522" t="s">
        <v>211</v>
      </c>
      <c r="AB84" s="524"/>
      <c r="AC84" s="551"/>
      <c r="AD84" s="552"/>
      <c r="AE84" s="564"/>
      <c r="AF84" s="542"/>
      <c r="AH84" s="522" t="s">
        <v>211</v>
      </c>
      <c r="AI84" s="524"/>
      <c r="AJ84" s="551"/>
      <c r="AK84" s="552"/>
      <c r="AL84" s="564"/>
      <c r="AM84" s="542"/>
    </row>
    <row r="85" spans="6:39" ht="17.399999999999999" thickBot="1" x14ac:dyDescent="0.4">
      <c r="F85" s="671" t="s">
        <v>15</v>
      </c>
      <c r="G85" s="677"/>
      <c r="H85" s="672">
        <v>78.406537046088275</v>
      </c>
      <c r="I85" s="677"/>
      <c r="J85" s="678">
        <v>71.121611017062719</v>
      </c>
      <c r="K85" s="677"/>
      <c r="L85" s="677"/>
      <c r="M85" s="677"/>
      <c r="N85" s="677"/>
      <c r="O85" s="677"/>
      <c r="T85" s="523" t="s">
        <v>134</v>
      </c>
      <c r="U85" s="525" t="s">
        <v>212</v>
      </c>
      <c r="V85" s="550"/>
      <c r="W85" s="570">
        <f xml:space="preserve"> G$64</f>
        <v>58.453467820624716</v>
      </c>
      <c r="X85" s="553"/>
      <c r="Y85" s="543" t="s">
        <v>231</v>
      </c>
      <c r="AA85" s="523" t="s">
        <v>134</v>
      </c>
      <c r="AB85" s="525" t="s">
        <v>212</v>
      </c>
      <c r="AC85" s="550"/>
      <c r="AD85" s="570">
        <f>W85*$AC$68</f>
        <v>46.762774256499775</v>
      </c>
      <c r="AE85" s="553"/>
      <c r="AF85" s="543" t="s">
        <v>231</v>
      </c>
      <c r="AH85" s="523" t="s">
        <v>134</v>
      </c>
      <c r="AI85" s="525" t="s">
        <v>212</v>
      </c>
      <c r="AJ85" s="550"/>
      <c r="AK85" s="570">
        <f>W85*$AJ$68</f>
        <v>29.226733910312358</v>
      </c>
      <c r="AL85" s="553"/>
      <c r="AM85" s="543" t="s">
        <v>231</v>
      </c>
    </row>
    <row r="86" spans="6:39" ht="17.399999999999999" thickBot="1" x14ac:dyDescent="0.4">
      <c r="F86" s="671" t="s">
        <v>16</v>
      </c>
      <c r="G86" s="679">
        <v>73.261385754298573</v>
      </c>
      <c r="H86" s="679">
        <v>85.387482917070415</v>
      </c>
      <c r="I86" s="679">
        <v>66.599907468151585</v>
      </c>
      <c r="J86" s="679">
        <v>77.623408329832117</v>
      </c>
      <c r="K86" s="680">
        <v>57.528639014359094</v>
      </c>
      <c r="L86" s="681">
        <v>48.1549361841276</v>
      </c>
      <c r="M86" s="681">
        <v>78.069901539255497</v>
      </c>
      <c r="N86" s="681">
        <v>28.891913419215914</v>
      </c>
      <c r="O86" s="682">
        <v>25.238822783734914</v>
      </c>
      <c r="T86" s="523" t="s">
        <v>223</v>
      </c>
      <c r="U86" s="576" t="s">
        <v>213</v>
      </c>
      <c r="V86" s="550"/>
      <c r="W86" s="549"/>
      <c r="X86" s="553"/>
      <c r="Y86" s="577" t="s">
        <v>231</v>
      </c>
      <c r="AA86" s="523" t="s">
        <v>223</v>
      </c>
      <c r="AB86" s="576" t="s">
        <v>213</v>
      </c>
      <c r="AC86" s="550"/>
      <c r="AD86" s="549"/>
      <c r="AE86" s="553"/>
      <c r="AF86" s="577" t="s">
        <v>231</v>
      </c>
      <c r="AH86" s="523" t="s">
        <v>223</v>
      </c>
      <c r="AI86" s="576" t="s">
        <v>213</v>
      </c>
      <c r="AJ86" s="550"/>
      <c r="AK86" s="549"/>
      <c r="AL86" s="553"/>
      <c r="AM86" s="577" t="s">
        <v>231</v>
      </c>
    </row>
    <row r="87" spans="6:39" ht="17.399999999999999" thickBot="1" x14ac:dyDescent="0.4">
      <c r="F87" s="671" t="s">
        <v>17</v>
      </c>
      <c r="G87" s="672">
        <v>58.453467820624716</v>
      </c>
      <c r="H87" s="677"/>
      <c r="I87" s="672">
        <v>52.870674717190987</v>
      </c>
      <c r="J87" s="677"/>
      <c r="K87" s="683">
        <v>53.298668991371244</v>
      </c>
      <c r="L87" s="681">
        <v>41.142484185214393</v>
      </c>
      <c r="M87" s="681">
        <v>64.190073130208248</v>
      </c>
      <c r="N87" s="675">
        <v>21.76631400963354</v>
      </c>
      <c r="O87" s="676">
        <v>20.083591333199621</v>
      </c>
      <c r="T87" s="523" t="s">
        <v>259</v>
      </c>
      <c r="U87" s="525" t="s">
        <v>257</v>
      </c>
      <c r="V87" s="550"/>
      <c r="W87" s="570">
        <f xml:space="preserve"> I$64</f>
        <v>52.870674717190987</v>
      </c>
      <c r="X87" s="553"/>
      <c r="Y87" s="543" t="s">
        <v>231</v>
      </c>
      <c r="AA87" s="523" t="s">
        <v>259</v>
      </c>
      <c r="AB87" s="525" t="s">
        <v>257</v>
      </c>
      <c r="AC87" s="550"/>
      <c r="AD87" s="570">
        <f>W87*$AC$68</f>
        <v>42.296539773752791</v>
      </c>
      <c r="AE87" s="553"/>
      <c r="AF87" s="543" t="s">
        <v>231</v>
      </c>
      <c r="AH87" s="523" t="s">
        <v>259</v>
      </c>
      <c r="AI87" s="525" t="s">
        <v>257</v>
      </c>
      <c r="AJ87" s="550"/>
      <c r="AK87" s="570">
        <f>W87*$AJ$68</f>
        <v>26.435337358595493</v>
      </c>
      <c r="AL87" s="553"/>
      <c r="AM87" s="543" t="s">
        <v>231</v>
      </c>
    </row>
    <row r="88" spans="6:39" ht="17.399999999999999" thickBot="1" x14ac:dyDescent="0.4">
      <c r="T88" s="523" t="s">
        <v>261</v>
      </c>
      <c r="U88" s="628" t="s">
        <v>258</v>
      </c>
      <c r="V88" s="550"/>
      <c r="W88" s="549"/>
      <c r="X88" s="553"/>
      <c r="Y88" s="577" t="str">
        <f>Y87</f>
        <v>per uur</v>
      </c>
      <c r="AA88" s="523" t="s">
        <v>261</v>
      </c>
      <c r="AB88" s="576" t="s">
        <v>258</v>
      </c>
      <c r="AC88" s="550"/>
      <c r="AD88" s="549"/>
      <c r="AE88" s="553"/>
      <c r="AF88" s="577" t="str">
        <f>AF87</f>
        <v>per uur</v>
      </c>
      <c r="AH88" s="523" t="s">
        <v>261</v>
      </c>
      <c r="AI88" s="576" t="s">
        <v>258</v>
      </c>
      <c r="AJ88" s="550"/>
      <c r="AK88" s="549">
        <f>W88*$AJ$68</f>
        <v>0</v>
      </c>
      <c r="AL88" s="553"/>
      <c r="AM88" s="577" t="str">
        <f>AM87</f>
        <v>per uur</v>
      </c>
    </row>
    <row r="89" spans="6:39" ht="17.399999999999999" thickBot="1" x14ac:dyDescent="0.4">
      <c r="T89" s="588" t="s">
        <v>129</v>
      </c>
      <c r="U89" s="579"/>
      <c r="V89" s="530"/>
      <c r="W89" s="531"/>
      <c r="X89" s="532"/>
      <c r="Y89" s="542"/>
      <c r="AA89" s="588" t="s">
        <v>129</v>
      </c>
      <c r="AB89" s="593"/>
      <c r="AC89" s="531"/>
      <c r="AD89" s="531"/>
      <c r="AE89" s="532"/>
      <c r="AF89" s="542"/>
      <c r="AH89" s="522" t="s">
        <v>129</v>
      </c>
      <c r="AI89" s="524"/>
      <c r="AJ89" s="530"/>
      <c r="AK89" s="531"/>
      <c r="AL89" s="532"/>
      <c r="AM89" s="542"/>
    </row>
    <row r="90" spans="6:39" ht="17.399999999999999" thickBot="1" x14ac:dyDescent="0.4">
      <c r="T90" s="589" t="s">
        <v>161</v>
      </c>
      <c r="U90" s="587" t="s">
        <v>214</v>
      </c>
      <c r="V90" s="550"/>
      <c r="W90" s="570">
        <f>L64</f>
        <v>43.402475819138488</v>
      </c>
      <c r="X90" s="553"/>
      <c r="Y90" s="543" t="s">
        <v>232</v>
      </c>
      <c r="AA90" s="589" t="s">
        <v>161</v>
      </c>
      <c r="AB90" s="594" t="s">
        <v>214</v>
      </c>
      <c r="AC90" s="549"/>
      <c r="AD90" s="570">
        <f t="shared" ref="AD90:AD92" si="24">W90*$AC$68</f>
        <v>34.721980655310794</v>
      </c>
      <c r="AE90" s="553"/>
      <c r="AF90" s="543" t="s">
        <v>232</v>
      </c>
      <c r="AH90" s="523" t="s">
        <v>161</v>
      </c>
      <c r="AI90" s="628" t="s">
        <v>214</v>
      </c>
      <c r="AJ90" s="634"/>
      <c r="AK90" s="632">
        <f t="shared" ref="AK90:AK92" si="25">W90*$AJ$68</f>
        <v>21.701237909569244</v>
      </c>
      <c r="AL90" s="633"/>
      <c r="AM90" s="629" t="s">
        <v>232</v>
      </c>
    </row>
    <row r="91" spans="6:39" ht="17.399999999999999" thickBot="1" x14ac:dyDescent="0.4">
      <c r="T91" s="523" t="s">
        <v>162</v>
      </c>
      <c r="U91" s="525" t="s">
        <v>215</v>
      </c>
      <c r="V91" s="550"/>
      <c r="W91" s="570">
        <f xml:space="preserve"> M$64</f>
        <v>64.868615407026155</v>
      </c>
      <c r="X91" s="553"/>
      <c r="Y91" s="543" t="s">
        <v>232</v>
      </c>
      <c r="AA91" s="523" t="s">
        <v>162</v>
      </c>
      <c r="AB91" s="590" t="s">
        <v>215</v>
      </c>
      <c r="AC91" s="550"/>
      <c r="AD91" s="570">
        <f t="shared" si="24"/>
        <v>51.89489232562093</v>
      </c>
      <c r="AE91" s="553"/>
      <c r="AF91" s="543" t="s">
        <v>232</v>
      </c>
      <c r="AH91" s="523" t="s">
        <v>162</v>
      </c>
      <c r="AI91" s="628" t="s">
        <v>215</v>
      </c>
      <c r="AJ91" s="634"/>
      <c r="AK91" s="632">
        <f t="shared" si="25"/>
        <v>32.434307703513078</v>
      </c>
      <c r="AL91" s="633"/>
      <c r="AM91" s="629" t="s">
        <v>232</v>
      </c>
    </row>
    <row r="92" spans="6:39" ht="17.399999999999999" thickBot="1" x14ac:dyDescent="0.4">
      <c r="T92" s="523" t="s">
        <v>270</v>
      </c>
      <c r="U92" s="525" t="s">
        <v>260</v>
      </c>
      <c r="V92" s="550"/>
      <c r="W92" s="570">
        <f xml:space="preserve"> N$64</f>
        <v>21.76631400963354</v>
      </c>
      <c r="X92" s="553"/>
      <c r="Y92" s="543" t="s">
        <v>232</v>
      </c>
      <c r="AA92" s="523" t="s">
        <v>270</v>
      </c>
      <c r="AB92" s="525" t="s">
        <v>260</v>
      </c>
      <c r="AC92" s="550"/>
      <c r="AD92" s="570">
        <f t="shared" si="24"/>
        <v>17.413051207706832</v>
      </c>
      <c r="AE92" s="553"/>
      <c r="AF92" s="543" t="s">
        <v>232</v>
      </c>
      <c r="AH92" s="523" t="s">
        <v>270</v>
      </c>
      <c r="AI92" s="628" t="s">
        <v>260</v>
      </c>
      <c r="AJ92" s="634"/>
      <c r="AK92" s="632">
        <f t="shared" si="25"/>
        <v>10.88315700481677</v>
      </c>
      <c r="AL92" s="633"/>
      <c r="AM92" s="629" t="s">
        <v>232</v>
      </c>
    </row>
    <row r="93" spans="6:39" ht="17.399999999999999" thickBot="1" x14ac:dyDescent="0.4">
      <c r="T93" s="522" t="s">
        <v>218</v>
      </c>
      <c r="U93" s="524"/>
      <c r="V93" s="696" t="s">
        <v>240</v>
      </c>
      <c r="W93" s="697"/>
      <c r="X93" s="688"/>
      <c r="Y93" s="542"/>
      <c r="AA93" s="522" t="s">
        <v>218</v>
      </c>
      <c r="AB93" s="524"/>
      <c r="AC93" s="696" t="s">
        <v>240</v>
      </c>
      <c r="AD93" s="697"/>
      <c r="AE93" s="688"/>
      <c r="AF93" s="542"/>
      <c r="AH93" s="522" t="s">
        <v>218</v>
      </c>
      <c r="AI93" s="524"/>
      <c r="AJ93" s="696" t="s">
        <v>240</v>
      </c>
      <c r="AK93" s="697"/>
      <c r="AL93" s="688"/>
      <c r="AM93" s="542"/>
    </row>
    <row r="94" spans="6:39" ht="17.399999999999999" thickBot="1" x14ac:dyDescent="0.4">
      <c r="T94" s="523" t="s">
        <v>225</v>
      </c>
      <c r="U94" s="525" t="s">
        <v>220</v>
      </c>
      <c r="V94" s="704">
        <v>118.15</v>
      </c>
      <c r="W94" s="705"/>
      <c r="X94" s="706"/>
      <c r="Y94" s="543" t="s">
        <v>233</v>
      </c>
      <c r="AA94" s="523" t="s">
        <v>225</v>
      </c>
      <c r="AB94" s="628" t="s">
        <v>220</v>
      </c>
      <c r="AC94" s="689">
        <f t="shared" ref="AC94:AE94" si="26">V94*$AC$68</f>
        <v>94.52000000000001</v>
      </c>
      <c r="AD94" s="690">
        <f t="shared" si="26"/>
        <v>0</v>
      </c>
      <c r="AE94" s="691">
        <f t="shared" si="26"/>
        <v>0</v>
      </c>
      <c r="AF94" s="629" t="s">
        <v>233</v>
      </c>
      <c r="AH94" s="523" t="s">
        <v>225</v>
      </c>
      <c r="AI94" s="628" t="s">
        <v>220</v>
      </c>
      <c r="AJ94" s="689">
        <f t="shared" ref="AJ94:AJ95" si="27">V94*$AJ$68</f>
        <v>59.075000000000003</v>
      </c>
      <c r="AK94" s="690">
        <f t="shared" ref="AK94:AK95" si="28">W94*$AJ$68</f>
        <v>0</v>
      </c>
      <c r="AL94" s="691">
        <f t="shared" ref="AL94:AL95" si="29">X94*$AJ$68</f>
        <v>0</v>
      </c>
      <c r="AM94" s="629" t="s">
        <v>233</v>
      </c>
    </row>
    <row r="95" spans="6:39" ht="17.399999999999999" thickBot="1" x14ac:dyDescent="0.4">
      <c r="T95" s="523" t="s">
        <v>151</v>
      </c>
      <c r="U95" s="628" t="s">
        <v>221</v>
      </c>
      <c r="V95" s="689">
        <f xml:space="preserve"> K$64</f>
        <v>53.298668991371244</v>
      </c>
      <c r="W95" s="690"/>
      <c r="X95" s="691"/>
      <c r="Y95" s="629" t="s">
        <v>231</v>
      </c>
      <c r="AA95" s="523" t="s">
        <v>151</v>
      </c>
      <c r="AB95" s="628" t="s">
        <v>221</v>
      </c>
      <c r="AC95" s="689">
        <f t="shared" ref="AC95:AE95" si="30">V95*$AC$68</f>
        <v>42.638935193096998</v>
      </c>
      <c r="AD95" s="690">
        <f t="shared" si="30"/>
        <v>0</v>
      </c>
      <c r="AE95" s="691">
        <f t="shared" si="30"/>
        <v>0</v>
      </c>
      <c r="AF95" s="629" t="s">
        <v>231</v>
      </c>
      <c r="AH95" s="523" t="s">
        <v>151</v>
      </c>
      <c r="AI95" s="525" t="s">
        <v>221</v>
      </c>
      <c r="AJ95" s="692">
        <f t="shared" si="27"/>
        <v>26.649334495685622</v>
      </c>
      <c r="AK95" s="693">
        <f t="shared" si="28"/>
        <v>0</v>
      </c>
      <c r="AL95" s="694">
        <f t="shared" si="29"/>
        <v>0</v>
      </c>
      <c r="AM95" s="543" t="s">
        <v>231</v>
      </c>
    </row>
    <row r="96" spans="6:39" ht="17.399999999999999" thickBot="1" x14ac:dyDescent="0.4">
      <c r="T96" s="698" t="s">
        <v>226</v>
      </c>
      <c r="U96" s="698"/>
      <c r="V96" s="699" t="s">
        <v>241</v>
      </c>
      <c r="W96" s="700"/>
      <c r="X96" s="701"/>
      <c r="Y96" s="541" t="s">
        <v>227</v>
      </c>
      <c r="AA96" s="698" t="s">
        <v>226</v>
      </c>
      <c r="AB96" s="698"/>
      <c r="AC96" s="699" t="s">
        <v>241</v>
      </c>
      <c r="AD96" s="700"/>
      <c r="AE96" s="701"/>
      <c r="AF96" s="541" t="s">
        <v>227</v>
      </c>
      <c r="AH96" s="698" t="s">
        <v>226</v>
      </c>
      <c r="AI96" s="698"/>
      <c r="AJ96" s="699" t="s">
        <v>241</v>
      </c>
      <c r="AK96" s="700"/>
      <c r="AL96" s="701"/>
      <c r="AM96" s="541" t="s">
        <v>227</v>
      </c>
    </row>
    <row r="97" spans="20:39" ht="17.399999999999999" thickBot="1" x14ac:dyDescent="0.4">
      <c r="T97" s="521" t="s">
        <v>164</v>
      </c>
      <c r="U97" s="526" t="s">
        <v>128</v>
      </c>
      <c r="V97" s="709">
        <f xml:space="preserve"> O60 * O67 + O61 * O68 + O63 * O69 + O64 * O70</f>
        <v>20.587782456830045</v>
      </c>
      <c r="W97" s="710"/>
      <c r="X97" s="711"/>
      <c r="Y97" s="543" t="s">
        <v>232</v>
      </c>
      <c r="AA97" s="521" t="s">
        <v>164</v>
      </c>
      <c r="AB97" s="630" t="s">
        <v>128</v>
      </c>
      <c r="AC97" s="689">
        <f t="shared" ref="AC97:AE97" si="31">V97*$AC$68</f>
        <v>16.470225965464035</v>
      </c>
      <c r="AD97" s="690">
        <f t="shared" si="31"/>
        <v>0</v>
      </c>
      <c r="AE97" s="691">
        <f t="shared" si="31"/>
        <v>0</v>
      </c>
      <c r="AF97" s="629" t="s">
        <v>232</v>
      </c>
      <c r="AH97" s="521" t="s">
        <v>164</v>
      </c>
      <c r="AI97" s="630" t="s">
        <v>128</v>
      </c>
      <c r="AJ97" s="689">
        <f t="shared" ref="AJ97:AL97" si="32">V97*$AJ$68</f>
        <v>10.293891228415022</v>
      </c>
      <c r="AK97" s="690">
        <f t="shared" si="32"/>
        <v>0</v>
      </c>
      <c r="AL97" s="691">
        <f t="shared" si="32"/>
        <v>0</v>
      </c>
      <c r="AM97" s="629" t="s">
        <v>232</v>
      </c>
    </row>
    <row r="98" spans="20:39" ht="15.6" thickBot="1" x14ac:dyDescent="0.4"/>
    <row r="99" spans="20:39" ht="34.200000000000003" customHeight="1" thickBot="1" x14ac:dyDescent="0.4">
      <c r="T99" s="712" t="s">
        <v>235</v>
      </c>
      <c r="U99" s="713"/>
      <c r="V99" s="555" t="s">
        <v>238</v>
      </c>
      <c r="W99" s="544" t="s">
        <v>236</v>
      </c>
      <c r="X99" s="566" t="s">
        <v>237</v>
      </c>
      <c r="Y99" s="541" t="s">
        <v>227</v>
      </c>
      <c r="AF99" s="213"/>
      <c r="AM99" s="213"/>
    </row>
    <row r="100" spans="20:39" ht="17.399999999999999" thickBot="1" x14ac:dyDescent="0.4">
      <c r="T100" s="523" t="s">
        <v>216</v>
      </c>
      <c r="U100" s="525" t="s">
        <v>217</v>
      </c>
      <c r="V100" s="714">
        <v>26.89</v>
      </c>
      <c r="W100" s="716">
        <v>14.34</v>
      </c>
      <c r="X100" s="718">
        <v>9.86</v>
      </c>
      <c r="Y100" s="707" t="s">
        <v>234</v>
      </c>
      <c r="AF100" s="213"/>
      <c r="AM100" s="213"/>
    </row>
    <row r="101" spans="20:39" ht="17.399999999999999" thickBot="1" x14ac:dyDescent="0.4">
      <c r="T101" s="523" t="s">
        <v>224</v>
      </c>
      <c r="U101" s="525" t="s">
        <v>217</v>
      </c>
      <c r="V101" s="715"/>
      <c r="W101" s="717"/>
      <c r="X101" s="719"/>
      <c r="Y101" s="708"/>
      <c r="AF101" s="213"/>
      <c r="AM101" s="213"/>
    </row>
    <row r="102" spans="20:39" x14ac:dyDescent="0.35">
      <c r="AF102" s="213"/>
      <c r="AM102" s="213"/>
    </row>
    <row r="105" spans="20:39" x14ac:dyDescent="0.35">
      <c r="V105" s="380"/>
      <c r="W105" s="212"/>
    </row>
    <row r="106" spans="20:39" x14ac:dyDescent="0.35">
      <c r="U106" s="640" t="s">
        <v>272</v>
      </c>
      <c r="V106" s="640" t="s">
        <v>290</v>
      </c>
      <c r="W106" s="640" t="s">
        <v>290</v>
      </c>
      <c r="X106" s="640" t="s">
        <v>290</v>
      </c>
    </row>
    <row r="107" spans="20:39" x14ac:dyDescent="0.35">
      <c r="U107" s="638" t="s">
        <v>273</v>
      </c>
      <c r="V107" s="644" t="s">
        <v>291</v>
      </c>
      <c r="W107" s="644" t="s">
        <v>292</v>
      </c>
      <c r="X107" s="644" t="s">
        <v>293</v>
      </c>
    </row>
    <row r="108" spans="20:39" x14ac:dyDescent="0.35">
      <c r="U108" s="639" t="s">
        <v>274</v>
      </c>
      <c r="V108" s="648" t="e">
        <v>#DIV/0!</v>
      </c>
      <c r="W108" s="648">
        <v>49.843724696356283</v>
      </c>
      <c r="X108" s="647">
        <v>99.687449392712566</v>
      </c>
    </row>
    <row r="109" spans="20:39" x14ac:dyDescent="0.35">
      <c r="U109" s="639" t="s">
        <v>275</v>
      </c>
      <c r="V109" s="648">
        <v>92.105769230769241</v>
      </c>
      <c r="W109" s="648">
        <v>47.23372781065089</v>
      </c>
      <c r="X109" s="647">
        <v>62.4445893089961</v>
      </c>
    </row>
    <row r="110" spans="20:39" x14ac:dyDescent="0.35">
      <c r="U110" s="639" t="s">
        <v>276</v>
      </c>
      <c r="V110" s="648">
        <v>86.020384615384614</v>
      </c>
      <c r="W110" s="648">
        <v>49.866889632107025</v>
      </c>
      <c r="X110" s="647">
        <v>63.13422724064926</v>
      </c>
    </row>
    <row r="111" spans="20:39" x14ac:dyDescent="0.35">
      <c r="U111" s="639" t="s">
        <v>277</v>
      </c>
      <c r="V111" s="648">
        <v>76.212197802197807</v>
      </c>
      <c r="W111" s="648">
        <v>53.887412587412591</v>
      </c>
      <c r="X111" s="647">
        <v>63.134365043240784</v>
      </c>
    </row>
    <row r="112" spans="20:39" x14ac:dyDescent="0.35">
      <c r="U112" s="639" t="s">
        <v>278</v>
      </c>
      <c r="V112" s="648">
        <v>72.288923076923083</v>
      </c>
      <c r="W112" s="648">
        <v>56.03792486583184</v>
      </c>
      <c r="X112" s="647">
        <v>63.134430634867321</v>
      </c>
    </row>
    <row r="113" spans="21:24" x14ac:dyDescent="0.35">
      <c r="U113" s="639" t="s">
        <v>279</v>
      </c>
      <c r="V113" s="648">
        <v>70.176035502958584</v>
      </c>
      <c r="W113" s="648">
        <v>57.376632801161108</v>
      </c>
      <c r="X113" s="647">
        <v>63.134149587436788</v>
      </c>
    </row>
    <row r="114" spans="21:24" x14ac:dyDescent="0.35">
      <c r="U114" s="639" t="s">
        <v>280</v>
      </c>
      <c r="V114" s="648">
        <v>70.828846153846158</v>
      </c>
      <c r="W114" s="648">
        <v>56.947816003092399</v>
      </c>
      <c r="X114" s="647">
        <v>63.13434754660382</v>
      </c>
    </row>
    <row r="115" spans="21:24" x14ac:dyDescent="0.35">
      <c r="U115" s="639" t="s">
        <v>281</v>
      </c>
      <c r="V115" s="648">
        <v>70.868307692307695</v>
      </c>
      <c r="W115" s="648">
        <v>56.922335495829479</v>
      </c>
      <c r="X115" s="647">
        <v>63.134349837245161</v>
      </c>
    </row>
    <row r="116" spans="21:24" x14ac:dyDescent="0.35">
      <c r="U116" s="639" t="s">
        <v>282</v>
      </c>
      <c r="V116" s="646"/>
      <c r="W116" s="639"/>
      <c r="X116" s="645"/>
    </row>
    <row r="118" spans="21:24" x14ac:dyDescent="0.35">
      <c r="U118" s="638" t="s">
        <v>283</v>
      </c>
      <c r="V118" s="642"/>
      <c r="W118" s="642"/>
      <c r="X118" s="642"/>
    </row>
    <row r="119" spans="21:24" x14ac:dyDescent="0.35">
      <c r="U119" s="639" t="s">
        <v>274</v>
      </c>
      <c r="V119" s="648" t="e">
        <v>#DIV/0!</v>
      </c>
      <c r="W119" s="648">
        <v>65.295546558704459</v>
      </c>
      <c r="X119" s="647">
        <v>130.59109311740892</v>
      </c>
    </row>
    <row r="120" spans="21:24" x14ac:dyDescent="0.35">
      <c r="U120" s="639" t="s">
        <v>275</v>
      </c>
      <c r="V120" s="648">
        <v>121.99153846153847</v>
      </c>
      <c r="W120" s="648">
        <v>62.559763313609473</v>
      </c>
      <c r="X120" s="647">
        <v>82.706127770534565</v>
      </c>
    </row>
    <row r="121" spans="21:24" x14ac:dyDescent="0.35">
      <c r="U121" s="639" t="s">
        <v>276</v>
      </c>
      <c r="V121" s="648">
        <v>112.68750000000001</v>
      </c>
      <c r="W121" s="648">
        <v>65.326086956521749</v>
      </c>
      <c r="X121" s="647">
        <v>82.706422018348619</v>
      </c>
    </row>
    <row r="122" spans="21:24" x14ac:dyDescent="0.35">
      <c r="U122" s="639" t="s">
        <v>277</v>
      </c>
      <c r="V122" s="648">
        <v>99.839340659340664</v>
      </c>
      <c r="W122" s="648">
        <v>70.593473193473201</v>
      </c>
      <c r="X122" s="647">
        <v>82.707146108329539</v>
      </c>
    </row>
    <row r="123" spans="21:24" x14ac:dyDescent="0.35">
      <c r="U123" s="639" t="s">
        <v>278</v>
      </c>
      <c r="V123" s="648">
        <v>94.699846153846167</v>
      </c>
      <c r="W123" s="648">
        <v>73.410733452593917</v>
      </c>
      <c r="X123" s="647">
        <v>82.7072892173329</v>
      </c>
    </row>
    <row r="124" spans="21:24" x14ac:dyDescent="0.35">
      <c r="U124" s="639" t="s">
        <v>279</v>
      </c>
      <c r="V124" s="648">
        <v>91.932071005917166</v>
      </c>
      <c r="W124" s="648">
        <v>75.164586357039198</v>
      </c>
      <c r="X124" s="647">
        <v>82.7070535001331</v>
      </c>
    </row>
    <row r="125" spans="21:24" x14ac:dyDescent="0.35">
      <c r="U125" s="639" t="s">
        <v>280</v>
      </c>
      <c r="V125" s="648">
        <v>92.786971153846153</v>
      </c>
      <c r="W125" s="648">
        <v>74.602589872439125</v>
      </c>
      <c r="X125" s="647">
        <v>82.707049496464535</v>
      </c>
    </row>
    <row r="126" spans="21:24" x14ac:dyDescent="0.35">
      <c r="U126" s="639" t="s">
        <v>281</v>
      </c>
      <c r="V126" s="648">
        <v>92.838807692307697</v>
      </c>
      <c r="W126" s="648">
        <v>74.569323447636705</v>
      </c>
      <c r="X126" s="647">
        <v>82.707178345040262</v>
      </c>
    </row>
    <row r="127" spans="21:24" x14ac:dyDescent="0.35">
      <c r="U127" s="639" t="s">
        <v>282</v>
      </c>
      <c r="V127" s="643"/>
      <c r="W127" s="643"/>
      <c r="X127" s="643"/>
    </row>
    <row r="128" spans="21:24" x14ac:dyDescent="0.35">
      <c r="U128" s="637"/>
      <c r="V128" s="637" t="s">
        <v>294</v>
      </c>
      <c r="W128" s="637" t="s">
        <v>294</v>
      </c>
      <c r="X128" s="637" t="s">
        <v>294</v>
      </c>
    </row>
    <row r="129" spans="21:27" x14ac:dyDescent="0.35">
      <c r="U129" s="638" t="s">
        <v>284</v>
      </c>
      <c r="V129" s="642"/>
      <c r="W129" s="642"/>
      <c r="X129" s="642"/>
    </row>
    <row r="130" spans="21:27" x14ac:dyDescent="0.35">
      <c r="U130" s="639" t="s">
        <v>274</v>
      </c>
      <c r="V130" s="646"/>
      <c r="W130" s="639"/>
      <c r="X130" s="647">
        <v>34.980000000000004</v>
      </c>
      <c r="Y130" s="380">
        <f>( W77-X130 ) / X130</f>
        <v>0.19196848630853156</v>
      </c>
      <c r="AA130" s="641">
        <f>X130*70%</f>
        <v>24.486000000000001</v>
      </c>
    </row>
    <row r="131" spans="21:27" x14ac:dyDescent="0.35">
      <c r="U131" s="639" t="s">
        <v>275</v>
      </c>
      <c r="V131" s="646"/>
      <c r="W131" s="639"/>
      <c r="X131" s="647">
        <v>34.97653846153846</v>
      </c>
    </row>
    <row r="132" spans="21:27" x14ac:dyDescent="0.35">
      <c r="U132" s="639" t="s">
        <v>276</v>
      </c>
      <c r="V132" s="646"/>
      <c r="W132" s="639"/>
      <c r="X132" s="647">
        <v>38.864615384615384</v>
      </c>
    </row>
    <row r="133" spans="21:27" x14ac:dyDescent="0.35">
      <c r="U133" s="639" t="s">
        <v>277</v>
      </c>
      <c r="V133" s="646"/>
      <c r="W133" s="639"/>
      <c r="X133" s="647">
        <v>40.807500000000005</v>
      </c>
    </row>
    <row r="134" spans="21:27" x14ac:dyDescent="0.35">
      <c r="U134" s="639" t="s">
        <v>278</v>
      </c>
      <c r="V134" s="646"/>
      <c r="W134" s="639"/>
      <c r="X134" s="647">
        <v>41.974153846153854</v>
      </c>
    </row>
    <row r="135" spans="21:27" x14ac:dyDescent="0.35">
      <c r="U135" s="639" t="s">
        <v>279</v>
      </c>
      <c r="V135" s="646"/>
      <c r="W135" s="639"/>
      <c r="X135" s="647">
        <v>42.751923076923077</v>
      </c>
    </row>
    <row r="136" spans="21:27" x14ac:dyDescent="0.35">
      <c r="U136" s="639" t="s">
        <v>280</v>
      </c>
      <c r="V136" s="646"/>
      <c r="W136" s="639"/>
      <c r="X136" s="647">
        <v>43.306813186813194</v>
      </c>
    </row>
    <row r="137" spans="21:27" x14ac:dyDescent="0.35">
      <c r="U137" s="639" t="s">
        <v>281</v>
      </c>
      <c r="V137" s="646"/>
      <c r="W137" s="639"/>
      <c r="X137" s="647">
        <v>43.722980769230773</v>
      </c>
    </row>
    <row r="138" spans="21:27" x14ac:dyDescent="0.35">
      <c r="U138" s="639" t="s">
        <v>285</v>
      </c>
      <c r="V138" s="643"/>
      <c r="W138" s="643"/>
      <c r="X138" s="647">
        <v>44.046410256410255</v>
      </c>
    </row>
    <row r="139" spans="21:27" x14ac:dyDescent="0.35">
      <c r="U139" s="637"/>
      <c r="V139" s="637"/>
      <c r="W139" s="637"/>
      <c r="X139" s="637"/>
    </row>
    <row r="140" spans="21:27" x14ac:dyDescent="0.35">
      <c r="U140" s="638" t="s">
        <v>286</v>
      </c>
      <c r="V140" s="642"/>
      <c r="W140" s="642"/>
      <c r="X140" s="642"/>
    </row>
    <row r="141" spans="21:27" x14ac:dyDescent="0.35">
      <c r="U141" s="639" t="s">
        <v>274</v>
      </c>
      <c r="V141" s="646"/>
      <c r="W141" s="639"/>
      <c r="X141" s="647">
        <v>54.842307692307699</v>
      </c>
    </row>
    <row r="142" spans="21:27" x14ac:dyDescent="0.35">
      <c r="U142" s="639" t="s">
        <v>275</v>
      </c>
      <c r="V142" s="646"/>
      <c r="W142" s="639"/>
      <c r="X142" s="647">
        <v>54.838846153846156</v>
      </c>
    </row>
    <row r="143" spans="21:27" x14ac:dyDescent="0.35">
      <c r="U143" s="639" t="s">
        <v>276</v>
      </c>
      <c r="V143" s="646"/>
      <c r="W143" s="639"/>
      <c r="X143" s="647">
        <v>60.932307692307695</v>
      </c>
    </row>
    <row r="144" spans="21:27" x14ac:dyDescent="0.35">
      <c r="U144" s="639" t="s">
        <v>277</v>
      </c>
      <c r="V144" s="646"/>
      <c r="W144" s="639"/>
      <c r="X144" s="647">
        <v>63.980769230769234</v>
      </c>
    </row>
    <row r="145" spans="21:24" x14ac:dyDescent="0.35">
      <c r="U145" s="639" t="s">
        <v>278</v>
      </c>
      <c r="V145" s="646"/>
      <c r="W145" s="639"/>
      <c r="X145" s="647">
        <v>65.808461538461543</v>
      </c>
    </row>
    <row r="146" spans="21:24" x14ac:dyDescent="0.35">
      <c r="U146" s="639" t="s">
        <v>279</v>
      </c>
      <c r="V146" s="646"/>
      <c r="W146" s="639"/>
      <c r="X146" s="647">
        <v>67.026153846153846</v>
      </c>
    </row>
    <row r="147" spans="21:24" x14ac:dyDescent="0.35">
      <c r="U147" s="639" t="s">
        <v>280</v>
      </c>
      <c r="V147" s="646"/>
      <c r="W147" s="639"/>
      <c r="X147" s="647">
        <v>67.896923076923073</v>
      </c>
    </row>
    <row r="148" spans="21:24" x14ac:dyDescent="0.35">
      <c r="U148" s="639" t="s">
        <v>281</v>
      </c>
      <c r="V148" s="646"/>
      <c r="W148" s="639"/>
      <c r="X148" s="647">
        <v>68.549423076923091</v>
      </c>
    </row>
    <row r="149" spans="21:24" x14ac:dyDescent="0.35">
      <c r="U149" s="639" t="s">
        <v>285</v>
      </c>
      <c r="V149" s="643"/>
      <c r="W149" s="643"/>
      <c r="X149" s="647">
        <v>69.057692307692307</v>
      </c>
    </row>
    <row r="151" spans="21:24" x14ac:dyDescent="0.35">
      <c r="U151" s="638" t="s">
        <v>287</v>
      </c>
      <c r="V151" s="642"/>
      <c r="W151" s="642"/>
      <c r="X151" s="642"/>
    </row>
    <row r="152" spans="21:24" x14ac:dyDescent="0.35">
      <c r="U152" s="639" t="s">
        <v>274</v>
      </c>
      <c r="V152" s="648" t="e">
        <v>#DIV/0!</v>
      </c>
      <c r="W152" s="648">
        <v>21.8502024291498</v>
      </c>
      <c r="X152" s="647">
        <v>43.700404858299599</v>
      </c>
    </row>
    <row r="153" spans="21:24" x14ac:dyDescent="0.35">
      <c r="U153" s="639" t="s">
        <v>275</v>
      </c>
      <c r="V153" s="648">
        <v>40.824230769230773</v>
      </c>
      <c r="W153" s="648">
        <v>20.935502958579885</v>
      </c>
      <c r="X153" s="647">
        <v>27.677444589309001</v>
      </c>
    </row>
    <row r="154" spans="21:24" x14ac:dyDescent="0.35">
      <c r="U154" s="639" t="s">
        <v>276</v>
      </c>
      <c r="V154" s="648">
        <v>37.710576923076921</v>
      </c>
      <c r="W154" s="648">
        <v>21.861204013377925</v>
      </c>
      <c r="X154" s="647">
        <v>27.677487649964714</v>
      </c>
    </row>
    <row r="155" spans="21:24" x14ac:dyDescent="0.35">
      <c r="U155" s="639" t="s">
        <v>277</v>
      </c>
      <c r="V155" s="648">
        <v>33.410769230769233</v>
      </c>
      <c r="W155" s="648">
        <v>23.623776223776225</v>
      </c>
      <c r="X155" s="647">
        <v>27.677560309512973</v>
      </c>
    </row>
    <row r="156" spans="21:24" x14ac:dyDescent="0.35">
      <c r="U156" s="639" t="s">
        <v>278</v>
      </c>
      <c r="V156" s="648">
        <v>31.690846153846156</v>
      </c>
      <c r="W156" s="648">
        <v>24.566547406082289</v>
      </c>
      <c r="X156" s="647">
        <v>27.677594894188783</v>
      </c>
    </row>
    <row r="157" spans="21:24" x14ac:dyDescent="0.35">
      <c r="U157" s="639" t="s">
        <v>279</v>
      </c>
      <c r="V157" s="648">
        <v>30.764556213017752</v>
      </c>
      <c r="W157" s="648">
        <v>25.153410740203196</v>
      </c>
      <c r="X157" s="647">
        <v>27.677455416555766</v>
      </c>
    </row>
    <row r="158" spans="21:24" x14ac:dyDescent="0.35">
      <c r="U158" s="639" t="s">
        <v>280</v>
      </c>
      <c r="V158" s="648">
        <v>31.050865384615388</v>
      </c>
      <c r="W158" s="648">
        <v>24.965519907228455</v>
      </c>
      <c r="X158" s="647">
        <v>27.677651596314551</v>
      </c>
    </row>
    <row r="159" spans="21:24" x14ac:dyDescent="0.35">
      <c r="U159" s="639" t="s">
        <v>281</v>
      </c>
      <c r="V159" s="648">
        <v>31.068000000000001</v>
      </c>
      <c r="W159" s="648">
        <v>24.954216867469881</v>
      </c>
      <c r="X159" s="647">
        <v>27.67750556792873</v>
      </c>
    </row>
    <row r="161" spans="21:21" x14ac:dyDescent="0.35">
      <c r="U161" s="638" t="s">
        <v>288</v>
      </c>
    </row>
    <row r="162" spans="21:21" x14ac:dyDescent="0.35">
      <c r="U162" s="639" t="s">
        <v>289</v>
      </c>
    </row>
  </sheetData>
  <sheetProtection algorithmName="SHA-512" hashValue="dV3cLEcBsYEmIP3Qt+8NUa37ULR3JtzXRe36xG+MNf7d6XZK3Kj0a1hkY9+UrMEjD2qBLlXelivdDMG4Hrn23A==" saltValue="umCfrR6qWn32qP9fw2lJ2w==" spinCount="100000" sheet="1" objects="1" scenarios="1"/>
  <mergeCells count="37">
    <mergeCell ref="AC97:AE97"/>
    <mergeCell ref="Y100:Y101"/>
    <mergeCell ref="T83:U83"/>
    <mergeCell ref="T96:U96"/>
    <mergeCell ref="V96:X96"/>
    <mergeCell ref="V97:X97"/>
    <mergeCell ref="T99:U99"/>
    <mergeCell ref="V100:V101"/>
    <mergeCell ref="W100:W101"/>
    <mergeCell ref="X100:X101"/>
    <mergeCell ref="V93:X93"/>
    <mergeCell ref="V95:X95"/>
    <mergeCell ref="V94:X94"/>
    <mergeCell ref="AA83:AB83"/>
    <mergeCell ref="AC93:AE93"/>
    <mergeCell ref="AC94:AE94"/>
    <mergeCell ref="AC95:AE95"/>
    <mergeCell ref="AA96:AB96"/>
    <mergeCell ref="AC96:AE96"/>
    <mergeCell ref="F30:P30"/>
    <mergeCell ref="F31:M32"/>
    <mergeCell ref="AC80:AE80"/>
    <mergeCell ref="AC81:AE81"/>
    <mergeCell ref="AC82:AE82"/>
    <mergeCell ref="V80:X80"/>
    <mergeCell ref="V81:X81"/>
    <mergeCell ref="V82:X82"/>
    <mergeCell ref="AJ94:AL94"/>
    <mergeCell ref="AJ95:AL95"/>
    <mergeCell ref="AH96:AI96"/>
    <mergeCell ref="AJ96:AL96"/>
    <mergeCell ref="AJ97:AL97"/>
    <mergeCell ref="AJ80:AL80"/>
    <mergeCell ref="AJ81:AL81"/>
    <mergeCell ref="AJ82:AL82"/>
    <mergeCell ref="AH83:AI83"/>
    <mergeCell ref="AJ93:AL93"/>
  </mergeCells>
  <pageMargins left="0.7" right="0.7" top="0.75" bottom="0.75" header="0.3" footer="0.3"/>
  <pageSetup paperSize="9" orientation="portrait" r:id="rId1"/>
  <ignoredErrors>
    <ignoredError sqref="K15" formulaRange="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547E-9D1B-4947-BA07-668B08959CD6}">
  <sheetPr codeName="Sheet4">
    <tabColor theme="9" tint="0.39997558519241921"/>
  </sheetPr>
  <dimension ref="A1:DQ69"/>
  <sheetViews>
    <sheetView showGridLines="0" zoomScale="73" zoomScaleNormal="115" zoomScaleSheetLayoutView="40" workbookViewId="0">
      <pane xSplit="5" ySplit="9" topLeftCell="CN10" activePane="bottomRight" state="frozen"/>
      <selection pane="topRight" activeCell="F1" sqref="F1"/>
      <selection pane="bottomLeft" activeCell="A10" sqref="A10"/>
      <selection pane="bottomRight" activeCell="CQ26" sqref="CQ26"/>
    </sheetView>
  </sheetViews>
  <sheetFormatPr defaultColWidth="14" defaultRowHeight="14.4" x14ac:dyDescent="0.3"/>
  <cols>
    <col min="1" max="1" width="1.109375" style="62" customWidth="1"/>
    <col min="2" max="2" width="1.109375" style="19" customWidth="1"/>
    <col min="3" max="3" width="1.109375" style="94" customWidth="1"/>
    <col min="4" max="4" width="1.109375" style="65" customWidth="1"/>
    <col min="5" max="5" width="50.6640625" style="43" customWidth="1"/>
    <col min="6" max="6" width="20.6640625" style="43" customWidth="1"/>
    <col min="7" max="11" width="10.77734375" style="43" customWidth="1"/>
    <col min="12" max="12" width="1.6640625" style="43" customWidth="1"/>
    <col min="13" max="17" width="10.77734375" style="43" customWidth="1"/>
    <col min="18" max="18" width="1.6640625" style="43" customWidth="1"/>
    <col min="19" max="23" width="10.77734375" style="43" customWidth="1"/>
    <col min="24" max="24" width="1.6640625" style="43" customWidth="1"/>
    <col min="25" max="29" width="10.77734375" style="43" customWidth="1"/>
    <col min="30" max="30" width="1.6640625" style="43" customWidth="1"/>
    <col min="31" max="35" width="10.77734375" style="43" customWidth="1"/>
    <col min="36" max="36" width="1.6640625" style="43" customWidth="1"/>
    <col min="37" max="41" width="10.77734375" style="43" customWidth="1"/>
    <col min="42" max="42" width="1.6640625" style="43" customWidth="1"/>
    <col min="43" max="47" width="10.77734375" style="43" customWidth="1"/>
    <col min="48" max="48" width="1.6640625" style="43" customWidth="1"/>
    <col min="49" max="53" width="10.77734375" style="43" customWidth="1"/>
    <col min="54" max="54" width="1.5546875" style="43" customWidth="1"/>
    <col min="55" max="59" width="10.77734375" style="43" customWidth="1"/>
    <col min="60" max="60" width="1.6640625" style="43" customWidth="1"/>
    <col min="61" max="65" width="10.77734375" style="43" customWidth="1"/>
    <col min="66" max="66" width="1.6640625" style="43" customWidth="1"/>
    <col min="67" max="71" width="10.77734375" style="43" customWidth="1"/>
    <col min="72" max="72" width="1.6640625" style="43" customWidth="1"/>
    <col min="73" max="77" width="10.77734375" style="43" customWidth="1"/>
    <col min="78" max="78" width="2" style="43" customWidth="1"/>
    <col min="79" max="83" width="10.77734375" style="43" customWidth="1"/>
    <col min="84" max="84" width="2" style="43" customWidth="1"/>
    <col min="85" max="89" width="10.77734375" style="43" customWidth="1"/>
    <col min="90" max="90" width="1.6640625" style="43" customWidth="1"/>
    <col min="91" max="95" width="10.77734375" style="43" customWidth="1"/>
    <col min="96" max="96" width="1.77734375" style="43" customWidth="1"/>
    <col min="97" max="101" width="10.77734375" style="43" customWidth="1"/>
    <col min="102" max="102" width="2" style="43" customWidth="1"/>
    <col min="103" max="107" width="10.77734375" style="43" customWidth="1"/>
    <col min="108" max="108" width="1.6640625" style="43" customWidth="1"/>
    <col min="109" max="113" width="10.77734375" style="43" customWidth="1"/>
    <col min="114" max="114" width="1.5546875" style="43" customWidth="1"/>
    <col min="115" max="119" width="10.77734375" style="43" customWidth="1"/>
    <col min="120" max="120" width="1.5546875" style="43" customWidth="1"/>
    <col min="121" max="16384" width="14" style="43"/>
  </cols>
  <sheetData>
    <row r="1" spans="1:121" ht="25.8" x14ac:dyDescent="0.5">
      <c r="A1" s="71" t="str">
        <f ca="1">RIGHT(CELL("filename",$A$1),LEN(CELL("filename",$A$1))-SEARCH("]",CELL("filename",$A$1)))</f>
        <v>Individuele begeleiding</v>
      </c>
      <c r="DE1" s="388"/>
      <c r="DF1" s="388"/>
      <c r="DG1" s="388"/>
      <c r="DH1" s="388"/>
      <c r="DI1" s="388"/>
      <c r="DO1" s="388"/>
    </row>
    <row r="2" spans="1:121" x14ac:dyDescent="0.3">
      <c r="DE2" s="568"/>
      <c r="DF2" s="388"/>
      <c r="DG2" s="388"/>
      <c r="DH2" s="388"/>
      <c r="DI2" s="388"/>
      <c r="DO2" s="388"/>
    </row>
    <row r="3" spans="1:121" x14ac:dyDescent="0.3">
      <c r="E3" s="122"/>
      <c r="F3" s="122"/>
      <c r="DE3" s="388"/>
      <c r="DF3" s="388"/>
      <c r="DG3" s="388"/>
      <c r="DH3" s="388"/>
      <c r="DI3" s="388"/>
      <c r="DO3" s="388"/>
    </row>
    <row r="4" spans="1:121" s="72" customFormat="1" x14ac:dyDescent="0.3">
      <c r="B4" s="105"/>
      <c r="C4" s="94" t="s">
        <v>33</v>
      </c>
      <c r="D4" s="94"/>
      <c r="E4" s="101"/>
      <c r="F4" s="101" t="s">
        <v>34</v>
      </c>
      <c r="G4" s="503" t="s">
        <v>202</v>
      </c>
      <c r="H4" s="504"/>
      <c r="I4" s="504"/>
      <c r="J4" s="504"/>
      <c r="K4" s="505"/>
      <c r="L4" s="307"/>
      <c r="M4" s="500" t="s">
        <v>203</v>
      </c>
      <c r="N4" s="501"/>
      <c r="O4" s="501"/>
      <c r="P4" s="501"/>
      <c r="Q4" s="502"/>
      <c r="R4" s="306"/>
      <c r="S4" s="503" t="s">
        <v>202</v>
      </c>
      <c r="T4" s="504"/>
      <c r="U4" s="504"/>
      <c r="V4" s="504"/>
      <c r="W4" s="505"/>
      <c r="X4" s="43"/>
      <c r="Y4" s="500" t="s">
        <v>203</v>
      </c>
      <c r="Z4" s="501"/>
      <c r="AA4" s="501"/>
      <c r="AB4" s="501"/>
      <c r="AC4" s="502"/>
      <c r="AD4" s="306"/>
      <c r="AE4" s="500" t="s">
        <v>203</v>
      </c>
      <c r="AF4" s="501"/>
      <c r="AG4" s="501"/>
      <c r="AH4" s="501"/>
      <c r="AI4" s="502"/>
      <c r="AJ4" s="43"/>
      <c r="AK4" s="503" t="s">
        <v>202</v>
      </c>
      <c r="AL4" s="504"/>
      <c r="AM4" s="504"/>
      <c r="AN4" s="504"/>
      <c r="AO4" s="505"/>
      <c r="AP4" s="43"/>
      <c r="AQ4" s="500" t="s">
        <v>203</v>
      </c>
      <c r="AR4" s="501"/>
      <c r="AS4" s="501"/>
      <c r="AT4" s="501"/>
      <c r="AU4" s="502"/>
      <c r="AV4" s="43"/>
      <c r="AW4" s="503" t="s">
        <v>202</v>
      </c>
      <c r="AX4" s="504"/>
      <c r="AY4" s="504"/>
      <c r="AZ4" s="504"/>
      <c r="BA4" s="505"/>
      <c r="BC4" s="510" t="s">
        <v>298</v>
      </c>
      <c r="BD4" s="511"/>
      <c r="BE4" s="511"/>
      <c r="BF4" s="511"/>
      <c r="BG4" s="512"/>
      <c r="BH4" s="307"/>
      <c r="BI4" s="510" t="s">
        <v>298</v>
      </c>
      <c r="BJ4" s="511"/>
      <c r="BK4" s="511"/>
      <c r="BL4" s="511"/>
      <c r="BM4" s="512"/>
      <c r="BN4" s="43"/>
      <c r="BO4" s="510" t="s">
        <v>298</v>
      </c>
      <c r="BP4" s="511"/>
      <c r="BQ4" s="511"/>
      <c r="BR4" s="511"/>
      <c r="BS4" s="512"/>
      <c r="BT4" s="307"/>
      <c r="BU4" s="510" t="s">
        <v>298</v>
      </c>
      <c r="BV4" s="511"/>
      <c r="BW4" s="511"/>
      <c r="BX4" s="511"/>
      <c r="BY4" s="512"/>
      <c r="BZ4" s="307"/>
      <c r="CA4" s="614" t="s">
        <v>299</v>
      </c>
      <c r="CB4" s="615"/>
      <c r="CC4" s="615"/>
      <c r="CD4" s="615"/>
      <c r="CE4" s="616"/>
      <c r="CF4" s="307"/>
      <c r="CG4" s="614" t="s">
        <v>299</v>
      </c>
      <c r="CH4" s="615"/>
      <c r="CI4" s="615"/>
      <c r="CJ4" s="615"/>
      <c r="CK4" s="616"/>
      <c r="CL4" s="307"/>
      <c r="CM4" s="614" t="s">
        <v>299</v>
      </c>
      <c r="CN4" s="615"/>
      <c r="CO4" s="615"/>
      <c r="CP4" s="615"/>
      <c r="CQ4" s="616"/>
      <c r="CR4" s="307"/>
      <c r="CS4" s="614" t="s">
        <v>299</v>
      </c>
      <c r="CT4" s="615"/>
      <c r="CU4" s="615"/>
      <c r="CV4" s="615"/>
      <c r="CW4" s="616"/>
      <c r="CX4" s="307"/>
      <c r="CY4" s="506" t="s">
        <v>204</v>
      </c>
      <c r="CZ4" s="507"/>
      <c r="DA4" s="507"/>
      <c r="DB4" s="507"/>
      <c r="DC4" s="508"/>
      <c r="DD4" s="307"/>
      <c r="DE4" s="506" t="s">
        <v>204</v>
      </c>
      <c r="DF4" s="507"/>
      <c r="DG4" s="507"/>
      <c r="DH4" s="507"/>
      <c r="DI4" s="508"/>
      <c r="DK4" s="506" t="s">
        <v>204</v>
      </c>
      <c r="DL4" s="507"/>
      <c r="DM4" s="507"/>
      <c r="DN4" s="507"/>
      <c r="DO4" s="508"/>
      <c r="DQ4" s="43"/>
    </row>
    <row r="5" spans="1:121" s="8" customFormat="1" x14ac:dyDescent="0.3">
      <c r="A5" s="72"/>
      <c r="B5" s="105"/>
      <c r="C5" s="94"/>
      <c r="D5" s="65"/>
      <c r="E5" s="63"/>
      <c r="F5" s="103"/>
      <c r="G5" s="9"/>
      <c r="H5" s="104"/>
      <c r="I5" s="104"/>
      <c r="J5" s="104"/>
      <c r="K5" s="10"/>
      <c r="L5" s="9"/>
      <c r="M5" s="9"/>
      <c r="N5" s="104"/>
      <c r="O5" s="104"/>
      <c r="P5" s="104"/>
      <c r="Q5" s="10"/>
      <c r="S5" s="9"/>
      <c r="T5" s="104"/>
      <c r="U5" s="104"/>
      <c r="V5" s="104"/>
      <c r="W5" s="10"/>
      <c r="Y5" s="9"/>
      <c r="Z5" s="104"/>
      <c r="AA5" s="104"/>
      <c r="AB5" s="104"/>
      <c r="AC5" s="10"/>
      <c r="AE5" s="9"/>
      <c r="AF5" s="104"/>
      <c r="AG5" s="104"/>
      <c r="AH5" s="104"/>
      <c r="AI5" s="10"/>
      <c r="AJ5" s="9"/>
      <c r="AK5" s="9"/>
      <c r="AL5" s="104"/>
      <c r="AM5" s="104"/>
      <c r="AN5" s="104"/>
      <c r="AO5" s="10"/>
      <c r="AQ5" s="9"/>
      <c r="AR5" s="104"/>
      <c r="AS5" s="104"/>
      <c r="AT5" s="104"/>
      <c r="AU5" s="10"/>
      <c r="AW5" s="9"/>
      <c r="AX5" s="104"/>
      <c r="AY5" s="104"/>
      <c r="AZ5" s="104"/>
      <c r="BA5" s="10"/>
      <c r="BC5" s="9"/>
      <c r="BD5" s="104"/>
      <c r="BE5" s="104"/>
      <c r="BF5" s="104"/>
      <c r="BG5" s="10"/>
      <c r="BH5" s="9"/>
      <c r="BI5" s="9"/>
      <c r="BJ5" s="104"/>
      <c r="BK5" s="104"/>
      <c r="BL5" s="104"/>
      <c r="BM5" s="10"/>
      <c r="BN5" s="9"/>
      <c r="BO5" s="9"/>
      <c r="BP5" s="104"/>
      <c r="BQ5" s="104"/>
      <c r="BR5" s="104"/>
      <c r="BS5" s="10"/>
      <c r="BU5" s="9"/>
      <c r="BV5" s="104"/>
      <c r="BW5" s="104"/>
      <c r="BX5" s="104"/>
      <c r="BY5" s="10"/>
      <c r="CA5" s="9"/>
      <c r="CB5" s="104"/>
      <c r="CC5" s="104"/>
      <c r="CD5" s="104"/>
      <c r="CE5" s="10"/>
      <c r="CF5" s="9"/>
      <c r="CG5" s="9"/>
      <c r="CH5" s="104"/>
      <c r="CI5" s="104"/>
      <c r="CJ5" s="104"/>
      <c r="CK5" s="10"/>
      <c r="CM5" s="9"/>
      <c r="CN5" s="104"/>
      <c r="CO5" s="104"/>
      <c r="CP5" s="104"/>
      <c r="CQ5" s="10"/>
      <c r="CS5" s="9"/>
      <c r="CT5" s="104"/>
      <c r="CU5" s="104"/>
      <c r="CV5" s="104"/>
      <c r="CW5" s="10"/>
      <c r="CY5" s="9"/>
      <c r="CZ5" s="104"/>
      <c r="DA5" s="104"/>
      <c r="DB5" s="104"/>
      <c r="DC5" s="10"/>
      <c r="DD5" s="9"/>
      <c r="DE5" s="389"/>
      <c r="DF5" s="390"/>
      <c r="DG5" s="390"/>
      <c r="DH5" s="390"/>
      <c r="DI5" s="391"/>
      <c r="DK5" s="9"/>
      <c r="DO5" s="391"/>
    </row>
    <row r="6" spans="1:121" s="8" customFormat="1" x14ac:dyDescent="0.3">
      <c r="A6" s="72"/>
      <c r="B6" s="105"/>
      <c r="C6" s="94"/>
      <c r="D6" s="73" t="s">
        <v>35</v>
      </c>
      <c r="E6" s="63"/>
      <c r="F6" s="103"/>
      <c r="G6" s="85"/>
      <c r="H6" s="104"/>
      <c r="I6" s="104"/>
      <c r="J6" s="104"/>
      <c r="K6" s="10"/>
      <c r="M6" s="85"/>
      <c r="N6" s="104"/>
      <c r="O6" s="104"/>
      <c r="P6" s="104"/>
      <c r="Q6" s="10"/>
      <c r="S6" s="85"/>
      <c r="T6" s="104"/>
      <c r="U6" s="104"/>
      <c r="V6" s="104"/>
      <c r="W6" s="10"/>
      <c r="Y6" s="85"/>
      <c r="Z6" s="104"/>
      <c r="AA6" s="104"/>
      <c r="AB6" s="104"/>
      <c r="AC6" s="10"/>
      <c r="AE6" s="85"/>
      <c r="AF6" s="104"/>
      <c r="AG6" s="104"/>
      <c r="AH6" s="104"/>
      <c r="AI6" s="10"/>
      <c r="AJ6" s="9"/>
      <c r="AK6" s="85"/>
      <c r="AL6" s="104"/>
      <c r="AM6" s="104"/>
      <c r="AN6" s="104"/>
      <c r="AO6" s="10"/>
      <c r="AQ6" s="85"/>
      <c r="AR6" s="104"/>
      <c r="AS6" s="104"/>
      <c r="AT6" s="104"/>
      <c r="AU6" s="10"/>
      <c r="AW6" s="85"/>
      <c r="AX6" s="104"/>
      <c r="AY6" s="104"/>
      <c r="AZ6" s="104"/>
      <c r="BA6" s="10"/>
      <c r="BC6" s="85"/>
      <c r="BD6" s="104"/>
      <c r="BE6" s="104"/>
      <c r="BF6" s="104"/>
      <c r="BG6" s="10"/>
      <c r="BI6" s="85"/>
      <c r="BJ6" s="104"/>
      <c r="BK6" s="104"/>
      <c r="BL6" s="104"/>
      <c r="BM6" s="10"/>
      <c r="BN6" s="9"/>
      <c r="BO6" s="85"/>
      <c r="BP6" s="104"/>
      <c r="BQ6" s="104"/>
      <c r="BR6" s="104"/>
      <c r="BS6" s="10"/>
      <c r="BU6" s="85"/>
      <c r="BV6" s="104"/>
      <c r="BW6" s="104"/>
      <c r="BX6" s="104"/>
      <c r="BY6" s="10"/>
      <c r="CA6" s="85"/>
      <c r="CB6" s="104"/>
      <c r="CC6" s="104"/>
      <c r="CD6" s="104"/>
      <c r="CE6" s="10"/>
      <c r="CG6" s="85"/>
      <c r="CH6" s="104"/>
      <c r="CI6" s="104"/>
      <c r="CJ6" s="104"/>
      <c r="CK6" s="10"/>
      <c r="CM6" s="85"/>
      <c r="CN6" s="104"/>
      <c r="CO6" s="104"/>
      <c r="CP6" s="104"/>
      <c r="CQ6" s="10"/>
      <c r="CS6" s="85"/>
      <c r="CT6" s="104"/>
      <c r="CU6" s="104"/>
      <c r="CV6" s="104"/>
      <c r="CW6" s="10"/>
      <c r="CY6" s="85"/>
      <c r="CZ6" s="104"/>
      <c r="DA6" s="104"/>
      <c r="DB6" s="104"/>
      <c r="DC6" s="10"/>
      <c r="DE6" s="392"/>
      <c r="DF6" s="390"/>
      <c r="DG6" s="390"/>
      <c r="DH6" s="390"/>
      <c r="DI6" s="391"/>
      <c r="DK6" s="9"/>
      <c r="DO6" s="391"/>
    </row>
    <row r="7" spans="1:121" s="327" customFormat="1" x14ac:dyDescent="0.3">
      <c r="A7" s="321"/>
      <c r="B7" s="322"/>
      <c r="C7" s="323"/>
      <c r="D7" s="324"/>
      <c r="E7" s="325" t="s">
        <v>130</v>
      </c>
      <c r="F7" s="325" t="s">
        <v>36</v>
      </c>
      <c r="G7" s="332" t="s">
        <v>137</v>
      </c>
      <c r="H7" s="328"/>
      <c r="I7" s="328"/>
      <c r="J7" s="328"/>
      <c r="K7" s="333"/>
      <c r="L7" s="326"/>
      <c r="M7" s="332" t="s">
        <v>137</v>
      </c>
      <c r="N7" s="328"/>
      <c r="O7" s="328"/>
      <c r="P7" s="328"/>
      <c r="Q7" s="333"/>
      <c r="R7" s="326"/>
      <c r="S7" s="332" t="s">
        <v>137</v>
      </c>
      <c r="T7" s="328"/>
      <c r="U7" s="328"/>
      <c r="V7" s="328"/>
      <c r="W7" s="333"/>
      <c r="X7" s="326"/>
      <c r="Y7" s="332" t="s">
        <v>137</v>
      </c>
      <c r="Z7" s="328"/>
      <c r="AA7" s="328"/>
      <c r="AB7" s="328"/>
      <c r="AC7" s="333"/>
      <c r="AD7" s="326"/>
      <c r="AE7" s="332" t="s">
        <v>137</v>
      </c>
      <c r="AF7" s="328"/>
      <c r="AG7" s="328"/>
      <c r="AH7" s="328"/>
      <c r="AI7" s="333"/>
      <c r="AJ7" s="326"/>
      <c r="AK7" s="332" t="s">
        <v>137</v>
      </c>
      <c r="AL7" s="328"/>
      <c r="AM7" s="328"/>
      <c r="AN7" s="328"/>
      <c r="AO7" s="333"/>
      <c r="AP7" s="326"/>
      <c r="AQ7" s="332" t="s">
        <v>137</v>
      </c>
      <c r="AR7" s="328"/>
      <c r="AS7" s="328"/>
      <c r="AT7" s="328"/>
      <c r="AU7" s="333"/>
      <c r="AV7" s="326"/>
      <c r="AW7" s="332" t="s">
        <v>138</v>
      </c>
      <c r="AX7" s="328"/>
      <c r="AY7" s="328"/>
      <c r="AZ7" s="328"/>
      <c r="BA7" s="333"/>
      <c r="BC7" s="332" t="s">
        <v>137</v>
      </c>
      <c r="BD7" s="328"/>
      <c r="BE7" s="328"/>
      <c r="BF7" s="328"/>
      <c r="BG7" s="333"/>
      <c r="BH7" s="326"/>
      <c r="BI7" s="332" t="s">
        <v>137</v>
      </c>
      <c r="BJ7" s="328"/>
      <c r="BK7" s="328"/>
      <c r="BL7" s="328"/>
      <c r="BM7" s="333"/>
      <c r="BN7" s="326"/>
      <c r="BO7" s="332" t="s">
        <v>137</v>
      </c>
      <c r="BP7" s="328"/>
      <c r="BQ7" s="328"/>
      <c r="BR7" s="328"/>
      <c r="BS7" s="333"/>
      <c r="BT7" s="326"/>
      <c r="BU7" s="332" t="s">
        <v>138</v>
      </c>
      <c r="BV7" s="328"/>
      <c r="BW7" s="328"/>
      <c r="BX7" s="328"/>
      <c r="BY7" s="333"/>
      <c r="BZ7" s="326"/>
      <c r="CA7" s="332" t="s">
        <v>137</v>
      </c>
      <c r="CB7" s="328"/>
      <c r="CC7" s="328"/>
      <c r="CD7" s="328"/>
      <c r="CE7" s="333"/>
      <c r="CF7" s="326"/>
      <c r="CG7" s="332" t="s">
        <v>137</v>
      </c>
      <c r="CH7" s="328"/>
      <c r="CI7" s="328"/>
      <c r="CJ7" s="328"/>
      <c r="CK7" s="333"/>
      <c r="CL7" s="326"/>
      <c r="CM7" s="332" t="s">
        <v>137</v>
      </c>
      <c r="CN7" s="328"/>
      <c r="CO7" s="328"/>
      <c r="CP7" s="328"/>
      <c r="CQ7" s="333"/>
      <c r="CR7" s="326"/>
      <c r="CS7" s="332" t="s">
        <v>137</v>
      </c>
      <c r="CT7" s="328"/>
      <c r="CU7" s="328"/>
      <c r="CV7" s="328"/>
      <c r="CW7" s="333"/>
      <c r="CX7" s="326"/>
      <c r="CY7" s="393" t="s">
        <v>137</v>
      </c>
      <c r="CZ7" s="394"/>
      <c r="DA7" s="394"/>
      <c r="DB7" s="394"/>
      <c r="DC7" s="395"/>
      <c r="DD7" s="326"/>
      <c r="DE7" s="393" t="s">
        <v>137</v>
      </c>
      <c r="DF7" s="394"/>
      <c r="DG7" s="394"/>
      <c r="DH7" s="394"/>
      <c r="DI7" s="395"/>
      <c r="DK7" s="332" t="s">
        <v>138</v>
      </c>
      <c r="DL7" s="328"/>
      <c r="DM7" s="328"/>
      <c r="DN7" s="328"/>
      <c r="DO7" s="395"/>
    </row>
    <row r="8" spans="1:121" s="327" customFormat="1" x14ac:dyDescent="0.3">
      <c r="A8" s="321"/>
      <c r="B8" s="322"/>
      <c r="C8" s="323"/>
      <c r="D8" s="324"/>
      <c r="E8" s="325" t="s">
        <v>132</v>
      </c>
      <c r="F8" s="325" t="s">
        <v>36</v>
      </c>
      <c r="G8" s="332" t="s">
        <v>133</v>
      </c>
      <c r="H8" s="328"/>
      <c r="I8" s="328"/>
      <c r="J8" s="328"/>
      <c r="K8" s="333"/>
      <c r="L8" s="326"/>
      <c r="M8" s="332" t="s">
        <v>144</v>
      </c>
      <c r="N8" s="328"/>
      <c r="O8" s="328"/>
      <c r="P8" s="328"/>
      <c r="Q8" s="333"/>
      <c r="R8" s="326"/>
      <c r="S8" s="332" t="s">
        <v>133</v>
      </c>
      <c r="T8" s="328"/>
      <c r="U8" s="328"/>
      <c r="V8" s="328"/>
      <c r="W8" s="333"/>
      <c r="X8" s="326"/>
      <c r="Y8" s="332" t="s">
        <v>144</v>
      </c>
      <c r="Z8" s="328"/>
      <c r="AA8" s="328"/>
      <c r="AB8" s="328"/>
      <c r="AC8" s="333"/>
      <c r="AD8" s="326"/>
      <c r="AE8" s="657" t="s">
        <v>144</v>
      </c>
      <c r="AF8" s="328"/>
      <c r="AG8" s="328"/>
      <c r="AH8" s="328"/>
      <c r="AI8" s="333"/>
      <c r="AJ8" s="326"/>
      <c r="AK8" s="332" t="s">
        <v>133</v>
      </c>
      <c r="AL8" s="328"/>
      <c r="AM8" s="328"/>
      <c r="AN8" s="328"/>
      <c r="AO8" s="333"/>
      <c r="AP8" s="326"/>
      <c r="AQ8" s="332" t="s">
        <v>144</v>
      </c>
      <c r="AR8" s="328"/>
      <c r="AS8" s="328"/>
      <c r="AT8" s="328"/>
      <c r="AU8" s="333"/>
      <c r="AV8" s="326"/>
      <c r="AW8" s="332" t="s">
        <v>134</v>
      </c>
      <c r="AX8" s="328"/>
      <c r="AY8" s="328"/>
      <c r="AZ8" s="328"/>
      <c r="BA8" s="333"/>
      <c r="BC8" s="657" t="s">
        <v>255</v>
      </c>
      <c r="BD8" s="328"/>
      <c r="BE8" s="328"/>
      <c r="BF8" s="328"/>
      <c r="BG8" s="333"/>
      <c r="BH8" s="326"/>
      <c r="BI8" s="657" t="s">
        <v>255</v>
      </c>
      <c r="BJ8" s="328"/>
      <c r="BK8" s="328"/>
      <c r="BL8" s="328"/>
      <c r="BM8" s="333"/>
      <c r="BN8" s="326"/>
      <c r="BO8" s="657" t="s">
        <v>255</v>
      </c>
      <c r="BP8" s="328"/>
      <c r="BQ8" s="328"/>
      <c r="BR8" s="328"/>
      <c r="BS8" s="333"/>
      <c r="BT8" s="326"/>
      <c r="BU8" s="657" t="s">
        <v>259</v>
      </c>
      <c r="BV8" s="328"/>
      <c r="BW8" s="328"/>
      <c r="BX8" s="328"/>
      <c r="BY8" s="333"/>
      <c r="BZ8" s="326"/>
      <c r="CA8" s="657" t="s">
        <v>256</v>
      </c>
      <c r="CB8" s="328"/>
      <c r="CC8" s="328"/>
      <c r="CD8" s="328"/>
      <c r="CE8" s="333"/>
      <c r="CF8" s="326"/>
      <c r="CG8" s="657" t="s">
        <v>256</v>
      </c>
      <c r="CH8" s="328"/>
      <c r="CI8" s="328"/>
      <c r="CJ8" s="328"/>
      <c r="CK8" s="333"/>
      <c r="CL8" s="326"/>
      <c r="CM8" s="657" t="s">
        <v>256</v>
      </c>
      <c r="CN8" s="328"/>
      <c r="CO8" s="328"/>
      <c r="CP8" s="328"/>
      <c r="CQ8" s="333"/>
      <c r="CR8" s="326"/>
      <c r="CS8" s="657" t="s">
        <v>256</v>
      </c>
      <c r="CT8" s="328"/>
      <c r="CU8" s="328"/>
      <c r="CV8" s="328"/>
      <c r="CW8" s="333"/>
      <c r="CX8" s="326"/>
      <c r="CY8" s="332" t="s">
        <v>150</v>
      </c>
      <c r="CZ8" s="394"/>
      <c r="DA8" s="394"/>
      <c r="DB8" s="394"/>
      <c r="DC8" s="395"/>
      <c r="DD8" s="326"/>
      <c r="DE8" s="332" t="s">
        <v>150</v>
      </c>
      <c r="DF8" s="394"/>
      <c r="DG8" s="394"/>
      <c r="DH8" s="394"/>
      <c r="DI8" s="395"/>
      <c r="DK8" s="332" t="s">
        <v>151</v>
      </c>
      <c r="DL8" s="328"/>
      <c r="DM8" s="328"/>
      <c r="DN8" s="328"/>
      <c r="DO8" s="395"/>
    </row>
    <row r="9" spans="1:121" s="61" customFormat="1" ht="14.4" customHeight="1" x14ac:dyDescent="0.3">
      <c r="A9" s="59"/>
      <c r="B9" s="93"/>
      <c r="C9" s="117"/>
      <c r="D9" s="118"/>
      <c r="E9" s="61" t="s">
        <v>37</v>
      </c>
      <c r="F9" s="60" t="s">
        <v>36</v>
      </c>
      <c r="G9" s="330" t="s">
        <v>121</v>
      </c>
      <c r="H9" s="329"/>
      <c r="I9" s="329"/>
      <c r="J9" s="329"/>
      <c r="K9" s="331"/>
      <c r="L9" s="10"/>
      <c r="M9" s="330" t="s">
        <v>146</v>
      </c>
      <c r="N9" s="329"/>
      <c r="O9" s="329"/>
      <c r="P9" s="329"/>
      <c r="Q9" s="331"/>
      <c r="R9" s="8"/>
      <c r="S9" s="330" t="s">
        <v>122</v>
      </c>
      <c r="T9" s="329"/>
      <c r="U9" s="329"/>
      <c r="V9" s="329"/>
      <c r="W9" s="331"/>
      <c r="X9" s="8"/>
      <c r="Y9" s="330" t="s">
        <v>147</v>
      </c>
      <c r="Z9" s="329"/>
      <c r="AA9" s="329"/>
      <c r="AB9" s="329"/>
      <c r="AC9" s="331"/>
      <c r="AD9" s="8"/>
      <c r="AE9" s="330" t="s">
        <v>296</v>
      </c>
      <c r="AF9" s="329"/>
      <c r="AG9" s="329"/>
      <c r="AH9" s="329"/>
      <c r="AI9" s="331"/>
      <c r="AJ9" s="8"/>
      <c r="AK9" s="330" t="s">
        <v>123</v>
      </c>
      <c r="AL9" s="329"/>
      <c r="AM9" s="329"/>
      <c r="AN9" s="329"/>
      <c r="AO9" s="331"/>
      <c r="AP9" s="8"/>
      <c r="AQ9" s="330" t="s">
        <v>148</v>
      </c>
      <c r="AR9" s="329"/>
      <c r="AS9" s="329"/>
      <c r="AT9" s="329"/>
      <c r="AU9" s="331"/>
      <c r="AV9" s="8"/>
      <c r="AW9" s="330" t="s">
        <v>149</v>
      </c>
      <c r="AX9" s="329"/>
      <c r="AY9" s="329"/>
      <c r="AZ9" s="329"/>
      <c r="BA9" s="331"/>
      <c r="BC9" s="330" t="s">
        <v>262</v>
      </c>
      <c r="BD9" s="329"/>
      <c r="BE9" s="329"/>
      <c r="BF9" s="329"/>
      <c r="BG9" s="331"/>
      <c r="BH9" s="10"/>
      <c r="BI9" s="330" t="s">
        <v>263</v>
      </c>
      <c r="BJ9" s="329"/>
      <c r="BK9" s="329"/>
      <c r="BL9" s="329"/>
      <c r="BM9" s="331"/>
      <c r="BN9" s="8"/>
      <c r="BO9" s="330" t="s">
        <v>264</v>
      </c>
      <c r="BP9" s="329"/>
      <c r="BQ9" s="329"/>
      <c r="BR9" s="329"/>
      <c r="BS9" s="331"/>
      <c r="BT9" s="8"/>
      <c r="BU9" s="330" t="s">
        <v>265</v>
      </c>
      <c r="BV9" s="329"/>
      <c r="BW9" s="329"/>
      <c r="BX9" s="329"/>
      <c r="BY9" s="331"/>
      <c r="BZ9" s="319"/>
      <c r="CA9" s="330" t="s">
        <v>266</v>
      </c>
      <c r="CB9" s="329"/>
      <c r="CC9" s="329"/>
      <c r="CD9" s="329"/>
      <c r="CE9" s="331"/>
      <c r="CF9" s="10"/>
      <c r="CG9" s="330" t="s">
        <v>268</v>
      </c>
      <c r="CH9" s="329"/>
      <c r="CI9" s="329"/>
      <c r="CJ9" s="329"/>
      <c r="CK9" s="331"/>
      <c r="CL9" s="8"/>
      <c r="CM9" s="330" t="s">
        <v>297</v>
      </c>
      <c r="CN9" s="329"/>
      <c r="CO9" s="329"/>
      <c r="CP9" s="329"/>
      <c r="CQ9" s="331"/>
      <c r="CR9" s="8"/>
      <c r="CS9" s="330" t="s">
        <v>267</v>
      </c>
      <c r="CT9" s="329"/>
      <c r="CU9" s="329"/>
      <c r="CV9" s="329"/>
      <c r="CW9" s="331"/>
      <c r="CX9" s="8"/>
      <c r="CY9" s="337" t="s">
        <v>245</v>
      </c>
      <c r="CZ9" s="396"/>
      <c r="DA9" s="396"/>
      <c r="DB9" s="396"/>
      <c r="DC9" s="397"/>
      <c r="DD9" s="10"/>
      <c r="DE9" s="337" t="s">
        <v>246</v>
      </c>
      <c r="DF9" s="396"/>
      <c r="DG9" s="396"/>
      <c r="DH9" s="396"/>
      <c r="DI9" s="397"/>
      <c r="DK9" s="337" t="s">
        <v>136</v>
      </c>
      <c r="DL9" s="144"/>
      <c r="DM9" s="144"/>
      <c r="DN9" s="144"/>
      <c r="DO9" s="397"/>
    </row>
    <row r="10" spans="1:121" s="8" customFormat="1" x14ac:dyDescent="0.3">
      <c r="A10" s="72"/>
      <c r="B10" s="105"/>
      <c r="C10" s="94"/>
      <c r="D10" s="65"/>
      <c r="E10" s="61" t="s">
        <v>38</v>
      </c>
      <c r="F10" s="86" t="s">
        <v>36</v>
      </c>
      <c r="G10" s="74" t="s">
        <v>4</v>
      </c>
      <c r="H10" s="78" t="s">
        <v>4</v>
      </c>
      <c r="I10" s="78" t="s">
        <v>4</v>
      </c>
      <c r="J10" s="78" t="s">
        <v>4</v>
      </c>
      <c r="K10" s="79" t="s">
        <v>4</v>
      </c>
      <c r="L10" s="10"/>
      <c r="M10" s="78" t="s">
        <v>4</v>
      </c>
      <c r="N10" s="78" t="s">
        <v>4</v>
      </c>
      <c r="O10" s="78" t="s">
        <v>4</v>
      </c>
      <c r="P10" s="78" t="s">
        <v>4</v>
      </c>
      <c r="Q10" s="79" t="s">
        <v>4</v>
      </c>
      <c r="S10" s="74" t="s">
        <v>14</v>
      </c>
      <c r="T10" s="78" t="s">
        <v>14</v>
      </c>
      <c r="U10" s="78" t="s">
        <v>14</v>
      </c>
      <c r="V10" s="78" t="s">
        <v>14</v>
      </c>
      <c r="W10" s="79" t="s">
        <v>14</v>
      </c>
      <c r="Y10" s="74" t="s">
        <v>14</v>
      </c>
      <c r="Z10" s="78" t="s">
        <v>14</v>
      </c>
      <c r="AA10" s="78" t="s">
        <v>14</v>
      </c>
      <c r="AB10" s="78" t="s">
        <v>14</v>
      </c>
      <c r="AC10" s="79" t="s">
        <v>14</v>
      </c>
      <c r="AE10" s="74" t="s">
        <v>39</v>
      </c>
      <c r="AF10" s="78" t="s">
        <v>39</v>
      </c>
      <c r="AG10" s="78" t="s">
        <v>39</v>
      </c>
      <c r="AH10" s="78" t="s">
        <v>39</v>
      </c>
      <c r="AI10" s="79"/>
      <c r="AK10" s="74" t="s">
        <v>16</v>
      </c>
      <c r="AL10" s="78" t="s">
        <v>16</v>
      </c>
      <c r="AM10" s="78" t="s">
        <v>16</v>
      </c>
      <c r="AN10" s="78" t="s">
        <v>16</v>
      </c>
      <c r="AO10" s="79" t="s">
        <v>16</v>
      </c>
      <c r="AQ10" s="74" t="s">
        <v>16</v>
      </c>
      <c r="AR10" s="78" t="s">
        <v>16</v>
      </c>
      <c r="AS10" s="78" t="s">
        <v>16</v>
      </c>
      <c r="AT10" s="78" t="s">
        <v>16</v>
      </c>
      <c r="AU10" s="79" t="s">
        <v>16</v>
      </c>
      <c r="AW10" s="74" t="s">
        <v>17</v>
      </c>
      <c r="AX10" s="78" t="s">
        <v>17</v>
      </c>
      <c r="AY10" s="78"/>
      <c r="AZ10" s="78"/>
      <c r="BA10" s="79"/>
      <c r="BC10" s="74" t="s">
        <v>4</v>
      </c>
      <c r="BD10" s="78" t="s">
        <v>4</v>
      </c>
      <c r="BE10" s="78" t="s">
        <v>4</v>
      </c>
      <c r="BF10" s="78" t="s">
        <v>4</v>
      </c>
      <c r="BG10" s="79" t="s">
        <v>4</v>
      </c>
      <c r="BH10" s="10"/>
      <c r="BI10" s="74" t="s">
        <v>14</v>
      </c>
      <c r="BJ10" s="78" t="s">
        <v>14</v>
      </c>
      <c r="BK10" s="78" t="s">
        <v>14</v>
      </c>
      <c r="BL10" s="78" t="s">
        <v>14</v>
      </c>
      <c r="BM10" s="79" t="s">
        <v>14</v>
      </c>
      <c r="BO10" s="74" t="s">
        <v>16</v>
      </c>
      <c r="BP10" s="78" t="s">
        <v>16</v>
      </c>
      <c r="BQ10" s="78" t="s">
        <v>16</v>
      </c>
      <c r="BR10" s="78" t="s">
        <v>16</v>
      </c>
      <c r="BS10" s="79" t="s">
        <v>16</v>
      </c>
      <c r="BU10" s="74" t="s">
        <v>17</v>
      </c>
      <c r="BV10" s="78" t="s">
        <v>17</v>
      </c>
      <c r="BW10" s="78"/>
      <c r="BX10" s="78"/>
      <c r="BY10" s="79"/>
      <c r="BZ10" s="313"/>
      <c r="CA10" s="74" t="s">
        <v>4</v>
      </c>
      <c r="CB10" s="78" t="s">
        <v>4</v>
      </c>
      <c r="CC10" s="78" t="s">
        <v>4</v>
      </c>
      <c r="CD10" s="78" t="s">
        <v>4</v>
      </c>
      <c r="CE10" s="79" t="s">
        <v>4</v>
      </c>
      <c r="CF10" s="10"/>
      <c r="CG10" s="74" t="s">
        <v>14</v>
      </c>
      <c r="CH10" s="78" t="s">
        <v>14</v>
      </c>
      <c r="CI10" s="78" t="s">
        <v>14</v>
      </c>
      <c r="CJ10" s="78" t="s">
        <v>14</v>
      </c>
      <c r="CK10" s="79" t="s">
        <v>14</v>
      </c>
      <c r="CM10" s="74" t="s">
        <v>39</v>
      </c>
      <c r="CN10" s="78" t="s">
        <v>39</v>
      </c>
      <c r="CO10" s="78" t="s">
        <v>39</v>
      </c>
      <c r="CP10" s="78" t="s">
        <v>39</v>
      </c>
      <c r="CQ10" s="79"/>
      <c r="CS10" s="74" t="s">
        <v>16</v>
      </c>
      <c r="CT10" s="78" t="s">
        <v>16</v>
      </c>
      <c r="CU10" s="78" t="s">
        <v>16</v>
      </c>
      <c r="CV10" s="78" t="s">
        <v>16</v>
      </c>
      <c r="CW10" s="79" t="s">
        <v>16</v>
      </c>
      <c r="CY10" s="74" t="s">
        <v>4</v>
      </c>
      <c r="CZ10" s="78" t="s">
        <v>4</v>
      </c>
      <c r="DA10" s="78" t="s">
        <v>4</v>
      </c>
      <c r="DB10" s="78" t="s">
        <v>4</v>
      </c>
      <c r="DC10" s="79" t="s">
        <v>4</v>
      </c>
      <c r="DD10" s="10"/>
      <c r="DE10" s="398" t="s">
        <v>16</v>
      </c>
      <c r="DF10" s="399" t="s">
        <v>16</v>
      </c>
      <c r="DG10" s="399" t="s">
        <v>16</v>
      </c>
      <c r="DH10" s="399" t="s">
        <v>16</v>
      </c>
      <c r="DI10" s="400" t="s">
        <v>16</v>
      </c>
      <c r="DK10" s="74" t="s">
        <v>17</v>
      </c>
      <c r="DL10" s="78" t="s">
        <v>17</v>
      </c>
      <c r="DM10" s="78" t="s">
        <v>17</v>
      </c>
      <c r="DN10" s="78" t="s">
        <v>17</v>
      </c>
      <c r="DO10" s="400" t="s">
        <v>17</v>
      </c>
    </row>
    <row r="11" spans="1:121" s="8" customFormat="1" x14ac:dyDescent="0.3">
      <c r="A11" s="72"/>
      <c r="B11" s="105"/>
      <c r="C11" s="94"/>
      <c r="D11" s="65"/>
      <c r="E11" s="63" t="s">
        <v>40</v>
      </c>
      <c r="F11" s="86" t="s">
        <v>41</v>
      </c>
      <c r="G11" s="77">
        <v>40</v>
      </c>
      <c r="H11" s="78">
        <v>45</v>
      </c>
      <c r="I11" s="78">
        <v>50</v>
      </c>
      <c r="J11" s="78">
        <v>55</v>
      </c>
      <c r="K11" s="79">
        <v>60</v>
      </c>
      <c r="L11" s="10"/>
      <c r="M11" s="78">
        <v>40</v>
      </c>
      <c r="N11" s="78">
        <v>45</v>
      </c>
      <c r="O11" s="78">
        <v>50</v>
      </c>
      <c r="P11" s="78">
        <v>55</v>
      </c>
      <c r="Q11" s="79">
        <v>60</v>
      </c>
      <c r="S11" s="74">
        <v>35</v>
      </c>
      <c r="T11" s="78">
        <v>40</v>
      </c>
      <c r="U11" s="78">
        <v>45</v>
      </c>
      <c r="V11" s="78">
        <v>50</v>
      </c>
      <c r="W11" s="79">
        <v>65</v>
      </c>
      <c r="Y11" s="74">
        <v>35</v>
      </c>
      <c r="Z11" s="78">
        <v>40</v>
      </c>
      <c r="AA11" s="78">
        <v>45</v>
      </c>
      <c r="AB11" s="78">
        <v>50</v>
      </c>
      <c r="AC11" s="79">
        <v>65</v>
      </c>
      <c r="AE11" s="74">
        <v>7</v>
      </c>
      <c r="AF11" s="78">
        <v>8</v>
      </c>
      <c r="AG11" s="78">
        <v>9</v>
      </c>
      <c r="AH11" s="78">
        <v>11</v>
      </c>
      <c r="AI11" s="79"/>
      <c r="AK11" s="74">
        <v>6</v>
      </c>
      <c r="AL11" s="78">
        <v>7</v>
      </c>
      <c r="AM11" s="78">
        <v>8</v>
      </c>
      <c r="AN11" s="78">
        <v>9</v>
      </c>
      <c r="AO11" s="79">
        <v>10</v>
      </c>
      <c r="AQ11" s="74">
        <v>6</v>
      </c>
      <c r="AR11" s="78">
        <v>7</v>
      </c>
      <c r="AS11" s="78">
        <v>8</v>
      </c>
      <c r="AT11" s="78">
        <v>9</v>
      </c>
      <c r="AU11" s="79">
        <v>10</v>
      </c>
      <c r="AW11" s="74">
        <v>35</v>
      </c>
      <c r="AX11" s="78">
        <v>45</v>
      </c>
      <c r="AY11" s="78"/>
      <c r="AZ11" s="78"/>
      <c r="BA11" s="79"/>
      <c r="BC11" s="77">
        <v>40</v>
      </c>
      <c r="BD11" s="78">
        <v>45</v>
      </c>
      <c r="BE11" s="78">
        <v>50</v>
      </c>
      <c r="BF11" s="78">
        <v>55</v>
      </c>
      <c r="BG11" s="79">
        <v>60</v>
      </c>
      <c r="BH11" s="10"/>
      <c r="BI11" s="74">
        <v>35</v>
      </c>
      <c r="BJ11" s="78">
        <v>40</v>
      </c>
      <c r="BK11" s="78">
        <v>45</v>
      </c>
      <c r="BL11" s="78">
        <v>50</v>
      </c>
      <c r="BM11" s="79">
        <v>65</v>
      </c>
      <c r="BO11" s="74">
        <v>6</v>
      </c>
      <c r="BP11" s="78">
        <v>7</v>
      </c>
      <c r="BQ11" s="78">
        <v>8</v>
      </c>
      <c r="BR11" s="78">
        <v>9</v>
      </c>
      <c r="BS11" s="79">
        <v>10</v>
      </c>
      <c r="BU11" s="74">
        <v>35</v>
      </c>
      <c r="BV11" s="78">
        <v>45</v>
      </c>
      <c r="BW11" s="78"/>
      <c r="BX11" s="78"/>
      <c r="BY11" s="79"/>
      <c r="BZ11" s="313"/>
      <c r="CA11" s="77">
        <v>40</v>
      </c>
      <c r="CB11" s="78">
        <v>45</v>
      </c>
      <c r="CC11" s="78">
        <v>50</v>
      </c>
      <c r="CD11" s="78">
        <v>55</v>
      </c>
      <c r="CE11" s="79">
        <v>60</v>
      </c>
      <c r="CF11" s="10"/>
      <c r="CG11" s="74">
        <v>35</v>
      </c>
      <c r="CH11" s="78">
        <v>40</v>
      </c>
      <c r="CI11" s="78">
        <v>45</v>
      </c>
      <c r="CJ11" s="78">
        <v>50</v>
      </c>
      <c r="CK11" s="79">
        <v>65</v>
      </c>
      <c r="CM11" s="74">
        <v>7</v>
      </c>
      <c r="CN11" s="78">
        <v>8</v>
      </c>
      <c r="CO11" s="78">
        <v>9</v>
      </c>
      <c r="CP11" s="78">
        <v>11</v>
      </c>
      <c r="CQ11" s="79"/>
      <c r="CS11" s="74">
        <v>6</v>
      </c>
      <c r="CT11" s="78">
        <v>7</v>
      </c>
      <c r="CU11" s="78">
        <v>8</v>
      </c>
      <c r="CV11" s="78">
        <v>9</v>
      </c>
      <c r="CW11" s="79">
        <v>10</v>
      </c>
      <c r="CY11" s="77">
        <v>25</v>
      </c>
      <c r="CZ11" s="78">
        <v>45</v>
      </c>
      <c r="DA11" s="78"/>
      <c r="DB11" s="78"/>
      <c r="DC11" s="79"/>
      <c r="DD11" s="10"/>
      <c r="DE11" s="398">
        <v>3</v>
      </c>
      <c r="DF11" s="399">
        <v>8</v>
      </c>
      <c r="DG11" s="399"/>
      <c r="DH11" s="399"/>
      <c r="DI11" s="400"/>
      <c r="DK11" s="74">
        <v>25</v>
      </c>
      <c r="DL11" s="78">
        <v>30</v>
      </c>
      <c r="DM11" s="78">
        <v>35</v>
      </c>
      <c r="DN11" s="78">
        <v>40</v>
      </c>
      <c r="DO11" s="400">
        <v>45</v>
      </c>
    </row>
    <row r="12" spans="1:121" s="8" customFormat="1" x14ac:dyDescent="0.3">
      <c r="A12" s="72"/>
      <c r="B12" s="105"/>
      <c r="C12" s="94"/>
      <c r="D12" s="65"/>
      <c r="E12" s="63" t="s">
        <v>42</v>
      </c>
      <c r="F12" s="86" t="s">
        <v>43</v>
      </c>
      <c r="G12" s="230">
        <v>0.7</v>
      </c>
      <c r="H12" s="222">
        <v>0.28999999999999998</v>
      </c>
      <c r="I12" s="222"/>
      <c r="J12" s="222"/>
      <c r="K12" s="223">
        <v>0.01</v>
      </c>
      <c r="L12" s="80"/>
      <c r="M12" s="222">
        <v>0.2</v>
      </c>
      <c r="N12" s="222">
        <v>0.4</v>
      </c>
      <c r="O12" s="222">
        <v>0.39</v>
      </c>
      <c r="P12" s="222"/>
      <c r="Q12" s="223">
        <v>0.01</v>
      </c>
      <c r="R12" s="67"/>
      <c r="S12" s="221"/>
      <c r="T12" s="222">
        <v>0.7</v>
      </c>
      <c r="U12" s="222">
        <v>0.28999999999999998</v>
      </c>
      <c r="V12" s="222"/>
      <c r="W12" s="223">
        <v>0.01</v>
      </c>
      <c r="X12" s="67"/>
      <c r="Y12" s="221"/>
      <c r="Z12" s="222">
        <v>0.2</v>
      </c>
      <c r="AA12" s="222">
        <v>0.59</v>
      </c>
      <c r="AB12" s="222">
        <v>0.2</v>
      </c>
      <c r="AC12" s="223">
        <v>0.01</v>
      </c>
      <c r="AD12" s="67"/>
      <c r="AE12" s="221"/>
      <c r="AF12" s="222">
        <v>0.22</v>
      </c>
      <c r="AG12" s="222">
        <v>0.76</v>
      </c>
      <c r="AH12" s="222">
        <v>0.02</v>
      </c>
      <c r="AI12" s="223"/>
      <c r="AJ12" s="67"/>
      <c r="AK12" s="221">
        <v>0.7</v>
      </c>
      <c r="AL12" s="222">
        <v>0.15</v>
      </c>
      <c r="AM12" s="222">
        <v>0.14000000000000001</v>
      </c>
      <c r="AN12" s="222">
        <v>0.01</v>
      </c>
      <c r="AO12" s="223"/>
      <c r="AP12" s="67"/>
      <c r="AQ12" s="221">
        <v>0.2</v>
      </c>
      <c r="AR12" s="222">
        <v>0.2</v>
      </c>
      <c r="AS12" s="222"/>
      <c r="AT12" s="222">
        <v>0.59</v>
      </c>
      <c r="AU12" s="223">
        <v>0.01</v>
      </c>
      <c r="AV12" s="67"/>
      <c r="AW12" s="221">
        <v>0.8</v>
      </c>
      <c r="AX12" s="222">
        <v>0.2</v>
      </c>
      <c r="AY12" s="222"/>
      <c r="AZ12" s="222"/>
      <c r="BA12" s="223"/>
      <c r="BC12" s="230">
        <v>0.7</v>
      </c>
      <c r="BD12" s="222">
        <v>0.28999999999999998</v>
      </c>
      <c r="BE12" s="222"/>
      <c r="BF12" s="222"/>
      <c r="BG12" s="223">
        <v>0.01</v>
      </c>
      <c r="BH12" s="80"/>
      <c r="BI12" s="221"/>
      <c r="BJ12" s="222">
        <v>0.7</v>
      </c>
      <c r="BK12" s="222">
        <v>0.28999999999999998</v>
      </c>
      <c r="BL12" s="222"/>
      <c r="BM12" s="223">
        <v>0.01</v>
      </c>
      <c r="BN12" s="67"/>
      <c r="BO12" s="221">
        <v>0.7</v>
      </c>
      <c r="BP12" s="222">
        <v>0.15</v>
      </c>
      <c r="BQ12" s="222">
        <v>0.14000000000000001</v>
      </c>
      <c r="BR12" s="222">
        <v>0.01</v>
      </c>
      <c r="BS12" s="223"/>
      <c r="BT12" s="67"/>
      <c r="BU12" s="221">
        <v>0.8</v>
      </c>
      <c r="BV12" s="222">
        <v>0.2</v>
      </c>
      <c r="BW12" s="222"/>
      <c r="BX12" s="222"/>
      <c r="BY12" s="223"/>
      <c r="BZ12" s="339"/>
      <c r="CA12" s="230">
        <v>0.2</v>
      </c>
      <c r="CB12" s="222">
        <v>0.4</v>
      </c>
      <c r="CC12" s="222">
        <v>0.39</v>
      </c>
      <c r="CD12" s="222"/>
      <c r="CE12" s="223">
        <v>0.01</v>
      </c>
      <c r="CF12" s="80"/>
      <c r="CG12" s="221"/>
      <c r="CH12" s="222">
        <v>0.2</v>
      </c>
      <c r="CI12" s="222">
        <v>0.59</v>
      </c>
      <c r="CJ12" s="222">
        <v>0.2</v>
      </c>
      <c r="CK12" s="223">
        <v>0.01</v>
      </c>
      <c r="CL12" s="67"/>
      <c r="CM12" s="221"/>
      <c r="CN12" s="222">
        <v>0.22</v>
      </c>
      <c r="CO12" s="222">
        <v>0.76</v>
      </c>
      <c r="CP12" s="222">
        <v>0.02</v>
      </c>
      <c r="CQ12" s="223"/>
      <c r="CR12" s="67"/>
      <c r="CS12" s="221">
        <v>0.2</v>
      </c>
      <c r="CT12" s="222">
        <v>0.2</v>
      </c>
      <c r="CU12" s="222"/>
      <c r="CV12" s="222">
        <v>0.59</v>
      </c>
      <c r="CW12" s="223">
        <v>0.01</v>
      </c>
      <c r="CX12" s="67"/>
      <c r="CY12" s="230">
        <v>0.99</v>
      </c>
      <c r="CZ12" s="222">
        <v>0.01</v>
      </c>
      <c r="DA12" s="222"/>
      <c r="DB12" s="222"/>
      <c r="DC12" s="223"/>
      <c r="DD12" s="80"/>
      <c r="DE12" s="230">
        <v>0.99</v>
      </c>
      <c r="DF12" s="222">
        <v>0.01</v>
      </c>
      <c r="DG12" s="402"/>
      <c r="DH12" s="402"/>
      <c r="DI12" s="403"/>
      <c r="DK12" s="221">
        <v>0.99</v>
      </c>
      <c r="DL12" s="222"/>
      <c r="DM12" s="222"/>
      <c r="DN12" s="222">
        <v>0.01</v>
      </c>
      <c r="DO12" s="403"/>
    </row>
    <row r="13" spans="1:121" s="8" customFormat="1" x14ac:dyDescent="0.3">
      <c r="A13" s="72"/>
      <c r="B13" s="105"/>
      <c r="C13" s="94"/>
      <c r="D13" s="65"/>
      <c r="E13" s="63"/>
      <c r="F13" s="86"/>
      <c r="G13" s="234"/>
      <c r="H13" s="67"/>
      <c r="I13" s="67"/>
      <c r="J13" s="67"/>
      <c r="K13" s="80"/>
      <c r="L13" s="80"/>
      <c r="M13" s="67"/>
      <c r="N13" s="67"/>
      <c r="O13" s="67"/>
      <c r="P13" s="67"/>
      <c r="Q13" s="80"/>
      <c r="R13" s="67"/>
      <c r="S13" s="75"/>
      <c r="T13" s="67"/>
      <c r="U13" s="67"/>
      <c r="V13" s="67"/>
      <c r="W13" s="80"/>
      <c r="X13" s="67"/>
      <c r="Y13" s="75"/>
      <c r="Z13" s="67"/>
      <c r="AA13" s="67"/>
      <c r="AB13" s="67"/>
      <c r="AC13" s="80"/>
      <c r="AD13" s="67"/>
      <c r="AE13" s="75"/>
      <c r="AF13" s="67"/>
      <c r="AG13" s="67"/>
      <c r="AH13" s="67"/>
      <c r="AI13" s="80"/>
      <c r="AJ13" s="67"/>
      <c r="AK13" s="75"/>
      <c r="AL13" s="67"/>
      <c r="AM13" s="67"/>
      <c r="AN13" s="67"/>
      <c r="AO13" s="80"/>
      <c r="AP13" s="67"/>
      <c r="AQ13" s="75"/>
      <c r="AR13" s="67"/>
      <c r="AS13" s="67"/>
      <c r="AT13" s="67"/>
      <c r="AU13" s="80"/>
      <c r="AV13" s="67"/>
      <c r="AW13" s="75"/>
      <c r="AX13" s="67"/>
      <c r="AY13" s="67"/>
      <c r="AZ13" s="67"/>
      <c r="BA13" s="80"/>
      <c r="BC13" s="234"/>
      <c r="BD13" s="67"/>
      <c r="BE13" s="67"/>
      <c r="BF13" s="67"/>
      <c r="BG13" s="80"/>
      <c r="BH13" s="80"/>
      <c r="BI13" s="75"/>
      <c r="BJ13" s="67"/>
      <c r="BK13" s="67"/>
      <c r="BL13" s="67"/>
      <c r="BM13" s="80"/>
      <c r="BN13" s="67"/>
      <c r="BO13" s="75"/>
      <c r="BP13" s="67"/>
      <c r="BQ13" s="67"/>
      <c r="BR13" s="67"/>
      <c r="BS13" s="80"/>
      <c r="BT13" s="67"/>
      <c r="BU13" s="75"/>
      <c r="BV13" s="67"/>
      <c r="BW13" s="67"/>
      <c r="BX13" s="67"/>
      <c r="BY13" s="80"/>
      <c r="BZ13" s="339"/>
      <c r="CA13" s="234"/>
      <c r="CB13" s="67"/>
      <c r="CC13" s="67"/>
      <c r="CD13" s="67"/>
      <c r="CE13" s="80"/>
      <c r="CF13" s="80"/>
      <c r="CG13" s="75"/>
      <c r="CH13" s="67"/>
      <c r="CI13" s="67"/>
      <c r="CJ13" s="67"/>
      <c r="CK13" s="80"/>
      <c r="CL13" s="67"/>
      <c r="CM13" s="75"/>
      <c r="CN13" s="67"/>
      <c r="CO13" s="67"/>
      <c r="CP13" s="67"/>
      <c r="CQ13" s="80"/>
      <c r="CR13" s="67"/>
      <c r="CS13" s="75"/>
      <c r="CT13" s="67"/>
      <c r="CU13" s="67"/>
      <c r="CV13" s="67"/>
      <c r="CW13" s="80"/>
      <c r="CX13" s="67"/>
      <c r="CY13" s="234"/>
      <c r="CZ13" s="67"/>
      <c r="DA13" s="67"/>
      <c r="DB13" s="67"/>
      <c r="DC13" s="80"/>
      <c r="DD13" s="80"/>
      <c r="DE13" s="404"/>
      <c r="DF13" s="405"/>
      <c r="DG13" s="405"/>
      <c r="DH13" s="405"/>
      <c r="DI13" s="406"/>
      <c r="DK13" s="75"/>
      <c r="DL13" s="67"/>
      <c r="DM13" s="67"/>
      <c r="DN13" s="361"/>
      <c r="DO13" s="406"/>
    </row>
    <row r="14" spans="1:121" s="8" customFormat="1" x14ac:dyDescent="0.3">
      <c r="A14" s="72"/>
      <c r="B14" s="105"/>
      <c r="C14" s="94"/>
      <c r="D14" s="73" t="s">
        <v>44</v>
      </c>
      <c r="E14" s="63"/>
      <c r="F14" s="103"/>
      <c r="G14" s="77" t="s">
        <v>45</v>
      </c>
      <c r="H14" s="144"/>
      <c r="I14" s="104"/>
      <c r="J14" s="104"/>
      <c r="K14" s="10"/>
      <c r="L14" s="10"/>
      <c r="M14" s="310" t="s">
        <v>45</v>
      </c>
      <c r="N14" s="144"/>
      <c r="O14" s="104"/>
      <c r="P14" s="104"/>
      <c r="Q14" s="10"/>
      <c r="S14" s="140" t="s">
        <v>45</v>
      </c>
      <c r="T14" s="144"/>
      <c r="U14" s="104"/>
      <c r="V14" s="104"/>
      <c r="W14" s="10"/>
      <c r="Y14" s="140" t="s">
        <v>45</v>
      </c>
      <c r="Z14" s="144"/>
      <c r="AA14" s="104"/>
      <c r="AB14" s="104"/>
      <c r="AC14" s="10"/>
      <c r="AE14" s="140" t="s">
        <v>46</v>
      </c>
      <c r="AF14" s="144"/>
      <c r="AG14" s="104"/>
      <c r="AH14" s="104"/>
      <c r="AI14" s="10"/>
      <c r="AK14" s="140" t="s">
        <v>46</v>
      </c>
      <c r="AL14" s="144"/>
      <c r="AM14" s="104"/>
      <c r="AN14" s="104"/>
      <c r="AO14" s="10"/>
      <c r="AQ14" s="140" t="s">
        <v>46</v>
      </c>
      <c r="AR14" s="144"/>
      <c r="AS14" s="104"/>
      <c r="AT14" s="104"/>
      <c r="AU14" s="10"/>
      <c r="AW14" s="140" t="s">
        <v>45</v>
      </c>
      <c r="AX14" s="144"/>
      <c r="AY14" s="104"/>
      <c r="AZ14" s="104"/>
      <c r="BA14" s="10"/>
      <c r="BC14" s="77" t="s">
        <v>45</v>
      </c>
      <c r="BD14" s="144"/>
      <c r="BE14" s="104"/>
      <c r="BF14" s="104"/>
      <c r="BG14" s="10"/>
      <c r="BH14" s="10"/>
      <c r="BI14" s="140" t="s">
        <v>45</v>
      </c>
      <c r="BJ14" s="144"/>
      <c r="BK14" s="104"/>
      <c r="BL14" s="104"/>
      <c r="BM14" s="10"/>
      <c r="BO14" s="140" t="s">
        <v>46</v>
      </c>
      <c r="BP14" s="144"/>
      <c r="BQ14" s="104"/>
      <c r="BR14" s="104"/>
      <c r="BS14" s="10"/>
      <c r="BU14" s="140" t="s">
        <v>45</v>
      </c>
      <c r="BV14" s="144"/>
      <c r="BW14" s="104"/>
      <c r="BX14" s="104"/>
      <c r="BY14" s="10"/>
      <c r="BZ14" s="313"/>
      <c r="CA14" s="77" t="s">
        <v>45</v>
      </c>
      <c r="CB14" s="144"/>
      <c r="CC14" s="104"/>
      <c r="CD14" s="104"/>
      <c r="CE14" s="10"/>
      <c r="CF14" s="10"/>
      <c r="CG14" s="140" t="s">
        <v>45</v>
      </c>
      <c r="CH14" s="144"/>
      <c r="CI14" s="104"/>
      <c r="CJ14" s="104"/>
      <c r="CK14" s="10"/>
      <c r="CM14" s="140" t="s">
        <v>46</v>
      </c>
      <c r="CN14" s="144"/>
      <c r="CO14" s="104"/>
      <c r="CP14" s="104"/>
      <c r="CQ14" s="10"/>
      <c r="CS14" s="140" t="s">
        <v>46</v>
      </c>
      <c r="CT14" s="144"/>
      <c r="CU14" s="104"/>
      <c r="CV14" s="104"/>
      <c r="CW14" s="10"/>
      <c r="CY14" s="77" t="s">
        <v>45</v>
      </c>
      <c r="CZ14" s="144"/>
      <c r="DA14" s="104"/>
      <c r="DB14" s="104"/>
      <c r="DC14" s="10"/>
      <c r="DD14" s="10"/>
      <c r="DE14" s="407" t="s">
        <v>46</v>
      </c>
      <c r="DF14" s="408"/>
      <c r="DG14" s="390"/>
      <c r="DH14" s="390"/>
      <c r="DI14" s="391"/>
      <c r="DK14" s="140" t="s">
        <v>45</v>
      </c>
      <c r="DL14" s="144"/>
      <c r="DO14" s="391"/>
    </row>
    <row r="15" spans="1:121" s="8" customFormat="1" x14ac:dyDescent="0.3">
      <c r="A15" s="72"/>
      <c r="B15" s="105"/>
      <c r="C15" s="94"/>
      <c r="D15" s="65"/>
      <c r="E15" s="64" t="s">
        <v>47</v>
      </c>
      <c r="F15" s="86" t="s">
        <v>48</v>
      </c>
      <c r="G15" s="371">
        <f xml:space="preserve"> 'Bron - cao''s 2025'!F$14</f>
        <v>3682</v>
      </c>
      <c r="H15" s="138">
        <f xml:space="preserve"> 'Bron - cao''s 2025'!$F$15</f>
        <v>4017</v>
      </c>
      <c r="I15" s="138">
        <f>'Bron - cao''s 2025'!F16</f>
        <v>4434</v>
      </c>
      <c r="J15" s="138">
        <f>'Bron - cao''s 2025'!F17</f>
        <v>4977</v>
      </c>
      <c r="K15" s="139">
        <f xml:space="preserve"> 'Bron - cao''s 2025'!$F$18</f>
        <v>5548</v>
      </c>
      <c r="L15" s="10"/>
      <c r="M15" s="138">
        <f xml:space="preserve"> 'Bron - cao''s 2025'!$F$14</f>
        <v>3682</v>
      </c>
      <c r="N15" s="138">
        <f xml:space="preserve"> 'Bron - cao''s 2025'!$F$15</f>
        <v>4017</v>
      </c>
      <c r="O15" s="138">
        <f xml:space="preserve"> 'Bron - cao''s 2025'!$F$16</f>
        <v>4434</v>
      </c>
      <c r="P15" s="138">
        <f>'Bron - cao''s 2025'!$F$17</f>
        <v>4977</v>
      </c>
      <c r="Q15" s="139">
        <f xml:space="preserve"> 'Bron - cao''s 2025'!$F$18</f>
        <v>5548</v>
      </c>
      <c r="S15" s="137">
        <f>'Bron - cao''s 2025'!$I$13</f>
        <v>3427</v>
      </c>
      <c r="T15" s="138">
        <f>'Bron - cao''s 2025'!$I$14</f>
        <v>3678</v>
      </c>
      <c r="U15" s="138">
        <f xml:space="preserve"> 'Bron - cao''s 2025'!$I$15</f>
        <v>4017</v>
      </c>
      <c r="V15" s="138">
        <f xml:space="preserve"> 'Bron - cao''s 2025'!$I$16</f>
        <v>4436</v>
      </c>
      <c r="W15" s="192">
        <f xml:space="preserve"> 'Bron - cao''s 2025'!$I$19</f>
        <v>6575</v>
      </c>
      <c r="Y15" s="137">
        <f>'Bron - cao''s 2025'!$I$13</f>
        <v>3427</v>
      </c>
      <c r="Z15" s="138">
        <f xml:space="preserve"> 'Bron - cao''s 2025'!$I$14</f>
        <v>3678</v>
      </c>
      <c r="AA15" s="138">
        <f xml:space="preserve"> 'Bron - cao''s 2025'!$I$15</f>
        <v>4017</v>
      </c>
      <c r="AB15" s="138">
        <f xml:space="preserve"> 'Bron - cao''s 2025'!$I$16</f>
        <v>4436</v>
      </c>
      <c r="AC15" s="192">
        <f xml:space="preserve"> 'Bron - cao''s 2025'!$I$19</f>
        <v>6575</v>
      </c>
      <c r="AE15" s="137">
        <f xml:space="preserve"> 'Bron - cao''s 2025'!$F$33</f>
        <v>3887.75</v>
      </c>
      <c r="AF15" s="138">
        <f xml:space="preserve"> 'Bron - cao''s 2025'!$F$34</f>
        <v>4223.16</v>
      </c>
      <c r="AG15" s="138">
        <f xml:space="preserve"> 'Bron - cao''s 2025'!F$35</f>
        <v>4601.3100000000004</v>
      </c>
      <c r="AH15" s="138">
        <f xml:space="preserve"> 'Bron - cao''s 2025'!F$37</f>
        <v>5793.72</v>
      </c>
      <c r="AI15" s="120"/>
      <c r="AK15" s="137">
        <f xml:space="preserve"> 'Bron - cao''s 2025'!$I$32</f>
        <v>4140</v>
      </c>
      <c r="AL15" s="141">
        <f xml:space="preserve"> 'Bron - cao''s 2025'!$I$33</f>
        <v>4523</v>
      </c>
      <c r="AM15" s="138">
        <f xml:space="preserve"> 'Bron - cao''s 2025'!$I$34</f>
        <v>4983</v>
      </c>
      <c r="AN15" s="141">
        <f xml:space="preserve"> 'Bron - cao''s 2025'!$I$35</f>
        <v>5512</v>
      </c>
      <c r="AO15" s="192">
        <f xml:space="preserve"> 'Bron - cao''s 2025'!$I$36</f>
        <v>6107</v>
      </c>
      <c r="AQ15" s="137">
        <f xml:space="preserve"> 'Bron - cao''s 2025'!$I$32</f>
        <v>4140</v>
      </c>
      <c r="AR15" s="141">
        <f xml:space="preserve"> 'Bron - cao''s 2025'!$I$33</f>
        <v>4523</v>
      </c>
      <c r="AS15" s="138">
        <f xml:space="preserve"> 'Bron - cao''s 2025'!$I$34</f>
        <v>4983</v>
      </c>
      <c r="AT15" s="141">
        <f xml:space="preserve"> 'Bron - cao''s 2025'!$I$35</f>
        <v>5512</v>
      </c>
      <c r="AU15" s="192">
        <f xml:space="preserve"> 'Bron - cao''s 2025'!$I$36</f>
        <v>6107</v>
      </c>
      <c r="AW15" s="137">
        <f>'Bron - cao''s 2025'!L13</f>
        <v>3337.94</v>
      </c>
      <c r="AX15" s="141">
        <f>'Bron - cao''s 2025'!L15</f>
        <v>3944.48</v>
      </c>
      <c r="AY15" s="119"/>
      <c r="AZ15" s="119"/>
      <c r="BA15" s="192"/>
      <c r="BC15" s="371">
        <f>'Bron - cao''s 2025'!F14</f>
        <v>3682</v>
      </c>
      <c r="BD15" s="138">
        <f xml:space="preserve"> 'Bron - cao''s 2025'!$F$15</f>
        <v>4017</v>
      </c>
      <c r="BE15" s="138">
        <f>'Bron - cao''s 2025'!F16</f>
        <v>4434</v>
      </c>
      <c r="BF15" s="138">
        <f>'Bron - cao''s 2025'!F17</f>
        <v>4977</v>
      </c>
      <c r="BG15" s="139">
        <f xml:space="preserve"> 'Bron - cao''s 2025'!$F$18</f>
        <v>5548</v>
      </c>
      <c r="BH15" s="10"/>
      <c r="BI15" s="137">
        <f>'Bron - cao''s 2025'!$I$13</f>
        <v>3427</v>
      </c>
      <c r="BJ15" s="138">
        <f>'Bron - cao''s 2025'!$I$14</f>
        <v>3678</v>
      </c>
      <c r="BK15" s="138">
        <f xml:space="preserve"> 'Bron - cao''s 2025'!$I$15</f>
        <v>4017</v>
      </c>
      <c r="BL15" s="138">
        <f xml:space="preserve"> 'Bron - cao''s 2025'!$I$16</f>
        <v>4436</v>
      </c>
      <c r="BM15" s="192">
        <f>'Bron - cao''s 2025'!I19</f>
        <v>6575</v>
      </c>
      <c r="BO15" s="137">
        <f xml:space="preserve"> 'Bron - cao''s 2025'!$I$32</f>
        <v>4140</v>
      </c>
      <c r="BP15" s="141">
        <f xml:space="preserve"> 'Bron - cao''s 2025'!$I$33</f>
        <v>4523</v>
      </c>
      <c r="BQ15" s="138">
        <f xml:space="preserve"> 'Bron - cao''s 2025'!$I$34</f>
        <v>4983</v>
      </c>
      <c r="BR15" s="141">
        <f xml:space="preserve"> 'Bron - cao''s 2025'!$I$35</f>
        <v>5512</v>
      </c>
      <c r="BS15" s="192">
        <f xml:space="preserve"> 'Bron - cao''s 2025'!$I$36</f>
        <v>6107</v>
      </c>
      <c r="BU15" s="137">
        <f>'Bron - cao''s 2025'!L13</f>
        <v>3337.94</v>
      </c>
      <c r="BV15" s="141">
        <f>'Bron - cao''s 2025'!L15</f>
        <v>3944.48</v>
      </c>
      <c r="BW15" s="119"/>
      <c r="BX15" s="119"/>
      <c r="BY15" s="192"/>
      <c r="BZ15" s="340"/>
      <c r="CA15" s="371">
        <f>'Bron - cao''s 2025'!F14</f>
        <v>3682</v>
      </c>
      <c r="CB15" s="138">
        <f xml:space="preserve"> 'Bron - cao''s 2025'!$F$15</f>
        <v>4017</v>
      </c>
      <c r="CC15" s="138">
        <f>'Bron - cao''s 2025'!$F$16</f>
        <v>4434</v>
      </c>
      <c r="CD15" s="138">
        <f>'Bron - cao''s 2025'!$F$17</f>
        <v>4977</v>
      </c>
      <c r="CE15" s="139">
        <f xml:space="preserve"> 'Bron - cao''s 2025'!$F$18</f>
        <v>5548</v>
      </c>
      <c r="CF15" s="10"/>
      <c r="CG15" s="137">
        <f>'Bron - cao''s 2025'!$I$13</f>
        <v>3427</v>
      </c>
      <c r="CH15" s="138">
        <f>'Bron - cao''s 2025'!I14</f>
        <v>3678</v>
      </c>
      <c r="CI15" s="138">
        <f>'Bron - cao''s 2025'!I15</f>
        <v>4017</v>
      </c>
      <c r="CJ15" s="138">
        <f>'Bron - cao''s 2025'!I16</f>
        <v>4436</v>
      </c>
      <c r="CK15" s="192">
        <f>'Bron - cao''s 2025'!I19</f>
        <v>6575</v>
      </c>
      <c r="CM15" s="137">
        <f xml:space="preserve"> 'Bron - cao''s 2025'!F$33</f>
        <v>3887.75</v>
      </c>
      <c r="CN15" s="138">
        <f>'Bron - cao''s 2025'!F34</f>
        <v>4223.16</v>
      </c>
      <c r="CO15" s="138">
        <f>'Bron - cao''s 2025'!F35</f>
        <v>4601.3100000000004</v>
      </c>
      <c r="CP15" s="138">
        <f>'Bron - cao''s 2025'!F37</f>
        <v>5793.72</v>
      </c>
      <c r="CQ15" s="120"/>
      <c r="CS15" s="137">
        <f xml:space="preserve"> 'Bron - cao''s 2025'!$I$32</f>
        <v>4140</v>
      </c>
      <c r="CT15" s="141">
        <f xml:space="preserve"> 'Bron - cao''s 2025'!$I$33</f>
        <v>4523</v>
      </c>
      <c r="CU15" s="138">
        <f xml:space="preserve"> 'Bron - cao''s 2025'!$I$34</f>
        <v>4983</v>
      </c>
      <c r="CV15" s="141">
        <f xml:space="preserve"> 'Bron - cao''s 2025'!$I$35</f>
        <v>5512</v>
      </c>
      <c r="CW15" s="192">
        <f xml:space="preserve"> 'Bron - cao''s 2025'!$I$36</f>
        <v>6107</v>
      </c>
      <c r="CY15" s="567">
        <f xml:space="preserve"> 'Bron - cao''s 2025'!F$11</f>
        <v>2990</v>
      </c>
      <c r="CZ15" s="138">
        <f xml:space="preserve"> 'Bron - cao''s 2025'!$F$15</f>
        <v>4017</v>
      </c>
      <c r="DA15" s="138"/>
      <c r="DB15" s="138"/>
      <c r="DC15" s="139"/>
      <c r="DD15" s="10"/>
      <c r="DE15" s="409">
        <f>'Bron - cao''s 2025'!I29</f>
        <v>3259</v>
      </c>
      <c r="DF15" s="411">
        <f>'Bron - cao''s 2025'!I34</f>
        <v>4983</v>
      </c>
      <c r="DG15" s="411"/>
      <c r="DH15" s="410"/>
      <c r="DI15" s="412"/>
      <c r="DK15" s="137">
        <f xml:space="preserve"> 'Bron - cao''s 2025'!$L$11</f>
        <v>3003.86</v>
      </c>
      <c r="DL15" s="138">
        <f xml:space="preserve"> 'Bron - cao''s 2025'!$L$12</f>
        <v>3088.94</v>
      </c>
      <c r="DM15" s="138">
        <f xml:space="preserve"> 'Bron - cao''s 2025'!$L$13</f>
        <v>3337.94</v>
      </c>
      <c r="DN15" s="138">
        <f xml:space="preserve"> 'Bron - cao''s 2025'!$L$14</f>
        <v>3590.14</v>
      </c>
      <c r="DO15" s="412">
        <f>'Bron - cao''s 2025'!$L$15</f>
        <v>3944.48</v>
      </c>
    </row>
    <row r="16" spans="1:121" s="226" customFormat="1" x14ac:dyDescent="0.3">
      <c r="A16" s="224"/>
      <c r="B16" s="225"/>
      <c r="C16" s="224"/>
      <c r="E16" s="227" t="s">
        <v>49</v>
      </c>
      <c r="F16" s="228" t="s">
        <v>50</v>
      </c>
      <c r="G16" s="230">
        <v>0.9</v>
      </c>
      <c r="H16" s="26">
        <v>0.9</v>
      </c>
      <c r="I16" s="26">
        <v>0.9</v>
      </c>
      <c r="J16" s="26">
        <v>0.9</v>
      </c>
      <c r="K16" s="229">
        <v>0.9</v>
      </c>
      <c r="L16" s="235"/>
      <c r="M16" s="26">
        <v>0.9</v>
      </c>
      <c r="N16" s="26">
        <v>0.9</v>
      </c>
      <c r="O16" s="26">
        <v>0.9</v>
      </c>
      <c r="P16" s="26">
        <v>0.9</v>
      </c>
      <c r="Q16" s="229">
        <v>0.9</v>
      </c>
      <c r="R16" s="227"/>
      <c r="S16" s="230">
        <v>0.9</v>
      </c>
      <c r="T16" s="26">
        <v>0.9</v>
      </c>
      <c r="U16" s="26">
        <v>0.9</v>
      </c>
      <c r="V16" s="26">
        <v>0.9</v>
      </c>
      <c r="W16" s="229">
        <v>0.9</v>
      </c>
      <c r="X16" s="227"/>
      <c r="Y16" s="230">
        <v>0.9</v>
      </c>
      <c r="Z16" s="26">
        <v>0.9</v>
      </c>
      <c r="AA16" s="26">
        <v>0.9</v>
      </c>
      <c r="AB16" s="26">
        <v>0.9</v>
      </c>
      <c r="AC16" s="229">
        <v>0.9</v>
      </c>
      <c r="AD16" s="227"/>
      <c r="AE16" s="230">
        <v>0.9</v>
      </c>
      <c r="AF16" s="26">
        <v>0.9</v>
      </c>
      <c r="AG16" s="26">
        <v>0.9</v>
      </c>
      <c r="AH16" s="26">
        <v>0.9</v>
      </c>
      <c r="AI16" s="229">
        <v>0.9</v>
      </c>
      <c r="AJ16" s="227"/>
      <c r="AK16" s="230">
        <v>0.9</v>
      </c>
      <c r="AL16" s="26">
        <v>0.9</v>
      </c>
      <c r="AM16" s="26">
        <v>0.9</v>
      </c>
      <c r="AN16" s="26">
        <v>0.9</v>
      </c>
      <c r="AO16" s="229">
        <v>0.9</v>
      </c>
      <c r="AP16" s="227"/>
      <c r="AQ16" s="230">
        <v>0.9</v>
      </c>
      <c r="AR16" s="26">
        <v>0.9</v>
      </c>
      <c r="AS16" s="26">
        <v>0.9</v>
      </c>
      <c r="AT16" s="26">
        <v>0.9</v>
      </c>
      <c r="AU16" s="229">
        <v>0.9</v>
      </c>
      <c r="AV16" s="227"/>
      <c r="AW16" s="230">
        <v>0.9</v>
      </c>
      <c r="AX16" s="26">
        <v>0.9</v>
      </c>
      <c r="AY16" s="26">
        <v>0.9</v>
      </c>
      <c r="AZ16" s="26">
        <v>0.9</v>
      </c>
      <c r="BA16" s="229">
        <v>0.9</v>
      </c>
      <c r="BC16" s="230">
        <v>0.9</v>
      </c>
      <c r="BD16" s="26">
        <v>0.9</v>
      </c>
      <c r="BE16" s="26">
        <v>0.9</v>
      </c>
      <c r="BF16" s="26">
        <v>0.9</v>
      </c>
      <c r="BG16" s="229">
        <v>0.9</v>
      </c>
      <c r="BH16" s="235"/>
      <c r="BI16" s="230">
        <v>0.9</v>
      </c>
      <c r="BJ16" s="26">
        <v>0.9</v>
      </c>
      <c r="BK16" s="26">
        <v>0.9</v>
      </c>
      <c r="BL16" s="26">
        <v>0.9</v>
      </c>
      <c r="BM16" s="229">
        <v>0.9</v>
      </c>
      <c r="BN16" s="227"/>
      <c r="BO16" s="230">
        <v>0.9</v>
      </c>
      <c r="BP16" s="26">
        <v>0.9</v>
      </c>
      <c r="BQ16" s="26">
        <v>0.9</v>
      </c>
      <c r="BR16" s="26">
        <v>0.9</v>
      </c>
      <c r="BS16" s="229">
        <v>0.9</v>
      </c>
      <c r="BT16" s="227"/>
      <c r="BU16" s="230">
        <v>0.9</v>
      </c>
      <c r="BV16" s="26">
        <v>0.9</v>
      </c>
      <c r="BW16" s="26">
        <v>0.9</v>
      </c>
      <c r="BX16" s="26">
        <v>0.9</v>
      </c>
      <c r="BY16" s="229">
        <v>0.9</v>
      </c>
      <c r="BZ16" s="314"/>
      <c r="CA16" s="230">
        <v>0.9</v>
      </c>
      <c r="CB16" s="26">
        <v>0.9</v>
      </c>
      <c r="CC16" s="26">
        <v>0.9</v>
      </c>
      <c r="CD16" s="26">
        <v>0.9</v>
      </c>
      <c r="CE16" s="229">
        <v>0.9</v>
      </c>
      <c r="CF16" s="235"/>
      <c r="CG16" s="230">
        <v>0.9</v>
      </c>
      <c r="CH16" s="26">
        <v>0.9</v>
      </c>
      <c r="CI16" s="26">
        <v>0.9</v>
      </c>
      <c r="CJ16" s="26">
        <v>0.9</v>
      </c>
      <c r="CK16" s="229">
        <v>0.9</v>
      </c>
      <c r="CL16" s="227"/>
      <c r="CM16" s="230">
        <v>0.9</v>
      </c>
      <c r="CN16" s="26">
        <v>0.9</v>
      </c>
      <c r="CO16" s="26">
        <v>0.9</v>
      </c>
      <c r="CP16" s="26">
        <v>0.9</v>
      </c>
      <c r="CQ16" s="229">
        <v>0.9</v>
      </c>
      <c r="CR16" s="227"/>
      <c r="CS16" s="230">
        <v>0.9</v>
      </c>
      <c r="CT16" s="26">
        <v>0.9</v>
      </c>
      <c r="CU16" s="26">
        <v>0.9</v>
      </c>
      <c r="CV16" s="26">
        <v>0.9</v>
      </c>
      <c r="CW16" s="229">
        <v>0.9</v>
      </c>
      <c r="CX16" s="227"/>
      <c r="CY16" s="230">
        <v>0.9</v>
      </c>
      <c r="CZ16" s="26">
        <v>0.9</v>
      </c>
      <c r="DA16" s="26">
        <v>0.9</v>
      </c>
      <c r="DB16" s="26">
        <v>0.9</v>
      </c>
      <c r="DC16" s="229">
        <v>0.9</v>
      </c>
      <c r="DD16" s="235"/>
      <c r="DE16" s="413">
        <v>0.9</v>
      </c>
      <c r="DF16" s="414">
        <v>0.9</v>
      </c>
      <c r="DG16" s="414">
        <v>0.9</v>
      </c>
      <c r="DH16" s="414">
        <v>0.9</v>
      </c>
      <c r="DI16" s="233">
        <v>0.9</v>
      </c>
      <c r="DK16" s="413">
        <v>0.9</v>
      </c>
      <c r="DL16" s="26">
        <v>0.9</v>
      </c>
      <c r="DM16" s="26">
        <v>0.9</v>
      </c>
      <c r="DN16" s="26">
        <v>0.9</v>
      </c>
      <c r="DO16" s="233">
        <v>0.9</v>
      </c>
    </row>
    <row r="17" spans="1:120" s="226" customFormat="1" x14ac:dyDescent="0.3">
      <c r="A17" s="224"/>
      <c r="B17" s="225"/>
      <c r="C17" s="224"/>
      <c r="E17" s="227" t="s">
        <v>51</v>
      </c>
      <c r="F17" s="228" t="s">
        <v>52</v>
      </c>
      <c r="G17" s="230">
        <v>0.01</v>
      </c>
      <c r="H17" s="26">
        <v>0.01</v>
      </c>
      <c r="I17" s="26">
        <v>0.01</v>
      </c>
      <c r="J17" s="26">
        <v>0.01</v>
      </c>
      <c r="K17" s="229">
        <v>0.01</v>
      </c>
      <c r="L17" s="235"/>
      <c r="M17" s="230">
        <v>0.01</v>
      </c>
      <c r="N17" s="26">
        <v>0.01</v>
      </c>
      <c r="O17" s="26">
        <v>0.01</v>
      </c>
      <c r="P17" s="26">
        <v>0.01</v>
      </c>
      <c r="Q17" s="229">
        <v>0.01</v>
      </c>
      <c r="R17" s="227"/>
      <c r="S17" s="230">
        <v>0.01</v>
      </c>
      <c r="T17" s="26">
        <v>0.01</v>
      </c>
      <c r="U17" s="26">
        <v>0.01</v>
      </c>
      <c r="V17" s="26">
        <v>0.01</v>
      </c>
      <c r="W17" s="229">
        <v>0.01</v>
      </c>
      <c r="X17" s="227"/>
      <c r="Y17" s="230">
        <v>0.01</v>
      </c>
      <c r="Z17" s="26">
        <v>0.01</v>
      </c>
      <c r="AA17" s="26">
        <v>0.01</v>
      </c>
      <c r="AB17" s="26">
        <v>0.01</v>
      </c>
      <c r="AC17" s="229">
        <v>0.01</v>
      </c>
      <c r="AD17" s="227"/>
      <c r="AE17" s="230">
        <v>0.01</v>
      </c>
      <c r="AF17" s="26">
        <v>0.01</v>
      </c>
      <c r="AG17" s="26">
        <v>0.01</v>
      </c>
      <c r="AH17" s="26">
        <v>0.01</v>
      </c>
      <c r="AI17" s="229">
        <v>0.01</v>
      </c>
      <c r="AJ17" s="227"/>
      <c r="AK17" s="230">
        <v>0.01</v>
      </c>
      <c r="AL17" s="26">
        <v>0.01</v>
      </c>
      <c r="AM17" s="26">
        <v>0.01</v>
      </c>
      <c r="AN17" s="26">
        <v>0.01</v>
      </c>
      <c r="AO17" s="229">
        <v>0.01</v>
      </c>
      <c r="AP17" s="227"/>
      <c r="AQ17" s="230">
        <v>0.01</v>
      </c>
      <c r="AR17" s="26">
        <v>0.01</v>
      </c>
      <c r="AS17" s="26">
        <v>0.01</v>
      </c>
      <c r="AT17" s="26">
        <v>0.01</v>
      </c>
      <c r="AU17" s="229">
        <v>0.01</v>
      </c>
      <c r="AV17" s="227"/>
      <c r="AW17" s="230"/>
      <c r="AX17" s="26"/>
      <c r="AY17" s="26"/>
      <c r="AZ17" s="26"/>
      <c r="BA17" s="229"/>
      <c r="BC17" s="230">
        <v>0.01</v>
      </c>
      <c r="BD17" s="26">
        <v>0.01</v>
      </c>
      <c r="BE17" s="26">
        <v>0.01</v>
      </c>
      <c r="BF17" s="26">
        <v>0.01</v>
      </c>
      <c r="BG17" s="229">
        <v>0.01</v>
      </c>
      <c r="BH17" s="235"/>
      <c r="BI17" s="230">
        <v>0.01</v>
      </c>
      <c r="BJ17" s="26">
        <v>0.01</v>
      </c>
      <c r="BK17" s="26">
        <v>0.01</v>
      </c>
      <c r="BL17" s="26">
        <v>0.01</v>
      </c>
      <c r="BM17" s="229">
        <v>0.01</v>
      </c>
      <c r="BN17" s="227"/>
      <c r="BO17" s="230">
        <v>0.01</v>
      </c>
      <c r="BP17" s="26">
        <v>0.01</v>
      </c>
      <c r="BQ17" s="26">
        <v>0.01</v>
      </c>
      <c r="BR17" s="26">
        <v>0.01</v>
      </c>
      <c r="BS17" s="229">
        <v>0.01</v>
      </c>
      <c r="BT17" s="227"/>
      <c r="BU17" s="230"/>
      <c r="BV17" s="26"/>
      <c r="BW17" s="26"/>
      <c r="BX17" s="26"/>
      <c r="BY17" s="229"/>
      <c r="BZ17" s="314"/>
      <c r="CA17" s="230">
        <v>0.01</v>
      </c>
      <c r="CB17" s="26">
        <v>0.01</v>
      </c>
      <c r="CC17" s="26">
        <v>0.01</v>
      </c>
      <c r="CD17" s="26">
        <v>0.01</v>
      </c>
      <c r="CE17" s="229">
        <v>0.01</v>
      </c>
      <c r="CF17" s="235"/>
      <c r="CG17" s="230">
        <v>0.01</v>
      </c>
      <c r="CH17" s="26">
        <v>0.01</v>
      </c>
      <c r="CI17" s="26">
        <v>0.01</v>
      </c>
      <c r="CJ17" s="26">
        <v>0.01</v>
      </c>
      <c r="CK17" s="229">
        <v>0.01</v>
      </c>
      <c r="CL17" s="227"/>
      <c r="CM17" s="230">
        <v>0.01</v>
      </c>
      <c r="CN17" s="26">
        <v>0.01</v>
      </c>
      <c r="CO17" s="26">
        <v>0.01</v>
      </c>
      <c r="CP17" s="26">
        <v>0.01</v>
      </c>
      <c r="CQ17" s="229">
        <v>0.01</v>
      </c>
      <c r="CR17" s="227"/>
      <c r="CS17" s="230">
        <v>0.01</v>
      </c>
      <c r="CT17" s="26">
        <v>0.01</v>
      </c>
      <c r="CU17" s="26">
        <v>0.01</v>
      </c>
      <c r="CV17" s="26">
        <v>0.01</v>
      </c>
      <c r="CW17" s="229">
        <v>0.01</v>
      </c>
      <c r="CX17" s="227"/>
      <c r="CY17" s="130">
        <v>4.8000000000000001E-2</v>
      </c>
      <c r="CZ17" s="131">
        <v>4.8000000000000001E-2</v>
      </c>
      <c r="DA17" s="131">
        <v>4.8000000000000001E-2</v>
      </c>
      <c r="DB17" s="131">
        <v>4.8000000000000001E-2</v>
      </c>
      <c r="DC17" s="132">
        <v>4.8000000000000001E-2</v>
      </c>
      <c r="DD17" s="235"/>
      <c r="DE17" s="130">
        <v>4.8000000000000001E-2</v>
      </c>
      <c r="DF17" s="131">
        <v>4.8000000000000001E-2</v>
      </c>
      <c r="DG17" s="131">
        <v>4.8000000000000001E-2</v>
      </c>
      <c r="DH17" s="131">
        <v>4.8000000000000001E-2</v>
      </c>
      <c r="DI17" s="132">
        <v>4.8000000000000001E-2</v>
      </c>
      <c r="DK17" s="130">
        <v>4.8000000000000001E-2</v>
      </c>
      <c r="DL17" s="131">
        <v>4.8000000000000001E-2</v>
      </c>
      <c r="DM17" s="131">
        <v>4.8000000000000001E-2</v>
      </c>
      <c r="DN17" s="131">
        <v>4.8000000000000001E-2</v>
      </c>
      <c r="DO17" s="132">
        <v>4.8000000000000001E-2</v>
      </c>
    </row>
    <row r="18" spans="1:120" s="8" customFormat="1" x14ac:dyDescent="0.3">
      <c r="A18" s="72"/>
      <c r="B18" s="105"/>
      <c r="C18" s="94"/>
      <c r="D18" s="65"/>
      <c r="E18" s="63" t="s">
        <v>53</v>
      </c>
      <c r="F18" s="86" t="s">
        <v>52</v>
      </c>
      <c r="G18" s="370">
        <v>8.3299999999999999E-2</v>
      </c>
      <c r="H18" s="362">
        <v>8.3299999999999999E-2</v>
      </c>
      <c r="I18" s="362">
        <v>8.3299999999999999E-2</v>
      </c>
      <c r="J18" s="362">
        <v>8.3299999999999999E-2</v>
      </c>
      <c r="K18" s="363">
        <v>8.3299999999999999E-2</v>
      </c>
      <c r="L18" s="80"/>
      <c r="M18" s="362">
        <v>8.3299999999999999E-2</v>
      </c>
      <c r="N18" s="362">
        <v>8.3299999999999999E-2</v>
      </c>
      <c r="O18" s="362">
        <v>8.3299999999999999E-2</v>
      </c>
      <c r="P18" s="362">
        <v>8.3299999999999999E-2</v>
      </c>
      <c r="Q18" s="363">
        <v>8.3299999999999999E-2</v>
      </c>
      <c r="R18" s="67"/>
      <c r="S18" s="221">
        <v>0.08</v>
      </c>
      <c r="T18" s="222">
        <v>0.08</v>
      </c>
      <c r="U18" s="222">
        <v>0.08</v>
      </c>
      <c r="V18" s="222">
        <v>0.08</v>
      </c>
      <c r="W18" s="223">
        <v>0.08</v>
      </c>
      <c r="X18" s="67"/>
      <c r="Y18" s="221">
        <v>0.08</v>
      </c>
      <c r="Z18" s="222">
        <v>0.08</v>
      </c>
      <c r="AA18" s="222">
        <v>0.08</v>
      </c>
      <c r="AB18" s="222">
        <v>0.08</v>
      </c>
      <c r="AC18" s="223">
        <v>0.08</v>
      </c>
      <c r="AD18" s="67"/>
      <c r="AE18" s="221">
        <v>0.08</v>
      </c>
      <c r="AF18" s="222">
        <v>0.08</v>
      </c>
      <c r="AG18" s="222">
        <v>0.08</v>
      </c>
      <c r="AH18" s="222">
        <v>0.08</v>
      </c>
      <c r="AI18" s="223">
        <v>0.08</v>
      </c>
      <c r="AJ18" s="67"/>
      <c r="AK18" s="221">
        <v>0.08</v>
      </c>
      <c r="AL18" s="222">
        <v>0.08</v>
      </c>
      <c r="AM18" s="222">
        <v>0.08</v>
      </c>
      <c r="AN18" s="222">
        <v>0.08</v>
      </c>
      <c r="AO18" s="223">
        <v>0.08</v>
      </c>
      <c r="AP18" s="67"/>
      <c r="AQ18" s="221">
        <v>0.08</v>
      </c>
      <c r="AR18" s="222">
        <v>0.08</v>
      </c>
      <c r="AS18" s="222">
        <v>0.08</v>
      </c>
      <c r="AT18" s="222">
        <v>0.08</v>
      </c>
      <c r="AU18" s="223">
        <v>0.08</v>
      </c>
      <c r="AV18" s="67"/>
      <c r="AW18" s="221">
        <v>0.08</v>
      </c>
      <c r="AX18" s="222">
        <v>0.08</v>
      </c>
      <c r="AY18" s="222">
        <v>0.08</v>
      </c>
      <c r="AZ18" s="222">
        <v>0.08</v>
      </c>
      <c r="BA18" s="223">
        <v>0.08</v>
      </c>
      <c r="BC18" s="370">
        <v>8.3299999999999999E-2</v>
      </c>
      <c r="BD18" s="362">
        <v>8.3299999999999999E-2</v>
      </c>
      <c r="BE18" s="362">
        <v>8.3299999999999999E-2</v>
      </c>
      <c r="BF18" s="362">
        <v>8.3299999999999999E-2</v>
      </c>
      <c r="BG18" s="363">
        <v>8.3299999999999999E-2</v>
      </c>
      <c r="BH18" s="80"/>
      <c r="BI18" s="221">
        <v>0.08</v>
      </c>
      <c r="BJ18" s="222">
        <v>0.08</v>
      </c>
      <c r="BK18" s="222">
        <v>0.08</v>
      </c>
      <c r="BL18" s="222">
        <v>0.08</v>
      </c>
      <c r="BM18" s="223">
        <v>0.08</v>
      </c>
      <c r="BN18" s="67"/>
      <c r="BO18" s="221">
        <v>0.08</v>
      </c>
      <c r="BP18" s="222">
        <v>0.08</v>
      </c>
      <c r="BQ18" s="222">
        <v>0.08</v>
      </c>
      <c r="BR18" s="222">
        <v>0.08</v>
      </c>
      <c r="BS18" s="223">
        <v>0.08</v>
      </c>
      <c r="BT18" s="67"/>
      <c r="BU18" s="221">
        <v>0.08</v>
      </c>
      <c r="BV18" s="222">
        <v>0.08</v>
      </c>
      <c r="BW18" s="222">
        <v>0.08</v>
      </c>
      <c r="BX18" s="222">
        <v>0.08</v>
      </c>
      <c r="BY18" s="223">
        <v>0.08</v>
      </c>
      <c r="BZ18" s="339"/>
      <c r="CA18" s="370">
        <v>8.3299999999999999E-2</v>
      </c>
      <c r="CB18" s="362">
        <v>8.3299999999999999E-2</v>
      </c>
      <c r="CC18" s="362">
        <v>8.3299999999999999E-2</v>
      </c>
      <c r="CD18" s="362">
        <v>8.3299999999999999E-2</v>
      </c>
      <c r="CE18" s="363">
        <v>8.3299999999999999E-2</v>
      </c>
      <c r="CF18" s="80"/>
      <c r="CG18" s="221">
        <v>0.08</v>
      </c>
      <c r="CH18" s="222">
        <v>0.08</v>
      </c>
      <c r="CI18" s="222">
        <v>0.08</v>
      </c>
      <c r="CJ18" s="222">
        <v>0.08</v>
      </c>
      <c r="CK18" s="223">
        <v>0.08</v>
      </c>
      <c r="CL18" s="67"/>
      <c r="CM18" s="221">
        <v>0.08</v>
      </c>
      <c r="CN18" s="222">
        <v>0.08</v>
      </c>
      <c r="CO18" s="222">
        <v>0.08</v>
      </c>
      <c r="CP18" s="222">
        <v>0.08</v>
      </c>
      <c r="CQ18" s="223">
        <v>0.08</v>
      </c>
      <c r="CR18" s="67"/>
      <c r="CS18" s="221">
        <v>0.08</v>
      </c>
      <c r="CT18" s="222">
        <v>0.08</v>
      </c>
      <c r="CU18" s="222">
        <v>0.08</v>
      </c>
      <c r="CV18" s="222">
        <v>0.08</v>
      </c>
      <c r="CW18" s="223">
        <v>0.08</v>
      </c>
      <c r="CX18" s="67"/>
      <c r="CY18" s="370">
        <v>8.3299999999999999E-2</v>
      </c>
      <c r="CZ18" s="362">
        <v>8.3299999999999999E-2</v>
      </c>
      <c r="DA18" s="362">
        <v>8.3299999999999999E-2</v>
      </c>
      <c r="DB18" s="362">
        <v>8.3299999999999999E-2</v>
      </c>
      <c r="DC18" s="363">
        <v>8.3299999999999999E-2</v>
      </c>
      <c r="DD18" s="80"/>
      <c r="DE18" s="401">
        <v>0.08</v>
      </c>
      <c r="DF18" s="402">
        <v>0.08</v>
      </c>
      <c r="DG18" s="402">
        <v>0.08</v>
      </c>
      <c r="DH18" s="402">
        <v>0.08</v>
      </c>
      <c r="DI18" s="403">
        <v>0.08</v>
      </c>
      <c r="DK18" s="221">
        <v>0.08</v>
      </c>
      <c r="DL18" s="222">
        <v>0.08</v>
      </c>
      <c r="DM18" s="222">
        <v>0.08</v>
      </c>
      <c r="DN18" s="222">
        <v>0.08</v>
      </c>
      <c r="DO18" s="403">
        <v>0.08</v>
      </c>
    </row>
    <row r="19" spans="1:120" s="8" customFormat="1" x14ac:dyDescent="0.3">
      <c r="A19" s="72"/>
      <c r="B19" s="105"/>
      <c r="C19" s="94"/>
      <c r="D19" s="65"/>
      <c r="E19" s="63" t="s">
        <v>54</v>
      </c>
      <c r="F19" s="86" t="s">
        <v>55</v>
      </c>
      <c r="G19" s="370">
        <v>8.3299999999999999E-2</v>
      </c>
      <c r="H19" s="362">
        <v>8.3299999999999999E-2</v>
      </c>
      <c r="I19" s="362">
        <v>8.3299999999999999E-2</v>
      </c>
      <c r="J19" s="362">
        <v>8.3299999999999999E-2</v>
      </c>
      <c r="K19" s="363">
        <v>8.3299999999999999E-2</v>
      </c>
      <c r="L19" s="135"/>
      <c r="M19" s="362">
        <v>8.3299999999999999E-2</v>
      </c>
      <c r="N19" s="362">
        <v>8.3299999999999999E-2</v>
      </c>
      <c r="O19" s="362">
        <v>8.3299999999999999E-2</v>
      </c>
      <c r="P19" s="362">
        <v>8.3299999999999999E-2</v>
      </c>
      <c r="Q19" s="363">
        <v>8.3299999999999999E-2</v>
      </c>
      <c r="R19" s="68"/>
      <c r="S19" s="364">
        <v>8.3299999999999999E-2</v>
      </c>
      <c r="T19" s="362">
        <v>8.3299999999999999E-2</v>
      </c>
      <c r="U19" s="362">
        <v>8.3299999999999999E-2</v>
      </c>
      <c r="V19" s="362">
        <v>8.3299999999999999E-2</v>
      </c>
      <c r="W19" s="363">
        <v>8.3299999999999999E-2</v>
      </c>
      <c r="X19" s="68"/>
      <c r="Y19" s="364">
        <v>8.3299999999999999E-2</v>
      </c>
      <c r="Z19" s="362">
        <v>8.3299999999999999E-2</v>
      </c>
      <c r="AA19" s="362">
        <v>8.3299999999999999E-2</v>
      </c>
      <c r="AB19" s="362">
        <v>8.3299999999999999E-2</v>
      </c>
      <c r="AC19" s="363">
        <v>8.3299999999999999E-2</v>
      </c>
      <c r="AD19" s="68"/>
      <c r="AE19" s="364">
        <v>8.3299999999999999E-2</v>
      </c>
      <c r="AF19" s="362">
        <v>8.3299999999999999E-2</v>
      </c>
      <c r="AG19" s="362">
        <v>8.3299999999999999E-2</v>
      </c>
      <c r="AH19" s="362">
        <v>8.3299999999999999E-2</v>
      </c>
      <c r="AI19" s="363">
        <v>8.3299999999999999E-2</v>
      </c>
      <c r="AJ19" s="68"/>
      <c r="AK19" s="364">
        <f xml:space="preserve"> 8.3% + 0.1%</f>
        <v>8.4000000000000005E-2</v>
      </c>
      <c r="AL19" s="362">
        <f t="shared" ref="AL19:AO19" si="0" xml:space="preserve"> 8.3% + 0.1%</f>
        <v>8.4000000000000005E-2</v>
      </c>
      <c r="AM19" s="362">
        <f t="shared" si="0"/>
        <v>8.4000000000000005E-2</v>
      </c>
      <c r="AN19" s="362">
        <f t="shared" si="0"/>
        <v>8.4000000000000005E-2</v>
      </c>
      <c r="AO19" s="363">
        <f t="shared" si="0"/>
        <v>8.4000000000000005E-2</v>
      </c>
      <c r="AP19" s="68"/>
      <c r="AQ19" s="364">
        <f t="shared" ref="AQ19:AU19" si="1" xml:space="preserve"> 8.3% + 0.1%</f>
        <v>8.4000000000000005E-2</v>
      </c>
      <c r="AR19" s="362">
        <f t="shared" si="1"/>
        <v>8.4000000000000005E-2</v>
      </c>
      <c r="AS19" s="362">
        <f t="shared" si="1"/>
        <v>8.4000000000000005E-2</v>
      </c>
      <c r="AT19" s="362">
        <f t="shared" si="1"/>
        <v>8.4000000000000005E-2</v>
      </c>
      <c r="AU19" s="363">
        <f t="shared" si="1"/>
        <v>8.4000000000000005E-2</v>
      </c>
      <c r="AV19" s="68"/>
      <c r="AW19" s="364">
        <v>8.3299999999999999E-2</v>
      </c>
      <c r="AX19" s="362">
        <v>8.3299999999999999E-2</v>
      </c>
      <c r="AY19" s="362">
        <v>8.3299999999999999E-2</v>
      </c>
      <c r="AZ19" s="362">
        <v>8.3299999999999999E-2</v>
      </c>
      <c r="BA19" s="363">
        <v>8.3299999999999999E-2</v>
      </c>
      <c r="BC19" s="370">
        <v>8.3299999999999999E-2</v>
      </c>
      <c r="BD19" s="362">
        <v>8.3299999999999999E-2</v>
      </c>
      <c r="BE19" s="362">
        <v>8.3299999999999999E-2</v>
      </c>
      <c r="BF19" s="362">
        <v>8.3299999999999999E-2</v>
      </c>
      <c r="BG19" s="363">
        <v>8.3299999999999999E-2</v>
      </c>
      <c r="BH19" s="135"/>
      <c r="BI19" s="364">
        <v>8.3299999999999999E-2</v>
      </c>
      <c r="BJ19" s="362">
        <v>8.3299999999999999E-2</v>
      </c>
      <c r="BK19" s="362">
        <v>8.3299999999999999E-2</v>
      </c>
      <c r="BL19" s="362">
        <v>8.3299999999999999E-2</v>
      </c>
      <c r="BM19" s="363">
        <v>8.3299999999999999E-2</v>
      </c>
      <c r="BN19" s="68"/>
      <c r="BO19" s="364">
        <f t="shared" ref="BO19:BS19" si="2" xml:space="preserve"> 8.3% + 0.1%</f>
        <v>8.4000000000000005E-2</v>
      </c>
      <c r="BP19" s="362">
        <f t="shared" si="2"/>
        <v>8.4000000000000005E-2</v>
      </c>
      <c r="BQ19" s="362">
        <f t="shared" si="2"/>
        <v>8.4000000000000005E-2</v>
      </c>
      <c r="BR19" s="362">
        <f t="shared" si="2"/>
        <v>8.4000000000000005E-2</v>
      </c>
      <c r="BS19" s="363">
        <f t="shared" si="2"/>
        <v>8.4000000000000005E-2</v>
      </c>
      <c r="BT19" s="68"/>
      <c r="BU19" s="364">
        <v>8.3299999999999999E-2</v>
      </c>
      <c r="BV19" s="362">
        <v>8.3299999999999999E-2</v>
      </c>
      <c r="BW19" s="362">
        <v>8.3299999999999999E-2</v>
      </c>
      <c r="BX19" s="362">
        <v>8.3299999999999999E-2</v>
      </c>
      <c r="BY19" s="363">
        <v>8.3299999999999999E-2</v>
      </c>
      <c r="BZ19" s="341"/>
      <c r="CA19" s="370">
        <v>8.3299999999999999E-2</v>
      </c>
      <c r="CB19" s="362">
        <v>8.3299999999999999E-2</v>
      </c>
      <c r="CC19" s="362">
        <v>8.3299999999999999E-2</v>
      </c>
      <c r="CD19" s="362">
        <v>8.3299999999999999E-2</v>
      </c>
      <c r="CE19" s="363">
        <v>8.3299999999999999E-2</v>
      </c>
      <c r="CF19" s="135"/>
      <c r="CG19" s="364">
        <v>8.3299999999999999E-2</v>
      </c>
      <c r="CH19" s="362">
        <v>8.3299999999999999E-2</v>
      </c>
      <c r="CI19" s="362">
        <v>8.3299999999999999E-2</v>
      </c>
      <c r="CJ19" s="362">
        <v>8.3299999999999999E-2</v>
      </c>
      <c r="CK19" s="363">
        <v>8.3299999999999999E-2</v>
      </c>
      <c r="CL19" s="68"/>
      <c r="CM19" s="364">
        <v>8.3299999999999999E-2</v>
      </c>
      <c r="CN19" s="362">
        <v>8.3299999999999999E-2</v>
      </c>
      <c r="CO19" s="362">
        <v>8.3299999999999999E-2</v>
      </c>
      <c r="CP19" s="362">
        <v>8.3299999999999999E-2</v>
      </c>
      <c r="CQ19" s="363">
        <v>8.3299999999999999E-2</v>
      </c>
      <c r="CR19" s="68"/>
      <c r="CS19" s="364">
        <f t="shared" ref="CS19:CW19" si="3" xml:space="preserve"> 8.3% + 0.1%</f>
        <v>8.4000000000000005E-2</v>
      </c>
      <c r="CT19" s="362">
        <f t="shared" si="3"/>
        <v>8.4000000000000005E-2</v>
      </c>
      <c r="CU19" s="362">
        <f t="shared" si="3"/>
        <v>8.4000000000000005E-2</v>
      </c>
      <c r="CV19" s="362">
        <f t="shared" si="3"/>
        <v>8.4000000000000005E-2</v>
      </c>
      <c r="CW19" s="363">
        <f t="shared" si="3"/>
        <v>8.4000000000000005E-2</v>
      </c>
      <c r="CX19" s="68"/>
      <c r="CY19" s="370">
        <v>8.3299999999999999E-2</v>
      </c>
      <c r="CZ19" s="362">
        <v>8.3299999999999999E-2</v>
      </c>
      <c r="DA19" s="362">
        <v>8.3299999999999999E-2</v>
      </c>
      <c r="DB19" s="362">
        <v>8.3299999999999999E-2</v>
      </c>
      <c r="DC19" s="363">
        <v>8.3299999999999999E-2</v>
      </c>
      <c r="DD19" s="135"/>
      <c r="DE19" s="415">
        <f t="shared" ref="DE19:DI19" si="4" xml:space="preserve"> 8.3% + 0.1%</f>
        <v>8.4000000000000005E-2</v>
      </c>
      <c r="DF19" s="416">
        <f t="shared" si="4"/>
        <v>8.4000000000000005E-2</v>
      </c>
      <c r="DG19" s="416">
        <f t="shared" si="4"/>
        <v>8.4000000000000005E-2</v>
      </c>
      <c r="DH19" s="416">
        <f t="shared" si="4"/>
        <v>8.4000000000000005E-2</v>
      </c>
      <c r="DI19" s="417">
        <f t="shared" si="4"/>
        <v>8.4000000000000005E-2</v>
      </c>
      <c r="DK19" s="364">
        <v>8.3299999999999999E-2</v>
      </c>
      <c r="DL19" s="362">
        <v>8.3299999999999999E-2</v>
      </c>
      <c r="DM19" s="362">
        <v>8.3299999999999999E-2</v>
      </c>
      <c r="DN19" s="362">
        <v>8.3299999999999999E-2</v>
      </c>
      <c r="DO19" s="417">
        <v>8.3299999999999999E-2</v>
      </c>
    </row>
    <row r="20" spans="1:120" s="8" customFormat="1" x14ac:dyDescent="0.3">
      <c r="A20" s="72"/>
      <c r="B20" s="105"/>
      <c r="C20" s="94"/>
      <c r="D20" s="65"/>
      <c r="E20" s="87" t="s">
        <v>56</v>
      </c>
      <c r="F20" s="87" t="s">
        <v>48</v>
      </c>
      <c r="G20" s="372">
        <f xml:space="preserve"> IF($G14= "% jaarsalaris INCL. VU", G15 * 12 * G16 * ( 1 + G17 ) * ( 1 + G18 ) * ( 1 + G19 ),  G15 * 12 * G16 * ( 1 + G17 ) * ( 1 + G18 ) + G15 * 12 * G16 * ( 1 + G17 )* ( G19 ) )</f>
        <v>46854.454449600002</v>
      </c>
      <c r="H20" s="89">
        <f xml:space="preserve"> IF($G14= "% jaarsalaris INCL. VU", H15 * 12 * H16 * ( 1 + H17 ) * ( 1 + H18 ) * ( 1 + H19 ),  H15 * 12 * H16 * ( 1 + H17 ) * ( 1 + H18 ) + H15 * 12 * H16 * ( 1 + H17 )* ( H19 ) )</f>
        <v>51117.420837600002</v>
      </c>
      <c r="I20" s="89">
        <f xml:space="preserve"> IF($G14= "% jaarsalaris INCL. VU", I15 * 12 * I16 * ( 1 + I17 ) * ( 1 + I18 ) * ( 1 + I19 ),  I15 * 12 * I16 * ( 1 + I17 ) * ( 1 + I18 ) + I15 * 12 * I16 * ( 1 + I17 )* ( I19 ) )</f>
        <v>56423.859595200003</v>
      </c>
      <c r="J20" s="89">
        <f xml:space="preserve"> IF($G14= "% jaarsalaris INCL. VU", J15 * 12 * J16 * ( 1 + J17 ) * ( 1 + J18 ) * ( 1 + J19 ),  J15 * 12 * J16 * ( 1 + J17 ) * ( 1 + J18 ) + J15 * 12 * J16 * ( 1 + J17 )* ( J19 ) )</f>
        <v>63333.682725599996</v>
      </c>
      <c r="K20" s="90">
        <f xml:space="preserve"> IF($G14= "% jaarsalaris INCL. VU", K15 * 12 * K16 * ( 1 + K17 ) * ( 1 + K18 ) * ( 1 + K19 ),  K15 * 12 * K16 * ( 1 + K17 ) * ( 1 + K18 ) + K15 * 12 * K16 * ( 1 + K17 )* ( K19 ) )</f>
        <v>70599.813494400005</v>
      </c>
      <c r="L20" s="135"/>
      <c r="M20" s="305">
        <f t="shared" ref="M20:Q20" si="5" xml:space="preserve"> IF($M14= "% jaarsalaris INCL. VU", M15 * 12 * M16 * ( 1 + M17 ) * ( 1 + M18 ) * ( 1 + M19 ),  M15 * 12 * M16 * ( 1 + M17 ) * ( 1 + M18 ) + M15 * 12 * M16 * ( 1 + M17 )* ( M19 ) )</f>
        <v>46854.454449600002</v>
      </c>
      <c r="N20" s="89">
        <f t="shared" si="5"/>
        <v>51117.420837600002</v>
      </c>
      <c r="O20" s="89">
        <f t="shared" si="5"/>
        <v>56423.859595200003</v>
      </c>
      <c r="P20" s="89">
        <f t="shared" si="5"/>
        <v>63333.682725599996</v>
      </c>
      <c r="Q20" s="90">
        <f t="shared" si="5"/>
        <v>70599.813494400005</v>
      </c>
      <c r="R20" s="68"/>
      <c r="S20" s="88">
        <f xml:space="preserve"> IF($S14= "% jaarsalaris INCL. VU", S15 * 12 * S16 * ( 1 + S17 ) * ( 1 + S18 ) * ( 1 + S19 ),  S15 * 12 * S16 * ( 1 + S17 ) * ( 1 + S18 ) + S15 * 12 * S16 * ( 1 + S17 )* ( S19 ) )</f>
        <v>43486.150222800003</v>
      </c>
      <c r="T20" s="89">
        <f t="shared" ref="T20:V20" si="6" xml:space="preserve"> IF($S14= "% jaarsalaris INCL. VU", T15 * 12 * T16 * ( 1 + T17 ) * ( 1 + T18 ) * ( 1 + T19 ),  T15 * 12 * T16 * ( 1 + T17 ) * ( 1 + T18 ) + T15 * 12 * T16 * ( 1 + T17 )* ( T19 ) )</f>
        <v>46671.158599200004</v>
      </c>
      <c r="U20" s="89">
        <f t="shared" si="6"/>
        <v>50972.823298800002</v>
      </c>
      <c r="V20" s="89">
        <f t="shared" si="6"/>
        <v>56289.630110400009</v>
      </c>
      <c r="W20" s="90">
        <f t="shared" ref="W20" si="7" xml:space="preserve"> IF($S14= "% jaarsalaris INCL. VU", W15 * 12 * W16 * ( 1 + W17 ) * ( 1 + W18 ) * ( 1 + W19 ),  W15 * 12 * W16 * ( 1 + W17 ) * ( 1 + W18 ) + W15 * 12 * W16 * ( 1 + W17 )* ( W19 ) )</f>
        <v>83431.992330000008</v>
      </c>
      <c r="X20" s="68"/>
      <c r="Y20" s="88">
        <f xml:space="preserve"> IF($Y14= "% jaarsalaris INCL. VU", Y15 * 12 * Y16 * ( 1 + Y17 ) * ( 1 + Y18 ) * ( 1 + Y19 ),  Y15 * 12 * Y16 * ( 1 + Y17 ) * ( 1 + Y18 ) + Y15 * 12 * Y16 * ( 1 + Y17 )* ( Y19 ) )</f>
        <v>43486.150222800003</v>
      </c>
      <c r="Z20" s="89">
        <f xml:space="preserve"> IF($Y14= "% jaarsalaris INCL. VU", Z15 * 12 * Z16 * ( 1 + Z17 ) * ( 1 + Z18 ) * ( 1 + Z19 ),  Z15 * 12 * Z16 * ( 1 + Z17 ) * ( 1 + Z18 ) + Z15 * 12 * Z16 * ( 1 + Z17 )* ( Z19 ) )</f>
        <v>46671.158599200004</v>
      </c>
      <c r="AA20" s="89">
        <f xml:space="preserve"> IF($Y14= "% jaarsalaris INCL. VU", AA15 * 12 * AA16 * ( 1 + AA17 ) * ( 1 + AA18 ) * ( 1 + AA19 ),  AA15 * 12 * AA16 * ( 1 + AA17 ) * ( 1 + AA18 ) + AA15 * 12 * AA16 * ( 1 + AA17 )* ( AA19 ) )</f>
        <v>50972.823298800002</v>
      </c>
      <c r="AB20" s="89">
        <f xml:space="preserve"> IF($Y14= "% jaarsalaris INCL. VU", AB15 * 12 * AB16 * ( 1 + AB17 ) * ( 1 + AB18 ) * ( 1 + AB19 ),  AB15 * 12 * AB16 * ( 1 + AB17 ) * ( 1 + AB18 ) + AB15 * 12 * AB16 * ( 1 + AB17 )* ( AB19 ) )</f>
        <v>56289.630110400009</v>
      </c>
      <c r="AC20" s="90">
        <f xml:space="preserve"> IF($Y14= "% jaarsalaris INCL. VU", AC15 * 12 * AC16 * ( 1 + AC17 ) * ( 1 + AC18 ) * ( 1 + AC19 ),  AC15 * 12 * AC16 * ( 1 + AC17 ) * ( 1 + AC18 ) + AC15 * 12 * AC16 * ( 1 + AC17 )* ( AC19 ) )</f>
        <v>83431.992330000008</v>
      </c>
      <c r="AD20" s="68"/>
      <c r="AE20" s="88">
        <f xml:space="preserve"> IF($AE14= "% jaarsalaris INCL. VU", AE15 * 12 * AE16 * ( 1 + AE17 ) * ( 1 + AE18 ) * ( 1 + AE19 ),  AE15 * 12 * AE16 * ( 1 + AE17 ) * ( 1 + AE18 ) + AE15 * 12 * AE16 * ( 1 + AE17 )* ( AE19 ) )</f>
        <v>49615.338417228006</v>
      </c>
      <c r="AF20" s="89">
        <f t="shared" ref="AF20:AI20" si="8" xml:space="preserve"> IF($AE14= "% jaarsalaris INCL. VU", AF15 * 12 * AF16 * ( 1 + AF17 ) * ( 1 + AF18 ) * ( 1 + AF19 ),  AF15 * 12 * AF16 * ( 1 + AF17 ) * ( 1 + AF18 ) + AF15 * 12 * AF16 * ( 1 + AF17 )* ( AF19 ) )</f>
        <v>53895.829873345923</v>
      </c>
      <c r="AG20" s="89">
        <f t="shared" si="8"/>
        <v>58721.767812378719</v>
      </c>
      <c r="AH20" s="89">
        <f t="shared" si="8"/>
        <v>73939.265254880636</v>
      </c>
      <c r="AI20" s="90">
        <f t="shared" si="8"/>
        <v>0</v>
      </c>
      <c r="AJ20" s="68"/>
      <c r="AK20" s="88">
        <f xml:space="preserve"> IF($AK14= "% jaarsalaris INCL. VU", AK15 * 12 * AK16 * ( 1 + AK17 ) * ( 1 + AK18 ) * ( 1 + AK19 ),  AK15 * 12 * AK16 * ( 1 + AK17 ) * ( 1 + AK18 ) + AK15 * 12 * AK16 * ( 1 + AK17 )* ( AK19 ) )</f>
        <v>52868.684966400011</v>
      </c>
      <c r="AL20" s="89">
        <f xml:space="preserve"> IF($AK14= "% jaarsalaris INCL. VU", AL15 * 12 * AL16 * ( 1 + AL17 ) * ( 1 + AL18 ) * ( 1 + AL19 ),  AL15 * 12 * AL16 * ( 1 + AL17 ) * ( 1 + AL18 ) + AL15 * 12 * AL16 * ( 1 + AL17 )* ( AL19 ) )</f>
        <v>57759.676836480008</v>
      </c>
      <c r="AM20" s="89">
        <f xml:space="preserve"> IF($AK14= "% jaarsalaris INCL. VU", AM15 * 12 * AM16 * ( 1 + AM17 ) * ( 1 + AM18 ) * ( 1 + AM19 ),  AM15 * 12 * AM16 * ( 1 + AM17 ) * ( 1 + AM18 ) + AM15 * 12 * AM16 * ( 1 + AM17 )* ( AM19 ) )</f>
        <v>63633.975166080003</v>
      </c>
      <c r="AN20" s="89">
        <f xml:space="preserve"> IF($AK14= "% jaarsalaris INCL. VU", AN15 * 12 * AN16 * ( 1 + AN17 ) * ( 1 + AN18 ) * ( 1 + AN19 ),  AN15 * 12 * AN16 * ( 1 + AN17 ) * ( 1 + AN18 ) + AN15 * 12 * AN16 * ( 1 + AN17 )* ( AN19 ) )</f>
        <v>70389.418245120018</v>
      </c>
      <c r="AO20" s="90">
        <f xml:space="preserve"> IF($AK14= "% jaarsalaris INCL. VU", AO15 * 12 * AO16 * ( 1 + AO17 ) * ( 1 + AO18 ) * ( 1 + AO19 ),  AO15 * 12 * AO16 * ( 1 + AO17 ) * ( 1 + AO18 ) + AO15 * 12 * AO16 * ( 1 + AO17 )* ( AO19 ) )</f>
        <v>77987.695432320004</v>
      </c>
      <c r="AP20" s="68"/>
      <c r="AQ20" s="88">
        <f xml:space="preserve"> IF($AQ14= "% jaarsalaris INCL. VU", AQ15 * 12 * AQ16 * ( 1 + AQ17 ) * ( 1 + AQ18 ) * ( 1 + AQ19 ),  AQ15 * 12 * AQ16 * ( 1 + AQ17 ) * ( 1 + AQ18 ) + AQ15 * 12 * AQ16 * ( 1 + AQ17 )* ( AQ19 ) )</f>
        <v>52868.684966400011</v>
      </c>
      <c r="AR20" s="89">
        <f xml:space="preserve"> IF($AQ14= "% jaarsalaris INCL. VU", AR15 * 12 * AR16 * ( 1 + AR17 ) * ( 1 + AR18 ) * ( 1 + AR19 ),  AR15 * 12 * AR16 * ( 1 + AR17 ) * ( 1 + AR18 ) + AR15 * 12 * AR16 * ( 1 + AR17 )* ( AR19 ) )</f>
        <v>57759.676836480008</v>
      </c>
      <c r="AS20" s="89">
        <f xml:space="preserve"> IF($AQ14= "% jaarsalaris INCL. VU", AS15 * 12 * AS16 * ( 1 + AS17 ) * ( 1 + AS18 ) * ( 1 + AS19 ),  AS15 * 12 * AS16 * ( 1 + AS17 ) * ( 1 + AS18 ) + AS15 * 12 * AS16 * ( 1 + AS17 )* ( AS19 ) )</f>
        <v>63633.975166080003</v>
      </c>
      <c r="AT20" s="89">
        <f xml:space="preserve"> IF($AQ14= "% jaarsalaris INCL. VU", AT15 * 12 * AT16 * ( 1 + AT17 ) * ( 1 + AT18 ) * ( 1 + AT19 ),  AT15 * 12 * AT16 * ( 1 + AT17 ) * ( 1 + AT18 ) + AT15 * 12 * AT16 * ( 1 + AT17 )* ( AT19 ) )</f>
        <v>70389.418245120018</v>
      </c>
      <c r="AU20" s="90">
        <f xml:space="preserve"> IF($AQ14= "% jaarsalaris INCL. VU", AU15 * 12 * AU16 * ( 1 + AU17 ) * ( 1 + AU18 ) * ( 1 + AU19 ),  AU15 * 12 * AU16 * ( 1 + AU17 ) * ( 1 + AU18 ) + AU15 * 12 * AU16 * ( 1 + AU17 )* ( AU19 ) )</f>
        <v>77987.695432320004</v>
      </c>
      <c r="AV20" s="68"/>
      <c r="AW20" s="88">
        <f xml:space="preserve"> IF($AW14= "% jaarsalaris INCL. VU", AW15 * 12 * AW16 * ( 1 + AW17 ) * ( 1 + AW18 ) * ( 1 + AW19 ),  AW15 * 12 * AW16 * ( 1 + AW17 ) * ( 1 + AW18 ) + AW15 * 12 * AW16 * ( 1 + AW17 )* ( AW19 ) )</f>
        <v>41936.676501599999</v>
      </c>
      <c r="AX20" s="89">
        <f t="shared" ref="AX20:BA20" si="9" xml:space="preserve"> IF($AW14= "% jaarsalaris INCL. VU", AX15 * 12 * AX16 * ( 1 + AX17 ) * ( 1 + AX18 ) * ( 1 + AX19 ),  AX15 * 12 * AX16 * ( 1 + AX17 ) * ( 1 + AX18 ) + AX15 * 12 * AX16 * ( 1 + AX17 )* ( AX19 ) )</f>
        <v>49557.026707200006</v>
      </c>
      <c r="AY20" s="89">
        <f t="shared" si="9"/>
        <v>0</v>
      </c>
      <c r="AZ20" s="89">
        <f t="shared" si="9"/>
        <v>0</v>
      </c>
      <c r="BA20" s="90">
        <f t="shared" si="9"/>
        <v>0</v>
      </c>
      <c r="BC20" s="88">
        <f xml:space="preserve"> IF($BC14= "% jaarsalaris INCL. VU", BC15 * 12 * BC16 * ( 1 + BC17 ) * ( 1 + BC18 ) * ( 1 + BC19 ),  BC15 * 12 * BC16 * ( 1 + BC17 ) * ( 1 + BC18 ) + BC15 * 12 * BC16 * ( 1 + BC17 )* ( BC19 ) )</f>
        <v>46854.454449600002</v>
      </c>
      <c r="BD20" s="89">
        <f t="shared" ref="BD20:BG20" si="10" xml:space="preserve"> IF($BC14= "% jaarsalaris INCL. VU", BD15 * 12 * BD16 * ( 1 + BD17 ) * ( 1 + BD18 ) * ( 1 + BD19 ),  BD15 * 12 * BD16 * ( 1 + BD17 ) * ( 1 + BD18 ) + BD15 * 12 * BD16 * ( 1 + BD17 )* ( BD19 ) )</f>
        <v>51117.420837600002</v>
      </c>
      <c r="BE20" s="89">
        <f t="shared" si="10"/>
        <v>56423.859595200003</v>
      </c>
      <c r="BF20" s="89">
        <f t="shared" si="10"/>
        <v>63333.682725599996</v>
      </c>
      <c r="BG20" s="90">
        <f t="shared" si="10"/>
        <v>70599.813494400005</v>
      </c>
      <c r="BH20" s="135"/>
      <c r="BI20" s="88">
        <f xml:space="preserve"> IF($BI14= "% jaarsalaris INCL. VU", BI15 * 12 * BI16 * ( 1 + BI17 ) * ( 1 + BI18 ) * ( 1 + BI19 ),  BI15 * 12 * BI16 * ( 1 + BI17 ) * ( 1 + BI18 ) + BI15 * 12 * BI16 * ( 1 + BI17 )* ( BI19 ) )</f>
        <v>43486.150222800003</v>
      </c>
      <c r="BJ20" s="89">
        <f t="shared" ref="BJ20:BM20" si="11" xml:space="preserve"> IF($BI14= "% jaarsalaris INCL. VU", BJ15 * 12 * BJ16 * ( 1 + BJ17 ) * ( 1 + BJ18 ) * ( 1 + BJ19 ),  BJ15 * 12 * BJ16 * ( 1 + BJ17 ) * ( 1 + BJ18 ) + BJ15 * 12 * BJ16 * ( 1 + BJ17 )* ( BJ19 ) )</f>
        <v>46671.158599200004</v>
      </c>
      <c r="BK20" s="89">
        <f t="shared" si="11"/>
        <v>50972.823298800002</v>
      </c>
      <c r="BL20" s="89">
        <f t="shared" si="11"/>
        <v>56289.630110400009</v>
      </c>
      <c r="BM20" s="90">
        <f t="shared" si="11"/>
        <v>83431.992330000008</v>
      </c>
      <c r="BN20" s="68"/>
      <c r="BO20" s="88">
        <f xml:space="preserve"> IF($BO14= "% jaarsalaris INCL. VU", BO15 * 12 * BO16 * ( 1 + BO17 ) * ( 1 + BO18 ) * ( 1 + BO19 ),  BO15 * 12 * BO16 * ( 1 + BO17 ) * ( 1 + BO18 ) + BO15 * 12 * BO16 * ( 1 + BO17 )* ( BO19 ) )</f>
        <v>52868.684966400011</v>
      </c>
      <c r="BP20" s="89">
        <f t="shared" ref="BP20:BS20" si="12" xml:space="preserve"> IF($BO14= "% jaarsalaris INCL. VU", BP15 * 12 * BP16 * ( 1 + BP17 ) * ( 1 + BP18 ) * ( 1 + BP19 ),  BP15 * 12 * BP16 * ( 1 + BP17 ) * ( 1 + BP18 ) + BP15 * 12 * BP16 * ( 1 + BP17 )* ( BP19 ) )</f>
        <v>57759.676836480008</v>
      </c>
      <c r="BQ20" s="89">
        <f t="shared" si="12"/>
        <v>63633.975166080003</v>
      </c>
      <c r="BR20" s="89">
        <f t="shared" si="12"/>
        <v>70389.418245120018</v>
      </c>
      <c r="BS20" s="90">
        <f t="shared" si="12"/>
        <v>77987.695432320004</v>
      </c>
      <c r="BT20" s="68"/>
      <c r="BU20" s="88">
        <f xml:space="preserve"> IF($BU14= "% jaarsalaris INCL. VU", BU15 * 12 * BU16 * ( 1 + BU17 ) * ( 1 + BU18 ) * ( 1 + BU19 ),  BU15 * 12 * BU16 * ( 1 + BU17 ) * ( 1 + BU18 ) + BU15 * 12 * BU16 * ( 1 + BU17 )* ( BU19 ) )</f>
        <v>41936.676501599999</v>
      </c>
      <c r="BV20" s="89">
        <f t="shared" ref="BV20:BY20" si="13" xml:space="preserve"> IF($BU14= "% jaarsalaris INCL. VU", BV15 * 12 * BV16 * ( 1 + BV17 ) * ( 1 + BV18 ) * ( 1 + BV19 ),  BV15 * 12 * BV16 * ( 1 + BV17 ) * ( 1 + BV18 ) + BV15 * 12 * BV16 * ( 1 + BV17 )* ( BV19 ) )</f>
        <v>49557.026707200006</v>
      </c>
      <c r="BW20" s="89">
        <f t="shared" si="13"/>
        <v>0</v>
      </c>
      <c r="BX20" s="89">
        <f t="shared" si="13"/>
        <v>0</v>
      </c>
      <c r="BY20" s="90">
        <f t="shared" si="13"/>
        <v>0</v>
      </c>
      <c r="BZ20" s="315"/>
      <c r="CA20" s="88">
        <f xml:space="preserve"> IF($CA14= "% jaarsalaris INCL. VU", CA15 * 12 * CA16 * ( 1 + CA17 ) * ( 1 + CA18 ) * ( 1 + CA19 ),  CA15 * 12 * CA16 * ( 1 + CA17 ) * ( 1 + CA18 ) + CA15 * 12 * CA16 * ( 1 + CA17 )* ( CA19 ) )</f>
        <v>46854.454449600002</v>
      </c>
      <c r="CB20" s="89">
        <f t="shared" ref="CB20:CE20" si="14" xml:space="preserve"> IF($CA14= "% jaarsalaris INCL. VU", CB15 * 12 * CB16 * ( 1 + CB17 ) * ( 1 + CB18 ) * ( 1 + CB19 ),  CB15 * 12 * CB16 * ( 1 + CB17 ) * ( 1 + CB18 ) + CB15 * 12 * CB16 * ( 1 + CB17 )* ( CB19 ) )</f>
        <v>51117.420837600002</v>
      </c>
      <c r="CC20" s="89">
        <f t="shared" si="14"/>
        <v>56423.859595200003</v>
      </c>
      <c r="CD20" s="89">
        <f t="shared" si="14"/>
        <v>63333.682725599996</v>
      </c>
      <c r="CE20" s="90">
        <f t="shared" si="14"/>
        <v>70599.813494400005</v>
      </c>
      <c r="CF20" s="135"/>
      <c r="CG20" s="88">
        <f xml:space="preserve"> IF($CG14= "% jaarsalaris INCL. VU", CG15 * 12 * CG16 * ( 1 + CG17 ) * ( 1 + CG18 ) * ( 1 + CG19 ),  CG15 * 12 * CG16 * ( 1 + CG17 ) * ( 1 + CG18 ) + CG15 * 12 * CG16 * ( 1 + CG17 )* ( CG19 ) )</f>
        <v>43486.150222800003</v>
      </c>
      <c r="CH20" s="89">
        <f t="shared" ref="CH20:CK20" si="15" xml:space="preserve"> IF($CG14= "% jaarsalaris INCL. VU", CH15 * 12 * CH16 * ( 1 + CH17 ) * ( 1 + CH18 ) * ( 1 + CH19 ),  CH15 * 12 * CH16 * ( 1 + CH17 ) * ( 1 + CH18 ) + CH15 * 12 * CH16 * ( 1 + CH17 )* ( CH19 ) )</f>
        <v>46671.158599200004</v>
      </c>
      <c r="CI20" s="89">
        <f t="shared" si="15"/>
        <v>50972.823298800002</v>
      </c>
      <c r="CJ20" s="89">
        <f t="shared" si="15"/>
        <v>56289.630110400009</v>
      </c>
      <c r="CK20" s="90">
        <f t="shared" si="15"/>
        <v>83431.992330000008</v>
      </c>
      <c r="CL20" s="68"/>
      <c r="CM20" s="88">
        <f xml:space="preserve"> IF($CM14= "% jaarsalaris INCL. VU", CM15 * 12 * CM16 * ( 1 + CM17 ) * ( 1 + CM18 ) * ( 1 + CM19 ),  CM15 * 12 * CM16 * ( 1 + CM17 ) * ( 1 + CM18 ) + CM15 * 12 * CM16 * ( 1 + CM17 )* ( CM19 ) )</f>
        <v>49615.338417228006</v>
      </c>
      <c r="CN20" s="89">
        <f xml:space="preserve"> IF($CM14= "% jaarsalaris INCL. VU", CN15 * 12 * CN16 * ( 1 + CN17 ) * ( 1 + CN18 ) * ( 1 + CN19 ),  CN15 * 12 * CN16 * ( 1 + CN17 ) * ( 1 + CN18 ) + CN15 * 12 * CN16 * ( 1 + CN17 )* ( CN19 ) )</f>
        <v>53895.829873345923</v>
      </c>
      <c r="CO20" s="89">
        <f xml:space="preserve"> IF($CM14= "% jaarsalaris INCL. VU", CO15 * 12 * CO16 * ( 1 + CO17 ) * ( 1 + CO18 ) * ( 1 + CO19 ),  CO15 * 12 * CO16 * ( 1 + CO17 ) * ( 1 + CO18 ) + CO15 * 12 * CO16 * ( 1 + CO17 )* ( CO19 ) )</f>
        <v>58721.767812378719</v>
      </c>
      <c r="CP20" s="89">
        <f xml:space="preserve"> IF($CM14= "% jaarsalaris INCL. VU", CP15 * 12 * CP16 * ( 1 + CP17 ) * ( 1 + CP18 ) * ( 1 + CP19 ),  CP15 * 12 * CP16 * ( 1 + CP17 ) * ( 1 + CP18 ) + CP15 * 12 * CP16 * ( 1 + CP17 )* ( CP19 ) )</f>
        <v>73939.265254880636</v>
      </c>
      <c r="CQ20" s="90">
        <f xml:space="preserve"> IF($CM14= "% jaarsalaris INCL. VU", CQ15 * 12 * CQ16 * ( 1 + CQ17 ) * ( 1 + CQ18 ) * ( 1 + CQ19 ),  CQ15 * 12 * CQ16 * ( 1 + CQ17 ) * ( 1 + CQ18 ) + CQ15 * 12 * CQ16 * ( 1 + CQ17 )* ( CQ19 ) )</f>
        <v>0</v>
      </c>
      <c r="CR20" s="68"/>
      <c r="CS20" s="88">
        <f xml:space="preserve"> IF($CS14= "% jaarsalaris INCL. VU", CS15 * 12 * CS16 * ( 1 + CS17 ) * ( 1 + CS18 ) * ( 1 + CS19 ),  CS15 * 12 * CS16 * ( 1 + CS17 ) * ( 1 + CS18 ) + CS15 * 12 * CS16 * ( 1 + CS17 )* ( CS19 ) )</f>
        <v>52868.684966400011</v>
      </c>
      <c r="CT20" s="89">
        <f t="shared" ref="CT20:CW20" si="16" xml:space="preserve"> IF($CS14= "% jaarsalaris INCL. VU", CT15 * 12 * CT16 * ( 1 + CT17 ) * ( 1 + CT18 ) * ( 1 + CT19 ),  CT15 * 12 * CT16 * ( 1 + CT17 ) * ( 1 + CT18 ) + CT15 * 12 * CT16 * ( 1 + CT17 )* ( CT19 ) )</f>
        <v>57759.676836480008</v>
      </c>
      <c r="CU20" s="89">
        <f t="shared" si="16"/>
        <v>63633.975166080003</v>
      </c>
      <c r="CV20" s="89">
        <f t="shared" si="16"/>
        <v>70389.418245120018</v>
      </c>
      <c r="CW20" s="90">
        <f t="shared" si="16"/>
        <v>77987.695432320004</v>
      </c>
      <c r="CX20" s="68"/>
      <c r="CY20" s="88">
        <f xml:space="preserve"> IF($CY14= "% jaarsalaris INCL. VU", CY15 * 12 * CY16 * ( 1 + CY17 ) * ( 1 + CY18 ) * ( 1 + CY19 ),  CY15 * 12 * CY16 * ( 1 + CY17 ) * ( 1 + CY18 ) + CY15 * 12 * CY16 * ( 1 + CY17 )* ( CY19 ) )</f>
        <v>39480.0958656</v>
      </c>
      <c r="CZ20" s="89">
        <f t="shared" ref="CZ20:DC20" si="17" xml:space="preserve"> IF($CY14= "% jaarsalaris INCL. VU", CZ15 * 12 * CZ16 * ( 1 + CZ17 ) * ( 1 + CZ18 ) * ( 1 + CZ19 ),  CZ15 * 12 * CZ16 * ( 1 + CZ17 ) * ( 1 + CZ18 ) + CZ15 * 12 * CZ16 * ( 1 + CZ17 )* ( CZ19 ) )</f>
        <v>53040.650532479995</v>
      </c>
      <c r="DA20" s="89">
        <f t="shared" si="17"/>
        <v>0</v>
      </c>
      <c r="DB20" s="89">
        <f t="shared" si="17"/>
        <v>0</v>
      </c>
      <c r="DC20" s="90">
        <f t="shared" si="17"/>
        <v>0</v>
      </c>
      <c r="DD20" s="135"/>
      <c r="DE20" s="88">
        <f xml:space="preserve"> IF($DE14= "% jaarsalaris INCL. VU", DE15 * 12 * DE16 * ( 1 + DE17 ) * ( 1 + DE18 ) * ( 1 + DE19 ),  DE15 * 12 * DE16 * ( 1 + DE17 ) * ( 1 + DE18 ) + DE15 * 12 * DE16 * ( 1 + DE17 )* ( DE19 ) )</f>
        <v>43183.957151232011</v>
      </c>
      <c r="DF20" s="655">
        <f t="shared" ref="DF20:DI20" si="18" xml:space="preserve"> IF($DE14= "% jaarsalaris INCL. VU", DF15 * 12 * DF16 * ( 1 + DF17 ) * ( 1 + DF18 ) * ( 1 + DF19 ),  DF15 * 12 * DF16 * ( 1 + DF17 ) * ( 1 + DF18 ) + DF15 * 12 * DF16 * ( 1 + DF17 )* ( DF19 ) )</f>
        <v>66028.124726784008</v>
      </c>
      <c r="DG20" s="655">
        <f t="shared" si="18"/>
        <v>0</v>
      </c>
      <c r="DH20" s="655">
        <f t="shared" si="18"/>
        <v>0</v>
      </c>
      <c r="DI20" s="656">
        <f t="shared" si="18"/>
        <v>0</v>
      </c>
      <c r="DK20" s="88">
        <f xml:space="preserve"> IF($DK14= "% jaarsalaris INCL. VU", DK15 * 12 * DK16 * ( 1 + DK17 ) * ( 1 + DK18 ) * ( 1 + DK19 ),  DK15 * 12 * DK16 * ( 1 + DK17 ) * ( 1 + DK18 ) + DK15 * 12 * DK16 * ( 1 + DK17 )* ( DK19 ) )</f>
        <v>39550.907601619212</v>
      </c>
      <c r="DL20" s="89">
        <f t="shared" ref="DL20:DO20" si="19" xml:space="preserve"> IF($DK14= "% jaarsalaris INCL. VU", DL15 * 12 * DL16 * ( 1 + DL17 ) * ( 1 + DL18 ) * ( 1 + DL19 ),  DL15 * 12 * DL16 * ( 1 + DL17 ) * ( 1 + DL18 ) + DL15 * 12 * DL16 * ( 1 + DL17 )* ( DL19 ) )</f>
        <v>40671.129988396817</v>
      </c>
      <c r="DM20" s="89">
        <f t="shared" si="19"/>
        <v>43949.636973676803</v>
      </c>
      <c r="DN20" s="89">
        <f t="shared" si="19"/>
        <v>47270.277382060805</v>
      </c>
      <c r="DO20" s="656">
        <f t="shared" si="19"/>
        <v>51935.763989145606</v>
      </c>
    </row>
    <row r="21" spans="1:120" s="8" customFormat="1" ht="6" customHeight="1" x14ac:dyDescent="0.3">
      <c r="A21" s="72"/>
      <c r="B21" s="105"/>
      <c r="C21" s="94"/>
      <c r="D21" s="65"/>
      <c r="E21" s="64"/>
      <c r="F21" s="86"/>
      <c r="G21" s="76"/>
      <c r="H21" s="81"/>
      <c r="I21" s="81"/>
      <c r="J21" s="81"/>
      <c r="K21" s="82"/>
      <c r="L21" s="135"/>
      <c r="M21" s="76"/>
      <c r="N21" s="81"/>
      <c r="O21" s="81"/>
      <c r="P21" s="81"/>
      <c r="Q21" s="82"/>
      <c r="R21" s="68"/>
      <c r="S21" s="76"/>
      <c r="T21" s="81"/>
      <c r="U21" s="81"/>
      <c r="V21" s="81"/>
      <c r="W21" s="82"/>
      <c r="X21" s="68"/>
      <c r="Y21" s="76"/>
      <c r="Z21" s="81"/>
      <c r="AA21" s="81"/>
      <c r="AB21" s="81"/>
      <c r="AC21" s="82"/>
      <c r="AD21" s="68"/>
      <c r="AE21" s="76"/>
      <c r="AF21" s="81"/>
      <c r="AG21" s="81"/>
      <c r="AH21" s="81"/>
      <c r="AI21" s="82"/>
      <c r="AJ21" s="68"/>
      <c r="AK21" s="76"/>
      <c r="AL21" s="81"/>
      <c r="AM21" s="81"/>
      <c r="AN21" s="81"/>
      <c r="AO21" s="82"/>
      <c r="AP21" s="68"/>
      <c r="AQ21" s="76"/>
      <c r="AR21" s="81"/>
      <c r="AS21" s="81"/>
      <c r="AT21" s="81"/>
      <c r="AU21" s="82"/>
      <c r="AV21" s="68"/>
      <c r="AW21" s="76"/>
      <c r="AX21" s="81"/>
      <c r="AY21" s="81"/>
      <c r="AZ21" s="81"/>
      <c r="BA21" s="82"/>
      <c r="BC21" s="76"/>
      <c r="BD21" s="81"/>
      <c r="BE21" s="81"/>
      <c r="BF21" s="81"/>
      <c r="BG21" s="82"/>
      <c r="BH21" s="135"/>
      <c r="BI21" s="76"/>
      <c r="BJ21" s="81"/>
      <c r="BK21" s="81"/>
      <c r="BL21" s="81"/>
      <c r="BM21" s="82"/>
      <c r="BN21" s="68"/>
      <c r="BO21" s="76"/>
      <c r="BP21" s="81"/>
      <c r="BQ21" s="81"/>
      <c r="BR21" s="81"/>
      <c r="BS21" s="82"/>
      <c r="BT21" s="68"/>
      <c r="BU21" s="76"/>
      <c r="BV21" s="81"/>
      <c r="BW21" s="81"/>
      <c r="BX21" s="81"/>
      <c r="BY21" s="82"/>
      <c r="BZ21" s="315"/>
      <c r="CA21" s="76"/>
      <c r="CB21" s="81"/>
      <c r="CC21" s="81"/>
      <c r="CD21" s="81"/>
      <c r="CE21" s="82"/>
      <c r="CF21" s="135"/>
      <c r="CG21" s="76"/>
      <c r="CH21" s="81"/>
      <c r="CI21" s="81"/>
      <c r="CJ21" s="81"/>
      <c r="CK21" s="82"/>
      <c r="CL21" s="68"/>
      <c r="CM21" s="76"/>
      <c r="CN21" s="81"/>
      <c r="CO21" s="81"/>
      <c r="CP21" s="81"/>
      <c r="CQ21" s="82"/>
      <c r="CR21" s="68"/>
      <c r="CS21" s="76"/>
      <c r="CT21" s="81"/>
      <c r="CU21" s="81"/>
      <c r="CV21" s="81"/>
      <c r="CW21" s="82"/>
      <c r="CX21" s="68"/>
      <c r="CY21" s="76"/>
      <c r="CZ21" s="81"/>
      <c r="DA21" s="81"/>
      <c r="DB21" s="81"/>
      <c r="DC21" s="82"/>
      <c r="DD21" s="135"/>
      <c r="DE21" s="420"/>
      <c r="DF21" s="182"/>
      <c r="DG21" s="182"/>
      <c r="DH21" s="182"/>
      <c r="DI21" s="181"/>
      <c r="DK21" s="76"/>
      <c r="DL21" s="81"/>
      <c r="DM21" s="81"/>
      <c r="DN21" s="81"/>
      <c r="DO21" s="181"/>
    </row>
    <row r="22" spans="1:120" s="226" customFormat="1" x14ac:dyDescent="0.3">
      <c r="A22" s="224"/>
      <c r="B22" s="225"/>
      <c r="C22" s="224"/>
      <c r="E22" s="227" t="s">
        <v>57</v>
      </c>
      <c r="F22" s="228" t="s">
        <v>58</v>
      </c>
      <c r="G22" s="230">
        <v>0.25</v>
      </c>
      <c r="H22" s="26">
        <v>0.25</v>
      </c>
      <c r="I22" s="26">
        <v>0.25</v>
      </c>
      <c r="J22" s="26">
        <v>0.25</v>
      </c>
      <c r="K22" s="229">
        <v>0.25</v>
      </c>
      <c r="L22" s="235"/>
      <c r="M22" s="26">
        <v>0.25</v>
      </c>
      <c r="N22" s="26">
        <v>0.25</v>
      </c>
      <c r="O22" s="26">
        <v>0.25</v>
      </c>
      <c r="P22" s="26">
        <v>0.25</v>
      </c>
      <c r="Q22" s="229">
        <v>0.25</v>
      </c>
      <c r="R22" s="227"/>
      <c r="S22" s="230">
        <v>0.25</v>
      </c>
      <c r="T22" s="26">
        <v>0.25</v>
      </c>
      <c r="U22" s="26">
        <v>0.25</v>
      </c>
      <c r="V22" s="26">
        <v>0.25</v>
      </c>
      <c r="W22" s="229">
        <v>0.25</v>
      </c>
      <c r="X22" s="227"/>
      <c r="Y22" s="230">
        <v>0.25</v>
      </c>
      <c r="Z22" s="26">
        <v>0.25</v>
      </c>
      <c r="AA22" s="26">
        <v>0.25</v>
      </c>
      <c r="AB22" s="26">
        <v>0.25</v>
      </c>
      <c r="AC22" s="229">
        <v>0.25</v>
      </c>
      <c r="AD22" s="227"/>
      <c r="AE22" s="230">
        <v>0.25</v>
      </c>
      <c r="AF22" s="26">
        <v>0.25</v>
      </c>
      <c r="AG22" s="26">
        <v>0.25</v>
      </c>
      <c r="AH22" s="26">
        <v>0.25</v>
      </c>
      <c r="AI22" s="229">
        <v>0.25</v>
      </c>
      <c r="AJ22" s="227"/>
      <c r="AK22" s="230">
        <v>0.25</v>
      </c>
      <c r="AL22" s="26">
        <v>0.25</v>
      </c>
      <c r="AM22" s="26">
        <v>0.25</v>
      </c>
      <c r="AN22" s="26">
        <v>0.25</v>
      </c>
      <c r="AO22" s="229">
        <v>0.25</v>
      </c>
      <c r="AP22" s="227"/>
      <c r="AQ22" s="230">
        <v>0.25</v>
      </c>
      <c r="AR22" s="26">
        <v>0.25</v>
      </c>
      <c r="AS22" s="26">
        <v>0.25</v>
      </c>
      <c r="AT22" s="26">
        <v>0.25</v>
      </c>
      <c r="AU22" s="229">
        <v>0.25</v>
      </c>
      <c r="AV22" s="227"/>
      <c r="AW22" s="230">
        <v>0.25</v>
      </c>
      <c r="AX22" s="26">
        <v>0.25</v>
      </c>
      <c r="AY22" s="26">
        <v>0.25</v>
      </c>
      <c r="AZ22" s="26">
        <v>0.25</v>
      </c>
      <c r="BA22" s="229">
        <v>0.25</v>
      </c>
      <c r="BB22" s="234"/>
      <c r="BC22" s="230">
        <v>0.25</v>
      </c>
      <c r="BD22" s="26">
        <v>0.25</v>
      </c>
      <c r="BE22" s="26">
        <v>0.25</v>
      </c>
      <c r="BF22" s="26">
        <v>0.25</v>
      </c>
      <c r="BG22" s="229">
        <v>0.25</v>
      </c>
      <c r="BH22" s="235"/>
      <c r="BI22" s="230">
        <v>0.25</v>
      </c>
      <c r="BJ22" s="26">
        <v>0.25</v>
      </c>
      <c r="BK22" s="26">
        <v>0.25</v>
      </c>
      <c r="BL22" s="26">
        <v>0.25</v>
      </c>
      <c r="BM22" s="229">
        <v>0.25</v>
      </c>
      <c r="BN22" s="227"/>
      <c r="BO22" s="230">
        <v>0.25</v>
      </c>
      <c r="BP22" s="26">
        <v>0.25</v>
      </c>
      <c r="BQ22" s="26">
        <v>0.25</v>
      </c>
      <c r="BR22" s="26">
        <v>0.25</v>
      </c>
      <c r="BS22" s="229">
        <v>0.25</v>
      </c>
      <c r="BT22" s="227"/>
      <c r="BU22" s="230">
        <v>0.25</v>
      </c>
      <c r="BV22" s="26">
        <v>0.25</v>
      </c>
      <c r="BW22" s="26">
        <v>0.25</v>
      </c>
      <c r="BX22" s="26">
        <v>0.25</v>
      </c>
      <c r="BY22" s="229">
        <v>0.25</v>
      </c>
      <c r="BZ22" s="314"/>
      <c r="CA22" s="230">
        <v>0.25</v>
      </c>
      <c r="CB22" s="26">
        <v>0.25</v>
      </c>
      <c r="CC22" s="26">
        <v>0.25</v>
      </c>
      <c r="CD22" s="26">
        <v>0.25</v>
      </c>
      <c r="CE22" s="229">
        <v>0.25</v>
      </c>
      <c r="CF22" s="235"/>
      <c r="CG22" s="230">
        <v>0.25</v>
      </c>
      <c r="CH22" s="26">
        <v>0.25</v>
      </c>
      <c r="CI22" s="26">
        <v>0.25</v>
      </c>
      <c r="CJ22" s="26">
        <v>0.25</v>
      </c>
      <c r="CK22" s="229">
        <v>0.25</v>
      </c>
      <c r="CL22" s="227"/>
      <c r="CM22" s="230">
        <v>0.25</v>
      </c>
      <c r="CN22" s="26">
        <v>0.25</v>
      </c>
      <c r="CO22" s="26">
        <v>0.25</v>
      </c>
      <c r="CP22" s="26">
        <v>0.25</v>
      </c>
      <c r="CQ22" s="229">
        <v>0.25</v>
      </c>
      <c r="CR22" s="227"/>
      <c r="CS22" s="230">
        <v>0.25</v>
      </c>
      <c r="CT22" s="26">
        <v>0.25</v>
      </c>
      <c r="CU22" s="26">
        <v>0.25</v>
      </c>
      <c r="CV22" s="26">
        <v>0.25</v>
      </c>
      <c r="CW22" s="229">
        <v>0.25</v>
      </c>
      <c r="CX22" s="227"/>
      <c r="CY22" s="230">
        <v>0.25</v>
      </c>
      <c r="CZ22" s="26">
        <v>0.25</v>
      </c>
      <c r="DA22" s="26">
        <v>0.25</v>
      </c>
      <c r="DB22" s="26">
        <v>0.25</v>
      </c>
      <c r="DC22" s="229">
        <v>0.25</v>
      </c>
      <c r="DD22" s="235"/>
      <c r="DE22" s="413">
        <v>0.25</v>
      </c>
      <c r="DF22" s="414">
        <v>0.25</v>
      </c>
      <c r="DG22" s="414">
        <v>0.25</v>
      </c>
      <c r="DH22" s="414">
        <v>0.25</v>
      </c>
      <c r="DI22" s="233">
        <v>0.25</v>
      </c>
      <c r="DJ22" s="234"/>
      <c r="DK22" s="230">
        <v>0.25</v>
      </c>
      <c r="DL22" s="26">
        <v>0.25</v>
      </c>
      <c r="DM22" s="26">
        <v>0.25</v>
      </c>
      <c r="DN22" s="26">
        <v>0.25</v>
      </c>
      <c r="DO22" s="233">
        <v>0.25</v>
      </c>
      <c r="DP22" s="234"/>
    </row>
    <row r="23" spans="1:120" s="226" customFormat="1" x14ac:dyDescent="0.3">
      <c r="A23" s="224"/>
      <c r="B23" s="225"/>
      <c r="C23" s="224"/>
      <c r="E23" s="227" t="s">
        <v>59</v>
      </c>
      <c r="F23" s="228" t="s">
        <v>58</v>
      </c>
      <c r="G23" s="230">
        <f xml:space="preserve"> 2% + 2%</f>
        <v>0.04</v>
      </c>
      <c r="H23" s="26">
        <f xml:space="preserve"> 2% + 2%</f>
        <v>0.04</v>
      </c>
      <c r="I23" s="26">
        <f xml:space="preserve"> 2% + 2%</f>
        <v>0.04</v>
      </c>
      <c r="J23" s="26">
        <f xml:space="preserve"> 2% + 2%</f>
        <v>0.04</v>
      </c>
      <c r="K23" s="229">
        <f xml:space="preserve"> 2% + 2%</f>
        <v>0.04</v>
      </c>
      <c r="L23" s="235"/>
      <c r="M23" s="26">
        <f xml:space="preserve"> 2% + 2%</f>
        <v>0.04</v>
      </c>
      <c r="N23" s="26">
        <f xml:space="preserve"> 2% + 2%</f>
        <v>0.04</v>
      </c>
      <c r="O23" s="26">
        <f xml:space="preserve"> 2% + 2%</f>
        <v>0.04</v>
      </c>
      <c r="P23" s="26">
        <f xml:space="preserve"> 2% + 2%</f>
        <v>0.04</v>
      </c>
      <c r="Q23" s="229">
        <f xml:space="preserve"> 2% + 2%</f>
        <v>0.04</v>
      </c>
      <c r="R23" s="227"/>
      <c r="S23" s="230">
        <f xml:space="preserve"> 2% + 2%</f>
        <v>0.04</v>
      </c>
      <c r="T23" s="26">
        <f xml:space="preserve"> 2% + 2%</f>
        <v>0.04</v>
      </c>
      <c r="U23" s="26">
        <f xml:space="preserve"> 2% + 2%</f>
        <v>0.04</v>
      </c>
      <c r="V23" s="26">
        <f xml:space="preserve"> 2% + 2%</f>
        <v>0.04</v>
      </c>
      <c r="W23" s="229">
        <f xml:space="preserve"> 2% + 2%</f>
        <v>0.04</v>
      </c>
      <c r="X23" s="227"/>
      <c r="Y23" s="230">
        <f xml:space="preserve"> 2% + 2%</f>
        <v>0.04</v>
      </c>
      <c r="Z23" s="26">
        <f xml:space="preserve"> 2% + 2%</f>
        <v>0.04</v>
      </c>
      <c r="AA23" s="26">
        <f xml:space="preserve"> 2% + 2%</f>
        <v>0.04</v>
      </c>
      <c r="AB23" s="26">
        <f xml:space="preserve"> 2% + 2%</f>
        <v>0.04</v>
      </c>
      <c r="AC23" s="229">
        <f xml:space="preserve"> 2% + 2%</f>
        <v>0.04</v>
      </c>
      <c r="AD23" s="227"/>
      <c r="AE23" s="230">
        <f xml:space="preserve"> 2% + 2%</f>
        <v>0.04</v>
      </c>
      <c r="AF23" s="26">
        <f xml:space="preserve"> 2% + 2%</f>
        <v>0.04</v>
      </c>
      <c r="AG23" s="26">
        <f xml:space="preserve"> 2% + 2%</f>
        <v>0.04</v>
      </c>
      <c r="AH23" s="26">
        <f xml:space="preserve"> 2% + 2%</f>
        <v>0.04</v>
      </c>
      <c r="AI23" s="229">
        <f xml:space="preserve"> 2% + 2%</f>
        <v>0.04</v>
      </c>
      <c r="AJ23" s="227"/>
      <c r="AK23" s="230">
        <f xml:space="preserve"> 2% + 2%</f>
        <v>0.04</v>
      </c>
      <c r="AL23" s="26">
        <f xml:space="preserve"> 2% + 2%</f>
        <v>0.04</v>
      </c>
      <c r="AM23" s="26">
        <f xml:space="preserve"> 2% + 2%</f>
        <v>0.04</v>
      </c>
      <c r="AN23" s="26">
        <f xml:space="preserve"> 2% + 2%</f>
        <v>0.04</v>
      </c>
      <c r="AO23" s="229">
        <f xml:space="preserve"> 2% + 2%</f>
        <v>0.04</v>
      </c>
      <c r="AP23" s="227"/>
      <c r="AQ23" s="230">
        <f xml:space="preserve"> 2% + 2%</f>
        <v>0.04</v>
      </c>
      <c r="AR23" s="26">
        <f xml:space="preserve"> 2% + 2%</f>
        <v>0.04</v>
      </c>
      <c r="AS23" s="26">
        <f xml:space="preserve"> 2% + 2%</f>
        <v>0.04</v>
      </c>
      <c r="AT23" s="26">
        <f xml:space="preserve"> 2% + 2%</f>
        <v>0.04</v>
      </c>
      <c r="AU23" s="229">
        <f xml:space="preserve"> 2% + 2%</f>
        <v>0.04</v>
      </c>
      <c r="AV23" s="227"/>
      <c r="AW23" s="230">
        <f xml:space="preserve"> 2% + 2%</f>
        <v>0.04</v>
      </c>
      <c r="AX23" s="26">
        <f t="shared" ref="AX23:BA23" si="20" xml:space="preserve"> 2% + 2%</f>
        <v>0.04</v>
      </c>
      <c r="AY23" s="26">
        <f t="shared" si="20"/>
        <v>0.04</v>
      </c>
      <c r="AZ23" s="26">
        <f t="shared" si="20"/>
        <v>0.04</v>
      </c>
      <c r="BA23" s="229">
        <f t="shared" si="20"/>
        <v>0.04</v>
      </c>
      <c r="BB23" s="234"/>
      <c r="BC23" s="230">
        <f xml:space="preserve"> 2% + 1%</f>
        <v>0.03</v>
      </c>
      <c r="BD23" s="26">
        <f t="shared" ref="BD23:BG23" si="21" xml:space="preserve"> 2% + 1%</f>
        <v>0.03</v>
      </c>
      <c r="BE23" s="26">
        <f t="shared" si="21"/>
        <v>0.03</v>
      </c>
      <c r="BF23" s="26">
        <f t="shared" si="21"/>
        <v>0.03</v>
      </c>
      <c r="BG23" s="229">
        <f t="shared" si="21"/>
        <v>0.03</v>
      </c>
      <c r="BH23" s="235"/>
      <c r="BI23" s="230">
        <f xml:space="preserve"> 2% + 1%</f>
        <v>0.03</v>
      </c>
      <c r="BJ23" s="26">
        <f t="shared" ref="BJ23:BM23" si="22" xml:space="preserve"> 2% + 1%</f>
        <v>0.03</v>
      </c>
      <c r="BK23" s="26">
        <f t="shared" si="22"/>
        <v>0.03</v>
      </c>
      <c r="BL23" s="26">
        <f t="shared" si="22"/>
        <v>0.03</v>
      </c>
      <c r="BM23" s="229">
        <f t="shared" si="22"/>
        <v>0.03</v>
      </c>
      <c r="BN23" s="227"/>
      <c r="BO23" s="230">
        <f xml:space="preserve"> 2% + 1%</f>
        <v>0.03</v>
      </c>
      <c r="BP23" s="26">
        <f t="shared" ref="BP23:BS23" si="23" xml:space="preserve"> 2% + 1%</f>
        <v>0.03</v>
      </c>
      <c r="BQ23" s="26">
        <f t="shared" si="23"/>
        <v>0.03</v>
      </c>
      <c r="BR23" s="26">
        <f t="shared" si="23"/>
        <v>0.03</v>
      </c>
      <c r="BS23" s="229">
        <f t="shared" si="23"/>
        <v>0.03</v>
      </c>
      <c r="BT23" s="227"/>
      <c r="BU23" s="230">
        <f xml:space="preserve"> 2% + 1%</f>
        <v>0.03</v>
      </c>
      <c r="BV23" s="26">
        <f t="shared" ref="BV23:BY23" si="24" xml:space="preserve"> 2% + 1%</f>
        <v>0.03</v>
      </c>
      <c r="BW23" s="26">
        <f t="shared" si="24"/>
        <v>0.03</v>
      </c>
      <c r="BX23" s="26">
        <f t="shared" si="24"/>
        <v>0.03</v>
      </c>
      <c r="BY23" s="229">
        <f t="shared" si="24"/>
        <v>0.03</v>
      </c>
      <c r="BZ23" s="314"/>
      <c r="CA23" s="230">
        <f xml:space="preserve"> 2% + 1%</f>
        <v>0.03</v>
      </c>
      <c r="CB23" s="26">
        <f t="shared" ref="CB23:CE23" si="25" xml:space="preserve"> 2% + 1%</f>
        <v>0.03</v>
      </c>
      <c r="CC23" s="26">
        <f t="shared" si="25"/>
        <v>0.03</v>
      </c>
      <c r="CD23" s="26">
        <f t="shared" si="25"/>
        <v>0.03</v>
      </c>
      <c r="CE23" s="229">
        <f t="shared" si="25"/>
        <v>0.03</v>
      </c>
      <c r="CF23" s="235"/>
      <c r="CG23" s="230">
        <f xml:space="preserve"> 2% + 1%</f>
        <v>0.03</v>
      </c>
      <c r="CH23" s="26">
        <f t="shared" ref="CH23:CK23" si="26" xml:space="preserve"> 2% + 1%</f>
        <v>0.03</v>
      </c>
      <c r="CI23" s="26">
        <f t="shared" si="26"/>
        <v>0.03</v>
      </c>
      <c r="CJ23" s="26">
        <f t="shared" si="26"/>
        <v>0.03</v>
      </c>
      <c r="CK23" s="229">
        <f t="shared" si="26"/>
        <v>0.03</v>
      </c>
      <c r="CL23" s="227"/>
      <c r="CM23" s="230">
        <f xml:space="preserve"> 2% + 1%</f>
        <v>0.03</v>
      </c>
      <c r="CN23" s="26">
        <f t="shared" ref="CN23:CQ23" si="27" xml:space="preserve"> 2% + 1%</f>
        <v>0.03</v>
      </c>
      <c r="CO23" s="26">
        <f t="shared" si="27"/>
        <v>0.03</v>
      </c>
      <c r="CP23" s="26">
        <f t="shared" si="27"/>
        <v>0.03</v>
      </c>
      <c r="CQ23" s="229">
        <f t="shared" si="27"/>
        <v>0.03</v>
      </c>
      <c r="CR23" s="227"/>
      <c r="CS23" s="230">
        <f xml:space="preserve"> 2% + 1%</f>
        <v>0.03</v>
      </c>
      <c r="CT23" s="26">
        <f t="shared" ref="CT23:CW23" si="28" xml:space="preserve"> 2% + 1%</f>
        <v>0.03</v>
      </c>
      <c r="CU23" s="26">
        <f t="shared" si="28"/>
        <v>0.03</v>
      </c>
      <c r="CV23" s="26">
        <f t="shared" si="28"/>
        <v>0.03</v>
      </c>
      <c r="CW23" s="229">
        <f t="shared" si="28"/>
        <v>0.03</v>
      </c>
      <c r="CX23" s="227"/>
      <c r="CY23" s="230">
        <f xml:space="preserve"> 2% + 2%</f>
        <v>0.04</v>
      </c>
      <c r="CZ23" s="26">
        <f xml:space="preserve"> 2% + 2%</f>
        <v>0.04</v>
      </c>
      <c r="DA23" s="26">
        <f xml:space="preserve"> 2% + 2%</f>
        <v>0.04</v>
      </c>
      <c r="DB23" s="26">
        <f xml:space="preserve"> 2% + 2%</f>
        <v>0.04</v>
      </c>
      <c r="DC23" s="229">
        <f xml:space="preserve"> 2% + 2%</f>
        <v>0.04</v>
      </c>
      <c r="DD23" s="235"/>
      <c r="DE23" s="413">
        <f xml:space="preserve"> 2% + 2%</f>
        <v>0.04</v>
      </c>
      <c r="DF23" s="414">
        <f xml:space="preserve"> 2% + 2%</f>
        <v>0.04</v>
      </c>
      <c r="DG23" s="414">
        <f xml:space="preserve"> 2% + 2%</f>
        <v>0.04</v>
      </c>
      <c r="DH23" s="414">
        <f xml:space="preserve"> 2% + 2%</f>
        <v>0.04</v>
      </c>
      <c r="DI23" s="233">
        <f xml:space="preserve"> 2% + 2%</f>
        <v>0.04</v>
      </c>
      <c r="DJ23" s="234"/>
      <c r="DK23" s="230">
        <f xml:space="preserve"> 2% + 2%</f>
        <v>0.04</v>
      </c>
      <c r="DL23" s="26">
        <f xml:space="preserve"> 2% + 2%</f>
        <v>0.04</v>
      </c>
      <c r="DM23" s="26">
        <f xml:space="preserve"> 2% + 2%</f>
        <v>0.04</v>
      </c>
      <c r="DN23" s="26">
        <f xml:space="preserve"> 2% + 2%</f>
        <v>0.04</v>
      </c>
      <c r="DO23" s="233">
        <f xml:space="preserve"> 2% + 2%</f>
        <v>0.04</v>
      </c>
      <c r="DP23" s="234"/>
    </row>
    <row r="24" spans="1:120" s="8" customFormat="1" x14ac:dyDescent="0.3">
      <c r="A24" s="72"/>
      <c r="B24" s="105"/>
      <c r="C24" s="94"/>
      <c r="D24" s="65"/>
      <c r="E24" s="87" t="s">
        <v>60</v>
      </c>
      <c r="F24" s="87" t="s">
        <v>48</v>
      </c>
      <c r="G24" s="88">
        <f xml:space="preserve"> G20 + ( G20 * G22 ) + ( G20 * G23 )</f>
        <v>60442.246239984008</v>
      </c>
      <c r="H24" s="89">
        <f t="shared" ref="H24:K24" si="29" xml:space="preserve"> H20 + ( H20 * H22 ) + ( H20 * H23 )</f>
        <v>65941.472880504007</v>
      </c>
      <c r="I24" s="89">
        <f t="shared" si="29"/>
        <v>72786.778877807999</v>
      </c>
      <c r="J24" s="89">
        <f t="shared" si="29"/>
        <v>81700.450716023988</v>
      </c>
      <c r="K24" s="90">
        <f t="shared" si="29"/>
        <v>91073.759407776</v>
      </c>
      <c r="L24" s="82"/>
      <c r="M24" s="89">
        <f t="shared" ref="M24:Q24" si="30" xml:space="preserve"> M20 + ( M20 * M22 ) + ( M20 * M23 )</f>
        <v>60442.246239984008</v>
      </c>
      <c r="N24" s="89">
        <f t="shared" si="30"/>
        <v>65941.472880504007</v>
      </c>
      <c r="O24" s="89">
        <f t="shared" si="30"/>
        <v>72786.778877807999</v>
      </c>
      <c r="P24" s="89">
        <f t="shared" si="30"/>
        <v>81700.450716023988</v>
      </c>
      <c r="Q24" s="90">
        <f t="shared" si="30"/>
        <v>91073.759407776</v>
      </c>
      <c r="R24" s="69"/>
      <c r="S24" s="88">
        <f xml:space="preserve"> S20 + ( S20 * S22 ) + ( S20 * S23 )</f>
        <v>56097.133787412007</v>
      </c>
      <c r="T24" s="89">
        <f t="shared" ref="T24:V24" si="31" xml:space="preserve"> T20 + ( T20 * T22 ) + ( T20 * T23 )</f>
        <v>60205.794592968006</v>
      </c>
      <c r="U24" s="89">
        <f t="shared" si="31"/>
        <v>65754.942055452004</v>
      </c>
      <c r="V24" s="89">
        <f t="shared" si="31"/>
        <v>72613.622842416007</v>
      </c>
      <c r="W24" s="90">
        <f t="shared" ref="W24" si="32" xml:space="preserve"> W20 + ( W20 * W22 ) + ( W20 * W23 )</f>
        <v>107627.27010570002</v>
      </c>
      <c r="X24" s="69"/>
      <c r="Y24" s="88">
        <f xml:space="preserve"> Y20 + ( Y20 * Y22 ) + ( Y20 * Y23 )</f>
        <v>56097.133787412007</v>
      </c>
      <c r="Z24" s="89">
        <f xml:space="preserve"> Z20 + ( Z20 * Z22 ) + ( Z20 * Z23 )</f>
        <v>60205.794592968006</v>
      </c>
      <c r="AA24" s="89">
        <f xml:space="preserve"> AA20 + ( AA20 * AA22 ) + ( AA20 * AA23 )</f>
        <v>65754.942055452004</v>
      </c>
      <c r="AB24" s="89">
        <f xml:space="preserve"> AB20 + ( AB20 * AB22 ) + ( AB20 * AB23 )</f>
        <v>72613.622842416007</v>
      </c>
      <c r="AC24" s="90">
        <f xml:space="preserve"> AC20 + ( AC20 * AC22 ) + ( AC20 * AC23 )</f>
        <v>107627.27010570002</v>
      </c>
      <c r="AD24" s="69"/>
      <c r="AE24" s="88">
        <f xml:space="preserve"> AE20 + ( AE20 * AE22 ) + ( AE20 * AE23 )</f>
        <v>64003.786558224128</v>
      </c>
      <c r="AF24" s="89">
        <f t="shared" ref="AF24:AI24" si="33" xml:space="preserve"> AF20 + ( AF20 * AF22 ) + ( AF20 * AF23 )</f>
        <v>69525.620536616232</v>
      </c>
      <c r="AG24" s="89">
        <f t="shared" si="33"/>
        <v>75751.080477968542</v>
      </c>
      <c r="AH24" s="89">
        <f t="shared" si="33"/>
        <v>95381.652178796023</v>
      </c>
      <c r="AI24" s="90">
        <f t="shared" si="33"/>
        <v>0</v>
      </c>
      <c r="AJ24" s="69"/>
      <c r="AK24" s="88">
        <f xml:space="preserve"> AK20 + ( AK20 * AK22 ) + ( AK20 * AK23 )</f>
        <v>68200.603606656019</v>
      </c>
      <c r="AL24" s="89">
        <f t="shared" ref="AL24:AO24" si="34" xml:space="preserve"> AL20 + ( AL20 * AL22 ) + ( AL20 * AL23 )</f>
        <v>74509.983119059223</v>
      </c>
      <c r="AM24" s="89">
        <f t="shared" si="34"/>
        <v>82087.827964243203</v>
      </c>
      <c r="AN24" s="89">
        <f t="shared" si="34"/>
        <v>90802.349536204827</v>
      </c>
      <c r="AO24" s="90">
        <f t="shared" si="34"/>
        <v>100604.12710769281</v>
      </c>
      <c r="AP24" s="69"/>
      <c r="AQ24" s="88">
        <f xml:space="preserve"> AQ20 + ( AQ20 * AQ22 ) + ( AQ20 * AQ23 )</f>
        <v>68200.603606656019</v>
      </c>
      <c r="AR24" s="89">
        <f xml:space="preserve"> AR20 + ( AR20 * AR22 ) + ( AR20 * AR23 )</f>
        <v>74509.983119059223</v>
      </c>
      <c r="AS24" s="89">
        <f xml:space="preserve"> AS20 + ( AS20 * AS22 ) + ( AS20 * AS23 )</f>
        <v>82087.827964243203</v>
      </c>
      <c r="AT24" s="89">
        <f xml:space="preserve"> AT20 + ( AT20 * AT22 ) + ( AT20 * AT23 )</f>
        <v>90802.349536204827</v>
      </c>
      <c r="AU24" s="90">
        <f xml:space="preserve"> AU20 + ( AU20 * AU22 ) + ( AU20 * AU23 )</f>
        <v>100604.12710769281</v>
      </c>
      <c r="AV24" s="69"/>
      <c r="AW24" s="88">
        <f xml:space="preserve"> AW20 + ( AW20 * AW22 ) + ( AW20 * AW23 )</f>
        <v>54098.312687064004</v>
      </c>
      <c r="AX24" s="89">
        <f t="shared" ref="AX24:BA24" si="35" xml:space="preserve"> AX20 + ( AX20 * AX22 ) + ( AX20 * AX23 )</f>
        <v>63928.56445228801</v>
      </c>
      <c r="AY24" s="89">
        <f t="shared" si="35"/>
        <v>0</v>
      </c>
      <c r="AZ24" s="89">
        <f t="shared" si="35"/>
        <v>0</v>
      </c>
      <c r="BA24" s="90">
        <f t="shared" si="35"/>
        <v>0</v>
      </c>
      <c r="BB24" s="76"/>
      <c r="BC24" s="88">
        <f xml:space="preserve"> BC20 + ( BC20 * BC22 ) + ( BC20 * BC23 )</f>
        <v>59973.701695488009</v>
      </c>
      <c r="BD24" s="89">
        <f t="shared" ref="BD24:BG24" si="36" xml:space="preserve"> BD20 + ( BD20 * BD22 ) + ( BD20 * BD23 )</f>
        <v>65430.298672128003</v>
      </c>
      <c r="BE24" s="89">
        <f t="shared" si="36"/>
        <v>72222.540281855996</v>
      </c>
      <c r="BF24" s="89">
        <f t="shared" si="36"/>
        <v>81067.113888767984</v>
      </c>
      <c r="BG24" s="90">
        <f t="shared" si="36"/>
        <v>90367.761272832009</v>
      </c>
      <c r="BH24" s="82"/>
      <c r="BI24" s="88">
        <f xml:space="preserve"> BI20 + ( BI20 * BI22 ) + ( BI20 * BI23 )</f>
        <v>55662.272285184001</v>
      </c>
      <c r="BJ24" s="89">
        <f t="shared" ref="BJ24:BM24" si="37" xml:space="preserve"> BJ20 + ( BJ20 * BJ22 ) + ( BJ20 * BJ23 )</f>
        <v>59739.083006976005</v>
      </c>
      <c r="BK24" s="89">
        <f t="shared" si="37"/>
        <v>65245.213822464008</v>
      </c>
      <c r="BL24" s="89">
        <f t="shared" si="37"/>
        <v>72050.726541312004</v>
      </c>
      <c r="BM24" s="90">
        <f t="shared" si="37"/>
        <v>106792.95018240002</v>
      </c>
      <c r="BN24" s="69"/>
      <c r="BO24" s="88">
        <f xml:space="preserve"> BO20 + ( BO20 * BO22 ) + ( BO20 * BO23 )</f>
        <v>67671.91675699201</v>
      </c>
      <c r="BP24" s="89">
        <f t="shared" ref="BP24:BS24" si="38" xml:space="preserve"> BP20 + ( BP20 * BP22 ) + ( BP20 * BP23 )</f>
        <v>73932.386350694418</v>
      </c>
      <c r="BQ24" s="89">
        <f t="shared" si="38"/>
        <v>81451.488212582408</v>
      </c>
      <c r="BR24" s="89">
        <f t="shared" si="38"/>
        <v>90098.455353753627</v>
      </c>
      <c r="BS24" s="90">
        <f t="shared" si="38"/>
        <v>99824.250153369605</v>
      </c>
      <c r="BT24" s="69"/>
      <c r="BU24" s="88">
        <f xml:space="preserve"> BU20 + ( BU20 * BU22 ) + ( BU20 * BU23 )</f>
        <v>53678.945922048006</v>
      </c>
      <c r="BV24" s="89">
        <f t="shared" ref="BV24:BY24" si="39" xml:space="preserve"> BV20 + ( BV20 * BV22 ) + ( BV20 * BV23 )</f>
        <v>63432.994185216012</v>
      </c>
      <c r="BW24" s="89">
        <f t="shared" si="39"/>
        <v>0</v>
      </c>
      <c r="BX24" s="89">
        <f t="shared" si="39"/>
        <v>0</v>
      </c>
      <c r="BY24" s="90">
        <f t="shared" si="39"/>
        <v>0</v>
      </c>
      <c r="BZ24" s="315"/>
      <c r="CA24" s="88">
        <f xml:space="preserve"> CA20 + ( CA20 * CA22 ) + ( CA20 * CA23 )</f>
        <v>59973.701695488009</v>
      </c>
      <c r="CB24" s="89">
        <f t="shared" ref="CB24:CE24" si="40" xml:space="preserve"> CB20 + ( CB20 * CB22 ) + ( CB20 * CB23 )</f>
        <v>65430.298672128003</v>
      </c>
      <c r="CC24" s="89">
        <f t="shared" si="40"/>
        <v>72222.540281855996</v>
      </c>
      <c r="CD24" s="89">
        <f t="shared" si="40"/>
        <v>81067.113888767984</v>
      </c>
      <c r="CE24" s="90">
        <f t="shared" si="40"/>
        <v>90367.761272832009</v>
      </c>
      <c r="CF24" s="82"/>
      <c r="CG24" s="88">
        <f xml:space="preserve"> CG20 + ( CG20 * CG22 ) + ( CG20 * CG23 )</f>
        <v>55662.272285184001</v>
      </c>
      <c r="CH24" s="89">
        <f t="shared" ref="CH24:CK24" si="41" xml:space="preserve"> CH20 + ( CH20 * CH22 ) + ( CH20 * CH23 )</f>
        <v>59739.083006976005</v>
      </c>
      <c r="CI24" s="89">
        <f t="shared" si="41"/>
        <v>65245.213822464008</v>
      </c>
      <c r="CJ24" s="89">
        <f t="shared" si="41"/>
        <v>72050.726541312004</v>
      </c>
      <c r="CK24" s="90">
        <f t="shared" si="41"/>
        <v>106792.95018240002</v>
      </c>
      <c r="CL24" s="69"/>
      <c r="CM24" s="88">
        <f xml:space="preserve"> CM20 + ( CM20 * CM22 ) + ( CM20 * CM23 )</f>
        <v>63507.633174051851</v>
      </c>
      <c r="CN24" s="89">
        <f t="shared" ref="CN24:CQ24" si="42" xml:space="preserve"> CN20 + ( CN20 * CN22 ) + ( CN20 * CN23 )</f>
        <v>68986.662237882774</v>
      </c>
      <c r="CO24" s="89">
        <f t="shared" si="42"/>
        <v>75163.862799844763</v>
      </c>
      <c r="CP24" s="89">
        <f t="shared" si="42"/>
        <v>94642.259526247217</v>
      </c>
      <c r="CQ24" s="90">
        <f t="shared" si="42"/>
        <v>0</v>
      </c>
      <c r="CR24" s="69"/>
      <c r="CS24" s="88">
        <f xml:space="preserve"> CS20 + ( CS20 * CS22 ) + ( CS20 * CS23 )</f>
        <v>67671.91675699201</v>
      </c>
      <c r="CT24" s="89">
        <f t="shared" ref="CT24:CW24" si="43" xml:space="preserve"> CT20 + ( CT20 * CT22 ) + ( CT20 * CT23 )</f>
        <v>73932.386350694418</v>
      </c>
      <c r="CU24" s="89">
        <f t="shared" si="43"/>
        <v>81451.488212582408</v>
      </c>
      <c r="CV24" s="89">
        <f t="shared" si="43"/>
        <v>90098.455353753627</v>
      </c>
      <c r="CW24" s="90">
        <f t="shared" si="43"/>
        <v>99824.250153369605</v>
      </c>
      <c r="CX24" s="69"/>
      <c r="CY24" s="88">
        <f xml:space="preserve"> CY20 + ( CY20 * CY22 ) + ( CY20 * CY23 )</f>
        <v>50929.323666623997</v>
      </c>
      <c r="CZ24" s="89">
        <f t="shared" ref="CZ24:DC24" si="44" xml:space="preserve"> CZ20 + ( CZ20 * CZ22 ) + ( CZ20 * CZ23 )</f>
        <v>68422.439186899195</v>
      </c>
      <c r="DA24" s="89">
        <f t="shared" si="44"/>
        <v>0</v>
      </c>
      <c r="DB24" s="89">
        <f t="shared" si="44"/>
        <v>0</v>
      </c>
      <c r="DC24" s="90">
        <f t="shared" si="44"/>
        <v>0</v>
      </c>
      <c r="DD24" s="82"/>
      <c r="DE24" s="418">
        <f xml:space="preserve"> DE20 + ( DE20 * DE22 ) + ( DE20 * DE23 )</f>
        <v>55707.304725089292</v>
      </c>
      <c r="DF24" s="419">
        <f xml:space="preserve"> DF20 + ( DF20 * DF22 ) + ( DF20 * DF23 )</f>
        <v>85176.280897551376</v>
      </c>
      <c r="DG24" s="419">
        <f xml:space="preserve"> DG20 + ( DG20 * DG22 ) + ( DG20 * DG23 )</f>
        <v>0</v>
      </c>
      <c r="DH24" s="419">
        <f xml:space="preserve"> DH20 + ( DH20 * DH22 ) + ( DH20 * DH23 )</f>
        <v>0</v>
      </c>
      <c r="DI24" s="180">
        <f xml:space="preserve"> DI20 + ( DI20 * DI22 ) + ( DI20 * DI23 )</f>
        <v>0</v>
      </c>
      <c r="DJ24" s="76"/>
      <c r="DK24" s="88">
        <f xml:space="preserve"> DK20 + ( DK20 * DK22 ) + ( DK20 * DK23 )</f>
        <v>51020.670806088783</v>
      </c>
      <c r="DL24" s="89">
        <f t="shared" ref="DL24:DO24" si="45" xml:space="preserve"> DL20 + ( DL20 * DL22 ) + ( DL20 * DL23 )</f>
        <v>52465.757685031895</v>
      </c>
      <c r="DM24" s="89">
        <f t="shared" si="45"/>
        <v>56695.031696043072</v>
      </c>
      <c r="DN24" s="89">
        <f t="shared" si="45"/>
        <v>60978.65782285844</v>
      </c>
      <c r="DO24" s="180">
        <f t="shared" si="45"/>
        <v>66997.135545997837</v>
      </c>
      <c r="DP24" s="76"/>
    </row>
    <row r="25" spans="1:120" s="8" customFormat="1" ht="6" customHeight="1" x14ac:dyDescent="0.3">
      <c r="A25" s="72"/>
      <c r="B25" s="105"/>
      <c r="C25" s="94"/>
      <c r="D25" s="65"/>
      <c r="E25" s="64"/>
      <c r="F25" s="86"/>
      <c r="G25" s="76"/>
      <c r="H25" s="81"/>
      <c r="I25" s="81"/>
      <c r="J25" s="81"/>
      <c r="K25" s="82"/>
      <c r="L25" s="135"/>
      <c r="M25" s="81"/>
      <c r="N25" s="81"/>
      <c r="O25" s="81"/>
      <c r="P25" s="81"/>
      <c r="Q25" s="82"/>
      <c r="R25" s="68"/>
      <c r="S25" s="76"/>
      <c r="T25" s="81"/>
      <c r="U25" s="81"/>
      <c r="V25" s="81"/>
      <c r="W25" s="82"/>
      <c r="X25" s="68"/>
      <c r="Y25" s="76"/>
      <c r="Z25" s="81"/>
      <c r="AA25" s="81"/>
      <c r="AB25" s="81"/>
      <c r="AC25" s="82"/>
      <c r="AD25" s="68"/>
      <c r="AE25" s="76"/>
      <c r="AF25" s="81"/>
      <c r="AG25" s="81"/>
      <c r="AH25" s="81"/>
      <c r="AI25" s="82"/>
      <c r="AJ25" s="68"/>
      <c r="AK25" s="76"/>
      <c r="AL25" s="81"/>
      <c r="AM25" s="81"/>
      <c r="AN25" s="81"/>
      <c r="AO25" s="82"/>
      <c r="AP25" s="68"/>
      <c r="AQ25" s="76"/>
      <c r="AR25" s="81"/>
      <c r="AS25" s="81"/>
      <c r="AT25" s="81"/>
      <c r="AU25" s="82"/>
      <c r="AV25" s="68"/>
      <c r="AW25" s="76"/>
      <c r="AX25" s="81"/>
      <c r="AY25" s="81"/>
      <c r="AZ25" s="81"/>
      <c r="BA25" s="82"/>
      <c r="BB25" s="76"/>
      <c r="BC25" s="76"/>
      <c r="BD25" s="81"/>
      <c r="BE25" s="81"/>
      <c r="BF25" s="81"/>
      <c r="BG25" s="82"/>
      <c r="BH25" s="135"/>
      <c r="BI25" s="76"/>
      <c r="BJ25" s="81"/>
      <c r="BK25" s="81"/>
      <c r="BL25" s="81"/>
      <c r="BM25" s="82"/>
      <c r="BN25" s="68"/>
      <c r="BO25" s="76"/>
      <c r="BP25" s="81"/>
      <c r="BQ25" s="81"/>
      <c r="BR25" s="81"/>
      <c r="BS25" s="82"/>
      <c r="BT25" s="68"/>
      <c r="BU25" s="76"/>
      <c r="BV25" s="81"/>
      <c r="BW25" s="81"/>
      <c r="BX25" s="81"/>
      <c r="BY25" s="82"/>
      <c r="BZ25" s="315"/>
      <c r="CA25" s="76"/>
      <c r="CB25" s="81"/>
      <c r="CC25" s="81"/>
      <c r="CD25" s="81"/>
      <c r="CE25" s="82"/>
      <c r="CF25" s="135"/>
      <c r="CG25" s="76"/>
      <c r="CH25" s="81"/>
      <c r="CI25" s="81"/>
      <c r="CJ25" s="81"/>
      <c r="CK25" s="82"/>
      <c r="CL25" s="68"/>
      <c r="CM25" s="76"/>
      <c r="CN25" s="81"/>
      <c r="CO25" s="81"/>
      <c r="CP25" s="81"/>
      <c r="CQ25" s="82"/>
      <c r="CR25" s="68"/>
      <c r="CS25" s="76"/>
      <c r="CT25" s="81"/>
      <c r="CU25" s="81"/>
      <c r="CV25" s="81"/>
      <c r="CW25" s="82"/>
      <c r="CX25" s="68"/>
      <c r="CY25" s="76"/>
      <c r="CZ25" s="81"/>
      <c r="DA25" s="81"/>
      <c r="DB25" s="81"/>
      <c r="DC25" s="82"/>
      <c r="DD25" s="135"/>
      <c r="DE25" s="420"/>
      <c r="DF25" s="182"/>
      <c r="DG25" s="182"/>
      <c r="DH25" s="182"/>
      <c r="DI25" s="181"/>
      <c r="DJ25" s="76"/>
      <c r="DK25" s="76"/>
      <c r="DL25" s="81"/>
      <c r="DM25" s="81"/>
      <c r="DN25" s="81"/>
      <c r="DO25" s="181"/>
      <c r="DP25" s="76"/>
    </row>
    <row r="26" spans="1:120" s="226" customFormat="1" x14ac:dyDescent="0.3">
      <c r="A26" s="224"/>
      <c r="B26" s="225"/>
      <c r="C26" s="224"/>
      <c r="E26" s="227" t="s">
        <v>61</v>
      </c>
      <c r="F26" s="228" t="s">
        <v>62</v>
      </c>
      <c r="G26" s="230">
        <v>0.02</v>
      </c>
      <c r="H26" s="26">
        <v>0.02</v>
      </c>
      <c r="I26" s="26">
        <v>0.02</v>
      </c>
      <c r="J26" s="26">
        <v>0.02</v>
      </c>
      <c r="K26" s="229">
        <v>0.02</v>
      </c>
      <c r="L26" s="235"/>
      <c r="M26" s="26">
        <v>0.02</v>
      </c>
      <c r="N26" s="26">
        <v>0.02</v>
      </c>
      <c r="O26" s="26">
        <v>0.02</v>
      </c>
      <c r="P26" s="26">
        <v>0.02</v>
      </c>
      <c r="Q26" s="229">
        <v>0.02</v>
      </c>
      <c r="R26" s="227"/>
      <c r="S26" s="230">
        <v>0.02</v>
      </c>
      <c r="T26" s="26">
        <v>0.02</v>
      </c>
      <c r="U26" s="26">
        <v>0.02</v>
      </c>
      <c r="V26" s="26">
        <v>0.02</v>
      </c>
      <c r="W26" s="229">
        <v>0.02</v>
      </c>
      <c r="X26" s="227"/>
      <c r="Y26" s="230">
        <v>0.02</v>
      </c>
      <c r="Z26" s="26">
        <v>0.02</v>
      </c>
      <c r="AA26" s="26">
        <v>0.02</v>
      </c>
      <c r="AB26" s="26">
        <v>0.02</v>
      </c>
      <c r="AC26" s="229">
        <v>0.02</v>
      </c>
      <c r="AD26" s="227"/>
      <c r="AE26" s="230">
        <v>0.02</v>
      </c>
      <c r="AF26" s="26">
        <v>0.02</v>
      </c>
      <c r="AG26" s="26">
        <v>0.02</v>
      </c>
      <c r="AH26" s="26">
        <v>0.02</v>
      </c>
      <c r="AI26" s="229">
        <v>0.02</v>
      </c>
      <c r="AJ26" s="227"/>
      <c r="AK26" s="230">
        <v>0.02</v>
      </c>
      <c r="AL26" s="26">
        <v>0.02</v>
      </c>
      <c r="AM26" s="26">
        <v>0.02</v>
      </c>
      <c r="AN26" s="26">
        <v>0.02</v>
      </c>
      <c r="AO26" s="229">
        <v>0.02</v>
      </c>
      <c r="AP26" s="227"/>
      <c r="AQ26" s="230">
        <v>0.02</v>
      </c>
      <c r="AR26" s="26">
        <v>0.02</v>
      </c>
      <c r="AS26" s="26">
        <v>0.02</v>
      </c>
      <c r="AT26" s="26">
        <v>0.02</v>
      </c>
      <c r="AU26" s="229">
        <v>0.02</v>
      </c>
      <c r="AV26" s="227"/>
      <c r="AW26" s="230">
        <v>0.02</v>
      </c>
      <c r="AX26" s="26">
        <v>0.02</v>
      </c>
      <c r="AY26" s="26">
        <v>0.02</v>
      </c>
      <c r="AZ26" s="26">
        <v>0.02</v>
      </c>
      <c r="BA26" s="229">
        <v>0.02</v>
      </c>
      <c r="BB26" s="234"/>
      <c r="BC26" s="230">
        <v>0.02</v>
      </c>
      <c r="BD26" s="26">
        <v>0.02</v>
      </c>
      <c r="BE26" s="26">
        <v>0.02</v>
      </c>
      <c r="BF26" s="26">
        <v>0.02</v>
      </c>
      <c r="BG26" s="229">
        <v>0.02</v>
      </c>
      <c r="BH26" s="235"/>
      <c r="BI26" s="230">
        <v>0.02</v>
      </c>
      <c r="BJ26" s="26">
        <v>0.02</v>
      </c>
      <c r="BK26" s="26">
        <v>0.02</v>
      </c>
      <c r="BL26" s="26">
        <v>0.02</v>
      </c>
      <c r="BM26" s="229">
        <v>0.02</v>
      </c>
      <c r="BN26" s="227"/>
      <c r="BO26" s="230">
        <v>0.02</v>
      </c>
      <c r="BP26" s="26">
        <v>0.02</v>
      </c>
      <c r="BQ26" s="26">
        <v>0.02</v>
      </c>
      <c r="BR26" s="26">
        <v>0.02</v>
      </c>
      <c r="BS26" s="229">
        <v>0.02</v>
      </c>
      <c r="BT26" s="227"/>
      <c r="BU26" s="230">
        <v>0.02</v>
      </c>
      <c r="BV26" s="26">
        <v>0.02</v>
      </c>
      <c r="BW26" s="26">
        <v>0.02</v>
      </c>
      <c r="BX26" s="26">
        <v>0.02</v>
      </c>
      <c r="BY26" s="229">
        <v>0.02</v>
      </c>
      <c r="BZ26" s="314"/>
      <c r="CA26" s="230">
        <v>0.02</v>
      </c>
      <c r="CB26" s="26">
        <v>0.02</v>
      </c>
      <c r="CC26" s="26">
        <v>0.02</v>
      </c>
      <c r="CD26" s="26">
        <v>0.02</v>
      </c>
      <c r="CE26" s="229">
        <v>0.02</v>
      </c>
      <c r="CF26" s="235"/>
      <c r="CG26" s="230">
        <v>0.02</v>
      </c>
      <c r="CH26" s="26">
        <v>0.02</v>
      </c>
      <c r="CI26" s="26">
        <v>0.02</v>
      </c>
      <c r="CJ26" s="26">
        <v>0.02</v>
      </c>
      <c r="CK26" s="229">
        <v>0.02</v>
      </c>
      <c r="CL26" s="227"/>
      <c r="CM26" s="230">
        <v>0.02</v>
      </c>
      <c r="CN26" s="26">
        <v>0.02</v>
      </c>
      <c r="CO26" s="26">
        <v>0.02</v>
      </c>
      <c r="CP26" s="26">
        <v>0.02</v>
      </c>
      <c r="CQ26" s="229">
        <v>0.02</v>
      </c>
      <c r="CR26" s="227"/>
      <c r="CS26" s="230">
        <v>0.02</v>
      </c>
      <c r="CT26" s="26">
        <v>0.02</v>
      </c>
      <c r="CU26" s="26">
        <v>0.02</v>
      </c>
      <c r="CV26" s="26">
        <v>0.02</v>
      </c>
      <c r="CW26" s="229">
        <v>0.02</v>
      </c>
      <c r="CX26" s="227"/>
      <c r="CY26" s="230">
        <v>0.02</v>
      </c>
      <c r="CZ26" s="26">
        <v>0.02</v>
      </c>
      <c r="DA26" s="26">
        <v>0.02</v>
      </c>
      <c r="DB26" s="26">
        <v>0.02</v>
      </c>
      <c r="DC26" s="229">
        <v>0.02</v>
      </c>
      <c r="DD26" s="235"/>
      <c r="DE26" s="413">
        <v>0.02</v>
      </c>
      <c r="DF26" s="414">
        <v>0.02</v>
      </c>
      <c r="DG26" s="414">
        <v>0.02</v>
      </c>
      <c r="DH26" s="414">
        <v>0.02</v>
      </c>
      <c r="DI26" s="233">
        <v>0.02</v>
      </c>
      <c r="DJ26" s="234"/>
      <c r="DK26" s="230">
        <v>0.02</v>
      </c>
      <c r="DL26" s="26">
        <v>0.02</v>
      </c>
      <c r="DM26" s="26">
        <v>0.02</v>
      </c>
      <c r="DN26" s="26">
        <v>0.02</v>
      </c>
      <c r="DO26" s="233">
        <v>0.02</v>
      </c>
      <c r="DP26" s="234"/>
    </row>
    <row r="27" spans="1:120" s="8" customFormat="1" x14ac:dyDescent="0.3">
      <c r="A27" s="72"/>
      <c r="B27" s="105"/>
      <c r="C27" s="94"/>
      <c r="D27" s="65"/>
      <c r="E27" s="87" t="s">
        <v>63</v>
      </c>
      <c r="F27" s="87" t="s">
        <v>48</v>
      </c>
      <c r="G27" s="88">
        <f xml:space="preserve"> G24 * ( 1 + G26 )</f>
        <v>61651.091164783691</v>
      </c>
      <c r="H27" s="89">
        <f t="shared" ref="H27:K27" si="46" xml:space="preserve"> H24 * ( 1 + H26 )</f>
        <v>67260.302338114081</v>
      </c>
      <c r="I27" s="89">
        <f t="shared" si="46"/>
        <v>74242.514455364158</v>
      </c>
      <c r="J27" s="89">
        <f t="shared" si="46"/>
        <v>83334.459730344475</v>
      </c>
      <c r="K27" s="90">
        <f t="shared" si="46"/>
        <v>92895.234595931528</v>
      </c>
      <c r="L27" s="82"/>
      <c r="M27" s="89">
        <f t="shared" ref="M27:Q27" si="47" xml:space="preserve"> M24 * ( 1 + M26 )</f>
        <v>61651.091164783691</v>
      </c>
      <c r="N27" s="89">
        <f t="shared" si="47"/>
        <v>67260.302338114081</v>
      </c>
      <c r="O27" s="89">
        <f t="shared" si="47"/>
        <v>74242.514455364158</v>
      </c>
      <c r="P27" s="89">
        <f t="shared" si="47"/>
        <v>83334.459730344475</v>
      </c>
      <c r="Q27" s="90">
        <f t="shared" si="47"/>
        <v>92895.234595931528</v>
      </c>
      <c r="R27" s="69"/>
      <c r="S27" s="88">
        <f xml:space="preserve"> S24 * ( 1 + S26 )</f>
        <v>57219.076463160251</v>
      </c>
      <c r="T27" s="89">
        <f t="shared" ref="T27:V27" si="48" xml:space="preserve"> T24 * ( 1 + T26 )</f>
        <v>61409.910484827371</v>
      </c>
      <c r="U27" s="89">
        <f t="shared" si="48"/>
        <v>67070.04089656104</v>
      </c>
      <c r="V27" s="89">
        <f t="shared" si="48"/>
        <v>74065.895299264332</v>
      </c>
      <c r="W27" s="90">
        <f t="shared" ref="W27" si="49" xml:space="preserve"> W24 * ( 1 + W26 )</f>
        <v>109779.81550781403</v>
      </c>
      <c r="X27" s="69"/>
      <c r="Y27" s="88">
        <f xml:space="preserve"> Y24 * ( 1 + Y26 )</f>
        <v>57219.076463160251</v>
      </c>
      <c r="Z27" s="89">
        <f xml:space="preserve"> Z24 * ( 1 + Z26 )</f>
        <v>61409.910484827371</v>
      </c>
      <c r="AA27" s="89">
        <f xml:space="preserve"> AA24 * ( 1 + AA26 )</f>
        <v>67070.04089656104</v>
      </c>
      <c r="AB27" s="89">
        <f xml:space="preserve"> AB24 * ( 1 + AB26 )</f>
        <v>74065.895299264332</v>
      </c>
      <c r="AC27" s="90">
        <f xml:space="preserve"> AC24 * ( 1 + AC26 )</f>
        <v>109779.81550781403</v>
      </c>
      <c r="AD27" s="69"/>
      <c r="AE27" s="88">
        <f xml:space="preserve"> AE24 * ( 1 + AE26 )</f>
        <v>65283.862289388613</v>
      </c>
      <c r="AF27" s="89">
        <f t="shared" ref="AF27:AI27" si="50" xml:space="preserve"> AF24 * ( 1 + AF26 )</f>
        <v>70916.132947348553</v>
      </c>
      <c r="AG27" s="89">
        <f t="shared" si="50"/>
        <v>77266.102087527921</v>
      </c>
      <c r="AH27" s="89">
        <f t="shared" si="50"/>
        <v>97289.285222371938</v>
      </c>
      <c r="AI27" s="90">
        <f t="shared" si="50"/>
        <v>0</v>
      </c>
      <c r="AJ27" s="69"/>
      <c r="AK27" s="88">
        <f xml:space="preserve"> AK24 * ( 1 + AK26 )</f>
        <v>69564.615678789138</v>
      </c>
      <c r="AL27" s="89">
        <f t="shared" ref="AL27:AO27" si="51" xml:space="preserve"> AL24 * ( 1 + AL26 )</f>
        <v>76000.18278144041</v>
      </c>
      <c r="AM27" s="89">
        <f t="shared" si="51"/>
        <v>83729.584523528072</v>
      </c>
      <c r="AN27" s="89">
        <f t="shared" si="51"/>
        <v>92618.396526928918</v>
      </c>
      <c r="AO27" s="90">
        <f t="shared" si="51"/>
        <v>102616.20964984667</v>
      </c>
      <c r="AP27" s="69"/>
      <c r="AQ27" s="88">
        <f xml:space="preserve"> AQ24 * ( 1 + AQ26 )</f>
        <v>69564.615678789138</v>
      </c>
      <c r="AR27" s="89">
        <f xml:space="preserve"> AR24 * ( 1 + AR26 )</f>
        <v>76000.18278144041</v>
      </c>
      <c r="AS27" s="89">
        <f xml:space="preserve"> AS24 * ( 1 + AS26 )</f>
        <v>83729.584523528072</v>
      </c>
      <c r="AT27" s="89">
        <f xml:space="preserve"> AT24 * ( 1 + AT26 )</f>
        <v>92618.396526928918</v>
      </c>
      <c r="AU27" s="90">
        <f xml:space="preserve"> AU24 * ( 1 + AU26 )</f>
        <v>102616.20964984667</v>
      </c>
      <c r="AV27" s="69"/>
      <c r="AW27" s="88">
        <f xml:space="preserve"> AW24 * ( 1 + AW26 )</f>
        <v>55180.278940805285</v>
      </c>
      <c r="AX27" s="89">
        <f t="shared" ref="AX27:BA27" si="52" xml:space="preserve"> AX24 * ( 1 + AX26 )</f>
        <v>65207.135741333768</v>
      </c>
      <c r="AY27" s="89">
        <f t="shared" si="52"/>
        <v>0</v>
      </c>
      <c r="AZ27" s="89">
        <f t="shared" si="52"/>
        <v>0</v>
      </c>
      <c r="BA27" s="90">
        <f t="shared" si="52"/>
        <v>0</v>
      </c>
      <c r="BB27" s="76"/>
      <c r="BC27" s="88">
        <f xml:space="preserve"> BC24 * ( 1 + BC26 )</f>
        <v>61173.175729397772</v>
      </c>
      <c r="BD27" s="89">
        <f t="shared" ref="BD27:BG27" si="53" xml:space="preserve"> BD24 * ( 1 + BD26 )</f>
        <v>66738.904645570568</v>
      </c>
      <c r="BE27" s="89">
        <f t="shared" si="53"/>
        <v>73666.991087493123</v>
      </c>
      <c r="BF27" s="89">
        <f t="shared" si="53"/>
        <v>82688.456166543343</v>
      </c>
      <c r="BG27" s="90">
        <f t="shared" si="53"/>
        <v>92175.116498288655</v>
      </c>
      <c r="BH27" s="82"/>
      <c r="BI27" s="88">
        <f xml:space="preserve"> BI24 * ( 1 + BI26 )</f>
        <v>56775.517730887681</v>
      </c>
      <c r="BJ27" s="89">
        <f t="shared" ref="BJ27:BM27" si="54" xml:space="preserve"> BJ24 * ( 1 + BJ26 )</f>
        <v>60933.864667115529</v>
      </c>
      <c r="BK27" s="89">
        <f t="shared" si="54"/>
        <v>66550.118098913284</v>
      </c>
      <c r="BL27" s="89">
        <f t="shared" si="54"/>
        <v>73491.741072138248</v>
      </c>
      <c r="BM27" s="90">
        <f t="shared" si="54"/>
        <v>108928.80918604802</v>
      </c>
      <c r="BN27" s="69"/>
      <c r="BO27" s="88">
        <f xml:space="preserve"> BO24 * ( 1 + BO26 )</f>
        <v>69025.355092131853</v>
      </c>
      <c r="BP27" s="89">
        <f t="shared" ref="BP27:BS27" si="55" xml:space="preserve"> BP24 * ( 1 + BP26 )</f>
        <v>75411.034077708304</v>
      </c>
      <c r="BQ27" s="89">
        <f t="shared" si="55"/>
        <v>83080.51797683406</v>
      </c>
      <c r="BR27" s="89">
        <f t="shared" si="55"/>
        <v>91900.424460828697</v>
      </c>
      <c r="BS27" s="90">
        <f t="shared" si="55"/>
        <v>101820.735156437</v>
      </c>
      <c r="BT27" s="69"/>
      <c r="BU27" s="88">
        <f xml:space="preserve"> BU24 * ( 1 + BU26 )</f>
        <v>54752.524840488964</v>
      </c>
      <c r="BV27" s="89">
        <f t="shared" ref="BV27:BY27" si="56" xml:space="preserve"> BV24 * ( 1 + BV26 )</f>
        <v>64701.654068920332</v>
      </c>
      <c r="BW27" s="89">
        <f t="shared" si="56"/>
        <v>0</v>
      </c>
      <c r="BX27" s="89">
        <f t="shared" si="56"/>
        <v>0</v>
      </c>
      <c r="BY27" s="90">
        <f t="shared" si="56"/>
        <v>0</v>
      </c>
      <c r="BZ27" s="315"/>
      <c r="CA27" s="88">
        <f xml:space="preserve"> CA24 * ( 1 + CA26 )</f>
        <v>61173.175729397772</v>
      </c>
      <c r="CB27" s="89">
        <f t="shared" ref="CB27:CE27" si="57" xml:space="preserve"> CB24 * ( 1 + CB26 )</f>
        <v>66738.904645570568</v>
      </c>
      <c r="CC27" s="89">
        <f t="shared" si="57"/>
        <v>73666.991087493123</v>
      </c>
      <c r="CD27" s="89">
        <f t="shared" si="57"/>
        <v>82688.456166543343</v>
      </c>
      <c r="CE27" s="90">
        <f t="shared" si="57"/>
        <v>92175.116498288655</v>
      </c>
      <c r="CF27" s="82"/>
      <c r="CG27" s="88">
        <f xml:space="preserve"> CG24 * ( 1 + CG26 )</f>
        <v>56775.517730887681</v>
      </c>
      <c r="CH27" s="89">
        <f t="shared" ref="CH27:CK27" si="58" xml:space="preserve"> CH24 * ( 1 + CH26 )</f>
        <v>60933.864667115529</v>
      </c>
      <c r="CI27" s="89">
        <f t="shared" si="58"/>
        <v>66550.118098913284</v>
      </c>
      <c r="CJ27" s="89">
        <f t="shared" si="58"/>
        <v>73491.741072138248</v>
      </c>
      <c r="CK27" s="90">
        <f t="shared" si="58"/>
        <v>108928.80918604802</v>
      </c>
      <c r="CL27" s="69"/>
      <c r="CM27" s="88">
        <f xml:space="preserve"> CM24 * ( 1 + CM26 )</f>
        <v>64777.785837532887</v>
      </c>
      <c r="CN27" s="89">
        <f t="shared" ref="CN27:CQ27" si="59" xml:space="preserve"> CN24 * ( 1 + CN26 )</f>
        <v>70366.395482640437</v>
      </c>
      <c r="CO27" s="89">
        <f t="shared" si="59"/>
        <v>76667.140055841664</v>
      </c>
      <c r="CP27" s="89">
        <f t="shared" si="59"/>
        <v>96535.10471677217</v>
      </c>
      <c r="CQ27" s="90">
        <f t="shared" si="59"/>
        <v>0</v>
      </c>
      <c r="CR27" s="69"/>
      <c r="CS27" s="88">
        <f xml:space="preserve"> CS24 * ( 1 + CS26 )</f>
        <v>69025.355092131853</v>
      </c>
      <c r="CT27" s="89">
        <f t="shared" ref="CT27:CW27" si="60" xml:space="preserve"> CT24 * ( 1 + CT26 )</f>
        <v>75411.034077708304</v>
      </c>
      <c r="CU27" s="89">
        <f t="shared" si="60"/>
        <v>83080.51797683406</v>
      </c>
      <c r="CV27" s="89">
        <f t="shared" si="60"/>
        <v>91900.424460828697</v>
      </c>
      <c r="CW27" s="90">
        <f t="shared" si="60"/>
        <v>101820.735156437</v>
      </c>
      <c r="CX27" s="69"/>
      <c r="CY27" s="88">
        <f xml:space="preserve"> CY24 * ( 1 + CY26 )</f>
        <v>51947.910139956475</v>
      </c>
      <c r="CZ27" s="89">
        <f t="shared" ref="CZ27:DC27" si="61" xml:space="preserve"> CZ24 * ( 1 + CZ26 )</f>
        <v>69790.887970637181</v>
      </c>
      <c r="DA27" s="89">
        <f t="shared" si="61"/>
        <v>0</v>
      </c>
      <c r="DB27" s="89">
        <f t="shared" si="61"/>
        <v>0</v>
      </c>
      <c r="DC27" s="90">
        <f t="shared" si="61"/>
        <v>0</v>
      </c>
      <c r="DD27" s="82"/>
      <c r="DE27" s="418">
        <f xml:space="preserve"> DE24 * ( 1 + DE26 )</f>
        <v>56821.450819591082</v>
      </c>
      <c r="DF27" s="419">
        <f xml:space="preserve"> DF24 * ( 1 + DF26 )</f>
        <v>86879.806515502409</v>
      </c>
      <c r="DG27" s="419">
        <f xml:space="preserve"> DG24 * ( 1 + DG26 )</f>
        <v>0</v>
      </c>
      <c r="DH27" s="419">
        <f xml:space="preserve"> DH24 * ( 1 + DH26 )</f>
        <v>0</v>
      </c>
      <c r="DI27" s="180">
        <f xml:space="preserve"> DI24 * ( 1 + DI26 )</f>
        <v>0</v>
      </c>
      <c r="DJ27" s="76"/>
      <c r="DK27" s="88">
        <f xml:space="preserve"> DK24 * ( 1 + DK26 )</f>
        <v>52041.084222210557</v>
      </c>
      <c r="DL27" s="89">
        <f t="shared" ref="DL27:DO27" si="62" xml:space="preserve"> DL24 * ( 1 + DL26 )</f>
        <v>53515.072838732536</v>
      </c>
      <c r="DM27" s="89">
        <f t="shared" si="62"/>
        <v>57828.932329963936</v>
      </c>
      <c r="DN27" s="89">
        <f t="shared" si="62"/>
        <v>62198.230979315609</v>
      </c>
      <c r="DO27" s="180">
        <f t="shared" si="62"/>
        <v>68337.078256917797</v>
      </c>
      <c r="DP27" s="76"/>
    </row>
    <row r="28" spans="1:120" s="8" customFormat="1" ht="6" customHeight="1" x14ac:dyDescent="0.3">
      <c r="A28" s="72"/>
      <c r="B28" s="105"/>
      <c r="C28" s="94"/>
      <c r="D28" s="65"/>
      <c r="E28" s="64"/>
      <c r="F28" s="86"/>
      <c r="G28" s="76"/>
      <c r="H28" s="81"/>
      <c r="I28" s="81"/>
      <c r="J28" s="81"/>
      <c r="K28" s="82"/>
      <c r="L28" s="135"/>
      <c r="M28" s="81"/>
      <c r="N28" s="81"/>
      <c r="O28" s="81"/>
      <c r="P28" s="81"/>
      <c r="Q28" s="82"/>
      <c r="R28" s="68"/>
      <c r="S28" s="76"/>
      <c r="T28" s="81"/>
      <c r="U28" s="81"/>
      <c r="V28" s="81"/>
      <c r="W28" s="82"/>
      <c r="X28" s="68"/>
      <c r="Y28" s="76"/>
      <c r="Z28" s="81"/>
      <c r="AA28" s="81"/>
      <c r="AB28" s="81"/>
      <c r="AC28" s="82"/>
      <c r="AD28" s="68"/>
      <c r="AE28" s="76"/>
      <c r="AF28" s="81"/>
      <c r="AG28" s="81"/>
      <c r="AH28" s="81"/>
      <c r="AI28" s="82"/>
      <c r="AJ28" s="68"/>
      <c r="AK28" s="76"/>
      <c r="AL28" s="81"/>
      <c r="AM28" s="81"/>
      <c r="AN28" s="81"/>
      <c r="AO28" s="82"/>
      <c r="AP28" s="68"/>
      <c r="AQ28" s="76"/>
      <c r="AR28" s="81"/>
      <c r="AS28" s="81"/>
      <c r="AT28" s="81"/>
      <c r="AU28" s="82"/>
      <c r="AV28" s="68"/>
      <c r="AW28" s="76"/>
      <c r="AX28" s="81"/>
      <c r="AY28" s="81"/>
      <c r="AZ28" s="81"/>
      <c r="BA28" s="82"/>
      <c r="BB28" s="76"/>
      <c r="BC28" s="76"/>
      <c r="BD28" s="81"/>
      <c r="BE28" s="81"/>
      <c r="BF28" s="81"/>
      <c r="BG28" s="82"/>
      <c r="BH28" s="135"/>
      <c r="BI28" s="76"/>
      <c r="BJ28" s="81"/>
      <c r="BK28" s="81"/>
      <c r="BL28" s="81"/>
      <c r="BM28" s="82"/>
      <c r="BN28" s="68"/>
      <c r="BO28" s="76"/>
      <c r="BP28" s="81"/>
      <c r="BQ28" s="81"/>
      <c r="BR28" s="81"/>
      <c r="BS28" s="82"/>
      <c r="BT28" s="68"/>
      <c r="BU28" s="76"/>
      <c r="BV28" s="81"/>
      <c r="BW28" s="81"/>
      <c r="BX28" s="81"/>
      <c r="BY28" s="82"/>
      <c r="BZ28" s="315"/>
      <c r="CA28" s="76"/>
      <c r="CB28" s="81"/>
      <c r="CC28" s="81"/>
      <c r="CD28" s="81"/>
      <c r="CE28" s="82"/>
      <c r="CF28" s="135"/>
      <c r="CG28" s="76"/>
      <c r="CH28" s="81"/>
      <c r="CI28" s="81"/>
      <c r="CJ28" s="81"/>
      <c r="CK28" s="82"/>
      <c r="CL28" s="68"/>
      <c r="CM28" s="76"/>
      <c r="CN28" s="81"/>
      <c r="CO28" s="81"/>
      <c r="CP28" s="81"/>
      <c r="CQ28" s="82"/>
      <c r="CR28" s="68"/>
      <c r="CS28" s="76"/>
      <c r="CT28" s="81"/>
      <c r="CU28" s="81"/>
      <c r="CV28" s="81"/>
      <c r="CW28" s="82"/>
      <c r="CX28" s="68"/>
      <c r="CY28" s="76"/>
      <c r="CZ28" s="81"/>
      <c r="DA28" s="81"/>
      <c r="DB28" s="81"/>
      <c r="DC28" s="82"/>
      <c r="DD28" s="135"/>
      <c r="DE28" s="420"/>
      <c r="DF28" s="182"/>
      <c r="DG28" s="182"/>
      <c r="DH28" s="182"/>
      <c r="DI28" s="181"/>
      <c r="DJ28" s="76"/>
      <c r="DK28" s="76"/>
      <c r="DL28" s="81"/>
      <c r="DM28" s="81"/>
      <c r="DN28" s="81"/>
      <c r="DO28" s="181"/>
      <c r="DP28" s="76"/>
    </row>
    <row r="29" spans="1:120" s="129" customFormat="1" x14ac:dyDescent="0.3">
      <c r="A29" s="127"/>
      <c r="B29" s="128"/>
      <c r="C29" s="127"/>
      <c r="E29" s="133" t="s">
        <v>64</v>
      </c>
      <c r="F29" s="134" t="s">
        <v>65</v>
      </c>
      <c r="G29" s="130">
        <f xml:space="preserve"> MAX( (24.9% / ( 1 - 24.9% )) * ( 1 - 10%), 25%)</f>
        <v>0.29840213049267644</v>
      </c>
      <c r="H29" s="131">
        <f t="shared" ref="H29:K29" si="63" xml:space="preserve"> MAX( (24.9% / ( 1 - 24.9% )) * ( 1 - 10%), 25%)</f>
        <v>0.29840213049267644</v>
      </c>
      <c r="I29" s="131">
        <f t="shared" si="63"/>
        <v>0.29840213049267644</v>
      </c>
      <c r="J29" s="131">
        <f t="shared" si="63"/>
        <v>0.29840213049267644</v>
      </c>
      <c r="K29" s="132">
        <f t="shared" si="63"/>
        <v>0.29840213049267644</v>
      </c>
      <c r="L29" s="308"/>
      <c r="M29" s="131">
        <f xml:space="preserve"> MAX( (24.9% / ( 1 - 24.9% )) * ( 1 - 10%), 25%)</f>
        <v>0.29840213049267644</v>
      </c>
      <c r="N29" s="131">
        <f t="shared" ref="N29:Q29" si="64" xml:space="preserve"> MAX( (24.9% / ( 1 - 24.9% )) * ( 1 - 10%), 25%)</f>
        <v>0.29840213049267644</v>
      </c>
      <c r="O29" s="131">
        <f t="shared" si="64"/>
        <v>0.29840213049267644</v>
      </c>
      <c r="P29" s="131">
        <f t="shared" si="64"/>
        <v>0.29840213049267644</v>
      </c>
      <c r="Q29" s="132">
        <f t="shared" si="64"/>
        <v>0.29840213049267644</v>
      </c>
      <c r="R29" s="133"/>
      <c r="S29" s="230">
        <f xml:space="preserve"> MAX( (21.2% / ( 1 - 21.2% )) * ( 1 - 10%), 25%)</f>
        <v>0.25</v>
      </c>
      <c r="T29" s="131">
        <f t="shared" ref="T29:W29" si="65" xml:space="preserve"> MAX( (21.2% / ( 1 - 21.2% )) * ( 1 - 10%), 25%)</f>
        <v>0.25</v>
      </c>
      <c r="U29" s="131">
        <f t="shared" si="65"/>
        <v>0.25</v>
      </c>
      <c r="V29" s="131">
        <f t="shared" si="65"/>
        <v>0.25</v>
      </c>
      <c r="W29" s="132">
        <f t="shared" si="65"/>
        <v>0.25</v>
      </c>
      <c r="X29" s="133"/>
      <c r="Y29" s="230">
        <f xml:space="preserve"> MAX( (21.2% / ( 1 - 21.2% )) * ( 1 - 10%), 25%)</f>
        <v>0.25</v>
      </c>
      <c r="Z29" s="131">
        <f t="shared" ref="Z29:AC29" si="66" xml:space="preserve"> MAX( (21.2% / ( 1 - 21.2% )) * ( 1 - 10%), 25%)</f>
        <v>0.25</v>
      </c>
      <c r="AA29" s="131">
        <f t="shared" si="66"/>
        <v>0.25</v>
      </c>
      <c r="AB29" s="131">
        <f t="shared" si="66"/>
        <v>0.25</v>
      </c>
      <c r="AC29" s="132">
        <f t="shared" si="66"/>
        <v>0.25</v>
      </c>
      <c r="AD29" s="133"/>
      <c r="AE29" s="130">
        <f xml:space="preserve"> (24.7% / ( 1 - 24.7% )) * ( 1 - 10%)</f>
        <v>0.29521912350597607</v>
      </c>
      <c r="AF29" s="131">
        <f xml:space="preserve"> (24.7% / ( 1 - 24.7% )) * ( 1 - 10%)</f>
        <v>0.29521912350597607</v>
      </c>
      <c r="AG29" s="131">
        <f xml:space="preserve"> (24.7% / ( 1 - 24.7% )) * ( 1 - 10%)</f>
        <v>0.29521912350597607</v>
      </c>
      <c r="AH29" s="131">
        <f xml:space="preserve"> (24.7% / ( 1 - 24.7% )) * ( 1 - 10%)</f>
        <v>0.29521912350597607</v>
      </c>
      <c r="AI29" s="132">
        <f xml:space="preserve"> (24.7% / ( 1 - 24.7% )) * ( 1 - 10%)</f>
        <v>0.29521912350597607</v>
      </c>
      <c r="AJ29" s="133"/>
      <c r="AK29" s="130">
        <f xml:space="preserve"> (25% / ( 1 - 25% )) * ( 1 - 10%)</f>
        <v>0.3</v>
      </c>
      <c r="AL29" s="131">
        <f t="shared" ref="AL29:AO29" si="67" xml:space="preserve"> (25% / ( 1 - 25% )) * ( 1 - 10%)</f>
        <v>0.3</v>
      </c>
      <c r="AM29" s="131">
        <f t="shared" si="67"/>
        <v>0.3</v>
      </c>
      <c r="AN29" s="131">
        <f t="shared" si="67"/>
        <v>0.3</v>
      </c>
      <c r="AO29" s="132">
        <f t="shared" si="67"/>
        <v>0.3</v>
      </c>
      <c r="AP29" s="133"/>
      <c r="AQ29" s="130">
        <f xml:space="preserve"> (25% / ( 1 - 25% )) * ( 1 - 10%)</f>
        <v>0.3</v>
      </c>
      <c r="AR29" s="131">
        <f t="shared" ref="AR29:AU29" si="68" xml:space="preserve"> (25% / ( 1 - 25% )) * ( 1 - 10%)</f>
        <v>0.3</v>
      </c>
      <c r="AS29" s="131">
        <f t="shared" si="68"/>
        <v>0.3</v>
      </c>
      <c r="AT29" s="131">
        <f t="shared" si="68"/>
        <v>0.3</v>
      </c>
      <c r="AU29" s="132">
        <f t="shared" si="68"/>
        <v>0.3</v>
      </c>
      <c r="AV29" s="133"/>
      <c r="AW29" s="130">
        <f xml:space="preserve"> MAX( (20.2% / ( 1 - 20.2%)) * ( 1 - 10%), 25%)</f>
        <v>0.25</v>
      </c>
      <c r="AX29" s="131">
        <f t="shared" ref="AX29:BA29" si="69" xml:space="preserve"> MAX( (20.2% / ( 1 - 20.2%)) * ( 1 - 10%), 25%)</f>
        <v>0.25</v>
      </c>
      <c r="AY29" s="131">
        <f t="shared" si="69"/>
        <v>0.25</v>
      </c>
      <c r="AZ29" s="131">
        <f t="shared" si="69"/>
        <v>0.25</v>
      </c>
      <c r="BA29" s="132">
        <f t="shared" si="69"/>
        <v>0.25</v>
      </c>
      <c r="BB29" s="343"/>
      <c r="BC29" s="130">
        <f xml:space="preserve"> MAX( (24.9% / ( 1 - 24.9% )) * ( 1 - 10%), 25%)</f>
        <v>0.29840213049267644</v>
      </c>
      <c r="BD29" s="131">
        <f t="shared" ref="BD29:BG29" si="70" xml:space="preserve"> MAX( (24.9% / ( 1 - 24.9% )) * ( 1 - 10%), 25%)</f>
        <v>0.29840213049267644</v>
      </c>
      <c r="BE29" s="131">
        <f t="shared" si="70"/>
        <v>0.29840213049267644</v>
      </c>
      <c r="BF29" s="131">
        <f t="shared" si="70"/>
        <v>0.29840213049267644</v>
      </c>
      <c r="BG29" s="132">
        <f t="shared" si="70"/>
        <v>0.29840213049267644</v>
      </c>
      <c r="BH29" s="308"/>
      <c r="BI29" s="230">
        <f xml:space="preserve"> MAX( (21.2% / ( 1 - 21.2% )) * ( 1 - 10%), 25%)</f>
        <v>0.25</v>
      </c>
      <c r="BJ29" s="131">
        <f t="shared" ref="BJ29:BM29" si="71" xml:space="preserve"> MAX( (21.2% / ( 1 - 21.2% )) * ( 1 - 10%), 25%)</f>
        <v>0.25</v>
      </c>
      <c r="BK29" s="131">
        <f t="shared" si="71"/>
        <v>0.25</v>
      </c>
      <c r="BL29" s="131">
        <f t="shared" si="71"/>
        <v>0.25</v>
      </c>
      <c r="BM29" s="132">
        <f t="shared" si="71"/>
        <v>0.25</v>
      </c>
      <c r="BN29" s="133"/>
      <c r="BO29" s="130">
        <f xml:space="preserve"> (25% / ( 1 - 25% )) * ( 1 - 10%)</f>
        <v>0.3</v>
      </c>
      <c r="BP29" s="131">
        <f t="shared" ref="BP29:BS29" si="72" xml:space="preserve"> (25% / ( 1 - 25% )) * ( 1 - 10%)</f>
        <v>0.3</v>
      </c>
      <c r="BQ29" s="131">
        <f t="shared" si="72"/>
        <v>0.3</v>
      </c>
      <c r="BR29" s="131">
        <f t="shared" si="72"/>
        <v>0.3</v>
      </c>
      <c r="BS29" s="132">
        <f t="shared" si="72"/>
        <v>0.3</v>
      </c>
      <c r="BT29" s="133"/>
      <c r="BU29" s="130">
        <f xml:space="preserve"> MAX( (20.2% / ( 1 - 20.2%)) * ( 1 - 10%), 25%)</f>
        <v>0.25</v>
      </c>
      <c r="BV29" s="131">
        <f t="shared" ref="BV29:BY29" si="73" xml:space="preserve"> MAX( (20.2% / ( 1 - 20.2%)) * ( 1 - 10%), 25%)</f>
        <v>0.25</v>
      </c>
      <c r="BW29" s="131">
        <f t="shared" si="73"/>
        <v>0.25</v>
      </c>
      <c r="BX29" s="131">
        <f t="shared" si="73"/>
        <v>0.25</v>
      </c>
      <c r="BY29" s="132">
        <f t="shared" si="73"/>
        <v>0.25</v>
      </c>
      <c r="BZ29" s="316"/>
      <c r="CA29" s="130">
        <f xml:space="preserve"> MAX( (24.9% / ( 1 - 24.9% )) * ( 1 - 10%), 25%)</f>
        <v>0.29840213049267644</v>
      </c>
      <c r="CB29" s="131">
        <f t="shared" ref="CB29:CE29" si="74" xml:space="preserve"> MAX( (24.9% / ( 1 - 24.9% )) * ( 1 - 10%), 25%)</f>
        <v>0.29840213049267644</v>
      </c>
      <c r="CC29" s="131">
        <f t="shared" si="74"/>
        <v>0.29840213049267644</v>
      </c>
      <c r="CD29" s="131">
        <f t="shared" si="74"/>
        <v>0.29840213049267644</v>
      </c>
      <c r="CE29" s="132">
        <f t="shared" si="74"/>
        <v>0.29840213049267644</v>
      </c>
      <c r="CF29" s="308"/>
      <c r="CG29" s="230">
        <f xml:space="preserve"> MAX( (21.2% / ( 1 - 21.2% )) * ( 1 - 10%), 25%)</f>
        <v>0.25</v>
      </c>
      <c r="CH29" s="131">
        <f t="shared" ref="CH29:CK29" si="75" xml:space="preserve"> MAX( (21.2% / ( 1 - 21.2% )) * ( 1 - 10%), 25%)</f>
        <v>0.25</v>
      </c>
      <c r="CI29" s="131">
        <f t="shared" si="75"/>
        <v>0.25</v>
      </c>
      <c r="CJ29" s="131">
        <f t="shared" si="75"/>
        <v>0.25</v>
      </c>
      <c r="CK29" s="132">
        <f t="shared" si="75"/>
        <v>0.25</v>
      </c>
      <c r="CL29" s="133"/>
      <c r="CM29" s="130">
        <f xml:space="preserve"> (24.7% / ( 1 - 24.7% )) * ( 1 - 10%)</f>
        <v>0.29521912350597607</v>
      </c>
      <c r="CN29" s="131">
        <f xml:space="preserve"> (24.7% / ( 1 - 24.7% )) * ( 1 - 10%)</f>
        <v>0.29521912350597607</v>
      </c>
      <c r="CO29" s="131">
        <f xml:space="preserve"> (24.7% / ( 1 - 24.7% )) * ( 1 - 10%)</f>
        <v>0.29521912350597607</v>
      </c>
      <c r="CP29" s="131">
        <f xml:space="preserve"> (24.7% / ( 1 - 24.7% )) * ( 1 - 10%)</f>
        <v>0.29521912350597607</v>
      </c>
      <c r="CQ29" s="132">
        <f xml:space="preserve"> (24.7% / ( 1 - 24.7% )) * ( 1 - 10%)</f>
        <v>0.29521912350597607</v>
      </c>
      <c r="CR29" s="133"/>
      <c r="CS29" s="130">
        <f xml:space="preserve"> (25% / ( 1 - 25% )) * ( 1 - 10%)</f>
        <v>0.3</v>
      </c>
      <c r="CT29" s="131">
        <f t="shared" ref="CT29:CW29" si="76" xml:space="preserve"> (25% / ( 1 - 25% )) * ( 1 - 10%)</f>
        <v>0.3</v>
      </c>
      <c r="CU29" s="131">
        <f t="shared" si="76"/>
        <v>0.3</v>
      </c>
      <c r="CV29" s="131">
        <f t="shared" si="76"/>
        <v>0.3</v>
      </c>
      <c r="CW29" s="132">
        <f t="shared" si="76"/>
        <v>0.3</v>
      </c>
      <c r="CX29" s="133"/>
      <c r="CY29" s="130">
        <f xml:space="preserve"> MAX( (24.9% / ( 1 - 24.9% )) * ( 1 - 10%), 25%)</f>
        <v>0.29840213049267644</v>
      </c>
      <c r="CZ29" s="131">
        <f t="shared" ref="CZ29:DC29" si="77" xml:space="preserve"> MAX( (24.9% / ( 1 - 24.9% )) * ( 1 - 10%), 25%)</f>
        <v>0.29840213049267644</v>
      </c>
      <c r="DA29" s="131">
        <f t="shared" si="77"/>
        <v>0.29840213049267644</v>
      </c>
      <c r="DB29" s="131">
        <f t="shared" si="77"/>
        <v>0.29840213049267644</v>
      </c>
      <c r="DC29" s="132">
        <f t="shared" si="77"/>
        <v>0.29840213049267644</v>
      </c>
      <c r="DD29" s="308"/>
      <c r="DE29" s="421">
        <f xml:space="preserve"> (25% / ( 1 - 25% )) * ( 1 - 10%)</f>
        <v>0.3</v>
      </c>
      <c r="DF29" s="422">
        <f xml:space="preserve"> (25% / ( 1 - 25% )) * ( 1 - 10%)</f>
        <v>0.3</v>
      </c>
      <c r="DG29" s="422">
        <f xml:space="preserve"> (25% / ( 1 - 25% )) * ( 1 - 10%)</f>
        <v>0.3</v>
      </c>
      <c r="DH29" s="422">
        <f xml:space="preserve"> (25% / ( 1 - 25% )) * ( 1 - 10%)</f>
        <v>0.3</v>
      </c>
      <c r="DI29" s="423">
        <f xml:space="preserve"> (25% / ( 1 - 25% )) * ( 1 - 10%)</f>
        <v>0.3</v>
      </c>
      <c r="DJ29" s="343"/>
      <c r="DK29" s="130">
        <f xml:space="preserve"> MAX( (20.2% / ( 1 - 20.2%)) * ( 1 - 10%), 25%)</f>
        <v>0.25</v>
      </c>
      <c r="DL29" s="131">
        <f t="shared" ref="DL29:DO29" si="78" xml:space="preserve"> MAX( (20.2% / ( 1 - 20.2%)) * ( 1 - 10%), 25%)</f>
        <v>0.25</v>
      </c>
      <c r="DM29" s="131">
        <f t="shared" si="78"/>
        <v>0.25</v>
      </c>
      <c r="DN29" s="131">
        <f t="shared" si="78"/>
        <v>0.25</v>
      </c>
      <c r="DO29" s="423">
        <f t="shared" si="78"/>
        <v>0.25</v>
      </c>
      <c r="DP29" s="343"/>
    </row>
    <row r="30" spans="1:120" s="8" customFormat="1" x14ac:dyDescent="0.3">
      <c r="A30" s="72"/>
      <c r="B30" s="105"/>
      <c r="C30" s="94"/>
      <c r="D30" s="65"/>
      <c r="E30" s="87" t="s">
        <v>66</v>
      </c>
      <c r="F30" s="87" t="s">
        <v>48</v>
      </c>
      <c r="G30" s="88">
        <f xml:space="preserve"> G27 * ( 1 + G29 )</f>
        <v>80047.908115553364</v>
      </c>
      <c r="H30" s="89">
        <f t="shared" ref="H30:K30" si="79" xml:space="preserve"> H27 * ( 1 + H29 )</f>
        <v>87330.91985338887</v>
      </c>
      <c r="I30" s="89">
        <f t="shared" si="79"/>
        <v>96396.638941978163</v>
      </c>
      <c r="J30" s="89">
        <f t="shared" si="79"/>
        <v>108201.64005733542</v>
      </c>
      <c r="K30" s="90">
        <f t="shared" si="79"/>
        <v>120615.37051197448</v>
      </c>
      <c r="L30" s="82"/>
      <c r="M30" s="89">
        <f t="shared" ref="M30:Q30" si="80" xml:space="preserve"> M27 * ( 1 + M29 )</f>
        <v>80047.908115553364</v>
      </c>
      <c r="N30" s="89">
        <f t="shared" si="80"/>
        <v>87330.91985338887</v>
      </c>
      <c r="O30" s="89">
        <f t="shared" si="80"/>
        <v>96396.638941978163</v>
      </c>
      <c r="P30" s="89">
        <f t="shared" si="80"/>
        <v>108201.64005733542</v>
      </c>
      <c r="Q30" s="90">
        <f t="shared" si="80"/>
        <v>120615.37051197448</v>
      </c>
      <c r="R30" s="69"/>
      <c r="S30" s="88">
        <f xml:space="preserve"> S27 * ( 1 + S29 )</f>
        <v>71523.845578950306</v>
      </c>
      <c r="T30" s="89">
        <f t="shared" ref="T30:V30" si="81" xml:space="preserve"> T27 * ( 1 + T29 )</f>
        <v>76762.38810603421</v>
      </c>
      <c r="U30" s="89">
        <f t="shared" si="81"/>
        <v>83837.551120701304</v>
      </c>
      <c r="V30" s="89">
        <f t="shared" si="81"/>
        <v>92582.369124080418</v>
      </c>
      <c r="W30" s="90">
        <f t="shared" ref="W30" si="82" xml:space="preserve"> W27 * ( 1 + W29 )</f>
        <v>137224.76938476754</v>
      </c>
      <c r="X30" s="69"/>
      <c r="Y30" s="88">
        <f xml:space="preserve"> Y27 * ( 1 + Y29 )</f>
        <v>71523.845578950306</v>
      </c>
      <c r="Z30" s="89">
        <f xml:space="preserve"> Z27 * ( 1 + Z29 )</f>
        <v>76762.38810603421</v>
      </c>
      <c r="AA30" s="89">
        <f xml:space="preserve"> AA27 * ( 1 + AA29 )</f>
        <v>83837.551120701304</v>
      </c>
      <c r="AB30" s="89">
        <f xml:space="preserve"> AB27 * ( 1 + AB29 )</f>
        <v>92582.369124080418</v>
      </c>
      <c r="AC30" s="90">
        <f xml:space="preserve"> AC27 * ( 1 + AC29 )</f>
        <v>137224.76938476754</v>
      </c>
      <c r="AD30" s="69"/>
      <c r="AE30" s="88">
        <f xml:space="preserve"> AE27 * ( 1 + AE29 )</f>
        <v>84556.906893546766</v>
      </c>
      <c r="AF30" s="89">
        <f t="shared" ref="AF30:AI30" si="83" xml:space="preserve"> AF27 * ( 1 + AF29 )</f>
        <v>91851.931558498065</v>
      </c>
      <c r="AG30" s="89">
        <f t="shared" si="83"/>
        <v>100076.53302253118</v>
      </c>
      <c r="AH30" s="89">
        <f t="shared" si="83"/>
        <v>126010.94273224349</v>
      </c>
      <c r="AI30" s="90">
        <f t="shared" si="83"/>
        <v>0</v>
      </c>
      <c r="AJ30" s="69"/>
      <c r="AK30" s="88">
        <f xml:space="preserve"> AK27 * ( 1 + AK29 )</f>
        <v>90434.000382425889</v>
      </c>
      <c r="AL30" s="89">
        <f t="shared" ref="AL30:AO30" si="84" xml:space="preserve"> AL27 * ( 1 + AL29 )</f>
        <v>98800.237615872538</v>
      </c>
      <c r="AM30" s="89">
        <f t="shared" si="84"/>
        <v>108848.4598805865</v>
      </c>
      <c r="AN30" s="89">
        <f t="shared" si="84"/>
        <v>120403.9154850076</v>
      </c>
      <c r="AO30" s="90">
        <f t="shared" si="84"/>
        <v>133401.07254480067</v>
      </c>
      <c r="AP30" s="69"/>
      <c r="AQ30" s="88">
        <f xml:space="preserve"> AQ27 * ( 1 + AQ29 )</f>
        <v>90434.000382425889</v>
      </c>
      <c r="AR30" s="89">
        <f xml:space="preserve"> AR27 * ( 1 + AR29 )</f>
        <v>98800.237615872538</v>
      </c>
      <c r="AS30" s="89">
        <f xml:space="preserve"> AS27 * ( 1 + AS29 )</f>
        <v>108848.4598805865</v>
      </c>
      <c r="AT30" s="89">
        <f xml:space="preserve"> AT27 * ( 1 + AT29 )</f>
        <v>120403.9154850076</v>
      </c>
      <c r="AU30" s="90">
        <f xml:space="preserve"> AU27 * ( 1 + AU29 )</f>
        <v>133401.07254480067</v>
      </c>
      <c r="AV30" s="69"/>
      <c r="AW30" s="88">
        <f xml:space="preserve"> AW27 * ( 1 + AW29 )</f>
        <v>68975.348676006601</v>
      </c>
      <c r="AX30" s="89">
        <f t="shared" ref="AX30:BA30" si="85" xml:space="preserve"> AX27 * ( 1 + AX29 )</f>
        <v>81508.91967666721</v>
      </c>
      <c r="AY30" s="89">
        <f t="shared" si="85"/>
        <v>0</v>
      </c>
      <c r="AZ30" s="89">
        <f t="shared" si="85"/>
        <v>0</v>
      </c>
      <c r="BA30" s="90">
        <f t="shared" si="85"/>
        <v>0</v>
      </c>
      <c r="BB30" s="76"/>
      <c r="BC30" s="88">
        <f xml:space="preserve"> BC27 * ( 1 + BC29 )</f>
        <v>79427.381696052951</v>
      </c>
      <c r="BD30" s="89">
        <f t="shared" ref="BD30:BG30" si="86" xml:space="preserve"> BD27 * ( 1 + BD29 )</f>
        <v>86653.935978556416</v>
      </c>
      <c r="BE30" s="89">
        <f t="shared" si="86"/>
        <v>95649.378174986079</v>
      </c>
      <c r="BF30" s="89">
        <f t="shared" si="86"/>
        <v>107362.86765379018</v>
      </c>
      <c r="BG30" s="90">
        <f t="shared" si="86"/>
        <v>119680.36763978864</v>
      </c>
      <c r="BH30" s="82"/>
      <c r="BI30" s="88">
        <f xml:space="preserve"> BI27 * ( 1 + BI29 )</f>
        <v>70969.397163609596</v>
      </c>
      <c r="BJ30" s="89">
        <f t="shared" ref="BJ30:BM30" si="87" xml:space="preserve"> BJ27 * ( 1 + BJ29 )</f>
        <v>76167.330833894404</v>
      </c>
      <c r="BK30" s="89">
        <f t="shared" si="87"/>
        <v>83187.647623641606</v>
      </c>
      <c r="BL30" s="89">
        <f t="shared" si="87"/>
        <v>91864.676340172809</v>
      </c>
      <c r="BM30" s="90">
        <f t="shared" si="87"/>
        <v>136161.01148256002</v>
      </c>
      <c r="BN30" s="69"/>
      <c r="BO30" s="88">
        <f xml:space="preserve"> BO27 * ( 1 + BO29 )</f>
        <v>89732.961619771406</v>
      </c>
      <c r="BP30" s="89">
        <f t="shared" ref="BP30:BS30" si="88" xml:space="preserve"> BP27 * ( 1 + BP29 )</f>
        <v>98034.344301020799</v>
      </c>
      <c r="BQ30" s="89">
        <f t="shared" si="88"/>
        <v>108004.67336988429</v>
      </c>
      <c r="BR30" s="89">
        <f t="shared" si="88"/>
        <v>119470.55179907731</v>
      </c>
      <c r="BS30" s="90">
        <f t="shared" si="88"/>
        <v>132366.95570336812</v>
      </c>
      <c r="BT30" s="69"/>
      <c r="BU30" s="88">
        <f xml:space="preserve"> BU27 * ( 1 + BU29 )</f>
        <v>68440.6560506112</v>
      </c>
      <c r="BV30" s="89">
        <f t="shared" ref="BV30:BY30" si="89" xml:space="preserve"> BV27 * ( 1 + BV29 )</f>
        <v>80877.067586150413</v>
      </c>
      <c r="BW30" s="89">
        <f t="shared" si="89"/>
        <v>0</v>
      </c>
      <c r="BX30" s="89">
        <f t="shared" si="89"/>
        <v>0</v>
      </c>
      <c r="BY30" s="90">
        <f t="shared" si="89"/>
        <v>0</v>
      </c>
      <c r="BZ30" s="315"/>
      <c r="CA30" s="88">
        <f xml:space="preserve"> CA27 * ( 1 + CA29 )</f>
        <v>79427.381696052951</v>
      </c>
      <c r="CB30" s="89">
        <f t="shared" ref="CB30:CE30" si="90" xml:space="preserve"> CB27 * ( 1 + CB29 )</f>
        <v>86653.935978556416</v>
      </c>
      <c r="CC30" s="89">
        <f t="shared" si="90"/>
        <v>95649.378174986079</v>
      </c>
      <c r="CD30" s="89">
        <f t="shared" si="90"/>
        <v>107362.86765379018</v>
      </c>
      <c r="CE30" s="90">
        <f t="shared" si="90"/>
        <v>119680.36763978864</v>
      </c>
      <c r="CF30" s="82"/>
      <c r="CG30" s="88">
        <f xml:space="preserve"> CG27 * ( 1 + CG29 )</f>
        <v>70969.397163609596</v>
      </c>
      <c r="CH30" s="89">
        <f t="shared" ref="CH30:CK30" si="91" xml:space="preserve"> CH27 * ( 1 + CH29 )</f>
        <v>76167.330833894404</v>
      </c>
      <c r="CI30" s="89">
        <f t="shared" si="91"/>
        <v>83187.647623641606</v>
      </c>
      <c r="CJ30" s="89">
        <f t="shared" si="91"/>
        <v>91864.676340172809</v>
      </c>
      <c r="CK30" s="90">
        <f t="shared" si="91"/>
        <v>136161.01148256002</v>
      </c>
      <c r="CL30" s="69"/>
      <c r="CM30" s="88">
        <f xml:space="preserve"> CM27 * ( 1 + CM29 )</f>
        <v>83901.426995147165</v>
      </c>
      <c r="CN30" s="89">
        <f t="shared" ref="CN30:CQ30" si="92" xml:space="preserve"> CN27 * ( 1 + CN29 )</f>
        <v>91139.901081300413</v>
      </c>
      <c r="CO30" s="89">
        <f t="shared" si="92"/>
        <v>99300.745944837152</v>
      </c>
      <c r="CP30" s="89">
        <f t="shared" si="92"/>
        <v>125034.11371881526</v>
      </c>
      <c r="CQ30" s="90">
        <f t="shared" si="92"/>
        <v>0</v>
      </c>
      <c r="CR30" s="69"/>
      <c r="CS30" s="88">
        <f xml:space="preserve"> CS27 * ( 1 + CS29 )</f>
        <v>89732.961619771406</v>
      </c>
      <c r="CT30" s="89">
        <f t="shared" ref="CT30:CW30" si="93" xml:space="preserve"> CT27 * ( 1 + CT29 )</f>
        <v>98034.344301020799</v>
      </c>
      <c r="CU30" s="89">
        <f t="shared" si="93"/>
        <v>108004.67336988429</v>
      </c>
      <c r="CV30" s="89">
        <f t="shared" si="93"/>
        <v>119470.55179907731</v>
      </c>
      <c r="CW30" s="90">
        <f t="shared" si="93"/>
        <v>132366.95570336812</v>
      </c>
      <c r="CX30" s="69"/>
      <c r="CY30" s="88">
        <f xml:space="preserve"> CY27 * ( 1 + CY29 )</f>
        <v>67449.277200361597</v>
      </c>
      <c r="CZ30" s="89">
        <f t="shared" ref="CZ30:DC30" si="94" xml:space="preserve"> CZ27 * ( 1 + CZ29 )</f>
        <v>90616.637630051016</v>
      </c>
      <c r="DA30" s="89">
        <f t="shared" si="94"/>
        <v>0</v>
      </c>
      <c r="DB30" s="89">
        <f t="shared" si="94"/>
        <v>0</v>
      </c>
      <c r="DC30" s="90">
        <f t="shared" si="94"/>
        <v>0</v>
      </c>
      <c r="DD30" s="82"/>
      <c r="DE30" s="418">
        <f xml:space="preserve"> DE27 * ( 1 + DE29 )</f>
        <v>73867.88606546841</v>
      </c>
      <c r="DF30" s="419">
        <f xml:space="preserve"> DF27 * ( 1 + DF29 )</f>
        <v>112943.74847015314</v>
      </c>
      <c r="DG30" s="419">
        <f xml:space="preserve"> DG27 * ( 1 + DG29 )</f>
        <v>0</v>
      </c>
      <c r="DH30" s="419">
        <f xml:space="preserve"> DH27 * ( 1 + DH29 )</f>
        <v>0</v>
      </c>
      <c r="DI30" s="180">
        <f xml:space="preserve"> DI27 * ( 1 + DI29 )</f>
        <v>0</v>
      </c>
      <c r="DJ30" s="76"/>
      <c r="DK30" s="88">
        <f xml:space="preserve"> DK27 * ( 1 + DK29 )</f>
        <v>65051.355277763199</v>
      </c>
      <c r="DL30" s="89">
        <f t="shared" ref="DL30:DO30" si="95" xml:space="preserve"> DL27 * ( 1 + DL29 )</f>
        <v>66893.841048415663</v>
      </c>
      <c r="DM30" s="89">
        <f t="shared" si="95"/>
        <v>72286.165412454924</v>
      </c>
      <c r="DN30" s="89">
        <f t="shared" si="95"/>
        <v>77747.788724144513</v>
      </c>
      <c r="DO30" s="180">
        <f t="shared" si="95"/>
        <v>85421.347821147239</v>
      </c>
      <c r="DP30" s="76"/>
    </row>
    <row r="31" spans="1:120" s="8" customFormat="1" ht="6" customHeight="1" x14ac:dyDescent="0.3">
      <c r="A31" s="72"/>
      <c r="B31" s="105"/>
      <c r="C31" s="94"/>
      <c r="D31" s="65"/>
      <c r="E31" s="64"/>
      <c r="F31" s="86"/>
      <c r="G31" s="76"/>
      <c r="H31" s="81"/>
      <c r="I31" s="81"/>
      <c r="J31" s="81"/>
      <c r="K31" s="82"/>
      <c r="L31" s="135"/>
      <c r="M31" s="81"/>
      <c r="N31" s="81"/>
      <c r="O31" s="81"/>
      <c r="P31" s="81"/>
      <c r="Q31" s="82"/>
      <c r="R31" s="68"/>
      <c r="S31" s="76"/>
      <c r="T31" s="81"/>
      <c r="U31" s="81"/>
      <c r="V31" s="81"/>
      <c r="W31" s="82"/>
      <c r="X31" s="68"/>
      <c r="Y31" s="76"/>
      <c r="Z31" s="81"/>
      <c r="AA31" s="81"/>
      <c r="AB31" s="81"/>
      <c r="AC31" s="82"/>
      <c r="AD31" s="68"/>
      <c r="AE31" s="76"/>
      <c r="AF31" s="81"/>
      <c r="AG31" s="81"/>
      <c r="AH31" s="81"/>
      <c r="AI31" s="82"/>
      <c r="AJ31" s="68"/>
      <c r="AK31" s="76"/>
      <c r="AL31" s="81"/>
      <c r="AM31" s="81"/>
      <c r="AN31" s="81"/>
      <c r="AO31" s="82"/>
      <c r="AP31" s="68"/>
      <c r="AQ31" s="76"/>
      <c r="AR31" s="81"/>
      <c r="AS31" s="81"/>
      <c r="AT31" s="81"/>
      <c r="AU31" s="82"/>
      <c r="AV31" s="68"/>
      <c r="AW31" s="76"/>
      <c r="AX31" s="81"/>
      <c r="AY31" s="81"/>
      <c r="AZ31" s="81"/>
      <c r="BA31" s="82"/>
      <c r="BB31" s="76"/>
      <c r="BC31" s="76"/>
      <c r="BD31" s="81"/>
      <c r="BE31" s="81"/>
      <c r="BF31" s="81"/>
      <c r="BG31" s="82"/>
      <c r="BH31" s="135"/>
      <c r="BI31" s="76"/>
      <c r="BJ31" s="81"/>
      <c r="BK31" s="81"/>
      <c r="BL31" s="81"/>
      <c r="BM31" s="82"/>
      <c r="BN31" s="68"/>
      <c r="BO31" s="76"/>
      <c r="BP31" s="81"/>
      <c r="BQ31" s="81"/>
      <c r="BR31" s="81"/>
      <c r="BS31" s="82"/>
      <c r="BT31" s="68"/>
      <c r="BU31" s="76"/>
      <c r="BV31" s="81"/>
      <c r="BW31" s="81"/>
      <c r="BX31" s="81"/>
      <c r="BY31" s="82"/>
      <c r="BZ31" s="315"/>
      <c r="CA31" s="76"/>
      <c r="CB31" s="81"/>
      <c r="CC31" s="81"/>
      <c r="CD31" s="81"/>
      <c r="CE31" s="82"/>
      <c r="CF31" s="135"/>
      <c r="CG31" s="76"/>
      <c r="CH31" s="81"/>
      <c r="CI31" s="81"/>
      <c r="CJ31" s="81"/>
      <c r="CK31" s="82"/>
      <c r="CL31" s="68"/>
      <c r="CM31" s="76"/>
      <c r="CN31" s="81"/>
      <c r="CO31" s="81"/>
      <c r="CP31" s="81"/>
      <c r="CQ31" s="82"/>
      <c r="CR31" s="68"/>
      <c r="CS31" s="76"/>
      <c r="CT31" s="81"/>
      <c r="CU31" s="81"/>
      <c r="CV31" s="81"/>
      <c r="CW31" s="82"/>
      <c r="CX31" s="68"/>
      <c r="CY31" s="76"/>
      <c r="CZ31" s="81"/>
      <c r="DA31" s="81"/>
      <c r="DB31" s="81"/>
      <c r="DC31" s="82"/>
      <c r="DD31" s="135"/>
      <c r="DE31" s="420"/>
      <c r="DF31" s="182"/>
      <c r="DG31" s="182"/>
      <c r="DH31" s="182"/>
      <c r="DI31" s="181"/>
      <c r="DJ31" s="76"/>
      <c r="DK31" s="76"/>
      <c r="DL31" s="81"/>
      <c r="DM31" s="81"/>
      <c r="DN31" s="81"/>
      <c r="DO31" s="181"/>
      <c r="DP31" s="76"/>
    </row>
    <row r="32" spans="1:120" s="129" customFormat="1" x14ac:dyDescent="0.3">
      <c r="A32" s="127"/>
      <c r="B32" s="128"/>
      <c r="C32" s="127"/>
      <c r="E32" s="226" t="s">
        <v>168</v>
      </c>
      <c r="F32" s="134" t="s">
        <v>67</v>
      </c>
      <c r="G32" s="130">
        <v>0.01</v>
      </c>
      <c r="H32" s="131">
        <v>0.01</v>
      </c>
      <c r="I32" s="131">
        <v>0.01</v>
      </c>
      <c r="J32" s="131">
        <v>0.01</v>
      </c>
      <c r="K32" s="132">
        <v>0.01</v>
      </c>
      <c r="L32" s="308"/>
      <c r="M32" s="131">
        <v>0.01</v>
      </c>
      <c r="N32" s="131">
        <v>0.01</v>
      </c>
      <c r="O32" s="131">
        <v>0.01</v>
      </c>
      <c r="P32" s="131">
        <v>0.01</v>
      </c>
      <c r="Q32" s="132">
        <v>0.01</v>
      </c>
      <c r="R32" s="133"/>
      <c r="S32" s="130">
        <v>0.01</v>
      </c>
      <c r="T32" s="131">
        <v>0.01</v>
      </c>
      <c r="U32" s="131">
        <v>0.01</v>
      </c>
      <c r="V32" s="131">
        <v>0.01</v>
      </c>
      <c r="W32" s="132">
        <v>0.01</v>
      </c>
      <c r="X32" s="133"/>
      <c r="Y32" s="130">
        <v>0.01</v>
      </c>
      <c r="Z32" s="131">
        <v>0.01</v>
      </c>
      <c r="AA32" s="131">
        <v>0.01</v>
      </c>
      <c r="AB32" s="131">
        <v>0.01</v>
      </c>
      <c r="AC32" s="132">
        <v>0.01</v>
      </c>
      <c r="AD32" s="133"/>
      <c r="AE32" s="130">
        <v>0.01</v>
      </c>
      <c r="AF32" s="131">
        <v>0.01</v>
      </c>
      <c r="AG32" s="131">
        <v>0.01</v>
      </c>
      <c r="AH32" s="131">
        <v>0.01</v>
      </c>
      <c r="AI32" s="132">
        <v>0.01</v>
      </c>
      <c r="AJ32" s="133"/>
      <c r="AK32" s="130">
        <v>0.01</v>
      </c>
      <c r="AL32" s="131">
        <v>0.01</v>
      </c>
      <c r="AM32" s="131">
        <v>0.01</v>
      </c>
      <c r="AN32" s="131">
        <v>0.01</v>
      </c>
      <c r="AO32" s="132">
        <v>0.01</v>
      </c>
      <c r="AP32" s="133"/>
      <c r="AQ32" s="130">
        <v>0.01</v>
      </c>
      <c r="AR32" s="131">
        <v>0.01</v>
      </c>
      <c r="AS32" s="131">
        <v>0.01</v>
      </c>
      <c r="AT32" s="131">
        <v>0.01</v>
      </c>
      <c r="AU32" s="132">
        <v>0.01</v>
      </c>
      <c r="AV32" s="133"/>
      <c r="AW32" s="130">
        <v>0.01</v>
      </c>
      <c r="AX32" s="131">
        <v>0.01</v>
      </c>
      <c r="AY32" s="131">
        <v>0.01</v>
      </c>
      <c r="AZ32" s="131">
        <v>0.01</v>
      </c>
      <c r="BA32" s="132">
        <v>0.01</v>
      </c>
      <c r="BB32" s="343"/>
      <c r="BC32" s="130">
        <v>0.02</v>
      </c>
      <c r="BD32" s="131">
        <v>0.02</v>
      </c>
      <c r="BE32" s="131">
        <v>0.02</v>
      </c>
      <c r="BF32" s="131">
        <v>0.02</v>
      </c>
      <c r="BG32" s="132">
        <v>0.02</v>
      </c>
      <c r="BH32" s="308"/>
      <c r="BI32" s="130">
        <v>0.02</v>
      </c>
      <c r="BJ32" s="131">
        <v>0.02</v>
      </c>
      <c r="BK32" s="131">
        <v>0.02</v>
      </c>
      <c r="BL32" s="131">
        <v>0.02</v>
      </c>
      <c r="BM32" s="132">
        <v>0.02</v>
      </c>
      <c r="BN32" s="133"/>
      <c r="BO32" s="130">
        <v>0.02</v>
      </c>
      <c r="BP32" s="131">
        <v>0.02</v>
      </c>
      <c r="BQ32" s="131">
        <v>0.02</v>
      </c>
      <c r="BR32" s="131">
        <v>0.02</v>
      </c>
      <c r="BS32" s="132">
        <v>0.02</v>
      </c>
      <c r="BT32" s="133"/>
      <c r="BU32" s="130">
        <v>0.02</v>
      </c>
      <c r="BV32" s="131">
        <v>0.02</v>
      </c>
      <c r="BW32" s="131">
        <v>0.02</v>
      </c>
      <c r="BX32" s="131">
        <v>0.02</v>
      </c>
      <c r="BY32" s="132">
        <v>0.02</v>
      </c>
      <c r="BZ32" s="316"/>
      <c r="CA32" s="130">
        <v>0.02</v>
      </c>
      <c r="CB32" s="131">
        <v>0.02</v>
      </c>
      <c r="CC32" s="131">
        <v>0.02</v>
      </c>
      <c r="CD32" s="131">
        <v>0.02</v>
      </c>
      <c r="CE32" s="132">
        <v>0.02</v>
      </c>
      <c r="CF32" s="308"/>
      <c r="CG32" s="130">
        <v>0.02</v>
      </c>
      <c r="CH32" s="131">
        <v>0.02</v>
      </c>
      <c r="CI32" s="131">
        <v>0.02</v>
      </c>
      <c r="CJ32" s="131">
        <v>0.02</v>
      </c>
      <c r="CK32" s="132">
        <v>0.02</v>
      </c>
      <c r="CL32" s="133"/>
      <c r="CM32" s="130">
        <v>0.02</v>
      </c>
      <c r="CN32" s="131">
        <v>0.02</v>
      </c>
      <c r="CO32" s="131">
        <v>0.02</v>
      </c>
      <c r="CP32" s="131">
        <v>0.02</v>
      </c>
      <c r="CQ32" s="132">
        <v>0.02</v>
      </c>
      <c r="CR32" s="133"/>
      <c r="CS32" s="130">
        <v>0.02</v>
      </c>
      <c r="CT32" s="131">
        <v>0.02</v>
      </c>
      <c r="CU32" s="131">
        <v>0.02</v>
      </c>
      <c r="CV32" s="131">
        <v>0.02</v>
      </c>
      <c r="CW32" s="132">
        <v>0.02</v>
      </c>
      <c r="CX32" s="133"/>
      <c r="CY32" s="130">
        <v>0.01</v>
      </c>
      <c r="CZ32" s="131">
        <v>0.01</v>
      </c>
      <c r="DA32" s="131">
        <v>0.01</v>
      </c>
      <c r="DB32" s="131">
        <v>0.01</v>
      </c>
      <c r="DC32" s="132">
        <v>0.01</v>
      </c>
      <c r="DD32" s="308"/>
      <c r="DE32" s="421">
        <v>0.01</v>
      </c>
      <c r="DF32" s="422">
        <v>0.01</v>
      </c>
      <c r="DG32" s="422">
        <v>0.01</v>
      </c>
      <c r="DH32" s="422">
        <v>0.01</v>
      </c>
      <c r="DI32" s="423">
        <v>0.01</v>
      </c>
      <c r="DJ32" s="343"/>
      <c r="DK32" s="130">
        <v>0.01</v>
      </c>
      <c r="DL32" s="131">
        <v>0.01</v>
      </c>
      <c r="DM32" s="131">
        <v>0.01</v>
      </c>
      <c r="DN32" s="131">
        <v>0.01</v>
      </c>
      <c r="DO32" s="423">
        <v>0.01</v>
      </c>
      <c r="DP32" s="343"/>
    </row>
    <row r="33" spans="1:120" s="72" customFormat="1" x14ac:dyDescent="0.3">
      <c r="B33" s="105"/>
      <c r="C33" s="94"/>
      <c r="D33" s="94"/>
      <c r="E33" s="96" t="s">
        <v>68</v>
      </c>
      <c r="F33" s="96" t="s">
        <v>48</v>
      </c>
      <c r="G33" s="97">
        <f xml:space="preserve"> G30 * ( 1 + G32 )</f>
        <v>80848.387196708893</v>
      </c>
      <c r="H33" s="98">
        <f t="shared" ref="H33:K33" si="96" xml:space="preserve"> H30 * ( 1 + H32 )</f>
        <v>88204.229051922754</v>
      </c>
      <c r="I33" s="98">
        <f t="shared" si="96"/>
        <v>97360.60533139795</v>
      </c>
      <c r="J33" s="98">
        <f t="shared" si="96"/>
        <v>109283.65645790877</v>
      </c>
      <c r="K33" s="99">
        <f t="shared" si="96"/>
        <v>121821.52421709424</v>
      </c>
      <c r="L33" s="309"/>
      <c r="M33" s="98">
        <f t="shared" ref="M33:Q33" si="97" xml:space="preserve"> M30 * ( 1 + M32 )</f>
        <v>80848.387196708893</v>
      </c>
      <c r="N33" s="98">
        <f t="shared" si="97"/>
        <v>88204.229051922754</v>
      </c>
      <c r="O33" s="98">
        <f t="shared" si="97"/>
        <v>97360.60533139795</v>
      </c>
      <c r="P33" s="98">
        <f t="shared" si="97"/>
        <v>109283.65645790877</v>
      </c>
      <c r="Q33" s="99">
        <f t="shared" si="97"/>
        <v>121821.52421709424</v>
      </c>
      <c r="R33" s="100"/>
      <c r="S33" s="97">
        <f xml:space="preserve"> S30 * ( 1 + S32 )</f>
        <v>72239.084034739804</v>
      </c>
      <c r="T33" s="98">
        <f t="shared" ref="T33:V33" si="98" xml:space="preserve"> T30 * ( 1 + T32 )</f>
        <v>77530.011987094549</v>
      </c>
      <c r="U33" s="98">
        <f t="shared" si="98"/>
        <v>84675.926631908311</v>
      </c>
      <c r="V33" s="98">
        <f t="shared" si="98"/>
        <v>93508.192815321221</v>
      </c>
      <c r="W33" s="99">
        <f t="shared" ref="W33" si="99" xml:space="preserve"> W30 * ( 1 + W32 )</f>
        <v>138597.01707861523</v>
      </c>
      <c r="X33" s="100"/>
      <c r="Y33" s="97">
        <f xml:space="preserve"> Y30 * ( 1 + Y32 )</f>
        <v>72239.084034739804</v>
      </c>
      <c r="Z33" s="98">
        <f xml:space="preserve"> Z30 * ( 1 + Z32 )</f>
        <v>77530.011987094549</v>
      </c>
      <c r="AA33" s="98">
        <f xml:space="preserve"> AA30 * ( 1 + AA32 )</f>
        <v>84675.926631908311</v>
      </c>
      <c r="AB33" s="98">
        <f xml:space="preserve"> AB30 * ( 1 + AB32 )</f>
        <v>93508.192815321221</v>
      </c>
      <c r="AC33" s="99">
        <f xml:space="preserve"> AC30 * ( 1 + AC32 )</f>
        <v>138597.01707861523</v>
      </c>
      <c r="AD33" s="100"/>
      <c r="AE33" s="97">
        <f xml:space="preserve"> AE30 * ( 1 + AE32 )</f>
        <v>85402.475962482233</v>
      </c>
      <c r="AF33" s="98">
        <f t="shared" ref="AF33:AI33" si="100" xml:space="preserve"> AF30 * ( 1 + AF32 )</f>
        <v>92770.45087408305</v>
      </c>
      <c r="AG33" s="98">
        <f t="shared" si="100"/>
        <v>101077.29835275649</v>
      </c>
      <c r="AH33" s="98">
        <f t="shared" si="100"/>
        <v>127271.05215956592</v>
      </c>
      <c r="AI33" s="99">
        <f t="shared" si="100"/>
        <v>0</v>
      </c>
      <c r="AJ33" s="100"/>
      <c r="AK33" s="97">
        <f xml:space="preserve"> AK30 * ( 1 + AK32 )</f>
        <v>91338.340386250144</v>
      </c>
      <c r="AL33" s="98">
        <f t="shared" ref="AL33:AO33" si="101" xml:space="preserve"> AL30 * ( 1 + AL32 )</f>
        <v>99788.23999203126</v>
      </c>
      <c r="AM33" s="98">
        <f t="shared" si="101"/>
        <v>109936.94447939236</v>
      </c>
      <c r="AN33" s="98">
        <f t="shared" si="101"/>
        <v>121607.95463985768</v>
      </c>
      <c r="AO33" s="99">
        <f t="shared" si="101"/>
        <v>134735.08327024867</v>
      </c>
      <c r="AP33" s="100"/>
      <c r="AQ33" s="97">
        <f xml:space="preserve"> AQ30 * ( 1 + AQ32 )</f>
        <v>91338.340386250144</v>
      </c>
      <c r="AR33" s="98">
        <f xml:space="preserve"> AR30 * ( 1 + AR32 )</f>
        <v>99788.23999203126</v>
      </c>
      <c r="AS33" s="98">
        <f xml:space="preserve"> AS30 * ( 1 + AS32 )</f>
        <v>109936.94447939236</v>
      </c>
      <c r="AT33" s="98">
        <f xml:space="preserve"> AT30 * ( 1 + AT32 )</f>
        <v>121607.95463985768</v>
      </c>
      <c r="AU33" s="99">
        <f xml:space="preserve"> AU30 * ( 1 + AU32 )</f>
        <v>134735.08327024867</v>
      </c>
      <c r="AV33" s="100"/>
      <c r="AW33" s="97">
        <f xml:space="preserve"> AW30 * ( 1 + AW32 )</f>
        <v>69665.102162766663</v>
      </c>
      <c r="AX33" s="98">
        <f t="shared" ref="AX33:BA33" si="102" xml:space="preserve"> AX30 * ( 1 + AX32 )</f>
        <v>82324.008873433879</v>
      </c>
      <c r="AY33" s="98">
        <f t="shared" si="102"/>
        <v>0</v>
      </c>
      <c r="AZ33" s="98">
        <f t="shared" si="102"/>
        <v>0</v>
      </c>
      <c r="BA33" s="99">
        <f t="shared" si="102"/>
        <v>0</v>
      </c>
      <c r="BB33" s="344"/>
      <c r="BC33" s="97">
        <f xml:space="preserve"> BC30 * ( 1 + BC32 )</f>
        <v>81015.929329974009</v>
      </c>
      <c r="BD33" s="98">
        <f t="shared" ref="BD33:BG33" si="103" xml:space="preserve"> BD30 * ( 1 + BD32 )</f>
        <v>88387.014698127547</v>
      </c>
      <c r="BE33" s="98">
        <f t="shared" si="103"/>
        <v>97562.365738485809</v>
      </c>
      <c r="BF33" s="98">
        <f t="shared" si="103"/>
        <v>109510.12500686599</v>
      </c>
      <c r="BG33" s="99">
        <f t="shared" si="103"/>
        <v>122073.97499258442</v>
      </c>
      <c r="BH33" s="309"/>
      <c r="BI33" s="97">
        <f xml:space="preserve"> BI30 * ( 1 + BI32 )</f>
        <v>72388.785106881784</v>
      </c>
      <c r="BJ33" s="98">
        <f t="shared" ref="BJ33:BM33" si="104" xml:space="preserve"> BJ30 * ( 1 + BJ32 )</f>
        <v>77690.677450572301</v>
      </c>
      <c r="BK33" s="98">
        <f t="shared" si="104"/>
        <v>84851.400576114436</v>
      </c>
      <c r="BL33" s="98">
        <f t="shared" si="104"/>
        <v>93701.969866976273</v>
      </c>
      <c r="BM33" s="99">
        <f t="shared" si="104"/>
        <v>138884.23171221121</v>
      </c>
      <c r="BN33" s="100"/>
      <c r="BO33" s="97">
        <f xml:space="preserve"> BO30 * ( 1 + BO32 )</f>
        <v>91527.62085216683</v>
      </c>
      <c r="BP33" s="98">
        <f t="shared" ref="BP33:BS33" si="105" xml:space="preserve"> BP30 * ( 1 + BP32 )</f>
        <v>99995.031187041212</v>
      </c>
      <c r="BQ33" s="98">
        <f t="shared" si="105"/>
        <v>110164.76683728198</v>
      </c>
      <c r="BR33" s="98">
        <f t="shared" si="105"/>
        <v>121859.96283505886</v>
      </c>
      <c r="BS33" s="99">
        <f t="shared" si="105"/>
        <v>135014.2948174355</v>
      </c>
      <c r="BT33" s="100"/>
      <c r="BU33" s="97">
        <f xml:space="preserve"> BU30 * ( 1 + BU32 )</f>
        <v>69809.469171623423</v>
      </c>
      <c r="BV33" s="98">
        <f t="shared" ref="BV33:BY33" si="106" xml:space="preserve"> BV30 * ( 1 + BV32 )</f>
        <v>82494.608937873418</v>
      </c>
      <c r="BW33" s="98">
        <f t="shared" si="106"/>
        <v>0</v>
      </c>
      <c r="BX33" s="98">
        <f t="shared" si="106"/>
        <v>0</v>
      </c>
      <c r="BY33" s="99">
        <f t="shared" si="106"/>
        <v>0</v>
      </c>
      <c r="BZ33" s="317"/>
      <c r="CA33" s="97">
        <f xml:space="preserve"> CA30 * ( 1 + CA32 )</f>
        <v>81015.929329974009</v>
      </c>
      <c r="CB33" s="98">
        <f t="shared" ref="CB33:CE33" si="107" xml:space="preserve"> CB30 * ( 1 + CB32 )</f>
        <v>88387.014698127547</v>
      </c>
      <c r="CC33" s="98">
        <f t="shared" si="107"/>
        <v>97562.365738485809</v>
      </c>
      <c r="CD33" s="98">
        <f t="shared" si="107"/>
        <v>109510.12500686599</v>
      </c>
      <c r="CE33" s="99">
        <f t="shared" si="107"/>
        <v>122073.97499258442</v>
      </c>
      <c r="CF33" s="309"/>
      <c r="CG33" s="97">
        <f xml:space="preserve"> CG30 * ( 1 + CG32 )</f>
        <v>72388.785106881784</v>
      </c>
      <c r="CH33" s="98">
        <f t="shared" ref="CH33:CK33" si="108" xml:space="preserve"> CH30 * ( 1 + CH32 )</f>
        <v>77690.677450572301</v>
      </c>
      <c r="CI33" s="98">
        <f t="shared" si="108"/>
        <v>84851.400576114436</v>
      </c>
      <c r="CJ33" s="98">
        <f t="shared" si="108"/>
        <v>93701.969866976273</v>
      </c>
      <c r="CK33" s="99">
        <f t="shared" si="108"/>
        <v>138884.23171221121</v>
      </c>
      <c r="CL33" s="100"/>
      <c r="CM33" s="97">
        <f xml:space="preserve"> CM30 * ( 1 + CM32 )</f>
        <v>85579.455535050103</v>
      </c>
      <c r="CN33" s="98">
        <f t="shared" ref="CN33:CQ33" si="109" xml:space="preserve"> CN30 * ( 1 + CN32 )</f>
        <v>92962.699102926417</v>
      </c>
      <c r="CO33" s="98">
        <f t="shared" si="109"/>
        <v>101286.7608637339</v>
      </c>
      <c r="CP33" s="98">
        <f t="shared" si="109"/>
        <v>127534.79599319157</v>
      </c>
      <c r="CQ33" s="99">
        <f t="shared" si="109"/>
        <v>0</v>
      </c>
      <c r="CR33" s="100"/>
      <c r="CS33" s="97">
        <f xml:space="preserve"> CS30 * ( 1 + CS32 )</f>
        <v>91527.62085216683</v>
      </c>
      <c r="CT33" s="98">
        <f t="shared" ref="CT33:CW33" si="110" xml:space="preserve"> CT30 * ( 1 + CT32 )</f>
        <v>99995.031187041212</v>
      </c>
      <c r="CU33" s="98">
        <f t="shared" si="110"/>
        <v>110164.76683728198</v>
      </c>
      <c r="CV33" s="98">
        <f t="shared" si="110"/>
        <v>121859.96283505886</v>
      </c>
      <c r="CW33" s="99">
        <f t="shared" si="110"/>
        <v>135014.2948174355</v>
      </c>
      <c r="CX33" s="100"/>
      <c r="CY33" s="97">
        <f xml:space="preserve"> CY30 * ( 1 + CY32 )</f>
        <v>68123.769972365219</v>
      </c>
      <c r="CZ33" s="98">
        <f t="shared" ref="CZ33:DC33" si="111" xml:space="preserve"> CZ30 * ( 1 + CZ32 )</f>
        <v>91522.804006351522</v>
      </c>
      <c r="DA33" s="98">
        <f t="shared" si="111"/>
        <v>0</v>
      </c>
      <c r="DB33" s="98">
        <f t="shared" si="111"/>
        <v>0</v>
      </c>
      <c r="DC33" s="99">
        <f t="shared" si="111"/>
        <v>0</v>
      </c>
      <c r="DD33" s="309"/>
      <c r="DE33" s="424">
        <f xml:space="preserve"> DE30 * ( 1 + DE32 )</f>
        <v>74606.564926123101</v>
      </c>
      <c r="DF33" s="425">
        <f xml:space="preserve"> DF30 * ( 1 + DF32 )</f>
        <v>114073.18595485466</v>
      </c>
      <c r="DG33" s="425">
        <f xml:space="preserve"> DG30 * ( 1 + DG32 )</f>
        <v>0</v>
      </c>
      <c r="DH33" s="425">
        <f xml:space="preserve"> DH30 * ( 1 + DH32 )</f>
        <v>0</v>
      </c>
      <c r="DI33" s="426">
        <f xml:space="preserve"> DI30 * ( 1 + DI32 )</f>
        <v>0</v>
      </c>
      <c r="DJ33" s="344"/>
      <c r="DK33" s="97">
        <f xml:space="preserve"> DK30 * ( 1 + DK32 )</f>
        <v>65701.868830540829</v>
      </c>
      <c r="DL33" s="98">
        <f t="shared" ref="DL33:DO33" si="112" xml:space="preserve"> DL30 * ( 1 + DL32 )</f>
        <v>67562.779458899822</v>
      </c>
      <c r="DM33" s="98">
        <f t="shared" si="112"/>
        <v>73009.027066579467</v>
      </c>
      <c r="DN33" s="98">
        <f t="shared" si="112"/>
        <v>78525.26661138596</v>
      </c>
      <c r="DO33" s="426">
        <f t="shared" si="112"/>
        <v>86275.561299358713</v>
      </c>
      <c r="DP33" s="344"/>
    </row>
    <row r="34" spans="1:120" s="8" customFormat="1" x14ac:dyDescent="0.3">
      <c r="A34" s="72"/>
      <c r="B34" s="105"/>
      <c r="C34" s="94"/>
      <c r="D34" s="65"/>
      <c r="E34" s="63"/>
      <c r="F34" s="103"/>
      <c r="G34" s="9"/>
      <c r="H34" s="104"/>
      <c r="I34" s="104"/>
      <c r="J34" s="104"/>
      <c r="K34" s="10"/>
      <c r="L34" s="10"/>
      <c r="N34" s="104"/>
      <c r="O34" s="104"/>
      <c r="P34" s="104"/>
      <c r="Q34" s="10"/>
      <c r="S34" s="9"/>
      <c r="T34" s="104"/>
      <c r="U34" s="104"/>
      <c r="V34" s="104"/>
      <c r="W34" s="10"/>
      <c r="Y34" s="9"/>
      <c r="Z34" s="104"/>
      <c r="AA34" s="104"/>
      <c r="AB34" s="104"/>
      <c r="AC34" s="10"/>
      <c r="AE34" s="9"/>
      <c r="AF34" s="104"/>
      <c r="AG34" s="104"/>
      <c r="AH34" s="104"/>
      <c r="AI34" s="10"/>
      <c r="AK34" s="9"/>
      <c r="AL34" s="104"/>
      <c r="AM34" s="104"/>
      <c r="AN34" s="104"/>
      <c r="AO34" s="10"/>
      <c r="AQ34" s="9"/>
      <c r="AR34" s="104"/>
      <c r="AS34" s="104"/>
      <c r="AT34" s="104"/>
      <c r="AU34" s="10"/>
      <c r="AW34" s="9"/>
      <c r="AX34" s="104"/>
      <c r="AY34" s="104"/>
      <c r="AZ34" s="104"/>
      <c r="BA34" s="10"/>
      <c r="BB34" s="9"/>
      <c r="BC34" s="9"/>
      <c r="BD34" s="104"/>
      <c r="BE34" s="104"/>
      <c r="BF34" s="104"/>
      <c r="BG34" s="10"/>
      <c r="BH34" s="10"/>
      <c r="BI34" s="9"/>
      <c r="BJ34" s="104"/>
      <c r="BK34" s="104"/>
      <c r="BL34" s="104"/>
      <c r="BM34" s="10"/>
      <c r="BO34" s="9"/>
      <c r="BP34" s="104"/>
      <c r="BQ34" s="104"/>
      <c r="BR34" s="104"/>
      <c r="BS34" s="10"/>
      <c r="BU34" s="9"/>
      <c r="BV34" s="104"/>
      <c r="BW34" s="104"/>
      <c r="BX34" s="104"/>
      <c r="BY34" s="10"/>
      <c r="BZ34" s="313"/>
      <c r="CA34" s="9"/>
      <c r="CB34" s="104"/>
      <c r="CC34" s="104"/>
      <c r="CD34" s="104"/>
      <c r="CE34" s="10"/>
      <c r="CF34" s="10"/>
      <c r="CG34" s="9"/>
      <c r="CH34" s="104"/>
      <c r="CI34" s="104"/>
      <c r="CJ34" s="104"/>
      <c r="CK34" s="10"/>
      <c r="CM34" s="9"/>
      <c r="CN34" s="104"/>
      <c r="CO34" s="104"/>
      <c r="CP34" s="104"/>
      <c r="CQ34" s="10"/>
      <c r="CS34" s="9"/>
      <c r="CT34" s="104"/>
      <c r="CU34" s="104"/>
      <c r="CV34" s="104"/>
      <c r="CW34" s="10"/>
      <c r="CY34" s="9"/>
      <c r="CZ34" s="104"/>
      <c r="DA34" s="104"/>
      <c r="DB34" s="104"/>
      <c r="DC34" s="10"/>
      <c r="DD34" s="10"/>
      <c r="DE34" s="389"/>
      <c r="DF34" s="390"/>
      <c r="DG34" s="390"/>
      <c r="DH34" s="390"/>
      <c r="DI34" s="391"/>
      <c r="DJ34" s="9"/>
      <c r="DK34" s="9"/>
      <c r="DL34" s="104"/>
      <c r="DM34" s="104"/>
      <c r="DN34" s="104"/>
      <c r="DO34" s="391"/>
      <c r="DP34" s="9"/>
    </row>
    <row r="35" spans="1:120" s="8" customFormat="1" x14ac:dyDescent="0.3">
      <c r="A35" s="72"/>
      <c r="B35" s="105"/>
      <c r="C35" s="94"/>
      <c r="D35" s="73" t="s">
        <v>69</v>
      </c>
      <c r="E35" s="63"/>
      <c r="F35" s="103"/>
      <c r="G35" s="9"/>
      <c r="H35" s="104"/>
      <c r="I35" s="187"/>
      <c r="J35" s="186"/>
      <c r="K35" s="10"/>
      <c r="L35" s="10"/>
      <c r="N35" s="104"/>
      <c r="O35" s="187"/>
      <c r="P35" s="186"/>
      <c r="Q35" s="10"/>
      <c r="S35" s="9"/>
      <c r="T35" s="104"/>
      <c r="U35" s="104"/>
      <c r="V35" s="104"/>
      <c r="W35" s="10"/>
      <c r="Y35" s="9"/>
      <c r="Z35" s="104"/>
      <c r="AA35" s="104"/>
      <c r="AB35" s="104"/>
      <c r="AC35" s="10"/>
      <c r="AE35" s="9"/>
      <c r="AF35" s="104"/>
      <c r="AG35" s="104"/>
      <c r="AH35" s="104"/>
      <c r="AI35" s="10"/>
      <c r="AK35" s="9"/>
      <c r="AL35" s="104"/>
      <c r="AM35" s="104"/>
      <c r="AN35" s="104"/>
      <c r="AO35" s="10"/>
      <c r="AQ35" s="9"/>
      <c r="AR35" s="104"/>
      <c r="AS35" s="104"/>
      <c r="AT35" s="104"/>
      <c r="AU35" s="10"/>
      <c r="AW35" s="9"/>
      <c r="AX35" s="104"/>
      <c r="AY35" s="104"/>
      <c r="AZ35" s="104"/>
      <c r="BA35" s="10"/>
      <c r="BB35" s="9"/>
      <c r="BC35" s="9"/>
      <c r="BD35" s="104"/>
      <c r="BE35" s="187"/>
      <c r="BF35" s="186"/>
      <c r="BG35" s="10"/>
      <c r="BH35" s="10"/>
      <c r="BI35" s="9"/>
      <c r="BJ35" s="104"/>
      <c r="BK35" s="104"/>
      <c r="BL35" s="104"/>
      <c r="BM35" s="10"/>
      <c r="BO35" s="9"/>
      <c r="BP35" s="104"/>
      <c r="BQ35" s="104"/>
      <c r="BR35" s="104"/>
      <c r="BS35" s="10"/>
      <c r="BU35" s="9"/>
      <c r="BV35" s="104"/>
      <c r="BW35" s="104"/>
      <c r="BX35" s="104"/>
      <c r="BY35" s="10"/>
      <c r="BZ35" s="313"/>
      <c r="CA35" s="9"/>
      <c r="CB35" s="104"/>
      <c r="CC35" s="187"/>
      <c r="CD35" s="186"/>
      <c r="CE35" s="10"/>
      <c r="CF35" s="10"/>
      <c r="CG35" s="9"/>
      <c r="CH35" s="104"/>
      <c r="CI35" s="104"/>
      <c r="CJ35" s="104"/>
      <c r="CK35" s="10"/>
      <c r="CM35" s="9"/>
      <c r="CN35" s="104"/>
      <c r="CO35" s="104"/>
      <c r="CP35" s="104"/>
      <c r="CQ35" s="10"/>
      <c r="CS35" s="9"/>
      <c r="CT35" s="104"/>
      <c r="CU35" s="104"/>
      <c r="CV35" s="104"/>
      <c r="CW35" s="10"/>
      <c r="CY35" s="9"/>
      <c r="CZ35" s="104"/>
      <c r="DA35" s="187"/>
      <c r="DB35" s="186"/>
      <c r="DC35" s="10"/>
      <c r="DD35" s="10"/>
      <c r="DE35" s="389"/>
      <c r="DF35" s="390"/>
      <c r="DG35" s="390"/>
      <c r="DH35" s="390"/>
      <c r="DI35" s="391"/>
      <c r="DJ35" s="9"/>
      <c r="DK35" s="9"/>
      <c r="DL35" s="104"/>
      <c r="DM35" s="104"/>
      <c r="DN35" s="104"/>
      <c r="DO35" s="391"/>
      <c r="DP35" s="9"/>
    </row>
    <row r="36" spans="1:120" s="8" customFormat="1" x14ac:dyDescent="0.3">
      <c r="A36" s="72"/>
      <c r="B36" s="105"/>
      <c r="C36" s="94"/>
      <c r="D36" s="65"/>
      <c r="E36" s="63" t="s">
        <v>70</v>
      </c>
      <c r="F36" s="61" t="s">
        <v>71</v>
      </c>
      <c r="G36" s="85">
        <v>1878</v>
      </c>
      <c r="H36" s="91">
        <v>1878</v>
      </c>
      <c r="I36" s="91">
        <v>1878</v>
      </c>
      <c r="J36" s="91">
        <v>1878</v>
      </c>
      <c r="K36" s="92">
        <v>1878</v>
      </c>
      <c r="L36" s="92"/>
      <c r="M36" s="91">
        <v>1878</v>
      </c>
      <c r="N36" s="91">
        <v>1878</v>
      </c>
      <c r="O36" s="91">
        <v>1878</v>
      </c>
      <c r="P36" s="91">
        <v>1878</v>
      </c>
      <c r="Q36" s="92">
        <v>1878</v>
      </c>
      <c r="R36" s="66"/>
      <c r="S36" s="85">
        <v>1878</v>
      </c>
      <c r="T36" s="91">
        <v>1878</v>
      </c>
      <c r="U36" s="91">
        <v>1878</v>
      </c>
      <c r="V36" s="91">
        <v>1878</v>
      </c>
      <c r="W36" s="92">
        <v>1878</v>
      </c>
      <c r="X36" s="66"/>
      <c r="Y36" s="85">
        <v>1878</v>
      </c>
      <c r="Z36" s="91">
        <v>1878</v>
      </c>
      <c r="AA36" s="91">
        <v>1878</v>
      </c>
      <c r="AB36" s="91">
        <v>1878</v>
      </c>
      <c r="AC36" s="92">
        <v>1878</v>
      </c>
      <c r="AD36" s="66"/>
      <c r="AE36" s="85">
        <v>1878</v>
      </c>
      <c r="AF36" s="91">
        <v>1878</v>
      </c>
      <c r="AG36" s="91">
        <v>1878</v>
      </c>
      <c r="AH36" s="91">
        <v>1878</v>
      </c>
      <c r="AI36" s="92">
        <v>1878</v>
      </c>
      <c r="AJ36" s="66"/>
      <c r="AK36" s="85">
        <v>1878</v>
      </c>
      <c r="AL36" s="91">
        <v>1878</v>
      </c>
      <c r="AM36" s="91">
        <v>1878</v>
      </c>
      <c r="AN36" s="91">
        <v>1878</v>
      </c>
      <c r="AO36" s="92">
        <v>1878</v>
      </c>
      <c r="AP36" s="66"/>
      <c r="AQ36" s="85">
        <v>1878</v>
      </c>
      <c r="AR36" s="91">
        <v>1878</v>
      </c>
      <c r="AS36" s="91">
        <v>1878</v>
      </c>
      <c r="AT36" s="91">
        <v>1878</v>
      </c>
      <c r="AU36" s="92">
        <v>1878</v>
      </c>
      <c r="AV36" s="66"/>
      <c r="AW36" s="85">
        <v>1878</v>
      </c>
      <c r="AX36" s="91">
        <v>1878</v>
      </c>
      <c r="AY36" s="91">
        <v>1878</v>
      </c>
      <c r="AZ36" s="91">
        <v>1878</v>
      </c>
      <c r="BA36" s="92">
        <v>1878</v>
      </c>
      <c r="BB36" s="85"/>
      <c r="BC36" s="85">
        <v>1878</v>
      </c>
      <c r="BD36" s="91">
        <v>1878</v>
      </c>
      <c r="BE36" s="91">
        <v>1878</v>
      </c>
      <c r="BF36" s="91">
        <v>1878</v>
      </c>
      <c r="BG36" s="92">
        <v>1878</v>
      </c>
      <c r="BH36" s="92"/>
      <c r="BI36" s="85">
        <v>1878</v>
      </c>
      <c r="BJ36" s="91">
        <v>1878</v>
      </c>
      <c r="BK36" s="91">
        <v>1878</v>
      </c>
      <c r="BL36" s="91">
        <v>1878</v>
      </c>
      <c r="BM36" s="92">
        <v>1878</v>
      </c>
      <c r="BN36" s="66"/>
      <c r="BO36" s="85">
        <v>1878</v>
      </c>
      <c r="BP36" s="91">
        <v>1878</v>
      </c>
      <c r="BQ36" s="91">
        <v>1878</v>
      </c>
      <c r="BR36" s="91">
        <v>1878</v>
      </c>
      <c r="BS36" s="92">
        <v>1878</v>
      </c>
      <c r="BT36" s="66"/>
      <c r="BU36" s="85">
        <v>1878</v>
      </c>
      <c r="BV36" s="91">
        <v>1878</v>
      </c>
      <c r="BW36" s="91">
        <v>1878</v>
      </c>
      <c r="BX36" s="91">
        <v>1878</v>
      </c>
      <c r="BY36" s="92">
        <v>1878</v>
      </c>
      <c r="BZ36" s="318"/>
      <c r="CA36" s="85">
        <v>1878</v>
      </c>
      <c r="CB36" s="91">
        <v>1878</v>
      </c>
      <c r="CC36" s="91">
        <v>1878</v>
      </c>
      <c r="CD36" s="91">
        <v>1878</v>
      </c>
      <c r="CE36" s="92">
        <v>1878</v>
      </c>
      <c r="CF36" s="92"/>
      <c r="CG36" s="85">
        <v>1878</v>
      </c>
      <c r="CH36" s="91">
        <v>1878</v>
      </c>
      <c r="CI36" s="91">
        <v>1878</v>
      </c>
      <c r="CJ36" s="91">
        <v>1878</v>
      </c>
      <c r="CK36" s="92">
        <v>1878</v>
      </c>
      <c r="CL36" s="66"/>
      <c r="CM36" s="85">
        <v>1878</v>
      </c>
      <c r="CN36" s="91">
        <v>1878</v>
      </c>
      <c r="CO36" s="91">
        <v>1878</v>
      </c>
      <c r="CP36" s="91">
        <v>1878</v>
      </c>
      <c r="CQ36" s="92">
        <v>1878</v>
      </c>
      <c r="CR36" s="66"/>
      <c r="CS36" s="85">
        <v>1878</v>
      </c>
      <c r="CT36" s="91">
        <v>1878</v>
      </c>
      <c r="CU36" s="91">
        <v>1878</v>
      </c>
      <c r="CV36" s="91">
        <v>1878</v>
      </c>
      <c r="CW36" s="92">
        <v>1878</v>
      </c>
      <c r="CX36" s="66"/>
      <c r="CY36" s="85">
        <v>1878</v>
      </c>
      <c r="CZ36" s="91">
        <v>1878</v>
      </c>
      <c r="DA36" s="91">
        <v>1878</v>
      </c>
      <c r="DB36" s="91">
        <v>1878</v>
      </c>
      <c r="DC36" s="92">
        <v>1878</v>
      </c>
      <c r="DD36" s="92"/>
      <c r="DE36" s="392">
        <v>1878</v>
      </c>
      <c r="DF36">
        <v>1878</v>
      </c>
      <c r="DG36">
        <v>1878</v>
      </c>
      <c r="DH36">
        <v>1878</v>
      </c>
      <c r="DI36" s="183">
        <v>1878</v>
      </c>
      <c r="DJ36" s="85"/>
      <c r="DK36" s="85">
        <v>1878</v>
      </c>
      <c r="DL36" s="91">
        <v>1878</v>
      </c>
      <c r="DM36" s="91">
        <v>1878</v>
      </c>
      <c r="DN36" s="91">
        <v>1878</v>
      </c>
      <c r="DO36" s="183">
        <v>1878</v>
      </c>
      <c r="DP36" s="85"/>
    </row>
    <row r="37" spans="1:120" s="8" customFormat="1" x14ac:dyDescent="0.3">
      <c r="A37" s="72"/>
      <c r="B37" s="105"/>
      <c r="C37" s="94"/>
      <c r="D37" s="65"/>
      <c r="E37" s="63" t="s">
        <v>72</v>
      </c>
      <c r="F37" s="61" t="s">
        <v>71</v>
      </c>
      <c r="G37" s="77">
        <f xml:space="preserve"> 144 + 22 + 35 + 50</f>
        <v>251</v>
      </c>
      <c r="H37" s="83">
        <f t="shared" ref="H37:K37" si="113" xml:space="preserve"> 144 + 22 + 35 + 50</f>
        <v>251</v>
      </c>
      <c r="I37" s="83">
        <f t="shared" si="113"/>
        <v>251</v>
      </c>
      <c r="J37" s="83">
        <f t="shared" si="113"/>
        <v>251</v>
      </c>
      <c r="K37" s="84">
        <f t="shared" si="113"/>
        <v>251</v>
      </c>
      <c r="L37" s="92"/>
      <c r="M37" s="77">
        <f xml:space="preserve"> 144 + 22 + 35 + 50</f>
        <v>251</v>
      </c>
      <c r="N37" s="83">
        <f t="shared" ref="N37:Q37" si="114" xml:space="preserve"> 144 + 22 + 35 + 50</f>
        <v>251</v>
      </c>
      <c r="O37" s="83">
        <f t="shared" si="114"/>
        <v>251</v>
      </c>
      <c r="P37" s="83">
        <f t="shared" si="114"/>
        <v>251</v>
      </c>
      <c r="Q37" s="84">
        <f t="shared" si="114"/>
        <v>251</v>
      </c>
      <c r="R37" s="66"/>
      <c r="S37" s="77">
        <f xml:space="preserve"> 144 + 57 + 50</f>
        <v>251</v>
      </c>
      <c r="T37" s="83">
        <f t="shared" ref="T37:W37" si="115" xml:space="preserve"> 144 + 57 + 50</f>
        <v>251</v>
      </c>
      <c r="U37" s="83">
        <f t="shared" si="115"/>
        <v>251</v>
      </c>
      <c r="V37" s="83">
        <f t="shared" si="115"/>
        <v>251</v>
      </c>
      <c r="W37" s="84">
        <f t="shared" si="115"/>
        <v>251</v>
      </c>
      <c r="X37" s="66"/>
      <c r="Y37" s="77">
        <f xml:space="preserve"> 144 + 57 + 50</f>
        <v>251</v>
      </c>
      <c r="Z37" s="83">
        <f t="shared" ref="Z37:AC37" si="116" xml:space="preserve"> 144 + 57 + 50</f>
        <v>251</v>
      </c>
      <c r="AA37" s="83">
        <f t="shared" si="116"/>
        <v>251</v>
      </c>
      <c r="AB37" s="83">
        <f t="shared" si="116"/>
        <v>251</v>
      </c>
      <c r="AC37" s="84">
        <f t="shared" si="116"/>
        <v>251</v>
      </c>
      <c r="AD37" s="66"/>
      <c r="AE37" s="77">
        <f xml:space="preserve"> 144 + 56 + 50</f>
        <v>250</v>
      </c>
      <c r="AF37" s="83">
        <f t="shared" ref="AF37:AI37" si="117" xml:space="preserve"> 144 + 56 + 50</f>
        <v>250</v>
      </c>
      <c r="AG37" s="83">
        <f t="shared" si="117"/>
        <v>250</v>
      </c>
      <c r="AH37" s="83">
        <f t="shared" si="117"/>
        <v>250</v>
      </c>
      <c r="AI37" s="84">
        <f t="shared" si="117"/>
        <v>250</v>
      </c>
      <c r="AJ37" s="66"/>
      <c r="AK37" s="77">
        <f xml:space="preserve"> 144 + 26 + 50</f>
        <v>220</v>
      </c>
      <c r="AL37" s="83">
        <f t="shared" ref="AL37:AO37" si="118" xml:space="preserve"> 144 + 26 + 50</f>
        <v>220</v>
      </c>
      <c r="AM37" s="83">
        <f t="shared" si="118"/>
        <v>220</v>
      </c>
      <c r="AN37" s="83">
        <f t="shared" si="118"/>
        <v>220</v>
      </c>
      <c r="AO37" s="84">
        <f t="shared" si="118"/>
        <v>220</v>
      </c>
      <c r="AP37" s="66"/>
      <c r="AQ37" s="77">
        <f xml:space="preserve"> 144 + 26 + 50</f>
        <v>220</v>
      </c>
      <c r="AR37" s="83">
        <f t="shared" ref="AR37:AU37" si="119" xml:space="preserve"> 144 + 26 + 50</f>
        <v>220</v>
      </c>
      <c r="AS37" s="83">
        <f t="shared" si="119"/>
        <v>220</v>
      </c>
      <c r="AT37" s="83">
        <f t="shared" si="119"/>
        <v>220</v>
      </c>
      <c r="AU37" s="84">
        <f t="shared" si="119"/>
        <v>220</v>
      </c>
      <c r="AV37" s="66"/>
      <c r="AW37" s="373">
        <f xml:space="preserve"> 144 + 58.4 + 35 + 50</f>
        <v>287.39999999999998</v>
      </c>
      <c r="AX37" s="374">
        <f t="shared" ref="AX37:BA37" si="120" xml:space="preserve"> 144 + 58.4 + 35 + 50</f>
        <v>287.39999999999998</v>
      </c>
      <c r="AY37" s="374">
        <f t="shared" si="120"/>
        <v>287.39999999999998</v>
      </c>
      <c r="AZ37" s="374">
        <f t="shared" si="120"/>
        <v>287.39999999999998</v>
      </c>
      <c r="BA37" s="375">
        <f t="shared" si="120"/>
        <v>287.39999999999998</v>
      </c>
      <c r="BB37" s="85"/>
      <c r="BC37" s="77">
        <f xml:space="preserve"> 144 + 22 + 35 + 50</f>
        <v>251</v>
      </c>
      <c r="BD37" s="83">
        <f t="shared" ref="BD37:BG37" si="121" xml:space="preserve"> 144 + 22 + 35 + 50</f>
        <v>251</v>
      </c>
      <c r="BE37" s="83">
        <f t="shared" si="121"/>
        <v>251</v>
      </c>
      <c r="BF37" s="83">
        <f t="shared" si="121"/>
        <v>251</v>
      </c>
      <c r="BG37" s="84">
        <f t="shared" si="121"/>
        <v>251</v>
      </c>
      <c r="BH37" s="92"/>
      <c r="BI37" s="77">
        <f xml:space="preserve"> 144 + 57 + 50</f>
        <v>251</v>
      </c>
      <c r="BJ37" s="83">
        <f t="shared" ref="BJ37:BM37" si="122" xml:space="preserve"> 144 + 57 + 50</f>
        <v>251</v>
      </c>
      <c r="BK37" s="83">
        <f t="shared" si="122"/>
        <v>251</v>
      </c>
      <c r="BL37" s="83">
        <f t="shared" si="122"/>
        <v>251</v>
      </c>
      <c r="BM37" s="84">
        <f t="shared" si="122"/>
        <v>251</v>
      </c>
      <c r="BN37" s="66"/>
      <c r="BO37" s="77">
        <f xml:space="preserve"> 144 + 26 + 50</f>
        <v>220</v>
      </c>
      <c r="BP37" s="83">
        <f t="shared" ref="BP37:BS37" si="123" xml:space="preserve"> 144 + 26 + 50</f>
        <v>220</v>
      </c>
      <c r="BQ37" s="83">
        <f t="shared" si="123"/>
        <v>220</v>
      </c>
      <c r="BR37" s="83">
        <f t="shared" si="123"/>
        <v>220</v>
      </c>
      <c r="BS37" s="84">
        <f t="shared" si="123"/>
        <v>220</v>
      </c>
      <c r="BT37" s="66"/>
      <c r="BU37" s="373">
        <f xml:space="preserve"> 144 + 58.4 + 35 + 50</f>
        <v>287.39999999999998</v>
      </c>
      <c r="BV37" s="374">
        <f t="shared" ref="BV37:BY37" si="124" xml:space="preserve"> 144 + 58.4 + 35 + 50</f>
        <v>287.39999999999998</v>
      </c>
      <c r="BW37" s="374">
        <f t="shared" si="124"/>
        <v>287.39999999999998</v>
      </c>
      <c r="BX37" s="374">
        <f t="shared" si="124"/>
        <v>287.39999999999998</v>
      </c>
      <c r="BY37" s="84">
        <f t="shared" si="124"/>
        <v>287.39999999999998</v>
      </c>
      <c r="BZ37" s="318"/>
      <c r="CA37" s="77">
        <f xml:space="preserve"> 144 + 22 + 35 + 50</f>
        <v>251</v>
      </c>
      <c r="CB37" s="83">
        <f t="shared" ref="CB37:CE37" si="125" xml:space="preserve"> 144 + 22 + 35 + 50</f>
        <v>251</v>
      </c>
      <c r="CC37" s="83">
        <f t="shared" si="125"/>
        <v>251</v>
      </c>
      <c r="CD37" s="83">
        <f t="shared" si="125"/>
        <v>251</v>
      </c>
      <c r="CE37" s="84">
        <f t="shared" si="125"/>
        <v>251</v>
      </c>
      <c r="CF37" s="92"/>
      <c r="CG37" s="77">
        <f xml:space="preserve"> 144 + 57 + 50</f>
        <v>251</v>
      </c>
      <c r="CH37" s="83">
        <f t="shared" ref="CH37:CK37" si="126" xml:space="preserve"> 144 + 57 + 50</f>
        <v>251</v>
      </c>
      <c r="CI37" s="83">
        <f t="shared" si="126"/>
        <v>251</v>
      </c>
      <c r="CJ37" s="83">
        <f t="shared" si="126"/>
        <v>251</v>
      </c>
      <c r="CK37" s="84">
        <f t="shared" si="126"/>
        <v>251</v>
      </c>
      <c r="CL37" s="66"/>
      <c r="CM37" s="77">
        <f xml:space="preserve"> 144 + 56 + 50</f>
        <v>250</v>
      </c>
      <c r="CN37" s="83">
        <f t="shared" ref="CN37:CQ37" si="127" xml:space="preserve"> 144 + 56 + 50</f>
        <v>250</v>
      </c>
      <c r="CO37" s="83">
        <f t="shared" si="127"/>
        <v>250</v>
      </c>
      <c r="CP37" s="83">
        <f t="shared" si="127"/>
        <v>250</v>
      </c>
      <c r="CQ37" s="84">
        <f t="shared" si="127"/>
        <v>250</v>
      </c>
      <c r="CR37" s="66"/>
      <c r="CS37" s="77">
        <f xml:space="preserve"> 144 + 26 + 50</f>
        <v>220</v>
      </c>
      <c r="CT37" s="83">
        <f t="shared" ref="CT37:CW37" si="128" xml:space="preserve"> 144 + 26 + 50</f>
        <v>220</v>
      </c>
      <c r="CU37" s="83">
        <f t="shared" si="128"/>
        <v>220</v>
      </c>
      <c r="CV37" s="83">
        <f t="shared" si="128"/>
        <v>220</v>
      </c>
      <c r="CW37" s="84">
        <f t="shared" si="128"/>
        <v>220</v>
      </c>
      <c r="CX37" s="66"/>
      <c r="CY37" s="77">
        <f xml:space="preserve"> 144 + 22 + 35 + 50</f>
        <v>251</v>
      </c>
      <c r="CZ37" s="83">
        <f t="shared" ref="CZ37:DC37" si="129" xml:space="preserve"> 144 + 22 + 35 + 50</f>
        <v>251</v>
      </c>
      <c r="DA37" s="83">
        <f t="shared" si="129"/>
        <v>251</v>
      </c>
      <c r="DB37" s="83">
        <f t="shared" si="129"/>
        <v>251</v>
      </c>
      <c r="DC37" s="84">
        <f t="shared" si="129"/>
        <v>251</v>
      </c>
      <c r="DD37" s="92"/>
      <c r="DE37" s="176">
        <f xml:space="preserve"> 144 + 26 + 50</f>
        <v>220</v>
      </c>
      <c r="DF37" s="177">
        <f xml:space="preserve"> 144 + 26 + 50</f>
        <v>220</v>
      </c>
      <c r="DG37" s="177">
        <f xml:space="preserve"> 144 + 26 + 50</f>
        <v>220</v>
      </c>
      <c r="DH37" s="177">
        <f xml:space="preserve"> 144 + 26 + 50</f>
        <v>220</v>
      </c>
      <c r="DI37" s="178">
        <f xml:space="preserve"> 144 + 26 + 50</f>
        <v>220</v>
      </c>
      <c r="DJ37" s="85"/>
      <c r="DK37" s="373">
        <f xml:space="preserve"> 144 + 58.4 + 35 + 50</f>
        <v>287.39999999999998</v>
      </c>
      <c r="DL37" s="374">
        <f t="shared" ref="DL37:DO37" si="130" xml:space="preserve"> 144 + 58.4 + 35 + 50</f>
        <v>287.39999999999998</v>
      </c>
      <c r="DM37" s="374">
        <f t="shared" si="130"/>
        <v>287.39999999999998</v>
      </c>
      <c r="DN37" s="374">
        <f t="shared" si="130"/>
        <v>287.39999999999998</v>
      </c>
      <c r="DO37" s="178">
        <f t="shared" si="130"/>
        <v>287.39999999999998</v>
      </c>
      <c r="DP37" s="85"/>
    </row>
    <row r="38" spans="1:120" s="8" customFormat="1" x14ac:dyDescent="0.3">
      <c r="A38" s="72"/>
      <c r="B38" s="105"/>
      <c r="C38" s="94"/>
      <c r="D38" s="65"/>
      <c r="E38" s="63" t="s">
        <v>73</v>
      </c>
      <c r="F38" s="61" t="s">
        <v>71</v>
      </c>
      <c r="G38" s="77">
        <f>Tarieven!$K$15*G36</f>
        <v>145.7328</v>
      </c>
      <c r="H38" s="83">
        <f>Tarieven!$K$15*H36</f>
        <v>145.7328</v>
      </c>
      <c r="I38" s="83">
        <f>Tarieven!$K$15*I36</f>
        <v>145.7328</v>
      </c>
      <c r="J38" s="83">
        <f>Tarieven!$K$15*J36</f>
        <v>145.7328</v>
      </c>
      <c r="K38" s="84">
        <f>Tarieven!$K$15*K36</f>
        <v>145.7328</v>
      </c>
      <c r="L38" s="92"/>
      <c r="M38" s="77">
        <f>Tarieven!$K$15*M36</f>
        <v>145.7328</v>
      </c>
      <c r="N38" s="83">
        <f>Tarieven!$K$15*N36</f>
        <v>145.7328</v>
      </c>
      <c r="O38" s="83">
        <f>Tarieven!$K$15*O36</f>
        <v>145.7328</v>
      </c>
      <c r="P38" s="83">
        <f>Tarieven!$K$15*P36</f>
        <v>145.7328</v>
      </c>
      <c r="Q38" s="84">
        <f>Tarieven!$K$15*Q36</f>
        <v>145.7328</v>
      </c>
      <c r="R38" s="66"/>
      <c r="S38" s="77">
        <f>Tarieven!$K$15*S36</f>
        <v>145.7328</v>
      </c>
      <c r="T38" s="83">
        <f>Tarieven!$K$15*T36</f>
        <v>145.7328</v>
      </c>
      <c r="U38" s="83">
        <f>Tarieven!$K$15*U36</f>
        <v>145.7328</v>
      </c>
      <c r="V38" s="83">
        <f>Tarieven!$K$15*V36</f>
        <v>145.7328</v>
      </c>
      <c r="W38" s="84">
        <f>Tarieven!$K$15*W36</f>
        <v>145.7328</v>
      </c>
      <c r="X38" s="66"/>
      <c r="Y38" s="77">
        <f>Tarieven!$K$15*Y36</f>
        <v>145.7328</v>
      </c>
      <c r="Z38" s="83">
        <f>Tarieven!$K$15*Z36</f>
        <v>145.7328</v>
      </c>
      <c r="AA38" s="83">
        <f>Tarieven!$K$15*AA36</f>
        <v>145.7328</v>
      </c>
      <c r="AB38" s="83">
        <f>Tarieven!$K$15*AB36</f>
        <v>145.7328</v>
      </c>
      <c r="AC38" s="84">
        <f>Tarieven!$K$15*AC36</f>
        <v>145.7328</v>
      </c>
      <c r="AD38" s="66"/>
      <c r="AE38" s="77">
        <f>Tarieven!$K$15*AE36</f>
        <v>145.7328</v>
      </c>
      <c r="AF38" s="83">
        <f>Tarieven!$K$15*AF36</f>
        <v>145.7328</v>
      </c>
      <c r="AG38" s="83">
        <f>Tarieven!$K$15*AG36</f>
        <v>145.7328</v>
      </c>
      <c r="AH38" s="83">
        <f>Tarieven!$K$15*AH36</f>
        <v>145.7328</v>
      </c>
      <c r="AI38" s="84">
        <f>Tarieven!$K$15*AI36</f>
        <v>145.7328</v>
      </c>
      <c r="AJ38" s="66"/>
      <c r="AK38" s="77">
        <f>Tarieven!$K$15*AK36</f>
        <v>145.7328</v>
      </c>
      <c r="AL38" s="83">
        <f>Tarieven!$K$15*AL36</f>
        <v>145.7328</v>
      </c>
      <c r="AM38" s="83">
        <f>Tarieven!$K$15*AM36</f>
        <v>145.7328</v>
      </c>
      <c r="AN38" s="83">
        <f>Tarieven!$K$15*AN36</f>
        <v>145.7328</v>
      </c>
      <c r="AO38" s="84">
        <f>Tarieven!$K$15*AO36</f>
        <v>145.7328</v>
      </c>
      <c r="AP38" s="66"/>
      <c r="AQ38" s="77">
        <f>Tarieven!$K$15*AQ36</f>
        <v>145.7328</v>
      </c>
      <c r="AR38" s="83">
        <f>Tarieven!$K$15*AR36</f>
        <v>145.7328</v>
      </c>
      <c r="AS38" s="83">
        <f>Tarieven!$K$15*AS36</f>
        <v>145.7328</v>
      </c>
      <c r="AT38" s="83">
        <f>Tarieven!$K$15*AT36</f>
        <v>145.7328</v>
      </c>
      <c r="AU38" s="84">
        <f>Tarieven!$K$15*AU36</f>
        <v>145.7328</v>
      </c>
      <c r="AV38" s="66"/>
      <c r="AW38" s="77">
        <f>Tarieven!$K$15*AW36</f>
        <v>145.7328</v>
      </c>
      <c r="AX38" s="83">
        <f>Tarieven!$K$15*AX36</f>
        <v>145.7328</v>
      </c>
      <c r="AY38" s="83">
        <f>Tarieven!$K$15*AY36</f>
        <v>145.7328</v>
      </c>
      <c r="AZ38" s="83">
        <f>Tarieven!$K$15*AZ36</f>
        <v>145.7328</v>
      </c>
      <c r="BA38" s="84">
        <f>Tarieven!$K$15*BA36</f>
        <v>145.7328</v>
      </c>
      <c r="BB38" s="85"/>
      <c r="BC38" s="77">
        <f>Tarieven!$K$15*BC36</f>
        <v>145.7328</v>
      </c>
      <c r="BD38" s="83">
        <f>Tarieven!$K$15*BD36</f>
        <v>145.7328</v>
      </c>
      <c r="BE38" s="83">
        <f>Tarieven!$K$15*BE36</f>
        <v>145.7328</v>
      </c>
      <c r="BF38" s="83">
        <f>Tarieven!$K$15*BF36</f>
        <v>145.7328</v>
      </c>
      <c r="BG38" s="84">
        <f>Tarieven!$K$15*BG36</f>
        <v>145.7328</v>
      </c>
      <c r="BH38" s="92"/>
      <c r="BI38" s="77">
        <f>Tarieven!$K$15*BI36</f>
        <v>145.7328</v>
      </c>
      <c r="BJ38" s="83">
        <f>Tarieven!$K$15*BJ36</f>
        <v>145.7328</v>
      </c>
      <c r="BK38" s="83">
        <f>Tarieven!$K$15*BK36</f>
        <v>145.7328</v>
      </c>
      <c r="BL38" s="83">
        <f>Tarieven!$K$15*BL36</f>
        <v>145.7328</v>
      </c>
      <c r="BM38" s="84">
        <f>Tarieven!$K$15*BM36</f>
        <v>145.7328</v>
      </c>
      <c r="BN38" s="66"/>
      <c r="BO38" s="77">
        <f>Tarieven!$K$15*BO36</f>
        <v>145.7328</v>
      </c>
      <c r="BP38" s="83">
        <f>Tarieven!$K$15*BP36</f>
        <v>145.7328</v>
      </c>
      <c r="BQ38" s="83">
        <f>Tarieven!$K$15*BQ36</f>
        <v>145.7328</v>
      </c>
      <c r="BR38" s="83">
        <f>Tarieven!$K$15*BR36</f>
        <v>145.7328</v>
      </c>
      <c r="BS38" s="84">
        <f>Tarieven!$K$15*BS36</f>
        <v>145.7328</v>
      </c>
      <c r="BT38" s="66"/>
      <c r="BU38" s="77">
        <f>Tarieven!$K$15*BU36</f>
        <v>145.7328</v>
      </c>
      <c r="BV38" s="83">
        <f>Tarieven!$K$15*BV36</f>
        <v>145.7328</v>
      </c>
      <c r="BW38" s="83">
        <f>Tarieven!$K$15*BW36</f>
        <v>145.7328</v>
      </c>
      <c r="BX38" s="83">
        <f>Tarieven!$K$15*BX36</f>
        <v>145.7328</v>
      </c>
      <c r="BY38" s="84">
        <f>Tarieven!$K$15*BY36</f>
        <v>145.7328</v>
      </c>
      <c r="BZ38" s="318"/>
      <c r="CA38" s="77">
        <f>Tarieven!$K$15*CA36</f>
        <v>145.7328</v>
      </c>
      <c r="CB38" s="83">
        <f>Tarieven!$K$15*CB36</f>
        <v>145.7328</v>
      </c>
      <c r="CC38" s="83">
        <f>Tarieven!$K$15*CC36</f>
        <v>145.7328</v>
      </c>
      <c r="CD38" s="83">
        <f>Tarieven!$K$15*CD36</f>
        <v>145.7328</v>
      </c>
      <c r="CE38" s="84">
        <f>Tarieven!$K$15*CE36</f>
        <v>145.7328</v>
      </c>
      <c r="CF38" s="92"/>
      <c r="CG38" s="77">
        <f>Tarieven!$K$15*CG36</f>
        <v>145.7328</v>
      </c>
      <c r="CH38" s="83">
        <f>Tarieven!$K$15*CH36</f>
        <v>145.7328</v>
      </c>
      <c r="CI38" s="83">
        <f>Tarieven!$K$15*CI36</f>
        <v>145.7328</v>
      </c>
      <c r="CJ38" s="83">
        <f>Tarieven!$K$15*CJ36</f>
        <v>145.7328</v>
      </c>
      <c r="CK38" s="84">
        <f>Tarieven!$K$15*CK36</f>
        <v>145.7328</v>
      </c>
      <c r="CL38" s="66"/>
      <c r="CM38" s="77">
        <f>Tarieven!$K$15*CM36</f>
        <v>145.7328</v>
      </c>
      <c r="CN38" s="83">
        <f>Tarieven!$K$15*CN36</f>
        <v>145.7328</v>
      </c>
      <c r="CO38" s="83">
        <f>Tarieven!$K$15*CO36</f>
        <v>145.7328</v>
      </c>
      <c r="CP38" s="83">
        <f>Tarieven!$K$15*CP36</f>
        <v>145.7328</v>
      </c>
      <c r="CQ38" s="84">
        <f>Tarieven!$K$15*CQ36</f>
        <v>145.7328</v>
      </c>
      <c r="CR38" s="66"/>
      <c r="CS38" s="77">
        <f>Tarieven!$K$15*CS36</f>
        <v>145.7328</v>
      </c>
      <c r="CT38" s="83">
        <f>Tarieven!$K$15*CT36</f>
        <v>145.7328</v>
      </c>
      <c r="CU38" s="83">
        <f>Tarieven!$K$15*CU36</f>
        <v>145.7328</v>
      </c>
      <c r="CV38" s="83">
        <f>Tarieven!$K$15*CV36</f>
        <v>145.7328</v>
      </c>
      <c r="CW38" s="84">
        <f>Tarieven!$K$15*CW36</f>
        <v>145.7328</v>
      </c>
      <c r="CX38" s="66"/>
      <c r="CY38" s="77">
        <f>Tarieven!$K$15*CY36</f>
        <v>145.7328</v>
      </c>
      <c r="CZ38" s="83">
        <f>Tarieven!$K$15*CZ36</f>
        <v>145.7328</v>
      </c>
      <c r="DA38" s="83">
        <f>Tarieven!$K$15*DA36</f>
        <v>145.7328</v>
      </c>
      <c r="DB38" s="83">
        <f>Tarieven!$K$15*DB36</f>
        <v>145.7328</v>
      </c>
      <c r="DC38" s="84">
        <f>Tarieven!$K$15*DC36</f>
        <v>145.7328</v>
      </c>
      <c r="DD38" s="92"/>
      <c r="DE38" s="176">
        <f>Tarieven!$K$15*DE36</f>
        <v>145.7328</v>
      </c>
      <c r="DF38" s="177">
        <f>Tarieven!$K$15*DF36</f>
        <v>145.7328</v>
      </c>
      <c r="DG38" s="177">
        <f>Tarieven!$K$15*DG36</f>
        <v>145.7328</v>
      </c>
      <c r="DH38" s="177">
        <f>Tarieven!$K$15*DH36</f>
        <v>145.7328</v>
      </c>
      <c r="DI38" s="178">
        <f>Tarieven!$K$15*DI36</f>
        <v>145.7328</v>
      </c>
      <c r="DJ38" s="85"/>
      <c r="DK38" s="77">
        <f>Tarieven!$K$15*DK36</f>
        <v>145.7328</v>
      </c>
      <c r="DL38" s="83">
        <f>Tarieven!$K$15*DL36</f>
        <v>145.7328</v>
      </c>
      <c r="DM38" s="83">
        <f>Tarieven!$K$15*DM36</f>
        <v>145.7328</v>
      </c>
      <c r="DN38" s="83">
        <f>Tarieven!$K$15*DN36</f>
        <v>145.7328</v>
      </c>
      <c r="DO38" s="178">
        <f>Tarieven!$K$15*DO36</f>
        <v>145.7328</v>
      </c>
      <c r="DP38" s="85"/>
    </row>
    <row r="39" spans="1:120" s="8" customFormat="1" x14ac:dyDescent="0.3">
      <c r="A39" s="72"/>
      <c r="B39" s="105"/>
      <c r="C39" s="94"/>
      <c r="D39" s="65"/>
      <c r="E39" s="61" t="s">
        <v>181</v>
      </c>
      <c r="F39" s="595" t="s">
        <v>71</v>
      </c>
      <c r="G39" s="374">
        <f xml:space="preserve"> 20.5  + 36</f>
        <v>56.5</v>
      </c>
      <c r="H39" s="374">
        <f t="shared" ref="H39:CQ39" si="131" xml:space="preserve"> 20.5  + 36</f>
        <v>56.5</v>
      </c>
      <c r="I39" s="374">
        <f t="shared" si="131"/>
        <v>56.5</v>
      </c>
      <c r="J39" s="374">
        <f t="shared" si="131"/>
        <v>56.5</v>
      </c>
      <c r="K39" s="375">
        <f t="shared" si="131"/>
        <v>56.5</v>
      </c>
      <c r="L39" s="517"/>
      <c r="M39" s="374">
        <f t="shared" si="131"/>
        <v>56.5</v>
      </c>
      <c r="N39" s="374">
        <f t="shared" si="131"/>
        <v>56.5</v>
      </c>
      <c r="O39" s="374">
        <f t="shared" si="131"/>
        <v>56.5</v>
      </c>
      <c r="P39" s="374">
        <f t="shared" si="131"/>
        <v>56.5</v>
      </c>
      <c r="Q39" s="375">
        <f t="shared" si="131"/>
        <v>56.5</v>
      </c>
      <c r="R39" s="517"/>
      <c r="S39" s="374">
        <f t="shared" si="131"/>
        <v>56.5</v>
      </c>
      <c r="T39" s="374">
        <f t="shared" si="131"/>
        <v>56.5</v>
      </c>
      <c r="U39" s="374">
        <f t="shared" si="131"/>
        <v>56.5</v>
      </c>
      <c r="V39" s="374">
        <f t="shared" si="131"/>
        <v>56.5</v>
      </c>
      <c r="W39" s="375">
        <f t="shared" si="131"/>
        <v>56.5</v>
      </c>
      <c r="X39" s="517"/>
      <c r="Y39" s="374">
        <f t="shared" si="131"/>
        <v>56.5</v>
      </c>
      <c r="Z39" s="374">
        <f t="shared" si="131"/>
        <v>56.5</v>
      </c>
      <c r="AA39" s="374">
        <f t="shared" si="131"/>
        <v>56.5</v>
      </c>
      <c r="AB39" s="374">
        <f t="shared" si="131"/>
        <v>56.5</v>
      </c>
      <c r="AC39" s="375">
        <f t="shared" si="131"/>
        <v>56.5</v>
      </c>
      <c r="AD39" s="517"/>
      <c r="AE39" s="374">
        <f t="shared" si="131"/>
        <v>56.5</v>
      </c>
      <c r="AF39" s="374">
        <f t="shared" si="131"/>
        <v>56.5</v>
      </c>
      <c r="AG39" s="374">
        <f t="shared" si="131"/>
        <v>56.5</v>
      </c>
      <c r="AH39" s="374">
        <f t="shared" si="131"/>
        <v>56.5</v>
      </c>
      <c r="AI39" s="375">
        <f t="shared" si="131"/>
        <v>56.5</v>
      </c>
      <c r="AJ39" s="517"/>
      <c r="AK39" s="374">
        <f t="shared" si="131"/>
        <v>56.5</v>
      </c>
      <c r="AL39" s="374">
        <f t="shared" si="131"/>
        <v>56.5</v>
      </c>
      <c r="AM39" s="374">
        <f t="shared" si="131"/>
        <v>56.5</v>
      </c>
      <c r="AN39" s="374">
        <f t="shared" si="131"/>
        <v>56.5</v>
      </c>
      <c r="AO39" s="375">
        <f t="shared" si="131"/>
        <v>56.5</v>
      </c>
      <c r="AP39" s="517"/>
      <c r="AQ39" s="374">
        <f t="shared" si="131"/>
        <v>56.5</v>
      </c>
      <c r="AR39" s="374">
        <f t="shared" si="131"/>
        <v>56.5</v>
      </c>
      <c r="AS39" s="374">
        <f t="shared" si="131"/>
        <v>56.5</v>
      </c>
      <c r="AT39" s="374">
        <f t="shared" si="131"/>
        <v>56.5</v>
      </c>
      <c r="AU39" s="375">
        <f t="shared" si="131"/>
        <v>56.5</v>
      </c>
      <c r="AV39" s="517"/>
      <c r="AW39" s="374">
        <f t="shared" si="131"/>
        <v>56.5</v>
      </c>
      <c r="AX39" s="374">
        <f t="shared" si="131"/>
        <v>56.5</v>
      </c>
      <c r="AY39" s="374">
        <f t="shared" si="131"/>
        <v>56.5</v>
      </c>
      <c r="AZ39" s="374">
        <f t="shared" si="131"/>
        <v>56.5</v>
      </c>
      <c r="BA39" s="375">
        <f t="shared" si="131"/>
        <v>56.5</v>
      </c>
      <c r="BB39" s="517"/>
      <c r="BC39" s="374">
        <f t="shared" si="131"/>
        <v>56.5</v>
      </c>
      <c r="BD39" s="374">
        <f t="shared" si="131"/>
        <v>56.5</v>
      </c>
      <c r="BE39" s="374">
        <f t="shared" si="131"/>
        <v>56.5</v>
      </c>
      <c r="BF39" s="374">
        <f t="shared" si="131"/>
        <v>56.5</v>
      </c>
      <c r="BG39" s="375">
        <f t="shared" si="131"/>
        <v>56.5</v>
      </c>
      <c r="BH39" s="517"/>
      <c r="BI39" s="374">
        <f t="shared" si="131"/>
        <v>56.5</v>
      </c>
      <c r="BJ39" s="374">
        <f t="shared" si="131"/>
        <v>56.5</v>
      </c>
      <c r="BK39" s="374">
        <f t="shared" si="131"/>
        <v>56.5</v>
      </c>
      <c r="BL39" s="374">
        <f t="shared" si="131"/>
        <v>56.5</v>
      </c>
      <c r="BM39" s="375">
        <f t="shared" si="131"/>
        <v>56.5</v>
      </c>
      <c r="BN39" s="517"/>
      <c r="BO39" s="374">
        <f t="shared" si="131"/>
        <v>56.5</v>
      </c>
      <c r="BP39" s="374">
        <f t="shared" ref="BP39:BS39" si="132" xml:space="preserve"> 20.5  + 36</f>
        <v>56.5</v>
      </c>
      <c r="BQ39" s="374">
        <f t="shared" si="132"/>
        <v>56.5</v>
      </c>
      <c r="BR39" s="374">
        <f t="shared" si="132"/>
        <v>56.5</v>
      </c>
      <c r="BS39" s="375">
        <f t="shared" si="132"/>
        <v>56.5</v>
      </c>
      <c r="BT39" s="517"/>
      <c r="BU39" s="374">
        <f t="shared" ref="BU39" si="133" xml:space="preserve"> 20.5  + 36</f>
        <v>56.5</v>
      </c>
      <c r="BV39" s="374">
        <f t="shared" ref="BV39:BY39" si="134" xml:space="preserve"> 20.5  + 36</f>
        <v>56.5</v>
      </c>
      <c r="BW39" s="374">
        <f t="shared" si="134"/>
        <v>56.5</v>
      </c>
      <c r="BX39" s="374">
        <f t="shared" si="134"/>
        <v>56.5</v>
      </c>
      <c r="BY39" s="375">
        <f t="shared" si="134"/>
        <v>56.5</v>
      </c>
      <c r="BZ39" s="518"/>
      <c r="CA39" s="374">
        <f t="shared" ref="CA39:CE39" si="135" xml:space="preserve"> 20.5  + 36</f>
        <v>56.5</v>
      </c>
      <c r="CB39" s="374">
        <f t="shared" si="135"/>
        <v>56.5</v>
      </c>
      <c r="CC39" s="374">
        <f t="shared" si="135"/>
        <v>56.5</v>
      </c>
      <c r="CD39" s="374">
        <f t="shared" si="135"/>
        <v>56.5</v>
      </c>
      <c r="CE39" s="375">
        <f t="shared" si="135"/>
        <v>56.5</v>
      </c>
      <c r="CF39" s="517"/>
      <c r="CG39" s="374">
        <f t="shared" ref="CG39:CK39" si="136" xml:space="preserve"> 20.5  + 36</f>
        <v>56.5</v>
      </c>
      <c r="CH39" s="374">
        <f t="shared" si="136"/>
        <v>56.5</v>
      </c>
      <c r="CI39" s="374">
        <f t="shared" si="136"/>
        <v>56.5</v>
      </c>
      <c r="CJ39" s="374">
        <f t="shared" si="136"/>
        <v>56.5</v>
      </c>
      <c r="CK39" s="375">
        <f t="shared" si="136"/>
        <v>56.5</v>
      </c>
      <c r="CL39" s="517"/>
      <c r="CM39" s="374">
        <f t="shared" si="131"/>
        <v>56.5</v>
      </c>
      <c r="CN39" s="374">
        <f t="shared" si="131"/>
        <v>56.5</v>
      </c>
      <c r="CO39" s="374">
        <f t="shared" si="131"/>
        <v>56.5</v>
      </c>
      <c r="CP39" s="374">
        <f t="shared" si="131"/>
        <v>56.5</v>
      </c>
      <c r="CQ39" s="375">
        <f t="shared" si="131"/>
        <v>56.5</v>
      </c>
      <c r="CR39" s="517"/>
      <c r="CS39" s="374">
        <f t="shared" ref="CS39" si="137" xml:space="preserve"> 20.5  + 36</f>
        <v>56.5</v>
      </c>
      <c r="CT39" s="374">
        <f t="shared" ref="CT39:CW39" si="138" xml:space="preserve"> 20.5  + 36</f>
        <v>56.5</v>
      </c>
      <c r="CU39" s="374">
        <f t="shared" si="138"/>
        <v>56.5</v>
      </c>
      <c r="CV39" s="374">
        <f t="shared" si="138"/>
        <v>56.5</v>
      </c>
      <c r="CW39" s="375">
        <f t="shared" si="138"/>
        <v>56.5</v>
      </c>
      <c r="CX39" s="517"/>
      <c r="CY39" s="374">
        <f t="shared" ref="CY39" si="139" xml:space="preserve"> 20.5  + 36</f>
        <v>56.5</v>
      </c>
      <c r="CZ39" s="374">
        <f t="shared" ref="CZ39:DC39" si="140" xml:space="preserve"> 20.5  + 36</f>
        <v>56.5</v>
      </c>
      <c r="DA39" s="374">
        <f t="shared" si="140"/>
        <v>56.5</v>
      </c>
      <c r="DB39" s="374">
        <f t="shared" si="140"/>
        <v>56.5</v>
      </c>
      <c r="DC39" s="375">
        <f t="shared" si="140"/>
        <v>56.5</v>
      </c>
      <c r="DD39" s="517"/>
      <c r="DE39" s="374">
        <f t="shared" ref="DE39:DI39" si="141" xml:space="preserve"> 20.5  + 36</f>
        <v>56.5</v>
      </c>
      <c r="DF39" s="374">
        <f t="shared" si="141"/>
        <v>56.5</v>
      </c>
      <c r="DG39" s="374">
        <f t="shared" si="141"/>
        <v>56.5</v>
      </c>
      <c r="DH39" s="374">
        <f t="shared" si="141"/>
        <v>56.5</v>
      </c>
      <c r="DI39" s="375">
        <f t="shared" si="141"/>
        <v>56.5</v>
      </c>
      <c r="DJ39" s="517"/>
      <c r="DK39" s="374">
        <f t="shared" ref="DK39" si="142" xml:space="preserve"> 20.5  + 36</f>
        <v>56.5</v>
      </c>
      <c r="DL39" s="374">
        <f t="shared" ref="DL39:DO39" si="143" xml:space="preserve"> 20.5  + 36</f>
        <v>56.5</v>
      </c>
      <c r="DM39" s="374">
        <f t="shared" si="143"/>
        <v>56.5</v>
      </c>
      <c r="DN39" s="374">
        <f t="shared" si="143"/>
        <v>56.5</v>
      </c>
      <c r="DO39" s="375">
        <f t="shared" si="143"/>
        <v>56.5</v>
      </c>
      <c r="DP39" s="519"/>
    </row>
    <row r="40" spans="1:120" s="241" customFormat="1" x14ac:dyDescent="0.3">
      <c r="A40" s="434"/>
      <c r="B40" s="435"/>
      <c r="C40" s="434"/>
      <c r="E40" s="241" t="s">
        <v>74</v>
      </c>
      <c r="F40" s="241" t="s">
        <v>71</v>
      </c>
      <c r="G40" s="433">
        <f xml:space="preserve"> 41 * 13 * 0.25</f>
        <v>133.25</v>
      </c>
      <c r="H40" s="436">
        <f xml:space="preserve"> 41 * 13 * 0.25</f>
        <v>133.25</v>
      </c>
      <c r="I40" s="436">
        <f xml:space="preserve"> 41 * 13 * 0.25</f>
        <v>133.25</v>
      </c>
      <c r="J40" s="436">
        <f xml:space="preserve"> 41 * 13 * 0.25</f>
        <v>133.25</v>
      </c>
      <c r="K40" s="437">
        <f xml:space="preserve"> 41 * 13 * 0.25</f>
        <v>133.25</v>
      </c>
      <c r="L40" s="197"/>
      <c r="M40" s="433">
        <f xml:space="preserve"> 41 * 13 * 0.25</f>
        <v>133.25</v>
      </c>
      <c r="N40" s="436">
        <f xml:space="preserve"> 41 * 13 * 0.25</f>
        <v>133.25</v>
      </c>
      <c r="O40" s="436">
        <f xml:space="preserve"> 41 * 13 * 0.25</f>
        <v>133.25</v>
      </c>
      <c r="P40" s="436">
        <f xml:space="preserve"> 41 * 13 * 0.25</f>
        <v>133.25</v>
      </c>
      <c r="Q40" s="437">
        <f xml:space="preserve"> 41 * 13 * 0.25</f>
        <v>133.25</v>
      </c>
      <c r="R40" s="438"/>
      <c r="S40" s="433">
        <f xml:space="preserve"> 41 * 13 * 0.25</f>
        <v>133.25</v>
      </c>
      <c r="T40" s="436">
        <f xml:space="preserve"> 41 * 13 * 0.25</f>
        <v>133.25</v>
      </c>
      <c r="U40" s="436">
        <f xml:space="preserve"> 41 * 13 * 0.25</f>
        <v>133.25</v>
      </c>
      <c r="V40" s="436">
        <f xml:space="preserve"> 41 * 13 * 0.25</f>
        <v>133.25</v>
      </c>
      <c r="W40" s="437">
        <f xml:space="preserve"> 41 * 13 * 0.25</f>
        <v>133.25</v>
      </c>
      <c r="X40" s="438"/>
      <c r="Y40" s="433">
        <f xml:space="preserve"> 41 * 13 * 0.25</f>
        <v>133.25</v>
      </c>
      <c r="Z40" s="436">
        <f xml:space="preserve"> 41 * 13 * 0.25</f>
        <v>133.25</v>
      </c>
      <c r="AA40" s="436">
        <f xml:space="preserve"> 41 * 13 * 0.25</f>
        <v>133.25</v>
      </c>
      <c r="AB40" s="436">
        <f xml:space="preserve"> 41 * 13 * 0.25</f>
        <v>133.25</v>
      </c>
      <c r="AC40" s="437">
        <f xml:space="preserve"> 41 * 13 * 0.25</f>
        <v>133.25</v>
      </c>
      <c r="AD40" s="438"/>
      <c r="AE40" s="433">
        <f xml:space="preserve"> 41 * 13 * 0.25</f>
        <v>133.25</v>
      </c>
      <c r="AF40" s="436">
        <f xml:space="preserve"> 41 * 13 * 0.25</f>
        <v>133.25</v>
      </c>
      <c r="AG40" s="436">
        <f xml:space="preserve"> 41 * 13 * 0.25</f>
        <v>133.25</v>
      </c>
      <c r="AH40" s="436">
        <f xml:space="preserve"> 41 * 13 * 0.25</f>
        <v>133.25</v>
      </c>
      <c r="AI40" s="437">
        <f xml:space="preserve"> 41 * 13 * 0.25</f>
        <v>133.25</v>
      </c>
      <c r="AJ40" s="438"/>
      <c r="AK40" s="433">
        <f xml:space="preserve"> 41 * 13 * 0.25</f>
        <v>133.25</v>
      </c>
      <c r="AL40" s="436">
        <f xml:space="preserve"> 41 * 13 * 0.25</f>
        <v>133.25</v>
      </c>
      <c r="AM40" s="436">
        <f xml:space="preserve"> 41 * 13 * 0.25</f>
        <v>133.25</v>
      </c>
      <c r="AN40" s="436">
        <f xml:space="preserve"> 41 * 13 * 0.25</f>
        <v>133.25</v>
      </c>
      <c r="AO40" s="437">
        <f xml:space="preserve"> 41 * 13 * 0.25</f>
        <v>133.25</v>
      </c>
      <c r="AP40" s="438"/>
      <c r="AQ40" s="433">
        <f xml:space="preserve"> 41 * 13 * 0.25</f>
        <v>133.25</v>
      </c>
      <c r="AR40" s="436">
        <f xml:space="preserve"> 41 * 13 * 0.25</f>
        <v>133.25</v>
      </c>
      <c r="AS40" s="436">
        <f xml:space="preserve"> 41 * 13 * 0.25</f>
        <v>133.25</v>
      </c>
      <c r="AT40" s="436">
        <f xml:space="preserve"> 41 * 13 * 0.25</f>
        <v>133.25</v>
      </c>
      <c r="AU40" s="437">
        <f xml:space="preserve"> 41 * 13 * 0.25</f>
        <v>133.25</v>
      </c>
      <c r="AV40" s="438"/>
      <c r="AW40" s="433">
        <f xml:space="preserve"> 41 * 13 * 0.25</f>
        <v>133.25</v>
      </c>
      <c r="AX40" s="436">
        <f xml:space="preserve"> 41 * 13 * 0.25</f>
        <v>133.25</v>
      </c>
      <c r="AY40" s="436">
        <f xml:space="preserve"> 41 * 13 * 0.25</f>
        <v>133.25</v>
      </c>
      <c r="AZ40" s="436">
        <f xml:space="preserve"> 41 * 13 * 0.25</f>
        <v>133.25</v>
      </c>
      <c r="BA40" s="437">
        <f xml:space="preserve"> 41 * 13 * 0.25</f>
        <v>133.25</v>
      </c>
      <c r="BB40" s="440"/>
      <c r="BC40" s="433">
        <v>0</v>
      </c>
      <c r="BD40" s="436">
        <v>0</v>
      </c>
      <c r="BE40" s="436">
        <v>0</v>
      </c>
      <c r="BF40" s="436">
        <v>0</v>
      </c>
      <c r="BG40" s="437">
        <v>0</v>
      </c>
      <c r="BH40" s="197"/>
      <c r="BI40" s="433">
        <v>0</v>
      </c>
      <c r="BJ40" s="436">
        <v>0</v>
      </c>
      <c r="BK40" s="436">
        <v>0</v>
      </c>
      <c r="BL40" s="436">
        <v>0</v>
      </c>
      <c r="BM40" s="437">
        <v>0</v>
      </c>
      <c r="BN40" s="438"/>
      <c r="BO40" s="433">
        <v>0</v>
      </c>
      <c r="BP40" s="436">
        <v>0</v>
      </c>
      <c r="BQ40" s="436">
        <v>0</v>
      </c>
      <c r="BR40" s="436">
        <v>0</v>
      </c>
      <c r="BS40" s="437">
        <v>0</v>
      </c>
      <c r="BT40" s="438"/>
      <c r="BU40" s="433">
        <v>0</v>
      </c>
      <c r="BV40" s="436">
        <v>0</v>
      </c>
      <c r="BW40" s="436">
        <v>0</v>
      </c>
      <c r="BX40" s="436">
        <v>0</v>
      </c>
      <c r="BY40" s="437">
        <v>0</v>
      </c>
      <c r="BZ40" s="439"/>
      <c r="CA40" s="433">
        <v>0</v>
      </c>
      <c r="CB40" s="436">
        <v>0</v>
      </c>
      <c r="CC40" s="436">
        <v>0</v>
      </c>
      <c r="CD40" s="436">
        <v>0</v>
      </c>
      <c r="CE40" s="437">
        <v>0</v>
      </c>
      <c r="CF40" s="197"/>
      <c r="CG40" s="433">
        <v>0</v>
      </c>
      <c r="CH40" s="436">
        <v>0</v>
      </c>
      <c r="CI40" s="436">
        <v>0</v>
      </c>
      <c r="CJ40" s="436">
        <v>0</v>
      </c>
      <c r="CK40" s="437">
        <v>0</v>
      </c>
      <c r="CL40" s="438"/>
      <c r="CM40" s="433">
        <v>0</v>
      </c>
      <c r="CN40" s="436">
        <v>0</v>
      </c>
      <c r="CO40" s="436">
        <v>0</v>
      </c>
      <c r="CP40" s="436">
        <v>0</v>
      </c>
      <c r="CQ40" s="437">
        <v>0</v>
      </c>
      <c r="CR40" s="438"/>
      <c r="CS40" s="433">
        <v>0</v>
      </c>
      <c r="CT40" s="436">
        <v>0</v>
      </c>
      <c r="CU40" s="436">
        <v>0</v>
      </c>
      <c r="CV40" s="436">
        <v>0</v>
      </c>
      <c r="CW40" s="437">
        <v>0</v>
      </c>
      <c r="CX40" s="438"/>
      <c r="CY40" s="433">
        <f xml:space="preserve"> 41 * 13 * 0.25</f>
        <v>133.25</v>
      </c>
      <c r="CZ40" s="436">
        <f xml:space="preserve"> 41 * 13 * 0.25</f>
        <v>133.25</v>
      </c>
      <c r="DA40" s="436">
        <f xml:space="preserve"> 41 * 13 * 0.25</f>
        <v>133.25</v>
      </c>
      <c r="DB40" s="436">
        <f xml:space="preserve"> 41 * 13 * 0.25</f>
        <v>133.25</v>
      </c>
      <c r="DC40" s="437">
        <f xml:space="preserve"> 41 * 13 * 0.25</f>
        <v>133.25</v>
      </c>
      <c r="DD40" s="197"/>
      <c r="DE40" s="441">
        <f xml:space="preserve"> 41 * 13 * 0.25</f>
        <v>133.25</v>
      </c>
      <c r="DF40" s="442">
        <f xml:space="preserve"> 41 * 13 * 0.25</f>
        <v>133.25</v>
      </c>
      <c r="DG40" s="442">
        <f xml:space="preserve"> 41 * 13 * 0.25</f>
        <v>133.25</v>
      </c>
      <c r="DH40" s="442">
        <f xml:space="preserve"> 41 * 13 * 0.25</f>
        <v>133.25</v>
      </c>
      <c r="DI40" s="443">
        <f xml:space="preserve"> 41 * 13 * 0.25</f>
        <v>133.25</v>
      </c>
      <c r="DJ40" s="440"/>
      <c r="DK40" s="433">
        <f xml:space="preserve"> 41 * 13 * 0.25</f>
        <v>133.25</v>
      </c>
      <c r="DL40" s="436">
        <f xml:space="preserve"> 41 * 13 * 0.25</f>
        <v>133.25</v>
      </c>
      <c r="DM40" s="436">
        <f xml:space="preserve"> 41 * 13 * 0.25</f>
        <v>133.25</v>
      </c>
      <c r="DN40" s="436">
        <f xml:space="preserve"> 41 * 13 * 0.25</f>
        <v>133.25</v>
      </c>
      <c r="DO40" s="443">
        <f xml:space="preserve"> 41 * 13 * 0.25</f>
        <v>133.25</v>
      </c>
      <c r="DP40" s="440"/>
    </row>
    <row r="41" spans="1:120" s="8" customFormat="1" x14ac:dyDescent="0.3">
      <c r="A41" s="72"/>
      <c r="B41" s="105"/>
      <c r="C41" s="94"/>
      <c r="D41" s="65"/>
      <c r="E41" s="63" t="s">
        <v>75</v>
      </c>
      <c r="F41" s="61" t="s">
        <v>71</v>
      </c>
      <c r="G41" s="77">
        <v>20</v>
      </c>
      <c r="H41" s="83">
        <v>20</v>
      </c>
      <c r="I41" s="83">
        <v>20</v>
      </c>
      <c r="J41" s="83">
        <v>20</v>
      </c>
      <c r="K41" s="84">
        <v>20</v>
      </c>
      <c r="L41" s="92"/>
      <c r="M41" s="83">
        <v>20</v>
      </c>
      <c r="N41" s="83">
        <v>20</v>
      </c>
      <c r="O41" s="83">
        <v>20</v>
      </c>
      <c r="P41" s="83">
        <v>20</v>
      </c>
      <c r="Q41" s="84">
        <v>20</v>
      </c>
      <c r="R41" s="66"/>
      <c r="S41" s="77">
        <v>20</v>
      </c>
      <c r="T41" s="83">
        <v>20</v>
      </c>
      <c r="U41" s="83">
        <v>20</v>
      </c>
      <c r="V41" s="83">
        <v>20</v>
      </c>
      <c r="W41" s="84">
        <v>20</v>
      </c>
      <c r="X41" s="66"/>
      <c r="Y41" s="77">
        <v>20</v>
      </c>
      <c r="Z41" s="83">
        <v>20</v>
      </c>
      <c r="AA41" s="83">
        <v>20</v>
      </c>
      <c r="AB41" s="83">
        <v>20</v>
      </c>
      <c r="AC41" s="84">
        <v>20</v>
      </c>
      <c r="AD41" s="66"/>
      <c r="AE41" s="77">
        <v>20</v>
      </c>
      <c r="AF41" s="83">
        <v>20</v>
      </c>
      <c r="AG41" s="83">
        <v>20</v>
      </c>
      <c r="AH41" s="83">
        <v>20</v>
      </c>
      <c r="AI41" s="84">
        <v>20</v>
      </c>
      <c r="AJ41" s="66"/>
      <c r="AK41" s="77">
        <v>20</v>
      </c>
      <c r="AL41" s="83">
        <v>20</v>
      </c>
      <c r="AM41" s="83">
        <v>20</v>
      </c>
      <c r="AN41" s="83">
        <v>20</v>
      </c>
      <c r="AO41" s="84">
        <v>20</v>
      </c>
      <c r="AP41" s="66"/>
      <c r="AQ41" s="77">
        <v>20</v>
      </c>
      <c r="AR41" s="83">
        <v>20</v>
      </c>
      <c r="AS41" s="83">
        <v>20</v>
      </c>
      <c r="AT41" s="83">
        <v>20</v>
      </c>
      <c r="AU41" s="84">
        <v>20</v>
      </c>
      <c r="AV41" s="66"/>
      <c r="AW41" s="77">
        <v>20</v>
      </c>
      <c r="AX41" s="83">
        <v>20</v>
      </c>
      <c r="AY41" s="83">
        <v>20</v>
      </c>
      <c r="AZ41" s="83">
        <v>20</v>
      </c>
      <c r="BA41" s="84">
        <v>20</v>
      </c>
      <c r="BB41" s="85"/>
      <c r="BC41" s="77">
        <v>20</v>
      </c>
      <c r="BD41" s="83">
        <v>20</v>
      </c>
      <c r="BE41" s="83">
        <v>20</v>
      </c>
      <c r="BF41" s="83">
        <v>20</v>
      </c>
      <c r="BG41" s="84">
        <v>20</v>
      </c>
      <c r="BH41" s="92"/>
      <c r="BI41" s="77">
        <v>20</v>
      </c>
      <c r="BJ41" s="83">
        <v>20</v>
      </c>
      <c r="BK41" s="83">
        <v>20</v>
      </c>
      <c r="BL41" s="83">
        <v>20</v>
      </c>
      <c r="BM41" s="84">
        <v>20</v>
      </c>
      <c r="BN41" s="66"/>
      <c r="BO41" s="77">
        <v>20</v>
      </c>
      <c r="BP41" s="83">
        <v>20</v>
      </c>
      <c r="BQ41" s="83">
        <v>20</v>
      </c>
      <c r="BR41" s="83">
        <v>20</v>
      </c>
      <c r="BS41" s="84">
        <v>20</v>
      </c>
      <c r="BT41" s="66"/>
      <c r="BU41" s="77">
        <v>20</v>
      </c>
      <c r="BV41" s="83">
        <v>20</v>
      </c>
      <c r="BW41" s="83">
        <v>20</v>
      </c>
      <c r="BX41" s="83">
        <v>20</v>
      </c>
      <c r="BY41" s="84">
        <v>20</v>
      </c>
      <c r="BZ41" s="66"/>
      <c r="CA41" s="77">
        <v>20</v>
      </c>
      <c r="CB41" s="83">
        <v>20</v>
      </c>
      <c r="CC41" s="83">
        <v>20</v>
      </c>
      <c r="CD41" s="83">
        <v>20</v>
      </c>
      <c r="CE41" s="84">
        <v>20</v>
      </c>
      <c r="CF41" s="92"/>
      <c r="CG41" s="77">
        <v>20</v>
      </c>
      <c r="CH41" s="83">
        <v>20</v>
      </c>
      <c r="CI41" s="83">
        <v>20</v>
      </c>
      <c r="CJ41" s="83">
        <v>20</v>
      </c>
      <c r="CK41" s="84">
        <v>20</v>
      </c>
      <c r="CL41" s="66"/>
      <c r="CM41" s="77">
        <v>20</v>
      </c>
      <c r="CN41" s="83">
        <v>20</v>
      </c>
      <c r="CO41" s="83">
        <v>20</v>
      </c>
      <c r="CP41" s="83">
        <v>20</v>
      </c>
      <c r="CQ41" s="84">
        <v>20</v>
      </c>
      <c r="CR41" s="66"/>
      <c r="CS41" s="77">
        <v>20</v>
      </c>
      <c r="CT41" s="83">
        <v>20</v>
      </c>
      <c r="CU41" s="83">
        <v>20</v>
      </c>
      <c r="CV41" s="83">
        <v>20</v>
      </c>
      <c r="CW41" s="84">
        <v>20</v>
      </c>
      <c r="CX41" s="66"/>
      <c r="CY41" s="77">
        <v>20</v>
      </c>
      <c r="CZ41" s="83">
        <v>20</v>
      </c>
      <c r="DA41" s="83">
        <v>20</v>
      </c>
      <c r="DB41" s="83">
        <v>20</v>
      </c>
      <c r="DC41" s="84">
        <v>20</v>
      </c>
      <c r="DD41" s="92"/>
      <c r="DE41" s="176">
        <v>20</v>
      </c>
      <c r="DF41" s="177">
        <v>20</v>
      </c>
      <c r="DG41" s="177">
        <v>20</v>
      </c>
      <c r="DH41" s="177">
        <v>20</v>
      </c>
      <c r="DI41" s="178">
        <v>20</v>
      </c>
      <c r="DJ41" s="85"/>
      <c r="DK41" s="77">
        <v>20</v>
      </c>
      <c r="DL41" s="83">
        <v>20</v>
      </c>
      <c r="DM41" s="83">
        <v>20</v>
      </c>
      <c r="DN41" s="83">
        <v>20</v>
      </c>
      <c r="DO41" s="178">
        <v>20</v>
      </c>
      <c r="DP41" s="85"/>
    </row>
    <row r="42" spans="1:120" s="8" customFormat="1" x14ac:dyDescent="0.3">
      <c r="A42" s="72"/>
      <c r="B42" s="105"/>
      <c r="C42" s="94"/>
      <c r="D42" s="65"/>
      <c r="E42" s="106" t="s">
        <v>76</v>
      </c>
      <c r="F42" s="106" t="s">
        <v>71</v>
      </c>
      <c r="G42" s="107">
        <f t="shared" ref="G42:K42" si="144" xml:space="preserve"> G36 - SUM( G37:G41 )</f>
        <v>1271.5172</v>
      </c>
      <c r="H42" s="108">
        <f t="shared" si="144"/>
        <v>1271.5172</v>
      </c>
      <c r="I42" s="108">
        <f t="shared" si="144"/>
        <v>1271.5172</v>
      </c>
      <c r="J42" s="108">
        <f t="shared" si="144"/>
        <v>1271.5172</v>
      </c>
      <c r="K42" s="109">
        <f t="shared" si="144"/>
        <v>1271.5172</v>
      </c>
      <c r="L42" s="92"/>
      <c r="M42" s="108">
        <f t="shared" ref="M42:Q42" si="145" xml:space="preserve"> M36 - SUM( M37:M41 )</f>
        <v>1271.5172</v>
      </c>
      <c r="N42" s="108">
        <f t="shared" si="145"/>
        <v>1271.5172</v>
      </c>
      <c r="O42" s="108">
        <f t="shared" si="145"/>
        <v>1271.5172</v>
      </c>
      <c r="P42" s="108">
        <f t="shared" si="145"/>
        <v>1271.5172</v>
      </c>
      <c r="Q42" s="109">
        <f t="shared" si="145"/>
        <v>1271.5172</v>
      </c>
      <c r="R42" s="92"/>
      <c r="S42" s="108">
        <f xml:space="preserve"> S36 - SUM( S37:S41 )</f>
        <v>1271.5172</v>
      </c>
      <c r="T42" s="108">
        <f xml:space="preserve"> T36 - SUM( T37:T41 )</f>
        <v>1271.5172</v>
      </c>
      <c r="U42" s="108">
        <f xml:space="preserve"> U36 - SUM( U37:U41 )</f>
        <v>1271.5172</v>
      </c>
      <c r="V42" s="108">
        <f xml:space="preserve"> V36 - SUM( V37:V41 )</f>
        <v>1271.5172</v>
      </c>
      <c r="W42" s="109">
        <f xml:space="preserve"> W36 - SUM( W37:W41 )</f>
        <v>1271.5172</v>
      </c>
      <c r="X42" s="92"/>
      <c r="Y42" s="108">
        <f xml:space="preserve"> Y36 - SUM( Y37:Y41 )</f>
        <v>1271.5172</v>
      </c>
      <c r="Z42" s="108">
        <f xml:space="preserve"> Z36 - SUM( Z37:Z41 )</f>
        <v>1271.5172</v>
      </c>
      <c r="AA42" s="108">
        <f xml:space="preserve"> AA36 - SUM( AA37:AA41 )</f>
        <v>1271.5172</v>
      </c>
      <c r="AB42" s="108">
        <f xml:space="preserve"> AB36 - SUM( AB37:AB41 )</f>
        <v>1271.5172</v>
      </c>
      <c r="AC42" s="109">
        <f xml:space="preserve"> AC36 - SUM( AC37:AC41 )</f>
        <v>1271.5172</v>
      </c>
      <c r="AD42" s="92"/>
      <c r="AE42" s="108">
        <f xml:space="preserve"> AE36 - SUM( AE37:AE41 )</f>
        <v>1272.5172</v>
      </c>
      <c r="AF42" s="108">
        <f xml:space="preserve"> AF36 - SUM( AF37:AF41 )</f>
        <v>1272.5172</v>
      </c>
      <c r="AG42" s="108">
        <f xml:space="preserve"> AG36 - SUM( AG37:AG41 )</f>
        <v>1272.5172</v>
      </c>
      <c r="AH42" s="108">
        <f xml:space="preserve"> AH36 - SUM( AH37:AH41 )</f>
        <v>1272.5172</v>
      </c>
      <c r="AI42" s="109">
        <f xml:space="preserve"> AI36 - SUM( AI37:AI41 )</f>
        <v>1272.5172</v>
      </c>
      <c r="AJ42" s="66"/>
      <c r="AK42" s="108">
        <f xml:space="preserve"> AK36 - SUM( AK37:AK41 )</f>
        <v>1302.5172</v>
      </c>
      <c r="AL42" s="108">
        <f xml:space="preserve"> AL36 - SUM( AL37:AL41 )</f>
        <v>1302.5172</v>
      </c>
      <c r="AM42" s="108">
        <f xml:space="preserve"> AM36 - SUM( AM37:AM41 )</f>
        <v>1302.5172</v>
      </c>
      <c r="AN42" s="108">
        <f xml:space="preserve"> AN36 - SUM( AN37:AN41 )</f>
        <v>1302.5172</v>
      </c>
      <c r="AO42" s="109">
        <f xml:space="preserve"> AO36 - SUM( AO37:AO41 )</f>
        <v>1302.5172</v>
      </c>
      <c r="AP42" s="66"/>
      <c r="AQ42" s="108">
        <f xml:space="preserve"> AQ36 - SUM( AQ37:AQ41 )</f>
        <v>1302.5172</v>
      </c>
      <c r="AR42" s="108">
        <f xml:space="preserve"> AR36 - SUM( AR37:AR41 )</f>
        <v>1302.5172</v>
      </c>
      <c r="AS42" s="108">
        <f xml:space="preserve"> AS36 - SUM( AS37:AS41 )</f>
        <v>1302.5172</v>
      </c>
      <c r="AT42" s="108">
        <f xml:space="preserve"> AT36 - SUM( AT37:AT41 )</f>
        <v>1302.5172</v>
      </c>
      <c r="AU42" s="109">
        <f xml:space="preserve"> AU36 - SUM( AU37:AU41 )</f>
        <v>1302.5172</v>
      </c>
      <c r="AV42" s="66"/>
      <c r="AW42" s="108">
        <f xml:space="preserve"> AW36 - SUM( AW37:AW41 )</f>
        <v>1235.1172000000001</v>
      </c>
      <c r="AX42" s="108">
        <f xml:space="preserve"> AX36 - SUM( AX37:AX41 )</f>
        <v>1235.1172000000001</v>
      </c>
      <c r="AY42" s="108">
        <f xml:space="preserve"> AY36 - SUM( AY37:AY41 )</f>
        <v>1235.1172000000001</v>
      </c>
      <c r="AZ42" s="108">
        <f xml:space="preserve"> AZ36 - SUM( AZ37:AZ41 )</f>
        <v>1235.1172000000001</v>
      </c>
      <c r="BA42" s="109">
        <f xml:space="preserve"> BA36 - SUM( BA37:BA41 )</f>
        <v>1235.1172000000001</v>
      </c>
      <c r="BB42" s="91"/>
      <c r="BC42" s="107">
        <f t="shared" ref="BC42:BG42" si="146" xml:space="preserve"> BC36 - SUM( BC37:BC41 )</f>
        <v>1404.7672</v>
      </c>
      <c r="BD42" s="108">
        <f t="shared" si="146"/>
        <v>1404.7672</v>
      </c>
      <c r="BE42" s="108">
        <f t="shared" si="146"/>
        <v>1404.7672</v>
      </c>
      <c r="BF42" s="108">
        <f t="shared" si="146"/>
        <v>1404.7672</v>
      </c>
      <c r="BG42" s="109">
        <f t="shared" si="146"/>
        <v>1404.7672</v>
      </c>
      <c r="BH42" s="92"/>
      <c r="BI42" s="108">
        <f xml:space="preserve"> BI36 - SUM( BI37:BI41 )</f>
        <v>1404.7672</v>
      </c>
      <c r="BJ42" s="108">
        <f xml:space="preserve"> BJ36 - SUM( BJ37:BJ41 )</f>
        <v>1404.7672</v>
      </c>
      <c r="BK42" s="108">
        <f xml:space="preserve"> BK36 - SUM( BK37:BK41 )</f>
        <v>1404.7672</v>
      </c>
      <c r="BL42" s="108">
        <f xml:space="preserve"> BL36 - SUM( BL37:BL41 )</f>
        <v>1404.7672</v>
      </c>
      <c r="BM42" s="109">
        <f xml:space="preserve"> BM36 - SUM( BM37:BM41 )</f>
        <v>1404.7672</v>
      </c>
      <c r="BN42" s="66"/>
      <c r="BO42" s="108">
        <f xml:space="preserve"> BO36 - SUM( BO37:BO41 )</f>
        <v>1435.7672</v>
      </c>
      <c r="BP42" s="108">
        <f xml:space="preserve"> BP36 - SUM( BP37:BP41 )</f>
        <v>1435.7672</v>
      </c>
      <c r="BQ42" s="108">
        <f xml:space="preserve"> BQ36 - SUM( BQ37:BQ41 )</f>
        <v>1435.7672</v>
      </c>
      <c r="BR42" s="108">
        <f xml:space="preserve"> BR36 - SUM( BR37:BR41 )</f>
        <v>1435.7672</v>
      </c>
      <c r="BS42" s="109">
        <f xml:space="preserve"> BS36 - SUM( BS37:BS41 )</f>
        <v>1435.7672</v>
      </c>
      <c r="BT42" s="66"/>
      <c r="BU42" s="108">
        <f xml:space="preserve"> BU36 - SUM( BU37:BU41 )</f>
        <v>1368.3672000000001</v>
      </c>
      <c r="BV42" s="108">
        <f xml:space="preserve"> BV36 - SUM( BV37:BV41 )</f>
        <v>1368.3672000000001</v>
      </c>
      <c r="BW42" s="108">
        <f xml:space="preserve"> BW36 - SUM( BW37:BW41 )</f>
        <v>1368.3672000000001</v>
      </c>
      <c r="BX42" s="108">
        <f xml:space="preserve"> BX36 - SUM( BX37:BX41 )</f>
        <v>1368.3672000000001</v>
      </c>
      <c r="BY42" s="109">
        <f xml:space="preserve"> BY36 - SUM( BY37:BY41 )</f>
        <v>1368.3672000000001</v>
      </c>
      <c r="BZ42" s="66"/>
      <c r="CA42" s="107">
        <f t="shared" ref="CA42:CE42" si="147" xml:space="preserve"> CA36 - SUM( CA37:CA41 )</f>
        <v>1404.7672</v>
      </c>
      <c r="CB42" s="108">
        <f t="shared" si="147"/>
        <v>1404.7672</v>
      </c>
      <c r="CC42" s="108">
        <f t="shared" si="147"/>
        <v>1404.7672</v>
      </c>
      <c r="CD42" s="108">
        <f t="shared" si="147"/>
        <v>1404.7672</v>
      </c>
      <c r="CE42" s="109">
        <f t="shared" si="147"/>
        <v>1404.7672</v>
      </c>
      <c r="CF42" s="92"/>
      <c r="CG42" s="108">
        <f xml:space="preserve"> CG36 - SUM( CG37:CG41 )</f>
        <v>1404.7672</v>
      </c>
      <c r="CH42" s="108">
        <f xml:space="preserve"> CH36 - SUM( CH37:CH41 )</f>
        <v>1404.7672</v>
      </c>
      <c r="CI42" s="108">
        <f xml:space="preserve"> CI36 - SUM( CI37:CI41 )</f>
        <v>1404.7672</v>
      </c>
      <c r="CJ42" s="108">
        <f xml:space="preserve"> CJ36 - SUM( CJ37:CJ41 )</f>
        <v>1404.7672</v>
      </c>
      <c r="CK42" s="109">
        <f xml:space="preserve"> CK36 - SUM( CK37:CK41 )</f>
        <v>1404.7672</v>
      </c>
      <c r="CL42" s="92"/>
      <c r="CM42" s="108">
        <f xml:space="preserve"> CM36 - SUM( CM37:CM41 )</f>
        <v>1405.7672</v>
      </c>
      <c r="CN42" s="108">
        <f xml:space="preserve"> CN36 - SUM( CN37:CN41 )</f>
        <v>1405.7672</v>
      </c>
      <c r="CO42" s="108">
        <f xml:space="preserve"> CO36 - SUM( CO37:CO41 )</f>
        <v>1405.7672</v>
      </c>
      <c r="CP42" s="108">
        <f xml:space="preserve"> CP36 - SUM( CP37:CP41 )</f>
        <v>1405.7672</v>
      </c>
      <c r="CQ42" s="109">
        <f xml:space="preserve"> CQ36 - SUM( CQ37:CQ41 )</f>
        <v>1405.7672</v>
      </c>
      <c r="CR42" s="92"/>
      <c r="CS42" s="108">
        <f xml:space="preserve"> CS36 - SUM( CS37:CS41 )</f>
        <v>1435.7672</v>
      </c>
      <c r="CT42" s="108">
        <f xml:space="preserve"> CT36 - SUM( CT37:CT41 )</f>
        <v>1435.7672</v>
      </c>
      <c r="CU42" s="108">
        <f xml:space="preserve"> CU36 - SUM( CU37:CU41 )</f>
        <v>1435.7672</v>
      </c>
      <c r="CV42" s="108">
        <f xml:space="preserve"> CV36 - SUM( CV37:CV41 )</f>
        <v>1435.7672</v>
      </c>
      <c r="CW42" s="109">
        <f xml:space="preserve"> CW36 - SUM( CW37:CW41 )</f>
        <v>1435.7672</v>
      </c>
      <c r="CX42" s="66"/>
      <c r="CY42" s="107">
        <f t="shared" ref="CY42:DC42" si="148" xml:space="preserve"> CY36 - SUM( CY37:CY41 )</f>
        <v>1271.5172</v>
      </c>
      <c r="CZ42" s="108">
        <f t="shared" si="148"/>
        <v>1271.5172</v>
      </c>
      <c r="DA42" s="108">
        <f t="shared" si="148"/>
        <v>1271.5172</v>
      </c>
      <c r="DB42" s="108">
        <f t="shared" si="148"/>
        <v>1271.5172</v>
      </c>
      <c r="DC42" s="109">
        <f t="shared" si="148"/>
        <v>1271.5172</v>
      </c>
      <c r="DD42" s="92"/>
      <c r="DE42" s="427">
        <f xml:space="preserve"> DE36 - SUM( DE37:DE41 )</f>
        <v>1302.5172</v>
      </c>
      <c r="DF42" s="427">
        <f xml:space="preserve"> DF36 - SUM( DF37:DF41 )</f>
        <v>1302.5172</v>
      </c>
      <c r="DG42" s="427">
        <f xml:space="preserve"> DG36 - SUM( DG37:DG41 )</f>
        <v>1302.5172</v>
      </c>
      <c r="DH42" s="427">
        <f xml:space="preserve"> DH36 - SUM( DH37:DH41 )</f>
        <v>1302.5172</v>
      </c>
      <c r="DI42" s="184">
        <f xml:space="preserve"> DI36 - SUM( DI37:DI41 )</f>
        <v>1302.5172</v>
      </c>
      <c r="DJ42" s="91"/>
      <c r="DK42" s="108">
        <f xml:space="preserve"> DK36 - SUM( DK37:DK41 )</f>
        <v>1235.1172000000001</v>
      </c>
      <c r="DL42" s="108">
        <f xml:space="preserve"> DL36 - SUM( DL37:DL41 )</f>
        <v>1235.1172000000001</v>
      </c>
      <c r="DM42" s="108">
        <f xml:space="preserve"> DM36 - SUM( DM37:DM41 )</f>
        <v>1235.1172000000001</v>
      </c>
      <c r="DN42" s="108">
        <f xml:space="preserve"> DN36 - SUM( DN37:DN41 )</f>
        <v>1235.1172000000001</v>
      </c>
      <c r="DO42" s="184">
        <f xml:space="preserve"> DO36 - SUM( DO37:DO41 )</f>
        <v>1235.1172000000001</v>
      </c>
      <c r="DP42" s="91"/>
    </row>
    <row r="43" spans="1:120" s="8" customFormat="1" ht="6" customHeight="1" x14ac:dyDescent="0.3">
      <c r="A43" s="72"/>
      <c r="B43" s="105"/>
      <c r="C43" s="94"/>
      <c r="D43" s="65"/>
      <c r="E43" s="60"/>
      <c r="F43" s="86"/>
      <c r="G43" s="81"/>
      <c r="H43" s="81"/>
      <c r="I43" s="81"/>
      <c r="J43" s="81"/>
      <c r="K43" s="102"/>
      <c r="L43" s="102"/>
      <c r="M43" s="81"/>
      <c r="N43" s="81"/>
      <c r="O43" s="81"/>
      <c r="P43" s="81"/>
      <c r="Q43" s="81"/>
      <c r="R43" s="102"/>
      <c r="S43" s="81"/>
      <c r="T43" s="81"/>
      <c r="U43" s="81"/>
      <c r="V43" s="81"/>
      <c r="W43" s="81"/>
      <c r="X43" s="102"/>
      <c r="Y43" s="81"/>
      <c r="Z43" s="81"/>
      <c r="AA43" s="81"/>
      <c r="AB43" s="81"/>
      <c r="AC43" s="81"/>
      <c r="AD43" s="81"/>
      <c r="AE43" s="81"/>
      <c r="AF43" s="81"/>
      <c r="AG43" s="81"/>
      <c r="AH43" s="81"/>
      <c r="AI43" s="81"/>
      <c r="AJ43" s="68"/>
      <c r="AK43" s="81"/>
      <c r="AL43" s="81"/>
      <c r="AM43" s="81"/>
      <c r="AN43" s="81"/>
      <c r="AO43" s="81"/>
      <c r="AP43" s="68"/>
      <c r="AQ43" s="81"/>
      <c r="AR43" s="81"/>
      <c r="AS43" s="81"/>
      <c r="AT43" s="81"/>
      <c r="AU43" s="81"/>
      <c r="AV43" s="68"/>
      <c r="AW43" s="81"/>
      <c r="AX43" s="81"/>
      <c r="AY43" s="81"/>
      <c r="AZ43" s="81"/>
      <c r="BA43" s="81"/>
      <c r="BB43" s="81"/>
      <c r="BC43" s="81"/>
      <c r="BD43" s="81"/>
      <c r="BE43" s="81"/>
      <c r="BF43" s="81"/>
      <c r="BG43" s="102"/>
      <c r="BH43" s="102"/>
      <c r="BI43" s="81"/>
      <c r="BJ43" s="81"/>
      <c r="BK43" s="81"/>
      <c r="BL43" s="81"/>
      <c r="BM43" s="81"/>
      <c r="BN43" s="68"/>
      <c r="BO43" s="81"/>
      <c r="BP43" s="81"/>
      <c r="BQ43" s="81"/>
      <c r="BR43" s="81"/>
      <c r="BS43" s="81"/>
      <c r="BT43" s="68"/>
      <c r="BU43" s="81"/>
      <c r="BV43" s="81"/>
      <c r="BW43" s="81"/>
      <c r="BX43" s="81"/>
      <c r="BY43" s="81"/>
      <c r="BZ43" s="68"/>
      <c r="CA43" s="81"/>
      <c r="CB43" s="81"/>
      <c r="CC43" s="81"/>
      <c r="CD43" s="81"/>
      <c r="CE43" s="102"/>
      <c r="CF43" s="102"/>
      <c r="CG43" s="81"/>
      <c r="CH43" s="81"/>
      <c r="CI43" s="81"/>
      <c r="CJ43" s="81"/>
      <c r="CK43" s="81"/>
      <c r="CL43" s="102"/>
      <c r="CM43" s="81"/>
      <c r="CN43" s="81"/>
      <c r="CO43" s="81"/>
      <c r="CP43" s="81"/>
      <c r="CQ43" s="81"/>
      <c r="CR43" s="102"/>
      <c r="CS43" s="81"/>
      <c r="CT43" s="81"/>
      <c r="CU43" s="81"/>
      <c r="CV43" s="81"/>
      <c r="CW43" s="81"/>
      <c r="CX43" s="68"/>
      <c r="CY43" s="81"/>
      <c r="CZ43" s="81"/>
      <c r="DA43" s="81"/>
      <c r="DB43" s="81"/>
      <c r="DC43" s="102"/>
      <c r="DD43" s="102"/>
      <c r="DE43" s="182"/>
      <c r="DF43" s="182"/>
      <c r="DG43" s="182"/>
      <c r="DH43" s="182"/>
      <c r="DI43" s="182"/>
      <c r="DJ43" s="81"/>
      <c r="DK43" s="81"/>
      <c r="DL43" s="81"/>
      <c r="DM43" s="81"/>
      <c r="DN43" s="81"/>
      <c r="DO43" s="182"/>
      <c r="DP43" s="81"/>
    </row>
    <row r="44" spans="1:120" s="8" customFormat="1" x14ac:dyDescent="0.3">
      <c r="A44" s="72"/>
      <c r="B44" s="105"/>
      <c r="C44" s="94"/>
      <c r="D44" s="65"/>
      <c r="E44" s="110" t="s">
        <v>77</v>
      </c>
      <c r="F44" s="110" t="s">
        <v>78</v>
      </c>
      <c r="G44" s="111">
        <f t="shared" ref="G44:K44" si="149" xml:space="preserve"> G33 / G42</f>
        <v>63.58418682555682</v>
      </c>
      <c r="H44" s="111">
        <f t="shared" si="149"/>
        <v>69.369277153248703</v>
      </c>
      <c r="I44" s="111">
        <f t="shared" si="149"/>
        <v>76.570419441748768</v>
      </c>
      <c r="J44" s="111">
        <f t="shared" si="149"/>
        <v>85.947446450515002</v>
      </c>
      <c r="K44" s="111">
        <f t="shared" si="149"/>
        <v>95.808003397118213</v>
      </c>
      <c r="L44" s="102"/>
      <c r="M44" s="111">
        <f t="shared" ref="M44:Q44" si="150" xml:space="preserve"> M33 / M42</f>
        <v>63.58418682555682</v>
      </c>
      <c r="N44" s="111">
        <f t="shared" si="150"/>
        <v>69.369277153248703</v>
      </c>
      <c r="O44" s="111">
        <f t="shared" si="150"/>
        <v>76.570419441748768</v>
      </c>
      <c r="P44" s="111">
        <f t="shared" si="150"/>
        <v>85.947446450515002</v>
      </c>
      <c r="Q44" s="111">
        <f t="shared" si="150"/>
        <v>95.808003397118213</v>
      </c>
      <c r="R44" s="102"/>
      <c r="S44" s="111">
        <f xml:space="preserve"> S33 / S42</f>
        <v>56.813296772343939</v>
      </c>
      <c r="T44" s="111">
        <f xml:space="preserve"> T33 / T42</f>
        <v>60.97441071744413</v>
      </c>
      <c r="U44" s="111">
        <f xml:space="preserve"> U33 / U42</f>
        <v>66.5944012648105</v>
      </c>
      <c r="V44" s="111">
        <f xml:space="preserve"> V33 / V42</f>
        <v>73.540643268782532</v>
      </c>
      <c r="W44" s="111">
        <f xml:space="preserve"> W33 / W42</f>
        <v>109.00129158977576</v>
      </c>
      <c r="X44" s="102"/>
      <c r="Y44" s="111">
        <f xml:space="preserve"> Y33 / Y42</f>
        <v>56.813296772343939</v>
      </c>
      <c r="Z44" s="111">
        <f xml:space="preserve"> Z33 / Z42</f>
        <v>60.97441071744413</v>
      </c>
      <c r="AA44" s="111">
        <f xml:space="preserve"> AA33 / AA42</f>
        <v>66.5944012648105</v>
      </c>
      <c r="AB44" s="111">
        <f xml:space="preserve"> AB33 / AB42</f>
        <v>73.540643268782532</v>
      </c>
      <c r="AC44" s="111">
        <f xml:space="preserve"> AC33 / AC42</f>
        <v>109.00129158977576</v>
      </c>
      <c r="AD44" s="102"/>
      <c r="AE44" s="111">
        <f xml:space="preserve"> AE33 / AE42</f>
        <v>67.113022882898747</v>
      </c>
      <c r="AF44" s="111">
        <f xml:space="preserve"> AF33 / AF42</f>
        <v>72.903101721597992</v>
      </c>
      <c r="AG44" s="111">
        <f xml:space="preserve"> AG33 / AG42</f>
        <v>79.430987929087706</v>
      </c>
      <c r="AH44" s="111">
        <f xml:space="preserve"> AH33 / AH42</f>
        <v>100.01519206150292</v>
      </c>
      <c r="AI44" s="111">
        <f xml:space="preserve"> AI33 / AI42</f>
        <v>0</v>
      </c>
      <c r="AJ44" s="102"/>
      <c r="AK44" s="111">
        <f xml:space="preserve"> AK33 / AK42</f>
        <v>70.124479266953358</v>
      </c>
      <c r="AL44" s="111">
        <f xml:space="preserve"> AL33 / AL42</f>
        <v>76.611840513147357</v>
      </c>
      <c r="AM44" s="111">
        <f xml:space="preserve"> AM33 / AM42</f>
        <v>84.403449320586603</v>
      </c>
      <c r="AN44" s="111">
        <f xml:space="preserve"> AN33 / AN42</f>
        <v>93.363799449141766</v>
      </c>
      <c r="AO44" s="111">
        <f xml:space="preserve"> AO33 / AO42</f>
        <v>103.44207605876427</v>
      </c>
      <c r="AP44" s="102"/>
      <c r="AQ44" s="111">
        <f xml:space="preserve"> AQ33 / AQ42</f>
        <v>70.124479266953358</v>
      </c>
      <c r="AR44" s="111">
        <f xml:space="preserve"> AR33 / AR42</f>
        <v>76.611840513147357</v>
      </c>
      <c r="AS44" s="111">
        <f xml:space="preserve"> AS33 / AS42</f>
        <v>84.403449320586603</v>
      </c>
      <c r="AT44" s="111">
        <f xml:space="preserve"> AT33 / AT42</f>
        <v>93.363799449141766</v>
      </c>
      <c r="AU44" s="111">
        <f xml:space="preserve"> AU33 / AU42</f>
        <v>103.44207605876427</v>
      </c>
      <c r="AV44" s="102"/>
      <c r="AW44" s="111">
        <f xml:space="preserve"> AW33 / AW42</f>
        <v>56.403636968837169</v>
      </c>
      <c r="AX44" s="111">
        <f xml:space="preserve"> AX33 / AX42</f>
        <v>66.652791227774884</v>
      </c>
      <c r="AY44" s="111">
        <f xml:space="preserve"> AY33 / AY42</f>
        <v>0</v>
      </c>
      <c r="AZ44" s="111">
        <f xml:space="preserve"> AZ33 / AZ42</f>
        <v>0</v>
      </c>
      <c r="BA44" s="111">
        <f xml:space="preserve"> BA33 / BA42</f>
        <v>0</v>
      </c>
      <c r="BB44" s="102"/>
      <c r="BC44" s="111">
        <f t="shared" ref="BC44:BG44" si="151" xml:space="preserve"> BC33 / BC42</f>
        <v>57.672139077545381</v>
      </c>
      <c r="BD44" s="111">
        <f t="shared" si="151"/>
        <v>62.919332611216682</v>
      </c>
      <c r="BE44" s="111">
        <f t="shared" si="151"/>
        <v>69.450913815816463</v>
      </c>
      <c r="BF44" s="111">
        <f t="shared" si="151"/>
        <v>77.956066319647832</v>
      </c>
      <c r="BG44" s="111">
        <f t="shared" si="151"/>
        <v>86.899790223308472</v>
      </c>
      <c r="BH44" s="102"/>
      <c r="BI44" s="111">
        <f xml:space="preserve"> BI33 / BI42</f>
        <v>51.530805322676798</v>
      </c>
      <c r="BJ44" s="111">
        <f xml:space="preserve"> BJ33 / BJ42</f>
        <v>55.305019543859153</v>
      </c>
      <c r="BK44" s="111">
        <f xml:space="preserve"> BK33 / BK42</f>
        <v>60.402464248961991</v>
      </c>
      <c r="BL44" s="111">
        <f xml:space="preserve"> BL33 / BL42</f>
        <v>66.702845757628936</v>
      </c>
      <c r="BM44" s="111">
        <f xml:space="preserve"> BM33 / BM42</f>
        <v>98.866368542923851</v>
      </c>
      <c r="BN44" s="102"/>
      <c r="BO44" s="111">
        <f xml:space="preserve"> BO33 / BO42</f>
        <v>63.748232200991104</v>
      </c>
      <c r="BP44" s="111">
        <f xml:space="preserve"> BP33 / BP42</f>
        <v>69.645713585768789</v>
      </c>
      <c r="BQ44" s="111">
        <f xml:space="preserve"> BQ33 / BQ42</f>
        <v>76.72885049699002</v>
      </c>
      <c r="BR44" s="111">
        <f xml:space="preserve"> BR33 / BR42</f>
        <v>84.874457944894445</v>
      </c>
      <c r="BS44" s="111">
        <f xml:space="preserve"> BS33 / BS42</f>
        <v>94.036341558321922</v>
      </c>
      <c r="BT44" s="102"/>
      <c r="BU44" s="111">
        <f xml:space="preserve"> BU33 / BU42</f>
        <v>51.016619787161964</v>
      </c>
      <c r="BV44" s="111">
        <f xml:space="preserve"> BV33 / BV42</f>
        <v>60.286894437307041</v>
      </c>
      <c r="BW44" s="111">
        <f xml:space="preserve"> BW33 / BW42</f>
        <v>0</v>
      </c>
      <c r="BX44" s="111">
        <f xml:space="preserve"> BX33 / BX42</f>
        <v>0</v>
      </c>
      <c r="BY44" s="111">
        <f xml:space="preserve"> BY33 / BY42</f>
        <v>0</v>
      </c>
      <c r="BZ44" s="102"/>
      <c r="CA44" s="111">
        <f t="shared" ref="CA44:CE44" si="152" xml:space="preserve"> CA33 / CA42</f>
        <v>57.672139077545381</v>
      </c>
      <c r="CB44" s="111">
        <f t="shared" si="152"/>
        <v>62.919332611216682</v>
      </c>
      <c r="CC44" s="111">
        <f t="shared" si="152"/>
        <v>69.450913815816463</v>
      </c>
      <c r="CD44" s="111">
        <f t="shared" si="152"/>
        <v>77.956066319647832</v>
      </c>
      <c r="CE44" s="111">
        <f t="shared" si="152"/>
        <v>86.899790223308472</v>
      </c>
      <c r="CF44" s="102"/>
      <c r="CG44" s="111">
        <f xml:space="preserve"> CG33 / CG42</f>
        <v>51.530805322676798</v>
      </c>
      <c r="CH44" s="111">
        <f xml:space="preserve"> CH33 / CH42</f>
        <v>55.305019543859153</v>
      </c>
      <c r="CI44" s="111">
        <f xml:space="preserve"> CI33 / CI42</f>
        <v>60.402464248961991</v>
      </c>
      <c r="CJ44" s="111">
        <f xml:space="preserve"> CJ33 / CJ42</f>
        <v>66.702845757628936</v>
      </c>
      <c r="CK44" s="111">
        <f xml:space="preserve"> CK33 / CK42</f>
        <v>98.866368542923851</v>
      </c>
      <c r="CL44" s="102"/>
      <c r="CM44" s="111">
        <f xml:space="preserve"> CM33 / CM42</f>
        <v>60.877402414176473</v>
      </c>
      <c r="CN44" s="111">
        <f xml:space="preserve"> CN33 / CN42</f>
        <v>66.129512128982967</v>
      </c>
      <c r="CO44" s="111">
        <f xml:space="preserve"> CO33 / CO42</f>
        <v>72.050877886277263</v>
      </c>
      <c r="CP44" s="111">
        <f xml:space="preserve"> CP33 / CP42</f>
        <v>90.72255775578742</v>
      </c>
      <c r="CQ44" s="111">
        <f xml:space="preserve"> CQ33 / CQ42</f>
        <v>0</v>
      </c>
      <c r="CR44" s="102"/>
      <c r="CS44" s="111">
        <f xml:space="preserve"> CS33 / CS42</f>
        <v>63.748232200991104</v>
      </c>
      <c r="CT44" s="111">
        <f xml:space="preserve"> CT33 / CT42</f>
        <v>69.645713585768789</v>
      </c>
      <c r="CU44" s="111">
        <f xml:space="preserve"> CU33 / CU42</f>
        <v>76.72885049699002</v>
      </c>
      <c r="CV44" s="111">
        <f xml:space="preserve"> CV33 / CV42</f>
        <v>84.874457944894445</v>
      </c>
      <c r="CW44" s="111">
        <f xml:space="preserve"> CW33 / CW42</f>
        <v>94.036341558321922</v>
      </c>
      <c r="CX44" s="102"/>
      <c r="CY44" s="111">
        <f t="shared" ref="CY44:DC44" si="153" xml:space="preserve"> CY33 / CY42</f>
        <v>53.576758515232996</v>
      </c>
      <c r="CZ44" s="111">
        <f t="shared" si="153"/>
        <v>71.979210353073881</v>
      </c>
      <c r="DA44" s="111">
        <f t="shared" si="153"/>
        <v>0</v>
      </c>
      <c r="DB44" s="111">
        <f t="shared" si="153"/>
        <v>0</v>
      </c>
      <c r="DC44" s="111">
        <f t="shared" si="153"/>
        <v>0</v>
      </c>
      <c r="DD44" s="102"/>
      <c r="DE44" s="428">
        <f xml:space="preserve"> DE33 / DE42</f>
        <v>57.278756031876661</v>
      </c>
      <c r="DF44" s="428">
        <f xml:space="preserve"> DF33 / DF42</f>
        <v>87.579024641559172</v>
      </c>
      <c r="DG44" s="428">
        <f xml:space="preserve"> DG33 / DG42</f>
        <v>0</v>
      </c>
      <c r="DH44" s="428">
        <f xml:space="preserve"> DH33 / DH42</f>
        <v>0</v>
      </c>
      <c r="DI44" s="428">
        <f xml:space="preserve"> DI33 / DI42</f>
        <v>0</v>
      </c>
      <c r="DJ44" s="102"/>
      <c r="DK44" s="111">
        <f xml:space="preserve"> DK33 / DK42</f>
        <v>53.194845663667238</v>
      </c>
      <c r="DL44" s="111">
        <f xml:space="preserve"> DL33 / DL42</f>
        <v>54.701512908167594</v>
      </c>
      <c r="DM44" s="111">
        <f xml:space="preserve"> DM33 / DM42</f>
        <v>59.111011543341363</v>
      </c>
      <c r="DN44" s="111">
        <f xml:space="preserve"> DN33 / DN42</f>
        <v>63.577178434067591</v>
      </c>
      <c r="DO44" s="428">
        <f xml:space="preserve"> DO33 / DO42</f>
        <v>69.852125206708081</v>
      </c>
      <c r="DP44" s="102"/>
    </row>
    <row r="45" spans="1:120" s="8" customFormat="1" x14ac:dyDescent="0.3">
      <c r="A45" s="72"/>
      <c r="B45" s="105"/>
      <c r="C45" s="94"/>
      <c r="D45" s="65"/>
      <c r="E45" s="101"/>
      <c r="F45" s="101"/>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429"/>
      <c r="DF45" s="429"/>
      <c r="DG45" s="429"/>
      <c r="DH45" s="429"/>
      <c r="DI45" s="429"/>
      <c r="DJ45" s="102"/>
      <c r="DK45" s="102"/>
      <c r="DL45" s="102"/>
      <c r="DM45" s="102"/>
      <c r="DN45" s="102"/>
      <c r="DO45" s="429"/>
      <c r="DP45" s="102"/>
    </row>
    <row r="46" spans="1:120" s="8" customFormat="1" x14ac:dyDescent="0.3">
      <c r="A46" s="72"/>
      <c r="B46" s="105"/>
      <c r="C46" s="94"/>
      <c r="D46" s="65"/>
      <c r="E46" s="112" t="s">
        <v>79</v>
      </c>
      <c r="F46" s="112" t="s">
        <v>78</v>
      </c>
      <c r="G46" s="142"/>
      <c r="H46" s="142"/>
      <c r="I46" s="220">
        <f xml:space="preserve"> SUMPRODUCT(G12:K12, G44:K44)</f>
        <v>65.584101186303087</v>
      </c>
      <c r="J46" s="142"/>
      <c r="K46" s="142"/>
      <c r="L46" s="311"/>
      <c r="M46" s="142"/>
      <c r="N46" s="142"/>
      <c r="O46" s="220">
        <f xml:space="preserve"> SUMPRODUCT(M12:Q12, M44:Q44)</f>
        <v>71.285091842664059</v>
      </c>
      <c r="P46" s="142"/>
      <c r="Q46" s="142"/>
      <c r="R46" s="320"/>
      <c r="S46" s="142"/>
      <c r="T46" s="142"/>
      <c r="U46" s="220">
        <f xml:space="preserve"> SUMPRODUCT(S12:W12, S44:W44)</f>
        <v>63.084476784903693</v>
      </c>
      <c r="V46" s="142"/>
      <c r="W46" s="142"/>
      <c r="X46" s="311"/>
      <c r="Y46" s="142"/>
      <c r="Z46" s="142"/>
      <c r="AA46" s="220">
        <f xml:space="preserve"> SUMPRODUCT(Y12:AC12, Y44:AC44)</f>
        <v>67.283720459381286</v>
      </c>
      <c r="AB46" s="142"/>
      <c r="AC46" s="142"/>
      <c r="AD46" s="102"/>
      <c r="AE46" s="142"/>
      <c r="AF46" s="142"/>
      <c r="AG46" s="220">
        <f xml:space="preserve"> SUMPRODUCT(AE12:AI12, AE44:AI44)</f>
        <v>78.406537046088275</v>
      </c>
      <c r="AH46" s="142"/>
      <c r="AI46" s="142"/>
      <c r="AJ46" s="143"/>
      <c r="AK46" s="142"/>
      <c r="AL46" s="142"/>
      <c r="AM46" s="220">
        <f xml:space="preserve"> SUMPRODUCT(AK12:AO12, AK44:AO44)</f>
        <v>73.329032463212997</v>
      </c>
      <c r="AN46" s="114"/>
      <c r="AO46" s="114"/>
      <c r="AP46" s="116"/>
      <c r="AQ46" s="142"/>
      <c r="AR46" s="142"/>
      <c r="AS46" s="220">
        <f xml:space="preserve"> SUMPRODUCT(AQ12:AU12, AQ44:AU44)</f>
        <v>85.466326391601427</v>
      </c>
      <c r="AT46" s="114"/>
      <c r="AU46" s="114"/>
      <c r="AV46" s="116"/>
      <c r="AW46" s="312"/>
      <c r="AX46" s="114"/>
      <c r="AY46" s="220">
        <f xml:space="preserve"> SUMPRODUCT(AW12:BA12, AW44:BA44)</f>
        <v>58.453467820624716</v>
      </c>
      <c r="AZ46" s="114"/>
      <c r="BA46" s="114"/>
      <c r="BB46" s="342"/>
      <c r="BC46" s="142"/>
      <c r="BD46" s="142"/>
      <c r="BE46" s="220">
        <f xml:space="preserve"> SUMPRODUCT(BC12:BG12, BC44:BG44)</f>
        <v>59.486101713767688</v>
      </c>
      <c r="BF46" s="142"/>
      <c r="BG46" s="142"/>
      <c r="BH46" s="311"/>
      <c r="BI46" s="142"/>
      <c r="BJ46" s="142"/>
      <c r="BK46" s="220">
        <f xml:space="preserve"> SUMPRODUCT(BI12:BM12, BI44:BM44)</f>
        <v>57.218891998329617</v>
      </c>
      <c r="BL46" s="142"/>
      <c r="BM46" s="142"/>
      <c r="BN46" s="143"/>
      <c r="BO46" s="142"/>
      <c r="BP46" s="142"/>
      <c r="BQ46" s="220">
        <f xml:space="preserve"> SUMPRODUCT(BO12:BS12, BO44:BS44)</f>
        <v>66.661403227586646</v>
      </c>
      <c r="BR46" s="114"/>
      <c r="BS46" s="114"/>
      <c r="BT46" s="116"/>
      <c r="BU46" s="312"/>
      <c r="BV46" s="114"/>
      <c r="BW46" s="220">
        <f xml:space="preserve"> SUMPRODUCT(BU12:BY12, BU44:BY44)</f>
        <v>52.870674717190987</v>
      </c>
      <c r="BX46" s="114"/>
      <c r="BY46" s="114"/>
      <c r="BZ46" s="342"/>
      <c r="CA46" s="142"/>
      <c r="CB46" s="142"/>
      <c r="CC46" s="220">
        <f xml:space="preserve"> SUMPRODUCT(CA12:CE12, CA44:CE44)</f>
        <v>64.657015150397257</v>
      </c>
      <c r="CD46" s="142"/>
      <c r="CE46" s="142"/>
      <c r="CF46" s="311"/>
      <c r="CG46" s="142"/>
      <c r="CH46" s="142"/>
      <c r="CI46" s="220">
        <f xml:space="preserve"> SUMPRODUCT(CG12:CK12, CG44:CK44)</f>
        <v>61.027690652614432</v>
      </c>
      <c r="CJ46" s="142"/>
      <c r="CK46" s="142"/>
      <c r="CL46" s="311"/>
      <c r="CM46" s="142"/>
      <c r="CN46" s="142"/>
      <c r="CO46" s="220">
        <f xml:space="preserve"> SUMPRODUCT(CM12:CQ12, CM44:CQ44)</f>
        <v>71.121611017062719</v>
      </c>
      <c r="CP46" s="142"/>
      <c r="CQ46" s="142"/>
      <c r="CR46" s="311"/>
      <c r="CS46" s="142"/>
      <c r="CT46" s="142"/>
      <c r="CU46" s="220">
        <f xml:space="preserve"> SUMPRODUCT(CS12:CW12, CS44:CW44)</f>
        <v>77.69508276042292</v>
      </c>
      <c r="CV46" s="114"/>
      <c r="CW46" s="114"/>
      <c r="CX46" s="116"/>
      <c r="CY46" s="142"/>
      <c r="CZ46" s="142"/>
      <c r="DA46" s="220">
        <f xml:space="preserve"> SUMPRODUCT(CY12:DC12, CY44:DC44)</f>
        <v>53.760783033611403</v>
      </c>
      <c r="DB46" s="142"/>
      <c r="DC46" s="142"/>
      <c r="DD46" s="311"/>
      <c r="DE46" s="430"/>
      <c r="DF46" s="430"/>
      <c r="DG46" s="516">
        <f xml:space="preserve"> SUMPRODUCT(DE12:DI12, DE44:DI44)</f>
        <v>57.581758717973486</v>
      </c>
      <c r="DH46" s="431"/>
      <c r="DI46" s="431"/>
      <c r="DJ46" s="342"/>
      <c r="DK46" s="312"/>
      <c r="DL46" s="114"/>
      <c r="DM46" s="220">
        <f xml:space="preserve"> SUMPRODUCT(DK12:DO12, DK44:DO44)</f>
        <v>53.298668991371244</v>
      </c>
      <c r="DN46" s="114"/>
      <c r="DO46" s="431"/>
      <c r="DP46" s="342"/>
    </row>
    <row r="47" spans="1:120" x14ac:dyDescent="0.3">
      <c r="G47" s="41"/>
      <c r="H47" s="41"/>
      <c r="I47" s="188"/>
      <c r="J47" s="41"/>
      <c r="K47" s="41"/>
      <c r="M47" s="41"/>
      <c r="N47" s="41"/>
      <c r="O47" s="188"/>
      <c r="P47" s="41"/>
      <c r="Q47" s="41"/>
      <c r="BC47" s="41"/>
      <c r="BD47" s="41"/>
      <c r="BE47" s="188"/>
      <c r="BF47" s="41"/>
      <c r="BG47" s="41"/>
      <c r="CY47" s="41"/>
      <c r="CZ47" s="41"/>
      <c r="DA47" s="188"/>
      <c r="DB47" s="41"/>
      <c r="DC47" s="41"/>
      <c r="DE47" s="388"/>
      <c r="DF47" s="388"/>
      <c r="DG47" s="388"/>
      <c r="DH47" s="388"/>
      <c r="DI47" s="388"/>
      <c r="DO47" s="388"/>
    </row>
    <row r="48" spans="1:120" x14ac:dyDescent="0.3">
      <c r="A48" s="58" t="s">
        <v>80</v>
      </c>
      <c r="B48" s="58" t="s">
        <v>80</v>
      </c>
      <c r="C48" s="58" t="s">
        <v>80</v>
      </c>
      <c r="D48" s="58" t="s">
        <v>80</v>
      </c>
      <c r="E48" s="58" t="s">
        <v>80</v>
      </c>
      <c r="F48" s="58" t="s">
        <v>80</v>
      </c>
      <c r="G48" s="58" t="s">
        <v>80</v>
      </c>
      <c r="H48" s="58" t="s">
        <v>80</v>
      </c>
      <c r="I48" s="58" t="s">
        <v>80</v>
      </c>
      <c r="J48" s="58" t="s">
        <v>80</v>
      </c>
      <c r="K48" s="58" t="s">
        <v>80</v>
      </c>
      <c r="L48" s="58" t="s">
        <v>80</v>
      </c>
      <c r="M48" s="58" t="s">
        <v>80</v>
      </c>
      <c r="N48" s="58" t="s">
        <v>80</v>
      </c>
      <c r="O48" s="58"/>
      <c r="P48" s="58" t="s">
        <v>80</v>
      </c>
      <c r="Q48" s="58" t="s">
        <v>80</v>
      </c>
      <c r="R48" s="58" t="s">
        <v>80</v>
      </c>
      <c r="S48" s="58" t="s">
        <v>80</v>
      </c>
      <c r="T48" s="58" t="s">
        <v>80</v>
      </c>
      <c r="U48" s="58" t="s">
        <v>80</v>
      </c>
      <c r="V48" s="58" t="s">
        <v>80</v>
      </c>
      <c r="W48" s="58" t="s">
        <v>80</v>
      </c>
      <c r="X48" s="58" t="s">
        <v>80</v>
      </c>
      <c r="Y48" s="58" t="s">
        <v>80</v>
      </c>
      <c r="Z48" s="58" t="s">
        <v>80</v>
      </c>
      <c r="AA48" s="58" t="s">
        <v>80</v>
      </c>
      <c r="AB48" s="58" t="s">
        <v>80</v>
      </c>
      <c r="AC48" s="58" t="s">
        <v>80</v>
      </c>
      <c r="AD48" s="58" t="s">
        <v>80</v>
      </c>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C48" s="58" t="s">
        <v>80</v>
      </c>
      <c r="BD48" s="58" t="s">
        <v>80</v>
      </c>
      <c r="BE48" s="58" t="s">
        <v>80</v>
      </c>
      <c r="BF48" s="58" t="s">
        <v>80</v>
      </c>
      <c r="BG48" s="58" t="s">
        <v>80</v>
      </c>
      <c r="BH48" s="58" t="s">
        <v>80</v>
      </c>
      <c r="BI48" s="58" t="s">
        <v>80</v>
      </c>
      <c r="BJ48" s="58" t="s">
        <v>80</v>
      </c>
      <c r="BK48" s="58" t="s">
        <v>80</v>
      </c>
      <c r="BL48" s="58" t="s">
        <v>80</v>
      </c>
      <c r="BM48" s="58" t="s">
        <v>80</v>
      </c>
      <c r="BN48" s="58"/>
      <c r="BO48" s="58"/>
      <c r="BP48" s="58"/>
      <c r="BQ48" s="58"/>
      <c r="BR48" s="58"/>
      <c r="BS48" s="58"/>
      <c r="BT48" s="58"/>
      <c r="BU48" s="58"/>
      <c r="BV48" s="58"/>
      <c r="BW48" s="58"/>
      <c r="BX48" s="58"/>
      <c r="BY48" s="58"/>
      <c r="BZ48" s="58" t="s">
        <v>80</v>
      </c>
      <c r="CA48" s="58" t="s">
        <v>80</v>
      </c>
      <c r="CB48" s="58" t="s">
        <v>80</v>
      </c>
      <c r="CC48" s="58" t="s">
        <v>80</v>
      </c>
      <c r="CD48" s="58" t="s">
        <v>80</v>
      </c>
      <c r="CE48" s="58" t="s">
        <v>80</v>
      </c>
      <c r="CF48" s="58" t="s">
        <v>80</v>
      </c>
      <c r="CG48" s="58" t="s">
        <v>80</v>
      </c>
      <c r="CH48" s="58" t="s">
        <v>80</v>
      </c>
      <c r="CI48" s="58" t="s">
        <v>80</v>
      </c>
      <c r="CJ48" s="58" t="s">
        <v>80</v>
      </c>
      <c r="CK48" s="58" t="s">
        <v>80</v>
      </c>
      <c r="CL48" s="58" t="s">
        <v>80</v>
      </c>
      <c r="CM48" s="58"/>
      <c r="CN48" s="58"/>
      <c r="CO48" s="58"/>
      <c r="CP48" s="58"/>
      <c r="CQ48" s="58"/>
      <c r="CR48" s="58" t="s">
        <v>80</v>
      </c>
      <c r="CS48" s="58" t="s">
        <v>80</v>
      </c>
      <c r="CT48" s="58" t="s">
        <v>80</v>
      </c>
      <c r="CU48" s="58" t="s">
        <v>80</v>
      </c>
      <c r="CV48" s="58" t="s">
        <v>80</v>
      </c>
      <c r="CW48" s="58" t="s">
        <v>80</v>
      </c>
      <c r="CX48" s="58" t="s">
        <v>80</v>
      </c>
      <c r="CY48" s="58" t="s">
        <v>80</v>
      </c>
      <c r="CZ48" s="58" t="s">
        <v>80</v>
      </c>
      <c r="DA48" s="58" t="s">
        <v>80</v>
      </c>
      <c r="DB48" s="58" t="s">
        <v>80</v>
      </c>
      <c r="DC48" s="58" t="s">
        <v>80</v>
      </c>
      <c r="DD48" s="58" t="s">
        <v>80</v>
      </c>
      <c r="DE48" s="432"/>
      <c r="DF48" s="432"/>
      <c r="DG48" s="432"/>
      <c r="DH48" s="432"/>
      <c r="DI48" s="432"/>
      <c r="DK48" s="58"/>
      <c r="DL48" s="58"/>
      <c r="DM48" s="58"/>
      <c r="DN48" s="58"/>
      <c r="DO48" s="432"/>
    </row>
    <row r="49" spans="109:119" x14ac:dyDescent="0.3">
      <c r="DE49" s="388"/>
      <c r="DF49" s="388"/>
      <c r="DG49" s="388"/>
      <c r="DH49" s="388"/>
      <c r="DI49" s="388"/>
      <c r="DO49" s="388"/>
    </row>
    <row r="50" spans="109:119" x14ac:dyDescent="0.3">
      <c r="DE50" s="388"/>
      <c r="DF50" s="388"/>
      <c r="DG50" s="388"/>
      <c r="DH50" s="388"/>
      <c r="DI50" s="388"/>
      <c r="DO50" s="388"/>
    </row>
    <row r="51" spans="109:119" x14ac:dyDescent="0.3">
      <c r="DE51" s="388"/>
      <c r="DF51" s="388"/>
      <c r="DG51" s="388"/>
      <c r="DH51" s="388"/>
      <c r="DI51" s="388"/>
      <c r="DO51" s="388"/>
    </row>
    <row r="52" spans="109:119" x14ac:dyDescent="0.3">
      <c r="DE52" s="388"/>
      <c r="DF52" s="388"/>
      <c r="DG52" s="388"/>
      <c r="DH52" s="388"/>
      <c r="DI52" s="388"/>
      <c r="DO52" s="388"/>
    </row>
    <row r="53" spans="109:119" x14ac:dyDescent="0.3">
      <c r="DE53" s="388"/>
      <c r="DF53" s="388"/>
      <c r="DG53" s="388"/>
      <c r="DH53" s="388"/>
      <c r="DI53" s="388"/>
      <c r="DO53" s="388"/>
    </row>
    <row r="54" spans="109:119" x14ac:dyDescent="0.3">
      <c r="DE54" s="388"/>
      <c r="DF54" s="388"/>
      <c r="DG54" s="388"/>
      <c r="DH54" s="388"/>
      <c r="DI54" s="388"/>
      <c r="DO54" s="388"/>
    </row>
    <row r="55" spans="109:119" x14ac:dyDescent="0.3">
      <c r="DE55" s="388"/>
      <c r="DF55" s="388"/>
      <c r="DG55" s="388"/>
      <c r="DH55" s="388"/>
      <c r="DI55" s="388"/>
      <c r="DO55" s="388"/>
    </row>
    <row r="56" spans="109:119" x14ac:dyDescent="0.3">
      <c r="DE56" s="388"/>
      <c r="DF56" s="388"/>
      <c r="DG56" s="388"/>
      <c r="DH56" s="388"/>
      <c r="DI56" s="388"/>
      <c r="DO56" s="388"/>
    </row>
    <row r="57" spans="109:119" x14ac:dyDescent="0.3">
      <c r="DE57" s="388"/>
      <c r="DF57" s="388"/>
      <c r="DG57" s="388"/>
      <c r="DH57" s="388"/>
      <c r="DI57" s="388"/>
      <c r="DO57" s="388"/>
    </row>
    <row r="58" spans="109:119" x14ac:dyDescent="0.3">
      <c r="DE58" s="388"/>
      <c r="DF58" s="388"/>
      <c r="DG58" s="388"/>
      <c r="DH58" s="388"/>
      <c r="DI58" s="388"/>
      <c r="DO58" s="388"/>
    </row>
    <row r="59" spans="109:119" x14ac:dyDescent="0.3">
      <c r="DE59" s="388"/>
      <c r="DF59" s="388"/>
      <c r="DG59" s="388"/>
      <c r="DH59" s="388"/>
      <c r="DI59" s="388"/>
      <c r="DO59" s="388"/>
    </row>
    <row r="60" spans="109:119" x14ac:dyDescent="0.3">
      <c r="DE60" s="388"/>
      <c r="DF60" s="388"/>
      <c r="DG60" s="388"/>
      <c r="DH60" s="388"/>
      <c r="DI60" s="388"/>
      <c r="DO60" s="388"/>
    </row>
    <row r="61" spans="109:119" x14ac:dyDescent="0.3">
      <c r="DE61" s="388"/>
      <c r="DF61" s="388"/>
      <c r="DG61" s="388"/>
      <c r="DH61" s="388"/>
      <c r="DI61" s="388"/>
      <c r="DO61" s="388"/>
    </row>
    <row r="62" spans="109:119" x14ac:dyDescent="0.3">
      <c r="DE62" s="388"/>
      <c r="DF62" s="388"/>
      <c r="DG62" s="388"/>
      <c r="DH62" s="388"/>
      <c r="DI62" s="388"/>
      <c r="DM62" s="292"/>
      <c r="DO62" s="388"/>
    </row>
    <row r="63" spans="109:119" x14ac:dyDescent="0.3">
      <c r="DE63" s="388"/>
      <c r="DF63" s="388"/>
      <c r="DG63" s="388"/>
      <c r="DH63" s="388"/>
      <c r="DI63" s="388"/>
      <c r="DO63" s="388"/>
    </row>
    <row r="64" spans="109:119" x14ac:dyDescent="0.3">
      <c r="DE64" s="388"/>
      <c r="DF64" s="388"/>
      <c r="DG64" s="388"/>
      <c r="DH64" s="388"/>
      <c r="DI64" s="388"/>
      <c r="DM64" s="292"/>
      <c r="DO64" s="388"/>
    </row>
    <row r="65" spans="109:119" x14ac:dyDescent="0.3">
      <c r="DE65" s="388"/>
      <c r="DF65" s="388"/>
      <c r="DG65" s="388"/>
      <c r="DH65" s="388"/>
      <c r="DI65" s="388"/>
      <c r="DM65" s="295"/>
      <c r="DO65" s="388"/>
    </row>
    <row r="66" spans="109:119" x14ac:dyDescent="0.3">
      <c r="DE66" s="388"/>
      <c r="DF66" s="388"/>
      <c r="DG66" s="388"/>
      <c r="DH66" s="388"/>
      <c r="DI66" s="388"/>
      <c r="DM66" s="296"/>
      <c r="DO66" s="388"/>
    </row>
    <row r="67" spans="109:119" x14ac:dyDescent="0.3">
      <c r="DE67" s="388"/>
      <c r="DF67" s="388"/>
      <c r="DG67" s="388"/>
      <c r="DH67" s="388"/>
      <c r="DI67" s="388"/>
      <c r="DM67" s="296"/>
      <c r="DO67" s="388"/>
    </row>
    <row r="68" spans="109:119" x14ac:dyDescent="0.3">
      <c r="DE68" s="388"/>
      <c r="DF68" s="388"/>
      <c r="DG68" s="388"/>
      <c r="DH68" s="388"/>
      <c r="DI68" s="388"/>
      <c r="DO68" s="388"/>
    </row>
    <row r="69" spans="109:119" x14ac:dyDescent="0.3">
      <c r="DE69" s="388"/>
      <c r="DF69" s="388"/>
      <c r="DG69" s="388"/>
      <c r="DH69" s="388"/>
      <c r="DI69" s="388"/>
      <c r="DM69" s="297"/>
      <c r="DO69" s="388"/>
    </row>
  </sheetData>
  <sheetProtection algorithmName="SHA-512" hashValue="43fA8TOhQSonsIMynsYql9+M55hVk9bZ4DCxJhBkolLuH52FDcT2pQGPWaQCgrPciOGdktHCNc9cV/1vkIAkFw==" saltValue="I2xwJfQX2Y3QeX1pqYZr1Q==" spinCount="100000" sheet="1" objects="1" scenarios="1"/>
  <dataValidations count="1">
    <dataValidation type="list" allowBlank="1" showInputMessage="1" showErrorMessage="1" sqref="G14 S14 AE14 AK14 AW14 AQ14 Y14 M14 DK14 DE14 BC14 BI14 CM14 BO14 BU14 CY14 CA14 CG14 CS14" xr:uid="{56620686-D873-48B7-8190-0AE966A59858}">
      <formula1>"% jaarsalaris EXCL. VU, % jaarsalaris INCL. VU"</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BB9C-F689-4409-B308-244E6D905B75}">
  <sheetPr codeName="Sheet6">
    <tabColor theme="9" tint="0.39997558519241921"/>
  </sheetPr>
  <dimension ref="A1:CG121"/>
  <sheetViews>
    <sheetView showGridLines="0" zoomScale="70" zoomScaleNormal="70" workbookViewId="0">
      <pane xSplit="5" ySplit="9" topLeftCell="F10" activePane="bottomRight" state="frozen"/>
      <selection pane="topRight" activeCell="F1" sqref="F1"/>
      <selection pane="bottomLeft" activeCell="A10" sqref="A10"/>
      <selection pane="bottomRight" activeCell="M31" sqref="M31"/>
    </sheetView>
  </sheetViews>
  <sheetFormatPr defaultColWidth="9.109375" defaultRowHeight="14.4" x14ac:dyDescent="0.3"/>
  <cols>
    <col min="1" max="1" width="1.109375" style="62" customWidth="1"/>
    <col min="2" max="2" width="1.109375" style="19" customWidth="1"/>
    <col min="3" max="3" width="1.109375" style="94" customWidth="1"/>
    <col min="4" max="4" width="1.109375" style="65" customWidth="1"/>
    <col min="5" max="5" width="50.6640625" style="43" customWidth="1"/>
    <col min="6" max="6" width="20.6640625" style="43" customWidth="1"/>
    <col min="7" max="8" width="10.77734375" style="43" customWidth="1"/>
    <col min="9" max="9" width="10.77734375" style="601" customWidth="1"/>
    <col min="10" max="10" width="10.77734375" style="43" customWidth="1"/>
    <col min="11" max="11" width="1.6640625" style="43" customWidth="1"/>
    <col min="12" max="15" width="10.77734375" style="43" customWidth="1"/>
    <col min="16" max="16" width="1.6640625" style="43" customWidth="1"/>
    <col min="17" max="20" width="10.77734375" style="43" customWidth="1"/>
    <col min="21" max="21" width="1.6640625" style="43" customWidth="1"/>
    <col min="22" max="25" width="10.77734375" style="43" customWidth="1"/>
    <col min="26" max="26" width="1.6640625" style="43" customWidth="1"/>
    <col min="27" max="30" width="10.77734375" style="43" customWidth="1"/>
    <col min="31" max="31" width="1.6640625" style="43" customWidth="1"/>
    <col min="32" max="35" width="10.77734375" style="43" customWidth="1"/>
    <col min="36" max="36" width="1.6640625" style="43" customWidth="1"/>
    <col min="37" max="40" width="10.77734375" style="43" customWidth="1"/>
    <col min="41" max="41" width="1.6640625" style="43" customWidth="1"/>
    <col min="42" max="45" width="10.77734375" style="43" customWidth="1"/>
    <col min="46" max="46" width="1.6640625" style="43" customWidth="1"/>
    <col min="47" max="50" width="10.77734375" style="43" customWidth="1"/>
    <col min="51" max="51" width="1.6640625" style="43" customWidth="1"/>
    <col min="52" max="55" width="10.77734375" style="43" customWidth="1"/>
    <col min="56" max="56" width="1.6640625" style="43" customWidth="1"/>
    <col min="57" max="60" width="10.77734375" style="43" customWidth="1"/>
    <col min="61" max="61" width="1.6640625" style="43" customWidth="1"/>
    <col min="62" max="65" width="10.77734375" style="43" customWidth="1"/>
    <col min="66" max="66" width="1.6640625" style="43" customWidth="1"/>
    <col min="67" max="69" width="10.77734375" style="43" customWidth="1"/>
    <col min="70" max="70" width="1.6640625" style="43" customWidth="1"/>
    <col min="71" max="73" width="10.77734375" style="43" customWidth="1"/>
    <col min="74" max="74" width="1.6640625" style="43" customWidth="1"/>
    <col min="75" max="78" width="10.77734375" style="43" customWidth="1"/>
    <col min="79" max="79" width="1.6640625" style="43" customWidth="1"/>
    <col min="80" max="83" width="10.77734375" style="43" customWidth="1"/>
    <col min="84" max="84" width="1.6640625" style="43" customWidth="1"/>
    <col min="85" max="16362" width="9.109375" style="43" customWidth="1"/>
    <col min="16363" max="16384" width="9.109375" style="43"/>
  </cols>
  <sheetData>
    <row r="1" spans="1:85" ht="25.8" x14ac:dyDescent="0.5">
      <c r="A1" s="71" t="str">
        <f ca="1">RIGHT(CELL("filename",$A$1),LEN(CELL("filename",$A$1))-SEARCH("]",CELL("filename",$A$1)))</f>
        <v>Dagbesteding</v>
      </c>
      <c r="I1" s="43"/>
    </row>
    <row r="2" spans="1:85" x14ac:dyDescent="0.3">
      <c r="I2" s="43"/>
    </row>
    <row r="3" spans="1:85" x14ac:dyDescent="0.3">
      <c r="E3" s="122"/>
      <c r="F3" s="122"/>
      <c r="I3" s="602"/>
    </row>
    <row r="4" spans="1:85" s="72" customFormat="1" x14ac:dyDescent="0.3">
      <c r="B4" s="105"/>
      <c r="C4" s="94" t="s">
        <v>33</v>
      </c>
      <c r="D4" s="94"/>
      <c r="E4" s="101"/>
      <c r="F4" s="101" t="s">
        <v>34</v>
      </c>
      <c r="G4" s="503" t="s">
        <v>81</v>
      </c>
      <c r="H4" s="504"/>
      <c r="I4" s="505"/>
      <c r="J4" s="505"/>
      <c r="K4" s="39"/>
      <c r="L4" s="500" t="s">
        <v>81</v>
      </c>
      <c r="M4" s="501"/>
      <c r="N4" s="501"/>
      <c r="O4" s="502"/>
      <c r="P4" s="39"/>
      <c r="Q4" s="503" t="s">
        <v>81</v>
      </c>
      <c r="R4" s="504"/>
      <c r="S4" s="504"/>
      <c r="T4" s="505"/>
      <c r="U4" s="39"/>
      <c r="V4" s="500" t="s">
        <v>81</v>
      </c>
      <c r="W4" s="501"/>
      <c r="X4" s="501"/>
      <c r="Y4" s="502"/>
      <c r="Z4" s="39"/>
      <c r="AA4" s="503" t="s">
        <v>81</v>
      </c>
      <c r="AB4" s="504"/>
      <c r="AC4" s="504"/>
      <c r="AD4" s="505"/>
      <c r="AE4" s="39"/>
      <c r="AF4" s="500" t="s">
        <v>81</v>
      </c>
      <c r="AG4" s="501"/>
      <c r="AH4" s="501"/>
      <c r="AI4" s="502"/>
      <c r="AJ4" s="39"/>
      <c r="AK4" s="503" t="s">
        <v>81</v>
      </c>
      <c r="AL4" s="504"/>
      <c r="AM4" s="504"/>
      <c r="AN4" s="505"/>
      <c r="AO4" s="39"/>
      <c r="AP4" s="500" t="s">
        <v>81</v>
      </c>
      <c r="AQ4" s="501"/>
      <c r="AR4" s="501"/>
      <c r="AS4" s="502"/>
      <c r="AU4" s="510" t="s">
        <v>81</v>
      </c>
      <c r="AV4" s="511"/>
      <c r="AW4" s="511"/>
      <c r="AX4" s="512"/>
      <c r="AY4" s="39"/>
      <c r="AZ4" s="510" t="s">
        <v>81</v>
      </c>
      <c r="BA4" s="511"/>
      <c r="BB4" s="511"/>
      <c r="BC4" s="512"/>
      <c r="BD4" s="39"/>
      <c r="BE4" s="510" t="s">
        <v>81</v>
      </c>
      <c r="BF4" s="511"/>
      <c r="BG4" s="511"/>
      <c r="BH4" s="512"/>
      <c r="BI4" s="39"/>
      <c r="BJ4" s="510" t="s">
        <v>81</v>
      </c>
      <c r="BK4" s="511"/>
      <c r="BL4" s="511"/>
      <c r="BM4" s="512"/>
      <c r="BN4" s="39"/>
      <c r="BO4" s="506" t="s">
        <v>81</v>
      </c>
      <c r="BP4" s="507"/>
      <c r="BQ4" s="508"/>
      <c r="BR4" s="39"/>
      <c r="BS4" s="506" t="s">
        <v>81</v>
      </c>
      <c r="BT4" s="507"/>
      <c r="BU4" s="508"/>
      <c r="BV4" s="39"/>
      <c r="BW4" s="506" t="s">
        <v>81</v>
      </c>
      <c r="BX4" s="507"/>
      <c r="BY4" s="507"/>
      <c r="BZ4" s="627"/>
      <c r="CA4" s="39"/>
      <c r="CB4" s="506" t="s">
        <v>81</v>
      </c>
      <c r="CC4" s="507"/>
      <c r="CD4" s="507"/>
      <c r="CE4" s="627"/>
      <c r="CF4" s="39"/>
      <c r="CG4" s="467"/>
    </row>
    <row r="5" spans="1:85" s="8" customFormat="1" x14ac:dyDescent="0.3">
      <c r="A5" s="72"/>
      <c r="B5" s="105"/>
      <c r="C5" s="94"/>
      <c r="D5" s="65"/>
      <c r="E5" s="63"/>
      <c r="F5" s="103"/>
      <c r="G5" s="9"/>
      <c r="I5" s="603"/>
      <c r="J5" s="10"/>
      <c r="L5" s="9"/>
      <c r="O5" s="10"/>
      <c r="Q5" s="9"/>
      <c r="T5" s="10"/>
      <c r="V5" s="9"/>
      <c r="Y5" s="10"/>
      <c r="AA5" s="9"/>
      <c r="AD5" s="10"/>
      <c r="AF5" s="9"/>
      <c r="AI5" s="10"/>
      <c r="AK5" s="9"/>
      <c r="AN5" s="10"/>
      <c r="AP5" s="9"/>
      <c r="AS5" s="10"/>
      <c r="AU5" s="9"/>
      <c r="AX5" s="10"/>
      <c r="AZ5" s="9"/>
      <c r="BC5" s="10"/>
      <c r="BE5" s="9"/>
      <c r="BH5" s="10"/>
      <c r="BJ5" s="9"/>
      <c r="BM5" s="10"/>
      <c r="BO5" s="9"/>
      <c r="BQ5" s="10"/>
      <c r="BS5" s="9"/>
      <c r="BU5" s="10"/>
      <c r="BW5" s="9"/>
      <c r="BZ5" s="10"/>
      <c r="CB5" s="9"/>
      <c r="CE5" s="10"/>
    </row>
    <row r="6" spans="1:85" s="8" customFormat="1" x14ac:dyDescent="0.3">
      <c r="A6" s="72"/>
      <c r="B6" s="105"/>
      <c r="C6" s="94"/>
      <c r="D6" s="73" t="s">
        <v>35</v>
      </c>
      <c r="E6" s="63"/>
      <c r="F6" s="103"/>
      <c r="G6" s="9"/>
      <c r="J6" s="10"/>
      <c r="L6" s="9"/>
      <c r="O6" s="10"/>
      <c r="Q6" s="9"/>
      <c r="R6" s="43"/>
      <c r="T6" s="10"/>
      <c r="V6" s="9"/>
      <c r="W6" s="43"/>
      <c r="Y6" s="10"/>
      <c r="AA6" s="9"/>
      <c r="AD6" s="10"/>
      <c r="AF6" s="9"/>
      <c r="AI6" s="10"/>
      <c r="AK6" s="9"/>
      <c r="AN6" s="10"/>
      <c r="AP6" s="9"/>
      <c r="AS6" s="10"/>
      <c r="AU6" s="9"/>
      <c r="AX6" s="10"/>
      <c r="AZ6" s="9"/>
      <c r="BA6" s="43"/>
      <c r="BC6" s="10"/>
      <c r="BE6" s="9"/>
      <c r="BH6" s="10"/>
      <c r="BJ6" s="9"/>
      <c r="BM6" s="10"/>
      <c r="BO6" s="9"/>
      <c r="BP6" s="43"/>
      <c r="BQ6" s="10"/>
      <c r="BS6" s="9"/>
      <c r="BT6" s="43"/>
      <c r="BU6" s="10"/>
      <c r="BW6" s="9"/>
      <c r="BZ6" s="10"/>
      <c r="CB6" s="9"/>
      <c r="CE6" s="10"/>
    </row>
    <row r="7" spans="1:85" s="303" customFormat="1" x14ac:dyDescent="0.3">
      <c r="A7" s="298"/>
      <c r="B7" s="299"/>
      <c r="C7" s="300"/>
      <c r="D7" s="301"/>
      <c r="E7" s="325" t="s">
        <v>130</v>
      </c>
      <c r="F7" s="325" t="s">
        <v>36</v>
      </c>
      <c r="G7" s="332" t="s">
        <v>142</v>
      </c>
      <c r="H7" s="328"/>
      <c r="I7" s="333"/>
      <c r="J7" s="333"/>
      <c r="K7" s="302"/>
      <c r="L7" s="332" t="s">
        <v>142</v>
      </c>
      <c r="M7" s="328"/>
      <c r="N7" s="617"/>
      <c r="O7" s="333"/>
      <c r="P7" s="302"/>
      <c r="Q7" s="332" t="s">
        <v>142</v>
      </c>
      <c r="R7" s="328"/>
      <c r="S7" s="617"/>
      <c r="T7" s="333"/>
      <c r="U7" s="302"/>
      <c r="V7" s="332" t="s">
        <v>142</v>
      </c>
      <c r="W7" s="328"/>
      <c r="X7" s="617"/>
      <c r="Y7" s="333"/>
      <c r="Z7" s="302"/>
      <c r="AA7" s="332" t="s">
        <v>142</v>
      </c>
      <c r="AB7" s="328"/>
      <c r="AC7" s="617"/>
      <c r="AD7" s="333"/>
      <c r="AE7" s="302"/>
      <c r="AF7" s="332" t="s">
        <v>142</v>
      </c>
      <c r="AG7" s="328"/>
      <c r="AH7" s="617"/>
      <c r="AI7" s="333"/>
      <c r="AJ7" s="302"/>
      <c r="AK7" s="332" t="s">
        <v>160</v>
      </c>
      <c r="AL7" s="328"/>
      <c r="AM7" s="617"/>
      <c r="AN7" s="333"/>
      <c r="AO7" s="302"/>
      <c r="AP7" s="332" t="s">
        <v>160</v>
      </c>
      <c r="AQ7" s="328"/>
      <c r="AR7" s="617"/>
      <c r="AS7" s="333"/>
      <c r="AU7" s="332" t="s">
        <v>142</v>
      </c>
      <c r="AV7" s="328"/>
      <c r="AW7" s="617"/>
      <c r="AX7" s="333"/>
      <c r="AY7" s="302"/>
      <c r="AZ7" s="332" t="s">
        <v>142</v>
      </c>
      <c r="BA7" s="328"/>
      <c r="BB7" s="617"/>
      <c r="BC7" s="333"/>
      <c r="BD7" s="302"/>
      <c r="BE7" s="332" t="s">
        <v>142</v>
      </c>
      <c r="BF7" s="328"/>
      <c r="BG7" s="617"/>
      <c r="BH7" s="333"/>
      <c r="BI7" s="302"/>
      <c r="BJ7" s="332" t="s">
        <v>160</v>
      </c>
      <c r="BK7" s="328"/>
      <c r="BL7" s="617"/>
      <c r="BM7" s="333"/>
      <c r="BN7" s="302"/>
      <c r="BO7" s="332" t="s">
        <v>163</v>
      </c>
      <c r="BP7" s="328"/>
      <c r="BQ7" s="333"/>
      <c r="BR7" s="302"/>
      <c r="BS7" s="332" t="s">
        <v>163</v>
      </c>
      <c r="BT7" s="328"/>
      <c r="BU7" s="333"/>
      <c r="BV7" s="302"/>
      <c r="BW7" s="393" t="s">
        <v>163</v>
      </c>
      <c r="BX7" s="328"/>
      <c r="BY7" s="617"/>
      <c r="BZ7" s="333"/>
      <c r="CA7" s="302"/>
      <c r="CB7" s="332" t="s">
        <v>163</v>
      </c>
      <c r="CC7" s="328"/>
      <c r="CD7" s="617"/>
      <c r="CE7" s="333"/>
      <c r="CF7" s="302"/>
      <c r="CG7" s="468"/>
    </row>
    <row r="8" spans="1:85" s="63" customFormat="1" ht="14.4" customHeight="1" x14ac:dyDescent="0.3">
      <c r="A8" s="59"/>
      <c r="B8" s="93"/>
      <c r="C8" s="117"/>
      <c r="D8" s="118"/>
      <c r="E8" s="325" t="s">
        <v>132</v>
      </c>
      <c r="F8" s="325" t="s">
        <v>36</v>
      </c>
      <c r="G8" s="332" t="s">
        <v>153</v>
      </c>
      <c r="H8" s="328"/>
      <c r="I8" s="333"/>
      <c r="J8" s="333"/>
      <c r="K8" s="102"/>
      <c r="L8" s="332" t="s">
        <v>145</v>
      </c>
      <c r="M8" s="328"/>
      <c r="N8" s="617"/>
      <c r="O8" s="333"/>
      <c r="P8" s="102"/>
      <c r="Q8" s="332" t="s">
        <v>153</v>
      </c>
      <c r="R8" s="328"/>
      <c r="S8" s="617"/>
      <c r="T8" s="333"/>
      <c r="U8" s="102"/>
      <c r="V8" s="332" t="s">
        <v>145</v>
      </c>
      <c r="W8" s="328"/>
      <c r="X8" s="617"/>
      <c r="Y8" s="333"/>
      <c r="Z8" s="102"/>
      <c r="AA8" s="332" t="s">
        <v>153</v>
      </c>
      <c r="AB8" s="328"/>
      <c r="AC8" s="617"/>
      <c r="AD8" s="333"/>
      <c r="AE8" s="102"/>
      <c r="AF8" s="332" t="s">
        <v>145</v>
      </c>
      <c r="AG8" s="328"/>
      <c r="AH8" s="617"/>
      <c r="AI8" s="333"/>
      <c r="AJ8" s="102"/>
      <c r="AK8" s="332" t="s">
        <v>161</v>
      </c>
      <c r="AL8" s="328"/>
      <c r="AM8" s="617"/>
      <c r="AN8" s="333"/>
      <c r="AO8" s="102"/>
      <c r="AP8" s="332" t="s">
        <v>162</v>
      </c>
      <c r="AQ8" s="328"/>
      <c r="AR8" s="617"/>
      <c r="AS8" s="333"/>
      <c r="AU8" s="393" t="s">
        <v>153</v>
      </c>
      <c r="AV8" s="328"/>
      <c r="AW8" s="617"/>
      <c r="AX8" s="333"/>
      <c r="AY8" s="102"/>
      <c r="AZ8" s="393" t="s">
        <v>153</v>
      </c>
      <c r="BA8" s="328"/>
      <c r="BB8" s="617"/>
      <c r="BC8" s="333"/>
      <c r="BD8" s="102"/>
      <c r="BE8" s="393" t="s">
        <v>153</v>
      </c>
      <c r="BF8" s="328"/>
      <c r="BG8" s="617"/>
      <c r="BH8" s="333"/>
      <c r="BI8" s="102"/>
      <c r="BJ8" s="393" t="s">
        <v>161</v>
      </c>
      <c r="BK8" s="328"/>
      <c r="BL8" s="617"/>
      <c r="BM8" s="333"/>
      <c r="BN8" s="102"/>
      <c r="BO8" s="332" t="s">
        <v>164</v>
      </c>
      <c r="BP8" s="328"/>
      <c r="BQ8" s="333"/>
      <c r="BR8" s="102"/>
      <c r="BS8" s="332" t="s">
        <v>164</v>
      </c>
      <c r="BT8" s="328"/>
      <c r="BU8" s="333"/>
      <c r="BV8" s="102"/>
      <c r="BW8" s="393" t="s">
        <v>164</v>
      </c>
      <c r="BX8" s="328"/>
      <c r="BY8" s="617"/>
      <c r="BZ8" s="333"/>
      <c r="CA8" s="102"/>
      <c r="CB8" s="332" t="s">
        <v>164</v>
      </c>
      <c r="CC8" s="328"/>
      <c r="CD8" s="617"/>
      <c r="CE8" s="333"/>
      <c r="CF8" s="102"/>
      <c r="CG8" s="469"/>
    </row>
    <row r="9" spans="1:85" s="63" customFormat="1" ht="14.4" customHeight="1" x14ac:dyDescent="0.3">
      <c r="A9" s="59"/>
      <c r="B9" s="93"/>
      <c r="C9" s="117"/>
      <c r="D9" s="118"/>
      <c r="E9" s="61" t="s">
        <v>37</v>
      </c>
      <c r="F9" s="60" t="s">
        <v>36</v>
      </c>
      <c r="G9" s="346" t="s">
        <v>124</v>
      </c>
      <c r="H9" s="329"/>
      <c r="I9" s="331"/>
      <c r="J9" s="331"/>
      <c r="K9" s="102"/>
      <c r="L9" s="346" t="s">
        <v>143</v>
      </c>
      <c r="M9" s="329"/>
      <c r="N9" s="618"/>
      <c r="O9" s="331"/>
      <c r="P9" s="102"/>
      <c r="Q9" s="346" t="s">
        <v>125</v>
      </c>
      <c r="R9" s="329"/>
      <c r="S9" s="618"/>
      <c r="T9" s="331"/>
      <c r="U9" s="102"/>
      <c r="V9" s="346" t="s">
        <v>152</v>
      </c>
      <c r="W9" s="329"/>
      <c r="X9" s="618"/>
      <c r="Y9" s="331"/>
      <c r="Z9" s="102"/>
      <c r="AA9" s="346" t="s">
        <v>126</v>
      </c>
      <c r="AB9" s="329"/>
      <c r="AC9" s="618"/>
      <c r="AD9" s="331"/>
      <c r="AE9" s="102"/>
      <c r="AF9" s="346" t="s">
        <v>154</v>
      </c>
      <c r="AG9" s="329"/>
      <c r="AH9" s="618"/>
      <c r="AI9" s="331"/>
      <c r="AJ9" s="102"/>
      <c r="AK9" s="346" t="s">
        <v>127</v>
      </c>
      <c r="AL9" s="329"/>
      <c r="AM9" s="618"/>
      <c r="AN9" s="331"/>
      <c r="AO9" s="102"/>
      <c r="AP9" s="346" t="s">
        <v>185</v>
      </c>
      <c r="AQ9" s="329"/>
      <c r="AR9" s="618"/>
      <c r="AS9" s="331"/>
      <c r="AU9" s="346" t="s">
        <v>251</v>
      </c>
      <c r="AV9" s="396"/>
      <c r="AW9" s="618"/>
      <c r="AX9" s="331"/>
      <c r="AY9" s="102"/>
      <c r="AZ9" s="346" t="s">
        <v>250</v>
      </c>
      <c r="BA9" s="396"/>
      <c r="BB9" s="618"/>
      <c r="BC9" s="331"/>
      <c r="BD9" s="102"/>
      <c r="BE9" s="346" t="s">
        <v>248</v>
      </c>
      <c r="BF9" s="396"/>
      <c r="BG9" s="618"/>
      <c r="BH9" s="331"/>
      <c r="BI9" s="102"/>
      <c r="BJ9" s="346" t="s">
        <v>249</v>
      </c>
      <c r="BK9" s="396"/>
      <c r="BL9" s="618"/>
      <c r="BM9" s="331"/>
      <c r="BN9" s="102"/>
      <c r="BO9" s="346" t="s">
        <v>165</v>
      </c>
      <c r="BP9" s="329"/>
      <c r="BQ9" s="331"/>
      <c r="BR9" s="102"/>
      <c r="BS9" s="346" t="s">
        <v>166</v>
      </c>
      <c r="BT9" s="329"/>
      <c r="BU9" s="331"/>
      <c r="BV9" s="102"/>
      <c r="BW9" s="346" t="s">
        <v>208</v>
      </c>
      <c r="BX9" s="396"/>
      <c r="BY9" s="618"/>
      <c r="BZ9" s="331"/>
      <c r="CA9" s="102"/>
      <c r="CB9" s="346" t="s">
        <v>167</v>
      </c>
      <c r="CC9" s="329"/>
      <c r="CD9" s="618"/>
      <c r="CE9" s="331"/>
      <c r="CF9" s="102"/>
      <c r="CG9" s="469"/>
    </row>
    <row r="10" spans="1:85" s="8" customFormat="1" ht="15" customHeight="1" x14ac:dyDescent="0.3">
      <c r="A10" s="72"/>
      <c r="B10" s="105"/>
      <c r="C10" s="94"/>
      <c r="D10" s="65"/>
      <c r="E10" s="61" t="s">
        <v>38</v>
      </c>
      <c r="F10" s="86" t="s">
        <v>36</v>
      </c>
      <c r="G10" s="74" t="s">
        <v>4</v>
      </c>
      <c r="H10" s="78" t="s">
        <v>4</v>
      </c>
      <c r="I10" s="78" t="s">
        <v>4</v>
      </c>
      <c r="J10" s="79" t="s">
        <v>4</v>
      </c>
      <c r="L10" s="74" t="s">
        <v>4</v>
      </c>
      <c r="M10" s="78" t="s">
        <v>4</v>
      </c>
      <c r="N10" s="78" t="s">
        <v>4</v>
      </c>
      <c r="O10" s="79" t="s">
        <v>4</v>
      </c>
      <c r="Q10" s="74" t="s">
        <v>14</v>
      </c>
      <c r="R10" s="78" t="s">
        <v>14</v>
      </c>
      <c r="S10" s="78" t="s">
        <v>14</v>
      </c>
      <c r="T10" s="79" t="s">
        <v>14</v>
      </c>
      <c r="V10" s="74" t="s">
        <v>14</v>
      </c>
      <c r="W10" s="78" t="s">
        <v>14</v>
      </c>
      <c r="X10" s="78" t="s">
        <v>14</v>
      </c>
      <c r="Y10" s="79" t="s">
        <v>14</v>
      </c>
      <c r="AA10" s="193" t="s">
        <v>16</v>
      </c>
      <c r="AB10" s="194" t="s">
        <v>16</v>
      </c>
      <c r="AC10" s="194" t="s">
        <v>16</v>
      </c>
      <c r="AD10" s="79" t="s">
        <v>16</v>
      </c>
      <c r="AF10" s="193" t="s">
        <v>16</v>
      </c>
      <c r="AG10" s="194" t="s">
        <v>16</v>
      </c>
      <c r="AH10" s="194" t="s">
        <v>16</v>
      </c>
      <c r="AI10" s="79" t="s">
        <v>16</v>
      </c>
      <c r="AK10" s="74" t="s">
        <v>17</v>
      </c>
      <c r="AL10" s="78" t="s">
        <v>17</v>
      </c>
      <c r="AM10" s="78" t="s">
        <v>17</v>
      </c>
      <c r="AN10" s="79" t="s">
        <v>17</v>
      </c>
      <c r="AP10" s="74" t="s">
        <v>17</v>
      </c>
      <c r="AQ10" s="78" t="s">
        <v>17</v>
      </c>
      <c r="AR10" s="78" t="s">
        <v>17</v>
      </c>
      <c r="AS10" s="79" t="s">
        <v>17</v>
      </c>
      <c r="AU10" s="74" t="s">
        <v>4</v>
      </c>
      <c r="AV10" s="78" t="s">
        <v>4</v>
      </c>
      <c r="AW10" s="78" t="s">
        <v>4</v>
      </c>
      <c r="AX10" s="79" t="s">
        <v>4</v>
      </c>
      <c r="AZ10" s="74" t="s">
        <v>14</v>
      </c>
      <c r="BA10" s="78" t="s">
        <v>14</v>
      </c>
      <c r="BB10" s="78" t="s">
        <v>14</v>
      </c>
      <c r="BC10" s="79" t="s">
        <v>14</v>
      </c>
      <c r="BE10" s="193" t="s">
        <v>16</v>
      </c>
      <c r="BF10" s="194" t="s">
        <v>16</v>
      </c>
      <c r="BG10" s="194" t="s">
        <v>16</v>
      </c>
      <c r="BH10" s="195" t="s">
        <v>16</v>
      </c>
      <c r="BJ10" s="74" t="s">
        <v>17</v>
      </c>
      <c r="BK10" s="78" t="s">
        <v>17</v>
      </c>
      <c r="BL10" s="78" t="s">
        <v>17</v>
      </c>
      <c r="BM10" s="79" t="s">
        <v>17</v>
      </c>
      <c r="BO10" s="74" t="s">
        <v>4</v>
      </c>
      <c r="BP10" s="78" t="s">
        <v>4</v>
      </c>
      <c r="BQ10" s="79" t="s">
        <v>4</v>
      </c>
      <c r="BS10" s="74" t="s">
        <v>14</v>
      </c>
      <c r="BT10" s="78" t="s">
        <v>14</v>
      </c>
      <c r="BU10" s="79" t="s">
        <v>14</v>
      </c>
      <c r="BW10" s="74" t="s">
        <v>16</v>
      </c>
      <c r="BX10" s="78" t="s">
        <v>16</v>
      </c>
      <c r="BY10" s="78" t="s">
        <v>16</v>
      </c>
      <c r="BZ10" s="79" t="s">
        <v>16</v>
      </c>
      <c r="CB10" s="74" t="s">
        <v>17</v>
      </c>
      <c r="CC10" s="78" t="s">
        <v>17</v>
      </c>
      <c r="CD10" s="78" t="s">
        <v>17</v>
      </c>
      <c r="CE10" s="79" t="s">
        <v>17</v>
      </c>
    </row>
    <row r="11" spans="1:85" s="8" customFormat="1" x14ac:dyDescent="0.3">
      <c r="A11" s="72"/>
      <c r="B11" s="105"/>
      <c r="C11" s="94"/>
      <c r="D11" s="65"/>
      <c r="E11" s="63" t="s">
        <v>40</v>
      </c>
      <c r="F11" s="86" t="s">
        <v>41</v>
      </c>
      <c r="G11" s="74">
        <v>40</v>
      </c>
      <c r="H11" s="78">
        <v>45</v>
      </c>
      <c r="I11" s="78">
        <v>50</v>
      </c>
      <c r="J11" s="79">
        <v>60</v>
      </c>
      <c r="L11" s="74">
        <v>40</v>
      </c>
      <c r="M11" s="78">
        <v>45</v>
      </c>
      <c r="N11" s="78">
        <v>50</v>
      </c>
      <c r="O11" s="79">
        <v>60</v>
      </c>
      <c r="Q11" s="74">
        <v>35</v>
      </c>
      <c r="R11" s="78">
        <v>40</v>
      </c>
      <c r="S11" s="78">
        <v>45</v>
      </c>
      <c r="T11" s="79">
        <v>65</v>
      </c>
      <c r="V11" s="74">
        <v>35</v>
      </c>
      <c r="W11" s="78">
        <v>40</v>
      </c>
      <c r="X11" s="78">
        <v>45</v>
      </c>
      <c r="Y11" s="79">
        <v>65</v>
      </c>
      <c r="AA11" s="189">
        <v>6</v>
      </c>
      <c r="AB11" s="190">
        <v>7</v>
      </c>
      <c r="AC11" s="190">
        <v>8</v>
      </c>
      <c r="AD11" s="79">
        <v>9</v>
      </c>
      <c r="AF11" s="189">
        <v>6</v>
      </c>
      <c r="AG11" s="190">
        <v>7</v>
      </c>
      <c r="AH11" s="190">
        <v>8</v>
      </c>
      <c r="AI11" s="79">
        <v>10</v>
      </c>
      <c r="AK11" s="74">
        <v>25</v>
      </c>
      <c r="AL11" s="78">
        <v>30</v>
      </c>
      <c r="AM11" s="78">
        <v>35</v>
      </c>
      <c r="AN11" s="79">
        <v>40</v>
      </c>
      <c r="AP11" s="74">
        <v>35</v>
      </c>
      <c r="AQ11" s="78">
        <v>40</v>
      </c>
      <c r="AR11" s="78">
        <v>45</v>
      </c>
      <c r="AS11" s="79">
        <v>50</v>
      </c>
      <c r="AU11" s="74">
        <v>40</v>
      </c>
      <c r="AV11" s="78">
        <v>45</v>
      </c>
      <c r="AW11" s="78">
        <v>50</v>
      </c>
      <c r="AX11" s="79">
        <v>60</v>
      </c>
      <c r="AZ11" s="74">
        <v>35</v>
      </c>
      <c r="BA11" s="78">
        <v>40</v>
      </c>
      <c r="BB11" s="78">
        <v>45</v>
      </c>
      <c r="BC11" s="79">
        <v>65</v>
      </c>
      <c r="BE11" s="189">
        <v>6</v>
      </c>
      <c r="BF11" s="190">
        <v>7</v>
      </c>
      <c r="BG11" s="190">
        <v>8</v>
      </c>
      <c r="BH11" s="191">
        <v>9</v>
      </c>
      <c r="BJ11" s="74">
        <v>25</v>
      </c>
      <c r="BK11" s="78">
        <v>30</v>
      </c>
      <c r="BL11" s="78">
        <v>35</v>
      </c>
      <c r="BM11" s="79">
        <v>40</v>
      </c>
      <c r="BO11" s="74">
        <v>40</v>
      </c>
      <c r="BP11" s="78">
        <v>45</v>
      </c>
      <c r="BQ11" s="79">
        <v>50</v>
      </c>
      <c r="BS11" s="74">
        <v>40</v>
      </c>
      <c r="BT11" s="78">
        <v>45</v>
      </c>
      <c r="BU11" s="79">
        <v>50</v>
      </c>
      <c r="BW11" s="74">
        <v>6</v>
      </c>
      <c r="BX11" s="78">
        <v>7</v>
      </c>
      <c r="BY11" s="78">
        <v>8</v>
      </c>
      <c r="BZ11" s="79">
        <v>9</v>
      </c>
      <c r="CB11" s="74">
        <v>35</v>
      </c>
      <c r="CC11" s="78">
        <v>40</v>
      </c>
      <c r="CD11" s="78">
        <v>45</v>
      </c>
      <c r="CE11" s="79">
        <v>50</v>
      </c>
    </row>
    <row r="12" spans="1:85" s="8" customFormat="1" x14ac:dyDescent="0.3">
      <c r="A12" s="72"/>
      <c r="B12" s="105"/>
      <c r="C12" s="94"/>
      <c r="D12" s="65"/>
      <c r="E12" s="63" t="s">
        <v>42</v>
      </c>
      <c r="F12" s="86" t="s">
        <v>43</v>
      </c>
      <c r="G12" s="221">
        <v>0.8</v>
      </c>
      <c r="H12" s="222">
        <v>0.1</v>
      </c>
      <c r="I12" s="222">
        <v>0.09</v>
      </c>
      <c r="J12" s="223">
        <v>0.01</v>
      </c>
      <c r="K12" s="67"/>
      <c r="L12" s="221">
        <v>0.2</v>
      </c>
      <c r="M12" s="222">
        <v>0.6</v>
      </c>
      <c r="N12" s="222">
        <v>0.19</v>
      </c>
      <c r="O12" s="223">
        <v>0.01</v>
      </c>
      <c r="P12" s="67"/>
      <c r="Q12" s="221">
        <v>0.4</v>
      </c>
      <c r="R12" s="222">
        <v>0.5</v>
      </c>
      <c r="S12" s="222">
        <v>0.09</v>
      </c>
      <c r="T12" s="223">
        <v>0.01</v>
      </c>
      <c r="U12" s="67"/>
      <c r="V12" s="221"/>
      <c r="W12" s="222">
        <v>0.5</v>
      </c>
      <c r="X12" s="222">
        <v>0.49</v>
      </c>
      <c r="Y12" s="223">
        <v>0.01</v>
      </c>
      <c r="Z12" s="67"/>
      <c r="AA12" s="221">
        <v>0.8</v>
      </c>
      <c r="AB12" s="222">
        <v>0.1</v>
      </c>
      <c r="AC12" s="222">
        <v>0.09</v>
      </c>
      <c r="AD12" s="223">
        <v>0.01</v>
      </c>
      <c r="AE12" s="67"/>
      <c r="AF12" s="221">
        <v>0.2</v>
      </c>
      <c r="AG12" s="222">
        <v>0.6</v>
      </c>
      <c r="AH12" s="222">
        <v>0.19</v>
      </c>
      <c r="AI12" s="223">
        <v>0.01</v>
      </c>
      <c r="AJ12" s="67"/>
      <c r="AK12" s="221">
        <v>0</v>
      </c>
      <c r="AL12" s="222"/>
      <c r="AM12" s="222">
        <v>0.3</v>
      </c>
      <c r="AN12" s="223">
        <v>0.7</v>
      </c>
      <c r="AO12" s="67"/>
      <c r="AP12" s="221">
        <v>0.3</v>
      </c>
      <c r="AQ12" s="222">
        <v>0.45</v>
      </c>
      <c r="AR12" s="222">
        <v>0.25</v>
      </c>
      <c r="AS12" s="223"/>
      <c r="AU12" s="221">
        <v>0.8</v>
      </c>
      <c r="AV12" s="222">
        <v>0.1</v>
      </c>
      <c r="AW12" s="222">
        <v>0.09</v>
      </c>
      <c r="AX12" s="223">
        <v>0.01</v>
      </c>
      <c r="AY12" s="67"/>
      <c r="AZ12" s="221">
        <v>0.4</v>
      </c>
      <c r="BA12" s="222">
        <v>0.5</v>
      </c>
      <c r="BB12" s="222">
        <v>0.09</v>
      </c>
      <c r="BC12" s="223">
        <v>0.01</v>
      </c>
      <c r="BD12" s="67"/>
      <c r="BE12" s="221">
        <v>0.8</v>
      </c>
      <c r="BF12" s="222">
        <v>0.1</v>
      </c>
      <c r="BG12" s="222">
        <v>0.09</v>
      </c>
      <c r="BH12" s="223">
        <v>0.01</v>
      </c>
      <c r="BI12" s="67"/>
      <c r="BJ12" s="221">
        <v>0.4</v>
      </c>
      <c r="BK12" s="222"/>
      <c r="BL12" s="222">
        <v>0.6</v>
      </c>
      <c r="BM12" s="223"/>
      <c r="BN12" s="67"/>
      <c r="BO12" s="221">
        <v>0.5</v>
      </c>
      <c r="BP12" s="222">
        <v>0.5</v>
      </c>
      <c r="BQ12" s="223"/>
      <c r="BR12" s="67"/>
      <c r="BS12" s="221">
        <v>0.5</v>
      </c>
      <c r="BT12" s="222">
        <v>0.5</v>
      </c>
      <c r="BU12" s="223"/>
      <c r="BV12" s="67"/>
      <c r="BW12" s="221"/>
      <c r="BX12" s="222"/>
      <c r="BY12" s="222">
        <v>1</v>
      </c>
      <c r="BZ12" s="223"/>
      <c r="CA12" s="67"/>
      <c r="CB12" s="221"/>
      <c r="CC12" s="222">
        <v>0.5</v>
      </c>
      <c r="CD12" s="222">
        <v>0.5</v>
      </c>
      <c r="CE12" s="223"/>
      <c r="CF12" s="67"/>
      <c r="CG12" s="470"/>
    </row>
    <row r="13" spans="1:85" s="8" customFormat="1" x14ac:dyDescent="0.3">
      <c r="A13" s="72"/>
      <c r="B13" s="105"/>
      <c r="C13" s="94"/>
      <c r="D13" s="65"/>
      <c r="E13" s="63"/>
      <c r="F13" s="103"/>
      <c r="G13" s="9"/>
      <c r="I13" s="596"/>
      <c r="J13" s="146"/>
      <c r="L13" s="9"/>
      <c r="N13" s="596"/>
      <c r="O13" s="146"/>
      <c r="Q13" s="9"/>
      <c r="T13" s="146"/>
      <c r="V13" s="9"/>
      <c r="Y13" s="146"/>
      <c r="AA13" s="9"/>
      <c r="AD13" s="146"/>
      <c r="AF13" s="9"/>
      <c r="AI13" s="146"/>
      <c r="AK13" s="9"/>
      <c r="AN13" s="146"/>
      <c r="AP13" s="9"/>
      <c r="AS13" s="146"/>
      <c r="AU13" s="9"/>
      <c r="AW13" s="596"/>
      <c r="AX13" s="146"/>
      <c r="AZ13" s="9"/>
      <c r="BC13" s="10"/>
      <c r="BE13" s="9"/>
      <c r="BH13" s="10"/>
      <c r="BJ13" s="9"/>
      <c r="BM13" s="10"/>
      <c r="BO13" s="9"/>
      <c r="BQ13" s="10"/>
      <c r="BS13" s="9"/>
      <c r="BU13" s="10"/>
      <c r="BW13" s="9"/>
      <c r="BZ13" s="10"/>
      <c r="CB13" s="9"/>
      <c r="CE13" s="10"/>
    </row>
    <row r="14" spans="1:85" s="8" customFormat="1" x14ac:dyDescent="0.3">
      <c r="A14" s="72"/>
      <c r="B14" s="105"/>
      <c r="C14" s="94"/>
      <c r="D14" s="73" t="s">
        <v>44</v>
      </c>
      <c r="E14" s="63"/>
      <c r="F14" s="103"/>
      <c r="G14" s="140" t="s">
        <v>45</v>
      </c>
      <c r="H14" s="78"/>
      <c r="J14" s="10"/>
      <c r="L14" s="140" t="s">
        <v>45</v>
      </c>
      <c r="M14" s="78"/>
      <c r="O14" s="10"/>
      <c r="Q14" s="140" t="s">
        <v>45</v>
      </c>
      <c r="R14" s="144"/>
      <c r="T14" s="10"/>
      <c r="V14" s="140" t="s">
        <v>45</v>
      </c>
      <c r="W14" s="144"/>
      <c r="Y14" s="10"/>
      <c r="AA14" s="140" t="s">
        <v>46</v>
      </c>
      <c r="AB14" s="144"/>
      <c r="AD14" s="10"/>
      <c r="AF14" s="140" t="s">
        <v>46</v>
      </c>
      <c r="AG14" s="144"/>
      <c r="AI14" s="10"/>
      <c r="AK14" s="140" t="s">
        <v>45</v>
      </c>
      <c r="AL14" s="144"/>
      <c r="AN14" s="10"/>
      <c r="AP14" s="140" t="s">
        <v>45</v>
      </c>
      <c r="AQ14" s="144"/>
      <c r="AS14" s="10"/>
      <c r="AU14" s="140" t="s">
        <v>45</v>
      </c>
      <c r="AV14" s="78"/>
      <c r="AX14" s="10"/>
      <c r="AZ14" s="140" t="s">
        <v>45</v>
      </c>
      <c r="BA14" s="144"/>
      <c r="BC14" s="10"/>
      <c r="BE14" s="140" t="s">
        <v>46</v>
      </c>
      <c r="BF14" s="144"/>
      <c r="BH14" s="10"/>
      <c r="BJ14" s="140" t="s">
        <v>45</v>
      </c>
      <c r="BK14" s="144"/>
      <c r="BM14" s="10"/>
      <c r="BO14" s="140" t="s">
        <v>45</v>
      </c>
      <c r="BP14" s="144"/>
      <c r="BQ14" s="10"/>
      <c r="BS14" s="140" t="s">
        <v>45</v>
      </c>
      <c r="BT14" s="144"/>
      <c r="BU14" s="10"/>
      <c r="BW14" s="140" t="s">
        <v>46</v>
      </c>
      <c r="BX14" s="144"/>
      <c r="BZ14" s="10"/>
      <c r="CB14" s="140" t="s">
        <v>45</v>
      </c>
      <c r="CC14" s="144"/>
      <c r="CE14" s="10"/>
    </row>
    <row r="15" spans="1:85" s="8" customFormat="1" x14ac:dyDescent="0.3">
      <c r="A15" s="72"/>
      <c r="B15" s="105"/>
      <c r="C15" s="94"/>
      <c r="D15" s="65"/>
      <c r="E15" s="64" t="s">
        <v>47</v>
      </c>
      <c r="F15" s="86" t="s">
        <v>48</v>
      </c>
      <c r="G15" s="137">
        <f xml:space="preserve"> 'Bron - cao''s 2025'!$F$14</f>
        <v>3682</v>
      </c>
      <c r="H15" s="141">
        <f xml:space="preserve"> 'Bron - cao''s 2025'!$F$15</f>
        <v>4017</v>
      </c>
      <c r="I15" s="141">
        <f>'Bron - cao''s 2025'!F16</f>
        <v>4434</v>
      </c>
      <c r="J15" s="139">
        <f>'Bron - cao''s 2025'!F18</f>
        <v>5548</v>
      </c>
      <c r="L15" s="137">
        <f xml:space="preserve"> 'Bron - cao''s 2025'!$F$14</f>
        <v>3682</v>
      </c>
      <c r="M15" s="141">
        <f xml:space="preserve"> 'Bron - cao''s 2025'!$F$15</f>
        <v>4017</v>
      </c>
      <c r="N15" s="141">
        <f>'Bron - cao''s 2025'!F16</f>
        <v>4434</v>
      </c>
      <c r="O15" s="139">
        <f>'Bron - cao''s 2025'!F18</f>
        <v>5548</v>
      </c>
      <c r="Q15" s="137">
        <f xml:space="preserve"> 'Bron - cao''s 2025'!$I$13</f>
        <v>3427</v>
      </c>
      <c r="R15" s="138">
        <f xml:space="preserve"> 'Bron - cao''s 2025'!$I$14</f>
        <v>3678</v>
      </c>
      <c r="S15" s="141">
        <f xml:space="preserve"> 'Bron - cao''s 2025'!$I$15</f>
        <v>4017</v>
      </c>
      <c r="T15" s="139">
        <f>'Bron - cao''s 2025'!I19</f>
        <v>6575</v>
      </c>
      <c r="V15" s="137">
        <f xml:space="preserve"> 'Bron - cao''s 2025'!$I$13</f>
        <v>3427</v>
      </c>
      <c r="W15" s="138">
        <f xml:space="preserve"> 'Bron - cao''s 2025'!$I$14</f>
        <v>3678</v>
      </c>
      <c r="X15" s="141">
        <f xml:space="preserve"> 'Bron - cao''s 2025'!$I$15</f>
        <v>4017</v>
      </c>
      <c r="Y15" s="139">
        <f>'Bron - cao''s 2025'!I19</f>
        <v>6575</v>
      </c>
      <c r="AA15" s="137">
        <f xml:space="preserve"> 'Bron - cao''s 2025'!$I$32</f>
        <v>4140</v>
      </c>
      <c r="AB15" s="141">
        <f xml:space="preserve"> 'Bron - cao''s 2025'!$I$33</f>
        <v>4523</v>
      </c>
      <c r="AC15" s="141">
        <f>'Bron - cao''s 2025'!I34</f>
        <v>4983</v>
      </c>
      <c r="AD15" s="139">
        <f>'Bron - cao''s 2025'!I35</f>
        <v>5512</v>
      </c>
      <c r="AF15" s="137">
        <f xml:space="preserve"> 'Bron - cao''s 2025'!$I$32</f>
        <v>4140</v>
      </c>
      <c r="AG15" s="141">
        <f xml:space="preserve"> 'Bron - cao''s 2025'!$I$33</f>
        <v>4523</v>
      </c>
      <c r="AH15" s="141">
        <f>'Bron - cao''s 2025'!I34</f>
        <v>4983</v>
      </c>
      <c r="AI15" s="139">
        <f>'Bron - cao''s 2025'!I36</f>
        <v>6107</v>
      </c>
      <c r="AK15" s="137">
        <f xml:space="preserve"> 'Bron - cao''s 2025'!$L$11</f>
        <v>3003.86</v>
      </c>
      <c r="AL15" s="138">
        <f xml:space="preserve"> 'Bron - cao''s 2025'!$L$12</f>
        <v>3088.94</v>
      </c>
      <c r="AM15" s="138">
        <f xml:space="preserve"> 'Bron - cao''s 2025'!$L$13</f>
        <v>3337.94</v>
      </c>
      <c r="AN15" s="139">
        <f>'Bron - cao''s 2025'!L14</f>
        <v>3590.14</v>
      </c>
      <c r="AP15" s="137">
        <f>'Bron - cao''s 2025'!L13</f>
        <v>3337.94</v>
      </c>
      <c r="AQ15" s="338">
        <f>'Bron - cao''s 2025'!L14</f>
        <v>3590.14</v>
      </c>
      <c r="AR15" s="138">
        <f xml:space="preserve"> 'Bron - cao''s 2025'!$L$15</f>
        <v>3944.48</v>
      </c>
      <c r="AS15" s="139">
        <f>'Bron - cao''s 2025'!L16</f>
        <v>4480.21</v>
      </c>
      <c r="AT15" s="313"/>
      <c r="AU15" s="137">
        <f xml:space="preserve"> 'Bron - cao''s 2025'!$F$14</f>
        <v>3682</v>
      </c>
      <c r="AV15" s="141">
        <f xml:space="preserve"> 'Bron - cao''s 2025'!$F$15</f>
        <v>4017</v>
      </c>
      <c r="AW15" s="141">
        <f xml:space="preserve"> 'Bron - cao''s 2025'!$F$16</f>
        <v>4434</v>
      </c>
      <c r="AX15" s="139">
        <f>'Bron - cao''s 2025'!F18</f>
        <v>5548</v>
      </c>
      <c r="AZ15" s="137">
        <f xml:space="preserve"> 'Bron - cao''s 2025'!$I$13</f>
        <v>3427</v>
      </c>
      <c r="BA15" s="138">
        <f xml:space="preserve"> 'Bron - cao''s 2025'!$I$14</f>
        <v>3678</v>
      </c>
      <c r="BB15" s="141">
        <f xml:space="preserve"> 'Bron - cao''s 2025'!$I$15</f>
        <v>4017</v>
      </c>
      <c r="BC15" s="139">
        <f>'Bron - cao''s 2025'!I19</f>
        <v>6575</v>
      </c>
      <c r="BE15" s="137">
        <f xml:space="preserve"> 'Bron - cao''s 2025'!$I$32</f>
        <v>4140</v>
      </c>
      <c r="BF15" s="141">
        <f xml:space="preserve"> 'Bron - cao''s 2025'!$I$33</f>
        <v>4523</v>
      </c>
      <c r="BG15" s="141">
        <f xml:space="preserve"> 'Bron - cao''s 2025'!$I$34</f>
        <v>4983</v>
      </c>
      <c r="BH15" s="139">
        <f>'Bron - cao''s 2025'!I35</f>
        <v>5512</v>
      </c>
      <c r="BJ15" s="137">
        <f xml:space="preserve"> 'Bron - cao''s 2025'!$L$11</f>
        <v>3003.86</v>
      </c>
      <c r="BK15" s="138">
        <f xml:space="preserve"> 'Bron - cao''s 2025'!$L$12</f>
        <v>3088.94</v>
      </c>
      <c r="BL15" s="138">
        <f xml:space="preserve"> 'Bron - cao''s 2025'!$L$13</f>
        <v>3337.94</v>
      </c>
      <c r="BM15" s="192">
        <f>'Bron - cao''s 2025'!L14</f>
        <v>3590.14</v>
      </c>
      <c r="BO15" s="137">
        <f>'Bron - cao''s 2025'!F14</f>
        <v>3682</v>
      </c>
      <c r="BP15" s="138">
        <f>'Bron - cao''s 2025'!F15</f>
        <v>4017</v>
      </c>
      <c r="BQ15" s="139">
        <f>'Bron - cao''s 2025'!F16</f>
        <v>4434</v>
      </c>
      <c r="BS15" s="137">
        <f xml:space="preserve"> 'Bron - cao''s 2025'!$I$14</f>
        <v>3678</v>
      </c>
      <c r="BT15" s="141">
        <f xml:space="preserve"> 'Bron - cao''s 2025'!$I$15</f>
        <v>4017</v>
      </c>
      <c r="BU15" s="139">
        <f>'Bron - cao''s 2025'!I16</f>
        <v>4436</v>
      </c>
      <c r="BW15" s="137">
        <f>'Bron - cao''s 2025'!I32</f>
        <v>4140</v>
      </c>
      <c r="BX15" s="338">
        <f>'Bron - cao''s 2025'!I33</f>
        <v>4523</v>
      </c>
      <c r="BY15" s="138">
        <f>'Bron - cao''s 2025'!I34</f>
        <v>4983</v>
      </c>
      <c r="BZ15" s="192">
        <f>'Bron - cao''s 2025'!I35</f>
        <v>5512</v>
      </c>
      <c r="CB15" s="137">
        <f xml:space="preserve"> 'Bron - cao''s 2025'!$L$13</f>
        <v>3337.94</v>
      </c>
      <c r="CC15" s="338">
        <f xml:space="preserve"> 'Bron - cao''s 2025'!$L$14</f>
        <v>3590.14</v>
      </c>
      <c r="CD15" s="138">
        <f xml:space="preserve"> 'Bron - cao''s 2025'!$L$15</f>
        <v>3944.48</v>
      </c>
      <c r="CE15" s="192">
        <f>'Bron - cao''s 2025'!L16</f>
        <v>4480.21</v>
      </c>
    </row>
    <row r="16" spans="1:85" s="227" customFormat="1" x14ac:dyDescent="0.3">
      <c r="A16" s="224"/>
      <c r="B16" s="225"/>
      <c r="C16" s="224"/>
      <c r="D16" s="226"/>
      <c r="E16" s="227" t="s">
        <v>49</v>
      </c>
      <c r="F16" s="228" t="s">
        <v>50</v>
      </c>
      <c r="G16" s="230">
        <v>0.9</v>
      </c>
      <c r="H16" s="304">
        <v>0.9</v>
      </c>
      <c r="I16" s="26">
        <v>0.9</v>
      </c>
      <c r="J16" s="229">
        <v>0.9</v>
      </c>
      <c r="L16" s="230">
        <v>0.9</v>
      </c>
      <c r="M16" s="304">
        <v>0.9</v>
      </c>
      <c r="N16" s="26">
        <v>0.9</v>
      </c>
      <c r="O16" s="229">
        <v>0.9</v>
      </c>
      <c r="Q16" s="230">
        <v>0.9</v>
      </c>
      <c r="R16" s="304">
        <v>0.9</v>
      </c>
      <c r="S16" s="26">
        <v>0.9</v>
      </c>
      <c r="T16" s="229">
        <v>0.9</v>
      </c>
      <c r="U16" s="232"/>
      <c r="V16" s="230">
        <v>0.9</v>
      </c>
      <c r="W16" s="304">
        <v>0.9</v>
      </c>
      <c r="X16" s="26">
        <v>0.9</v>
      </c>
      <c r="Y16" s="229">
        <v>0.9</v>
      </c>
      <c r="Z16" s="232"/>
      <c r="AA16" s="230">
        <v>0.9</v>
      </c>
      <c r="AB16" s="304">
        <v>0.9</v>
      </c>
      <c r="AC16" s="26">
        <v>0.9</v>
      </c>
      <c r="AD16" s="229">
        <v>0.9</v>
      </c>
      <c r="AF16" s="230">
        <v>0.9</v>
      </c>
      <c r="AG16" s="304">
        <v>0.9</v>
      </c>
      <c r="AH16" s="26">
        <v>0.9</v>
      </c>
      <c r="AI16" s="229">
        <v>0.9</v>
      </c>
      <c r="AK16" s="230">
        <v>0.9</v>
      </c>
      <c r="AL16" s="304">
        <v>0.9</v>
      </c>
      <c r="AM16" s="26">
        <v>0.9</v>
      </c>
      <c r="AN16" s="229">
        <v>0.9</v>
      </c>
      <c r="AP16" s="230">
        <v>0.9</v>
      </c>
      <c r="AQ16" s="304">
        <v>0.9</v>
      </c>
      <c r="AR16" s="26">
        <v>0.9</v>
      </c>
      <c r="AS16" s="229">
        <v>0.9</v>
      </c>
      <c r="AU16" s="230">
        <v>0.9</v>
      </c>
      <c r="AV16" s="304">
        <v>0.9</v>
      </c>
      <c r="AW16" s="26">
        <v>0.9</v>
      </c>
      <c r="AX16" s="229">
        <v>0.9</v>
      </c>
      <c r="AZ16" s="230">
        <v>0.9</v>
      </c>
      <c r="BA16" s="304">
        <v>0.9</v>
      </c>
      <c r="BB16" s="26">
        <v>0.9</v>
      </c>
      <c r="BC16" s="229">
        <v>0.9</v>
      </c>
      <c r="BD16" s="232"/>
      <c r="BE16" s="230">
        <v>0.9</v>
      </c>
      <c r="BF16" s="304">
        <v>0.9</v>
      </c>
      <c r="BG16" s="26">
        <v>0.9</v>
      </c>
      <c r="BH16" s="229">
        <v>0.9</v>
      </c>
      <c r="BJ16" s="230">
        <v>0.9</v>
      </c>
      <c r="BK16" s="304">
        <v>0.9</v>
      </c>
      <c r="BL16" s="26">
        <v>0.9</v>
      </c>
      <c r="BM16" s="229">
        <v>0.9</v>
      </c>
      <c r="BO16" s="230">
        <v>0.9</v>
      </c>
      <c r="BP16" s="304">
        <v>0.9</v>
      </c>
      <c r="BQ16" s="229">
        <v>0.9</v>
      </c>
      <c r="BS16" s="230">
        <v>0.9</v>
      </c>
      <c r="BT16" s="304">
        <v>0.9</v>
      </c>
      <c r="BU16" s="229">
        <v>0.9</v>
      </c>
      <c r="BW16" s="413">
        <v>0.9</v>
      </c>
      <c r="BX16" s="414">
        <v>0.9</v>
      </c>
      <c r="BY16" s="304">
        <v>0.9</v>
      </c>
      <c r="BZ16" s="233">
        <v>0.9</v>
      </c>
      <c r="CB16" s="230">
        <v>0.9</v>
      </c>
      <c r="CC16" s="304">
        <v>0.9</v>
      </c>
      <c r="CD16" s="26">
        <v>0.9</v>
      </c>
      <c r="CE16" s="233">
        <v>0.9</v>
      </c>
    </row>
    <row r="17" spans="1:85" s="227" customFormat="1" x14ac:dyDescent="0.3">
      <c r="A17" s="224"/>
      <c r="B17" s="225"/>
      <c r="C17" s="224"/>
      <c r="D17" s="226"/>
      <c r="E17" s="227" t="s">
        <v>51</v>
      </c>
      <c r="F17" s="228" t="s">
        <v>52</v>
      </c>
      <c r="G17" s="230">
        <v>0</v>
      </c>
      <c r="H17" s="26">
        <v>0</v>
      </c>
      <c r="I17" s="26">
        <v>0</v>
      </c>
      <c r="J17" s="229">
        <v>0</v>
      </c>
      <c r="L17" s="230">
        <v>0</v>
      </c>
      <c r="M17" s="26">
        <v>0</v>
      </c>
      <c r="N17" s="26">
        <v>0</v>
      </c>
      <c r="O17" s="229">
        <v>0</v>
      </c>
      <c r="Q17" s="230">
        <v>0</v>
      </c>
      <c r="R17" s="26">
        <v>0</v>
      </c>
      <c r="S17" s="26">
        <v>0</v>
      </c>
      <c r="T17" s="229">
        <v>0</v>
      </c>
      <c r="U17" s="232"/>
      <c r="V17" s="230">
        <v>0</v>
      </c>
      <c r="W17" s="26">
        <v>0</v>
      </c>
      <c r="X17" s="26">
        <v>0</v>
      </c>
      <c r="Y17" s="229">
        <v>0</v>
      </c>
      <c r="Z17" s="232"/>
      <c r="AA17" s="230">
        <v>0</v>
      </c>
      <c r="AB17" s="26">
        <v>0</v>
      </c>
      <c r="AC17" s="26">
        <v>0</v>
      </c>
      <c r="AD17" s="229">
        <v>0</v>
      </c>
      <c r="AF17" s="230">
        <v>0</v>
      </c>
      <c r="AG17" s="26">
        <v>0</v>
      </c>
      <c r="AH17" s="26">
        <v>0</v>
      </c>
      <c r="AI17" s="229">
        <v>0</v>
      </c>
      <c r="AK17" s="230">
        <v>0</v>
      </c>
      <c r="AL17" s="26">
        <v>0</v>
      </c>
      <c r="AM17" s="26">
        <v>0</v>
      </c>
      <c r="AN17" s="229">
        <v>0</v>
      </c>
      <c r="AP17" s="230">
        <v>0</v>
      </c>
      <c r="AQ17" s="26">
        <v>0</v>
      </c>
      <c r="AR17" s="26">
        <v>0</v>
      </c>
      <c r="AS17" s="229">
        <v>0</v>
      </c>
      <c r="AU17" s="230">
        <v>0</v>
      </c>
      <c r="AV17" s="26">
        <v>0</v>
      </c>
      <c r="AW17" s="26">
        <v>0</v>
      </c>
      <c r="AX17" s="229">
        <v>0</v>
      </c>
      <c r="AZ17" s="230">
        <v>0</v>
      </c>
      <c r="BA17" s="26">
        <v>0</v>
      </c>
      <c r="BB17" s="26">
        <v>0</v>
      </c>
      <c r="BC17" s="229">
        <v>0</v>
      </c>
      <c r="BD17" s="232"/>
      <c r="BE17" s="230">
        <v>0</v>
      </c>
      <c r="BF17" s="26">
        <v>0</v>
      </c>
      <c r="BG17" s="26">
        <v>0</v>
      </c>
      <c r="BH17" s="229">
        <v>0</v>
      </c>
      <c r="BJ17" s="230">
        <v>0</v>
      </c>
      <c r="BK17" s="26">
        <v>0</v>
      </c>
      <c r="BL17" s="26">
        <v>0</v>
      </c>
      <c r="BM17" s="229">
        <v>0</v>
      </c>
      <c r="BO17" s="230">
        <v>0</v>
      </c>
      <c r="BP17" s="26">
        <v>0</v>
      </c>
      <c r="BQ17" s="229">
        <v>0</v>
      </c>
      <c r="BS17" s="230">
        <v>0</v>
      </c>
      <c r="BT17" s="26">
        <v>0</v>
      </c>
      <c r="BU17" s="229">
        <v>0</v>
      </c>
      <c r="BW17" s="413">
        <v>0</v>
      </c>
      <c r="BX17" s="414">
        <v>0</v>
      </c>
      <c r="BY17" s="304">
        <v>0</v>
      </c>
      <c r="BZ17" s="233">
        <v>0</v>
      </c>
      <c r="CB17" s="230">
        <v>0</v>
      </c>
      <c r="CC17" s="26">
        <v>0</v>
      </c>
      <c r="CD17" s="26">
        <v>0</v>
      </c>
      <c r="CE17" s="233">
        <v>0</v>
      </c>
    </row>
    <row r="18" spans="1:85" s="8" customFormat="1" x14ac:dyDescent="0.3">
      <c r="A18" s="72"/>
      <c r="B18" s="105"/>
      <c r="C18" s="94"/>
      <c r="D18" s="65"/>
      <c r="E18" s="63" t="s">
        <v>53</v>
      </c>
      <c r="F18" s="86" t="s">
        <v>52</v>
      </c>
      <c r="G18" s="364">
        <v>8.3299999999999999E-2</v>
      </c>
      <c r="H18" s="362">
        <v>8.3299999999999999E-2</v>
      </c>
      <c r="I18" s="362">
        <v>8.3299999999999999E-2</v>
      </c>
      <c r="J18" s="363">
        <v>8.3299999999999999E-2</v>
      </c>
      <c r="K18" s="67"/>
      <c r="L18" s="364">
        <v>8.3299999999999999E-2</v>
      </c>
      <c r="M18" s="362">
        <v>8.3299999999999999E-2</v>
      </c>
      <c r="N18" s="362">
        <v>8.3299999999999999E-2</v>
      </c>
      <c r="O18" s="363">
        <v>8.3299999999999999E-2</v>
      </c>
      <c r="P18" s="67"/>
      <c r="Q18" s="221">
        <v>0.08</v>
      </c>
      <c r="R18" s="222">
        <v>0.08</v>
      </c>
      <c r="S18" s="222">
        <v>0.08</v>
      </c>
      <c r="T18" s="363">
        <v>8.3299999999999999E-2</v>
      </c>
      <c r="U18" s="67"/>
      <c r="V18" s="221">
        <v>0.08</v>
      </c>
      <c r="W18" s="222">
        <v>0.08</v>
      </c>
      <c r="X18" s="222">
        <v>0.08</v>
      </c>
      <c r="Y18" s="363">
        <v>8.3299999999999999E-2</v>
      </c>
      <c r="Z18" s="67"/>
      <c r="AA18" s="221">
        <v>0.08</v>
      </c>
      <c r="AB18" s="222">
        <v>0.08</v>
      </c>
      <c r="AC18" s="222">
        <v>0.08</v>
      </c>
      <c r="AD18" s="363">
        <v>8.3299999999999999E-2</v>
      </c>
      <c r="AE18" s="67"/>
      <c r="AF18" s="221">
        <v>0.08</v>
      </c>
      <c r="AG18" s="222">
        <v>0.08</v>
      </c>
      <c r="AH18" s="222">
        <v>0.08</v>
      </c>
      <c r="AI18" s="363">
        <v>8.3299999999999999E-2</v>
      </c>
      <c r="AJ18" s="67"/>
      <c r="AK18" s="221">
        <v>0.08</v>
      </c>
      <c r="AL18" s="222">
        <v>0.08</v>
      </c>
      <c r="AM18" s="222">
        <v>0.08</v>
      </c>
      <c r="AN18" s="363">
        <v>8.3299999999999999E-2</v>
      </c>
      <c r="AO18" s="67"/>
      <c r="AP18" s="221">
        <v>0.08</v>
      </c>
      <c r="AQ18" s="222">
        <v>0.08</v>
      </c>
      <c r="AR18" s="222">
        <v>0.08</v>
      </c>
      <c r="AS18" s="363">
        <v>8.3299999999999999E-2</v>
      </c>
      <c r="AU18" s="364">
        <v>8.3299999999999999E-2</v>
      </c>
      <c r="AV18" s="362">
        <v>8.3299999999999999E-2</v>
      </c>
      <c r="AW18" s="362">
        <v>8.3299999999999999E-2</v>
      </c>
      <c r="AX18" s="363">
        <v>8.3299999999999999E-2</v>
      </c>
      <c r="AY18" s="67"/>
      <c r="AZ18" s="221">
        <v>0.08</v>
      </c>
      <c r="BA18" s="222">
        <v>0.08</v>
      </c>
      <c r="BB18" s="222">
        <v>0.08</v>
      </c>
      <c r="BC18" s="223">
        <v>0.08</v>
      </c>
      <c r="BD18" s="67"/>
      <c r="BE18" s="221">
        <v>0.08</v>
      </c>
      <c r="BF18" s="222">
        <v>0.08</v>
      </c>
      <c r="BG18" s="222">
        <v>0.08</v>
      </c>
      <c r="BH18" s="223">
        <v>0.08</v>
      </c>
      <c r="BI18" s="67"/>
      <c r="BJ18" s="221">
        <v>0.08</v>
      </c>
      <c r="BK18" s="222">
        <v>0.08</v>
      </c>
      <c r="BL18" s="222">
        <v>0.08</v>
      </c>
      <c r="BM18" s="223">
        <v>0.08</v>
      </c>
      <c r="BN18" s="67"/>
      <c r="BO18" s="221">
        <v>0.08</v>
      </c>
      <c r="BP18" s="222">
        <v>0.08</v>
      </c>
      <c r="BQ18" s="223">
        <v>0.08</v>
      </c>
      <c r="BR18" s="67"/>
      <c r="BS18" s="221">
        <v>0.08</v>
      </c>
      <c r="BT18" s="222">
        <v>0.08</v>
      </c>
      <c r="BU18" s="223">
        <v>0.08</v>
      </c>
      <c r="BV18" s="67"/>
      <c r="BW18" s="221">
        <v>0.08</v>
      </c>
      <c r="BX18" s="222">
        <v>0.08</v>
      </c>
      <c r="BY18" s="222">
        <v>0.08</v>
      </c>
      <c r="BZ18" s="223">
        <v>0.08</v>
      </c>
      <c r="CA18" s="67"/>
      <c r="CB18" s="221">
        <v>0.08</v>
      </c>
      <c r="CC18" s="222">
        <v>0.08</v>
      </c>
      <c r="CD18" s="222">
        <v>0.08</v>
      </c>
      <c r="CE18" s="223">
        <v>0.08</v>
      </c>
      <c r="CF18" s="67"/>
      <c r="CG18" s="470"/>
    </row>
    <row r="19" spans="1:85" s="8" customFormat="1" x14ac:dyDescent="0.3">
      <c r="A19" s="72"/>
      <c r="B19" s="105"/>
      <c r="C19" s="94"/>
      <c r="D19" s="65"/>
      <c r="E19" s="63" t="s">
        <v>54</v>
      </c>
      <c r="F19" s="86" t="s">
        <v>55</v>
      </c>
      <c r="G19" s="364">
        <v>8.3299999999999999E-2</v>
      </c>
      <c r="H19" s="362">
        <v>8.3299999999999999E-2</v>
      </c>
      <c r="I19" s="604">
        <v>8.3299999999999999E-2</v>
      </c>
      <c r="J19" s="363">
        <v>8.3299999999999999E-2</v>
      </c>
      <c r="K19" s="68"/>
      <c r="L19" s="364">
        <v>8.3299999999999999E-2</v>
      </c>
      <c r="M19" s="362">
        <v>8.3299999999999999E-2</v>
      </c>
      <c r="N19" s="362">
        <v>8.3299999999999999E-2</v>
      </c>
      <c r="O19" s="363">
        <v>8.3299999999999999E-2</v>
      </c>
      <c r="P19" s="68"/>
      <c r="Q19" s="364">
        <v>8.3299999999999999E-2</v>
      </c>
      <c r="R19" s="362">
        <v>8.3299999999999999E-2</v>
      </c>
      <c r="S19" s="362">
        <v>8.3299999999999999E-2</v>
      </c>
      <c r="T19" s="363">
        <v>8.3299999999999999E-2</v>
      </c>
      <c r="U19" s="68"/>
      <c r="V19" s="364">
        <v>8.3299999999999999E-2</v>
      </c>
      <c r="W19" s="362">
        <v>8.3299999999999999E-2</v>
      </c>
      <c r="X19" s="362">
        <v>8.3299999999999999E-2</v>
      </c>
      <c r="Y19" s="363">
        <v>8.3299999999999999E-2</v>
      </c>
      <c r="Z19" s="68"/>
      <c r="AA19" s="364">
        <f xml:space="preserve"> 8.3% + 0.1%</f>
        <v>8.4000000000000005E-2</v>
      </c>
      <c r="AB19" s="362">
        <f xml:space="preserve"> 8.3% + 0.1%</f>
        <v>8.4000000000000005E-2</v>
      </c>
      <c r="AC19" s="362">
        <f xml:space="preserve"> 8.3% + 0.1%</f>
        <v>8.4000000000000005E-2</v>
      </c>
      <c r="AD19" s="363">
        <f xml:space="preserve"> 8.3% + 0.1%</f>
        <v>8.4000000000000005E-2</v>
      </c>
      <c r="AE19" s="68"/>
      <c r="AF19" s="364">
        <f xml:space="preserve"> 8.3% + 0.1%</f>
        <v>8.4000000000000005E-2</v>
      </c>
      <c r="AG19" s="362">
        <f xml:space="preserve"> 8.3% + 0.1%</f>
        <v>8.4000000000000005E-2</v>
      </c>
      <c r="AH19" s="362">
        <f xml:space="preserve"> 8.3% + 0.1%</f>
        <v>8.4000000000000005E-2</v>
      </c>
      <c r="AI19" s="363">
        <f xml:space="preserve"> 8.3% + 0.1%</f>
        <v>8.4000000000000005E-2</v>
      </c>
      <c r="AJ19" s="68"/>
      <c r="AK19" s="364">
        <v>8.3299999999999999E-2</v>
      </c>
      <c r="AL19" s="362">
        <v>8.3299999999999999E-2</v>
      </c>
      <c r="AM19" s="362">
        <v>8.3299999999999999E-2</v>
      </c>
      <c r="AN19" s="363">
        <v>8.3299999999999999E-2</v>
      </c>
      <c r="AO19" s="68"/>
      <c r="AP19" s="364">
        <v>8.3299999999999999E-2</v>
      </c>
      <c r="AQ19" s="362">
        <v>8.3299999999999999E-2</v>
      </c>
      <c r="AR19" s="362">
        <v>8.3299999999999999E-2</v>
      </c>
      <c r="AS19" s="363">
        <v>8.3299999999999999E-2</v>
      </c>
      <c r="AU19" s="364">
        <v>8.3299999999999999E-2</v>
      </c>
      <c r="AV19" s="362">
        <v>8.3299999999999999E-2</v>
      </c>
      <c r="AW19" s="362">
        <v>8.3299999999999999E-2</v>
      </c>
      <c r="AX19" s="363">
        <v>8.3299999999999999E-2</v>
      </c>
      <c r="AY19" s="68"/>
      <c r="AZ19" s="364">
        <v>8.3299999999999999E-2</v>
      </c>
      <c r="BA19" s="362">
        <v>8.3299999999999999E-2</v>
      </c>
      <c r="BB19" s="362">
        <v>8.3299999999999999E-2</v>
      </c>
      <c r="BC19" s="363">
        <v>8.3299999999999999E-2</v>
      </c>
      <c r="BD19" s="68"/>
      <c r="BE19" s="364">
        <f xml:space="preserve"> 8.3% + 0.1%</f>
        <v>8.4000000000000005E-2</v>
      </c>
      <c r="BF19" s="362">
        <f xml:space="preserve"> 8.3% + 0.1%</f>
        <v>8.4000000000000005E-2</v>
      </c>
      <c r="BG19" s="362">
        <f xml:space="preserve"> 8.3% + 0.1%</f>
        <v>8.4000000000000005E-2</v>
      </c>
      <c r="BH19" s="363">
        <f xml:space="preserve"> 8.3% + 0.1%</f>
        <v>8.4000000000000005E-2</v>
      </c>
      <c r="BI19" s="68"/>
      <c r="BJ19" s="364">
        <v>8.3299999999999999E-2</v>
      </c>
      <c r="BK19" s="362">
        <v>8.3299999999999999E-2</v>
      </c>
      <c r="BL19" s="362">
        <v>8.3299999999999999E-2</v>
      </c>
      <c r="BM19" s="363">
        <v>8.3299999999999999E-2</v>
      </c>
      <c r="BN19" s="68"/>
      <c r="BO19" s="364">
        <v>8.3299999999999999E-2</v>
      </c>
      <c r="BP19" s="362">
        <v>8.3299999999999999E-2</v>
      </c>
      <c r="BQ19" s="363">
        <v>8.3299999999999999E-2</v>
      </c>
      <c r="BR19" s="68"/>
      <c r="BS19" s="364">
        <v>8.3299999999999999E-2</v>
      </c>
      <c r="BT19" s="362">
        <v>8.3299999999999999E-2</v>
      </c>
      <c r="BU19" s="363">
        <v>8.3299999999999999E-2</v>
      </c>
      <c r="BV19" s="68"/>
      <c r="BW19" s="364">
        <f xml:space="preserve"> 8.3% + 0.1%</f>
        <v>8.4000000000000005E-2</v>
      </c>
      <c r="BX19" s="362">
        <f xml:space="preserve"> 8.3% + 0.1%</f>
        <v>8.4000000000000005E-2</v>
      </c>
      <c r="BY19" s="362">
        <f xml:space="preserve"> 8.3% + 0.1%</f>
        <v>8.4000000000000005E-2</v>
      </c>
      <c r="BZ19" s="363">
        <f xml:space="preserve"> 8.3% + 0.1%</f>
        <v>8.4000000000000005E-2</v>
      </c>
      <c r="CA19" s="68"/>
      <c r="CB19" s="364">
        <v>8.3299999999999999E-2</v>
      </c>
      <c r="CC19" s="362">
        <v>8.3299999999999999E-2</v>
      </c>
      <c r="CD19" s="362">
        <v>8.3299999999999999E-2</v>
      </c>
      <c r="CE19" s="363">
        <v>8.3299999999999999E-2</v>
      </c>
      <c r="CF19" s="68"/>
      <c r="CG19" s="471"/>
    </row>
    <row r="20" spans="1:85" s="8" customFormat="1" x14ac:dyDescent="0.3">
      <c r="A20" s="72"/>
      <c r="B20" s="105"/>
      <c r="C20" s="94"/>
      <c r="D20" s="65"/>
      <c r="E20" s="87" t="s">
        <v>56</v>
      </c>
      <c r="F20" s="87" t="s">
        <v>48</v>
      </c>
      <c r="G20" s="88">
        <f xml:space="preserve"> IF($G14= "% jaarsalaris INCL. VU", G15 * 12 * G16 * ( 1 + G17 ) * ( 1 + G18 ) * ( 1 + G19 ),  G15 * 12 * G16 * ( 1 + G17 ) * ( 1 + G18 ) + G15 * 12 * G16 * ( 1 + G17 )* ( G19 ) )</f>
        <v>46390.548959999993</v>
      </c>
      <c r="H20" s="89">
        <f t="shared" ref="H20:I20" si="0" xml:space="preserve"> IF($G14= "% jaarsalaris INCL. VU", H15 * 12 * H16 * ( 1 + H17 ) * ( 1 + H18 ) * ( 1 + H19 ),  H15 * 12 * H16 * ( 1 + H17 ) * ( 1 + H18 ) + H15 * 12 * H16 * ( 1 + H17 )* ( H19 ) )</f>
        <v>50611.307759999996</v>
      </c>
      <c r="I20" s="89">
        <f t="shared" si="0"/>
        <v>55865.207520000004</v>
      </c>
      <c r="J20" s="90">
        <f t="shared" ref="J20" si="1" xml:space="preserve"> IF($G14= "% jaarsalaris INCL. VU", J15 * 12 * J16 * ( 1 + J17 ) * ( 1 + J18 ) * ( 1 + J19 ),  J15 * 12 * J16 * ( 1 + J17 ) * ( 1 + J18 ) + J15 * 12 * J16 * ( 1 + J17 )* ( J19 ) )</f>
        <v>69900.805439999996</v>
      </c>
      <c r="K20" s="68"/>
      <c r="L20" s="88">
        <f xml:space="preserve"> IF($L14= "% jaarsalaris INCL. VU", L15 * 12 * L16 * ( 1 + L17 ) * ( 1 + L18 ) * ( 1 + L19 ),  L15 * 12 * L16 * ( 1 + L17 ) * ( 1 + L18 ) + L15 * 12 * L16 * ( 1 + L17 )* ( L19 ) )</f>
        <v>46390.548959999993</v>
      </c>
      <c r="M20" s="89">
        <f t="shared" ref="M20:O20" si="2" xml:space="preserve"> IF($L14= "% jaarsalaris INCL. VU", M15 * 12 * M16 * ( 1 + M17 ) * ( 1 + M18 ) * ( 1 + M19 ),  M15 * 12 * M16 * ( 1 + M17 ) * ( 1 + M18 ) + M15 * 12 * M16 * ( 1 + M17 )* ( M19 ) )</f>
        <v>50611.307759999996</v>
      </c>
      <c r="N20" s="89">
        <f t="shared" si="2"/>
        <v>55865.207520000004</v>
      </c>
      <c r="O20" s="90">
        <f t="shared" si="2"/>
        <v>69900.805439999996</v>
      </c>
      <c r="P20" s="68"/>
      <c r="Q20" s="88">
        <f xml:space="preserve"> IF($Q14= "% jaarsalaris INCL. VU", Q15 * 12 * Q16 * ( 1 + Q17 ) * ( 1 + Q18 ) * ( 1 + Q19 ),  Q15 * 12 * Q16 * ( 1 + Q17 ) * ( 1 + Q18 ) + Q15 * 12 * Q16 * ( 1 + Q17 )* ( Q19 ) )</f>
        <v>43055.594279999998</v>
      </c>
      <c r="R20" s="89">
        <f t="shared" ref="R20:T20" si="3" xml:space="preserve"> IF($Q14= "% jaarsalaris INCL. VU", R15 * 12 * R16 * ( 1 + R17 ) * ( 1 + R18 ) * ( 1 + R19 ),  R15 * 12 * R16 * ( 1 + R17 ) * ( 1 + R18 ) + R15 * 12 * R16 * ( 1 + R17 )* ( R19 ) )</f>
        <v>46209.067920000001</v>
      </c>
      <c r="S20" s="655">
        <f t="shared" si="3"/>
        <v>50468.141880000003</v>
      </c>
      <c r="T20" s="90">
        <f t="shared" si="3"/>
        <v>82840.266000000003</v>
      </c>
      <c r="U20" s="68"/>
      <c r="V20" s="88">
        <f xml:space="preserve"> IF($V14= "% jaarsalaris INCL. VU", V15 * 12 * V16 * ( 1 + V17 ) * ( 1 + V18 ) * ( 1 + V19 ),  V15 * 12 * V16 * ( 1 + V17 ) * ( 1 + V18 ) + V15 * 12 * V16 * ( 1 + V17 )* ( V19 ) )</f>
        <v>43055.594279999998</v>
      </c>
      <c r="W20" s="89">
        <f xml:space="preserve"> IF($V14= "% jaarsalaris INCL. VU", W15 * 12 * W16 * ( 1 + W17 ) * ( 1 + W18 ) * ( 1 + W19 ),  W15 * 12 * W16 * ( 1 + W17 ) * ( 1 + W18 ) + W15 * 12 * W16 * ( 1 + W17 )* ( W19 ) )</f>
        <v>46209.067920000001</v>
      </c>
      <c r="X20" s="655">
        <f xml:space="preserve"> IF($V14= "% jaarsalaris INCL. VU", X15 * 12 * X16 * ( 1 + X17 ) * ( 1 + X18 ) * ( 1 + X19 ),  X15 * 12 * X16 * ( 1 + X17 ) * ( 1 + X18 ) + X15 * 12 * X16 * ( 1 + X17 )* ( X19 ) )</f>
        <v>50468.141880000003</v>
      </c>
      <c r="Y20" s="90">
        <f xml:space="preserve"> IF($V14= "% jaarsalaris INCL. VU", Y15 * 12 * Y16 * ( 1 + Y17 ) * ( 1 + Y18 ) * ( 1 + Y19 ),  Y15 * 12 * Y16 * ( 1 + Y17 ) * ( 1 + Y18 ) + Y15 * 12 * Y16 * ( 1 + Y17 )* ( Y19 ) )</f>
        <v>82840.266000000003</v>
      </c>
      <c r="Z20" s="68"/>
      <c r="AA20" s="88">
        <f xml:space="preserve"> IF($AA14= "% jaarsalaris INCL. VU", AA15 * 12 * AA16 * ( 1 + AA17 ) * ( 1 + AA18 ) * ( 1 + AA19 ),  AA15 * 12 * AA16 * ( 1 + AA17 ) * ( 1 + AA18 ) + AA15 * 12 * AA16 * ( 1 + AA17 )* ( AA19 ) )</f>
        <v>52345.232640000009</v>
      </c>
      <c r="AB20" s="89">
        <f xml:space="preserve"> IF($AA14= "% jaarsalaris INCL. VU", AB15 * 12 * AB16 * ( 1 + AB17 ) * ( 1 + AB18 ) * ( 1 + AB19 ),  AB15 * 12 * AB16 * ( 1 + AB17 ) * ( 1 + AB18 ) + AB15 * 12 * AB16 * ( 1 + AB17 )* ( AB19 ) )</f>
        <v>57187.798848000006</v>
      </c>
      <c r="AC20" s="655">
        <f xml:space="preserve"> IF($AA14= "% jaarsalaris INCL. VU", AC15 * 12 * AC16 * ( 1 + AC17 ) * ( 1 + AC18 ) * ( 1 + AC19 ),  AC15 * 12 * AC16 * ( 1 + AC17 ) * ( 1 + AC18 ) + AC15 * 12 * AC16 * ( 1 + AC17 )* ( AC19 ) )</f>
        <v>63003.935808000009</v>
      </c>
      <c r="AD20" s="90">
        <f xml:space="preserve"> IF($AA14= "% jaarsalaris INCL. VU", AD15 * 12 * AD16 * ( 1 + AD17 ) * ( 1 + AD18 ) * ( 1 + AD19 ),  AD15 * 12 * AD16 * ( 1 + AD17 ) * ( 1 + AD18 ) + AD15 * 12 * AD16 * ( 1 + AD17 )* ( AD19 ) )</f>
        <v>69905.442597119996</v>
      </c>
      <c r="AE20" s="68"/>
      <c r="AF20" s="88">
        <f xml:space="preserve"> IF($AF14= "% jaarsalaris INCL. VU", AF15 * 12 * AF16 * ( 1 + AF17 ) * ( 1 + AF18 ) * ( 1 + AF19 ),  AF15 * 12 * AF16 * ( 1 + AF17 ) * ( 1 + AF18 ) + AF15 * 12 * AF16 * ( 1 + AF17 )* ( AF19 ) )</f>
        <v>52345.232640000009</v>
      </c>
      <c r="AG20" s="89">
        <f xml:space="preserve"> IF($AF14= "% jaarsalaris INCL. VU", AG15 * 12 * AG16 * ( 1 + AG17 ) * ( 1 + AG18 ) * ( 1 + AG19 ),  AG15 * 12 * AG16 * ( 1 + AG17 ) * ( 1 + AG18 ) + AG15 * 12 * AG16 * ( 1 + AG17 )* ( AG19 ) )</f>
        <v>57187.798848000006</v>
      </c>
      <c r="AH20" s="655">
        <f xml:space="preserve"> IF($AF14= "% jaarsalaris INCL. VU", AH15 * 12 * AH16 * ( 1 + AH17 ) * ( 1 + AH18 ) * ( 1 + AH19 ),  AH15 * 12 * AH16 * ( 1 + AH17 ) * ( 1 + AH18 ) + AH15 * 12 * AH16 * ( 1 + AH17 )* ( AH19 ) )</f>
        <v>63003.935808000009</v>
      </c>
      <c r="AI20" s="90">
        <f xml:space="preserve"> IF($AF14= "% jaarsalaris INCL. VU", AI15 * 12 * AI16 * ( 1 + AI17 ) * ( 1 + AI18 ) * ( 1 + AI19 ),  AI15 * 12 * AI16 * ( 1 + AI17 ) * ( 1 + AI18 ) + AI15 * 12 * AI16 * ( 1 + AI17 )* ( AI19 ) )</f>
        <v>77451.476404320012</v>
      </c>
      <c r="AJ20" s="68"/>
      <c r="AK20" s="88">
        <f xml:space="preserve"> IF($AK14= "% jaarsalaris INCL. VU", AK15 * 12 * AK16 * ( 1 + AK17 ) * ( 1 + AK18 ) * ( 1 + AK19 ),  AK15 * 12 * AK16 * ( 1 + AK17 ) * ( 1 + AK18 ) + AK15 * 12 * AK16 * ( 1 + AK17 )* ( AK19 ) )</f>
        <v>37739.415650400006</v>
      </c>
      <c r="AL20" s="89">
        <f t="shared" ref="AL20:AN20" si="4" xml:space="preserve"> IF($AK14= "% jaarsalaris INCL. VU", AL15 * 12 * AL16 * ( 1 + AL17 ) * ( 1 + AL18 ) * ( 1 + AL19 ),  AL15 * 12 * AL16 * ( 1 + AL17 ) * ( 1 + AL18 ) + AL15 * 12 * AL16 * ( 1 + AL17 )* ( AL19 ) )</f>
        <v>38808.330141600003</v>
      </c>
      <c r="AM20" s="89">
        <f t="shared" si="4"/>
        <v>41936.676501599999</v>
      </c>
      <c r="AN20" s="90">
        <f t="shared" si="4"/>
        <v>45233.179099200002</v>
      </c>
      <c r="AO20" s="68"/>
      <c r="AP20" s="88">
        <f t="shared" ref="AP20:AS20" si="5" xml:space="preserve"> IF($AP14= "% jaarsalaris INCL. VU", AP15 * 12 * AP16 * ( 1 + AP17 ) * ( 1 + AP18 ) * ( 1 + AP19 ),  AP15 * 12 * AP16 * ( 1 + AP17 ) * ( 1 + AP18 ) + AP15 * 12 * AP16 * ( 1 + AP17 )* ( AP19 ) )</f>
        <v>41936.676501599999</v>
      </c>
      <c r="AQ20" s="89">
        <f t="shared" si="5"/>
        <v>45105.226509600005</v>
      </c>
      <c r="AR20" s="89">
        <f t="shared" si="5"/>
        <v>49557.026707200006</v>
      </c>
      <c r="AS20" s="90">
        <f t="shared" si="5"/>
        <v>56447.420248800001</v>
      </c>
      <c r="AU20" s="88">
        <f xml:space="preserve"> IF($AU14= "% jaarsalaris INCL. VU", AU15 * 12 * AU16 * ( 1 + AU17 ) * ( 1 + AU18 ) * ( 1 + AU19 ),  AU15 * 12 * AU16 * ( 1 + AU17 ) * ( 1 + AU18 ) + AU15 * 12 * AU16 * ( 1 + AU17 )* ( AU19 ) )</f>
        <v>46390.548959999993</v>
      </c>
      <c r="AV20" s="89">
        <f t="shared" ref="AV20:AX20" si="6" xml:space="preserve"> IF($AU14= "% jaarsalaris INCL. VU", AV15 * 12 * AV16 * ( 1 + AV17 ) * ( 1 + AV18 ) * ( 1 + AV19 ),  AV15 * 12 * AV16 * ( 1 + AV17 ) * ( 1 + AV18 ) + AV15 * 12 * AV16 * ( 1 + AV17 )* ( AV19 ) )</f>
        <v>50611.307759999996</v>
      </c>
      <c r="AW20" s="89">
        <f t="shared" si="6"/>
        <v>55865.207520000004</v>
      </c>
      <c r="AX20" s="90">
        <f t="shared" si="6"/>
        <v>69900.805439999996</v>
      </c>
      <c r="AY20" s="68"/>
      <c r="AZ20" s="88">
        <f xml:space="preserve"> IF($AZ14= "% jaarsalaris INCL. VU", AZ15 * 12 * AZ16 * ( 1 + AZ17 ) * ( 1 + AZ18 ) * ( 1 + AZ19 ),  AZ15 * 12 * AZ16 * ( 1 + AZ17 ) * ( 1 + AZ18 ) + AZ15 * 12 * AZ16 * ( 1 + AZ17 )* ( AZ19 ) )</f>
        <v>43055.594279999998</v>
      </c>
      <c r="BA20" s="89">
        <f t="shared" ref="BA20:BC20" si="7" xml:space="preserve"> IF($AZ14= "% jaarsalaris INCL. VU", BA15 * 12 * BA16 * ( 1 + BA17 ) * ( 1 + BA18 ) * ( 1 + BA19 ),  BA15 * 12 * BA16 * ( 1 + BA17 ) * ( 1 + BA18 ) + BA15 * 12 * BA16 * ( 1 + BA17 )* ( BA19 ) )</f>
        <v>46209.067920000001</v>
      </c>
      <c r="BB20" s="655">
        <f t="shared" si="7"/>
        <v>50468.141880000003</v>
      </c>
      <c r="BC20" s="656">
        <f t="shared" si="7"/>
        <v>82605.933000000005</v>
      </c>
      <c r="BD20" s="68"/>
      <c r="BE20" s="88">
        <f xml:space="preserve"> IF($BE14= "% jaarsalaris INCL. VU", BE15 * 12 * BE16 * ( 1 + BE17 ) * ( 1 + BE18 ) * ( 1 + BE19 ),  BE15 * 12 * BE16 * ( 1 + BE17 ) * ( 1 + BE18 ) + BE15 * 12 * BE16 * ( 1 + BE17 )* ( BE19 ) )</f>
        <v>52345.232640000009</v>
      </c>
      <c r="BF20" s="89">
        <f t="shared" ref="BF20:BH20" si="8" xml:space="preserve"> IF($BE14= "% jaarsalaris INCL. VU", BF15 * 12 * BF16 * ( 1 + BF17 ) * ( 1 + BF18 ) * ( 1 + BF19 ),  BF15 * 12 * BF16 * ( 1 + BF17 ) * ( 1 + BF18 ) + BF15 * 12 * BF16 * ( 1 + BF17 )* ( BF19 ) )</f>
        <v>57187.798848000006</v>
      </c>
      <c r="BG20" s="655">
        <f t="shared" si="8"/>
        <v>63003.935808000009</v>
      </c>
      <c r="BH20" s="656">
        <f t="shared" si="8"/>
        <v>69692.493312000006</v>
      </c>
      <c r="BI20" s="68"/>
      <c r="BJ20" s="88">
        <f xml:space="preserve"> IF($BJ14= "% jaarsalaris INCL. VU", BJ15 * 12 * BJ16 * ( 1 + BJ17 ) * ( 1 + BJ18 ) * ( 1 + BJ19 ),  BJ15 * 12 * BJ16 * ( 1 + BJ17 ) * ( 1 + BJ18 ) + BJ15 * 12 * BJ16 * ( 1 + BJ17 )* ( BJ19 ) )</f>
        <v>37739.415650400006</v>
      </c>
      <c r="BK20" s="89">
        <f t="shared" ref="BK20:BM20" si="9" xml:space="preserve"> IF($BJ14= "% jaarsalaris INCL. VU", BK15 * 12 * BK16 * ( 1 + BK17 ) * ( 1 + BK18 ) * ( 1 + BK19 ),  BK15 * 12 * BK16 * ( 1 + BK17 ) * ( 1 + BK18 ) + BK15 * 12 * BK16 * ( 1 + BK17 )* ( BK19 ) )</f>
        <v>38808.330141600003</v>
      </c>
      <c r="BL20" s="89">
        <f t="shared" si="9"/>
        <v>41936.676501599999</v>
      </c>
      <c r="BM20" s="90">
        <f t="shared" si="9"/>
        <v>45105.226509600005</v>
      </c>
      <c r="BN20" s="68"/>
      <c r="BO20" s="88">
        <f xml:space="preserve"> IF($BO14= "% jaarsalaris INCL. VU", BO15 * 12 * BO16 * ( 1 + BO17 ) * ( 1 + BO18 ) * ( 1 + BO19 ),  BO15 * 12 * BO16 * ( 1 + BO17 ) * ( 1 + BO18 ) + BO15 * 12 * BO16 * ( 1 + BO17 )* ( BO19 ) )</f>
        <v>46259.322479999995</v>
      </c>
      <c r="BP20" s="89">
        <f t="shared" ref="BP20:BQ20" si="10" xml:space="preserve"> IF($BO14= "% jaarsalaris INCL. VU", BP15 * 12 * BP16 * ( 1 + BP17 ) * ( 1 + BP18 ) * ( 1 + BP19 ),  BP15 * 12 * BP16 * ( 1 + BP17 ) * ( 1 + BP18 ) + BP15 * 12 * BP16 * ( 1 + BP17 )* ( BP19 ) )</f>
        <v>50468.141880000003</v>
      </c>
      <c r="BQ20" s="656">
        <f t="shared" si="10"/>
        <v>55707.179760000006</v>
      </c>
      <c r="BR20" s="68"/>
      <c r="BS20" s="88">
        <f xml:space="preserve"> IF($BS14= "% jaarsalaris INCL. VU", BS15 * 12 * BS16 * ( 1 + BS17 ) * ( 1 + BS18 ) * ( 1 + BS19 ),  BS15 * 12 * BS16 * ( 1 + BS17 ) * ( 1 + BS18 ) + BS15 * 12 * BS16 * ( 1 + BS17 )* ( BS19 ) )</f>
        <v>46209.067920000001</v>
      </c>
      <c r="BT20" s="89">
        <f t="shared" ref="BT20:BU20" si="11" xml:space="preserve"> IF($BS14= "% jaarsalaris INCL. VU", BT15 * 12 * BT16 * ( 1 + BT17 ) * ( 1 + BT18 ) * ( 1 + BT19 ),  BT15 * 12 * BT16 * ( 1 + BT17 ) * ( 1 + BT18 ) + BT15 * 12 * BT16 * ( 1 + BT17 )* ( BT19 ) )</f>
        <v>50468.141880000003</v>
      </c>
      <c r="BU20" s="656">
        <f t="shared" si="11"/>
        <v>55732.307040000007</v>
      </c>
      <c r="BV20" s="68"/>
      <c r="BW20" s="88">
        <f xml:space="preserve"> IF($BW14= "% jaarsalaris INCL. VU", BW15 * 12 * BW16 * ( 1 + BW17 ) * ( 1 + BW18 ) * ( 1 + BW19 ),  BW15 * 12 * BW16 * ( 1 + BW17 ) * ( 1 + BW18 ) + BW15 * 12 * BW16 * ( 1 + BW17 )* ( BW19 ) )</f>
        <v>52345.232640000009</v>
      </c>
      <c r="BX20" s="655">
        <f t="shared" ref="BX20:BZ20" si="12" xml:space="preserve"> IF($BW14= "% jaarsalaris INCL. VU", BX15 * 12 * BX16 * ( 1 + BX17 ) * ( 1 + BX18 ) * ( 1 + BX19 ),  BX15 * 12 * BX16 * ( 1 + BX17 ) * ( 1 + BX18 ) + BX15 * 12 * BX16 * ( 1 + BX17 )* ( BX19 ) )</f>
        <v>57187.798848000006</v>
      </c>
      <c r="BY20" s="655">
        <f t="shared" si="12"/>
        <v>63003.935808000009</v>
      </c>
      <c r="BZ20" s="656">
        <f t="shared" si="12"/>
        <v>69692.493312000006</v>
      </c>
      <c r="CA20" s="68"/>
      <c r="CB20" s="88">
        <f xml:space="preserve"> IF($CB14= "% jaarsalaris INCL. VU", CB15 * 12 * CB16 * ( 1 + CB17 ) * ( 1 + CB18 ) * ( 1 + CB19 ),  CB15 * 12 * CB16 * ( 1 + CB17 ) * ( 1 + CB18 ) + CB15 * 12 * CB16 * ( 1 + CB17 )* ( CB19 ) )</f>
        <v>41936.676501599999</v>
      </c>
      <c r="CC20" s="89">
        <f t="shared" ref="CC20:CE20" si="13" xml:space="preserve"> IF($CB14= "% jaarsalaris INCL. VU", CC15 * 12 * CC16 * ( 1 + CC17 ) * ( 1 + CC18 ) * ( 1 + CC19 ),  CC15 * 12 * CC16 * ( 1 + CC17 ) * ( 1 + CC18 ) + CC15 * 12 * CC16 * ( 1 + CC17 )* ( CC19 ) )</f>
        <v>45105.226509600005</v>
      </c>
      <c r="CD20" s="89">
        <f t="shared" si="13"/>
        <v>49557.026707200006</v>
      </c>
      <c r="CE20" s="656">
        <f t="shared" si="13"/>
        <v>56287.745564400007</v>
      </c>
      <c r="CF20" s="68"/>
      <c r="CG20" s="471"/>
    </row>
    <row r="21" spans="1:85" s="8" customFormat="1" ht="6" customHeight="1" x14ac:dyDescent="0.3">
      <c r="A21" s="72"/>
      <c r="B21" s="105"/>
      <c r="C21" s="94"/>
      <c r="D21" s="65"/>
      <c r="E21" s="60"/>
      <c r="F21" s="86"/>
      <c r="G21" s="76"/>
      <c r="H21" s="81"/>
      <c r="I21" s="81"/>
      <c r="J21" s="82"/>
      <c r="K21" s="68"/>
      <c r="L21" s="76"/>
      <c r="M21" s="81"/>
      <c r="N21" s="81"/>
      <c r="O21" s="82"/>
      <c r="P21" s="68"/>
      <c r="Q21" s="76"/>
      <c r="R21" s="81"/>
      <c r="S21" s="620"/>
      <c r="T21" s="82"/>
      <c r="U21" s="68"/>
      <c r="V21" s="76"/>
      <c r="W21" s="81"/>
      <c r="X21" s="620"/>
      <c r="Y21" s="82"/>
      <c r="Z21" s="68"/>
      <c r="AA21" s="76"/>
      <c r="AB21" s="81"/>
      <c r="AC21" s="620"/>
      <c r="AD21" s="82"/>
      <c r="AE21" s="68"/>
      <c r="AF21" s="76"/>
      <c r="AG21" s="81"/>
      <c r="AH21" s="620"/>
      <c r="AI21" s="82"/>
      <c r="AJ21" s="68"/>
      <c r="AK21" s="76"/>
      <c r="AL21" s="81"/>
      <c r="AM21" s="81"/>
      <c r="AN21" s="82"/>
      <c r="AO21" s="68"/>
      <c r="AP21" s="76"/>
      <c r="AQ21" s="81"/>
      <c r="AR21" s="81"/>
      <c r="AS21" s="82"/>
      <c r="AU21" s="76"/>
      <c r="AV21" s="81"/>
      <c r="AW21" s="81"/>
      <c r="AX21" s="82"/>
      <c r="AY21" s="68"/>
      <c r="AZ21" s="76"/>
      <c r="BA21" s="81"/>
      <c r="BB21" s="620"/>
      <c r="BC21" s="181"/>
      <c r="BD21" s="68"/>
      <c r="BE21" s="76"/>
      <c r="BF21" s="81"/>
      <c r="BG21" s="620"/>
      <c r="BH21" s="181"/>
      <c r="BI21" s="68"/>
      <c r="BJ21" s="76"/>
      <c r="BK21" s="81"/>
      <c r="BL21" s="81"/>
      <c r="BM21" s="82"/>
      <c r="BN21" s="68"/>
      <c r="BO21" s="76"/>
      <c r="BP21" s="81"/>
      <c r="BQ21" s="181"/>
      <c r="BR21" s="68"/>
      <c r="BS21" s="76"/>
      <c r="BT21" s="81"/>
      <c r="BU21" s="181"/>
      <c r="BV21" s="68"/>
      <c r="BW21" s="420"/>
      <c r="BX21" s="182"/>
      <c r="BY21" s="620"/>
      <c r="BZ21" s="181"/>
      <c r="CA21" s="68"/>
      <c r="CB21" s="76"/>
      <c r="CC21" s="81"/>
      <c r="CD21" s="81"/>
      <c r="CE21" s="181"/>
      <c r="CF21" s="68"/>
      <c r="CG21" s="471"/>
    </row>
    <row r="22" spans="1:85" s="133" customFormat="1" x14ac:dyDescent="0.3">
      <c r="A22" s="127"/>
      <c r="B22" s="128"/>
      <c r="C22" s="127"/>
      <c r="D22" s="129"/>
      <c r="E22" s="133" t="s">
        <v>57</v>
      </c>
      <c r="F22" s="134" t="s">
        <v>58</v>
      </c>
      <c r="G22" s="130">
        <v>0.25</v>
      </c>
      <c r="H22" s="131">
        <v>0.25</v>
      </c>
      <c r="I22" s="26">
        <v>0.25</v>
      </c>
      <c r="J22" s="229">
        <v>0.25</v>
      </c>
      <c r="L22" s="130">
        <v>0.25</v>
      </c>
      <c r="M22" s="131">
        <v>0.25</v>
      </c>
      <c r="N22" s="131">
        <v>0.25</v>
      </c>
      <c r="O22" s="229">
        <v>0.25</v>
      </c>
      <c r="Q22" s="130">
        <v>0.25</v>
      </c>
      <c r="R22" s="131">
        <v>0.25</v>
      </c>
      <c r="S22" s="131">
        <v>0.25</v>
      </c>
      <c r="T22" s="229">
        <v>0.25</v>
      </c>
      <c r="U22" s="129"/>
      <c r="V22" s="130">
        <v>0.25</v>
      </c>
      <c r="W22" s="131">
        <v>0.25</v>
      </c>
      <c r="X22" s="131">
        <v>0.25</v>
      </c>
      <c r="Y22" s="229">
        <v>0.25</v>
      </c>
      <c r="Z22" s="129"/>
      <c r="AA22" s="130">
        <v>0.25</v>
      </c>
      <c r="AB22" s="131">
        <v>0.25</v>
      </c>
      <c r="AC22" s="131">
        <v>0.25</v>
      </c>
      <c r="AD22" s="229">
        <v>0.25</v>
      </c>
      <c r="AF22" s="130">
        <v>0.25</v>
      </c>
      <c r="AG22" s="131">
        <v>0.25</v>
      </c>
      <c r="AH22" s="131">
        <v>0.25</v>
      </c>
      <c r="AI22" s="229">
        <v>0.25</v>
      </c>
      <c r="AK22" s="130">
        <v>0.25</v>
      </c>
      <c r="AL22" s="131">
        <v>0.25</v>
      </c>
      <c r="AM22" s="131">
        <v>0.25</v>
      </c>
      <c r="AN22" s="229">
        <v>0.25</v>
      </c>
      <c r="AP22" s="130">
        <v>0.25</v>
      </c>
      <c r="AQ22" s="131">
        <v>0.25</v>
      </c>
      <c r="AR22" s="131">
        <v>0.25</v>
      </c>
      <c r="AS22" s="229">
        <v>0.25</v>
      </c>
      <c r="AU22" s="130">
        <v>0.25</v>
      </c>
      <c r="AV22" s="131">
        <v>0.25</v>
      </c>
      <c r="AW22" s="26">
        <v>0.25</v>
      </c>
      <c r="AX22" s="229">
        <v>0.25</v>
      </c>
      <c r="AZ22" s="130">
        <v>0.25</v>
      </c>
      <c r="BA22" s="131">
        <v>0.25</v>
      </c>
      <c r="BB22" s="131">
        <v>0.25</v>
      </c>
      <c r="BC22" s="132">
        <v>0.25</v>
      </c>
      <c r="BD22" s="129"/>
      <c r="BE22" s="130">
        <v>0.25</v>
      </c>
      <c r="BF22" s="131">
        <v>0.25</v>
      </c>
      <c r="BG22" s="131">
        <v>0.25</v>
      </c>
      <c r="BH22" s="132">
        <v>0.25</v>
      </c>
      <c r="BJ22" s="130">
        <v>0.25</v>
      </c>
      <c r="BK22" s="131">
        <v>0.25</v>
      </c>
      <c r="BL22" s="131">
        <v>0.25</v>
      </c>
      <c r="BM22" s="132">
        <v>0.25</v>
      </c>
      <c r="BO22" s="130">
        <v>0.25</v>
      </c>
      <c r="BP22" s="131">
        <v>0.25</v>
      </c>
      <c r="BQ22" s="132">
        <v>0.25</v>
      </c>
      <c r="BS22" s="130">
        <v>0.25</v>
      </c>
      <c r="BT22" s="131">
        <v>0.25</v>
      </c>
      <c r="BU22" s="132">
        <v>0.25</v>
      </c>
      <c r="BW22" s="421">
        <v>0.25</v>
      </c>
      <c r="BX22" s="422">
        <v>0.25</v>
      </c>
      <c r="BY22" s="625">
        <v>0.25</v>
      </c>
      <c r="BZ22" s="423">
        <v>0.25</v>
      </c>
      <c r="CB22" s="130">
        <v>0.25</v>
      </c>
      <c r="CC22" s="131">
        <v>0.25</v>
      </c>
      <c r="CD22" s="131">
        <v>0.25</v>
      </c>
      <c r="CE22" s="423">
        <v>0.25</v>
      </c>
    </row>
    <row r="23" spans="1:85" s="227" customFormat="1" x14ac:dyDescent="0.3">
      <c r="A23" s="224"/>
      <c r="B23" s="225"/>
      <c r="C23" s="224"/>
      <c r="D23" s="226"/>
      <c r="E23" s="226" t="s">
        <v>59</v>
      </c>
      <c r="F23" s="228" t="s">
        <v>58</v>
      </c>
      <c r="G23" s="230">
        <f xml:space="preserve"> 2% + 1%</f>
        <v>0.03</v>
      </c>
      <c r="H23" s="26">
        <f xml:space="preserve"> 2% + 1%</f>
        <v>0.03</v>
      </c>
      <c r="I23" s="26">
        <f xml:space="preserve"> 2% + 1%</f>
        <v>0.03</v>
      </c>
      <c r="J23" s="229">
        <f xml:space="preserve"> 2% + 1%</f>
        <v>0.03</v>
      </c>
      <c r="L23" s="230">
        <f xml:space="preserve"> 2% + 1%</f>
        <v>0.03</v>
      </c>
      <c r="M23" s="26">
        <f xml:space="preserve"> 2% + 1%</f>
        <v>0.03</v>
      </c>
      <c r="N23" s="26">
        <f xml:space="preserve"> 2% + 1%</f>
        <v>0.03</v>
      </c>
      <c r="O23" s="229">
        <f xml:space="preserve"> 2% + 1%</f>
        <v>0.03</v>
      </c>
      <c r="Q23" s="230">
        <f xml:space="preserve"> 2% + 1%</f>
        <v>0.03</v>
      </c>
      <c r="R23" s="26">
        <f xml:space="preserve"> 2% + 1%</f>
        <v>0.03</v>
      </c>
      <c r="S23" s="26">
        <f xml:space="preserve"> 2% + 1%</f>
        <v>0.03</v>
      </c>
      <c r="T23" s="229">
        <f xml:space="preserve"> 2% + 1%</f>
        <v>0.03</v>
      </c>
      <c r="U23" s="232"/>
      <c r="V23" s="230">
        <f xml:space="preserve"> 2% + 1%</f>
        <v>0.03</v>
      </c>
      <c r="W23" s="26">
        <f xml:space="preserve"> 2% + 1%</f>
        <v>0.03</v>
      </c>
      <c r="X23" s="26">
        <f xml:space="preserve"> 2% + 1%</f>
        <v>0.03</v>
      </c>
      <c r="Y23" s="229">
        <f xml:space="preserve"> 2% + 1%</f>
        <v>0.03</v>
      </c>
      <c r="Z23" s="232"/>
      <c r="AA23" s="230">
        <f xml:space="preserve"> 2% + 1%</f>
        <v>0.03</v>
      </c>
      <c r="AB23" s="26">
        <f xml:space="preserve"> 2% + 1%</f>
        <v>0.03</v>
      </c>
      <c r="AC23" s="26">
        <f xml:space="preserve"> 2% + 1%</f>
        <v>0.03</v>
      </c>
      <c r="AD23" s="229">
        <f xml:space="preserve"> 2% + 1%</f>
        <v>0.03</v>
      </c>
      <c r="AF23" s="230">
        <f xml:space="preserve"> 2% + 1%</f>
        <v>0.03</v>
      </c>
      <c r="AG23" s="26">
        <f xml:space="preserve"> 2% + 1%</f>
        <v>0.03</v>
      </c>
      <c r="AH23" s="26">
        <f xml:space="preserve"> 2% + 1%</f>
        <v>0.03</v>
      </c>
      <c r="AI23" s="229">
        <f xml:space="preserve"> 2% + 1%</f>
        <v>0.03</v>
      </c>
      <c r="AK23" s="230">
        <f xml:space="preserve"> 2% + 1%</f>
        <v>0.03</v>
      </c>
      <c r="AL23" s="26">
        <f xml:space="preserve"> 2% + 1%</f>
        <v>0.03</v>
      </c>
      <c r="AM23" s="26">
        <f xml:space="preserve"> 2% + 1%</f>
        <v>0.03</v>
      </c>
      <c r="AN23" s="229">
        <f xml:space="preserve"> 2% + 1%</f>
        <v>0.03</v>
      </c>
      <c r="AP23" s="230">
        <f xml:space="preserve"> 2% + 1%</f>
        <v>0.03</v>
      </c>
      <c r="AQ23" s="26">
        <f xml:space="preserve"> 2% + 1%</f>
        <v>0.03</v>
      </c>
      <c r="AR23" s="26">
        <f xml:space="preserve"> 2% + 1%</f>
        <v>0.03</v>
      </c>
      <c r="AS23" s="229">
        <f xml:space="preserve"> 2% + 1%</f>
        <v>0.03</v>
      </c>
      <c r="AU23" s="230">
        <f xml:space="preserve"> 2% + 1%</f>
        <v>0.03</v>
      </c>
      <c r="AV23" s="26">
        <f xml:space="preserve"> 2% + 1%</f>
        <v>0.03</v>
      </c>
      <c r="AW23" s="26">
        <f xml:space="preserve"> 2% + 1%</f>
        <v>0.03</v>
      </c>
      <c r="AX23" s="229">
        <f xml:space="preserve"> 2% + 1%</f>
        <v>0.03</v>
      </c>
      <c r="AZ23" s="230">
        <f xml:space="preserve"> 2% + 1%</f>
        <v>0.03</v>
      </c>
      <c r="BA23" s="26">
        <f xml:space="preserve"> 2% + 1%</f>
        <v>0.03</v>
      </c>
      <c r="BB23" s="26">
        <f xml:space="preserve"> 2% + 1%</f>
        <v>0.03</v>
      </c>
      <c r="BC23" s="229">
        <f xml:space="preserve"> 2% + 1%</f>
        <v>0.03</v>
      </c>
      <c r="BD23" s="232"/>
      <c r="BE23" s="230">
        <f xml:space="preserve"> 2% + 1%</f>
        <v>0.03</v>
      </c>
      <c r="BF23" s="26">
        <f xml:space="preserve"> 2% + 1%</f>
        <v>0.03</v>
      </c>
      <c r="BG23" s="26">
        <f xml:space="preserve"> 2% + 1%</f>
        <v>0.03</v>
      </c>
      <c r="BH23" s="229">
        <f xml:space="preserve"> 2% + 1%</f>
        <v>0.03</v>
      </c>
      <c r="BJ23" s="230">
        <f xml:space="preserve"> 2% + 1%</f>
        <v>0.03</v>
      </c>
      <c r="BK23" s="26">
        <f xml:space="preserve"> 2% + 1%</f>
        <v>0.03</v>
      </c>
      <c r="BL23" s="26">
        <f xml:space="preserve"> 2% + 1%</f>
        <v>0.03</v>
      </c>
      <c r="BM23" s="229">
        <f xml:space="preserve"> 2% + 1%</f>
        <v>0.03</v>
      </c>
      <c r="BO23" s="230">
        <f xml:space="preserve"> 2% + 1%</f>
        <v>0.03</v>
      </c>
      <c r="BP23" s="26">
        <f xml:space="preserve"> 2% + 1%</f>
        <v>0.03</v>
      </c>
      <c r="BQ23" s="229">
        <f xml:space="preserve"> 2% + 1%</f>
        <v>0.03</v>
      </c>
      <c r="BS23" s="230">
        <f xml:space="preserve"> 2% + 1%</f>
        <v>0.03</v>
      </c>
      <c r="BT23" s="26">
        <f xml:space="preserve"> 2% + 1%</f>
        <v>0.03</v>
      </c>
      <c r="BU23" s="229">
        <f xml:space="preserve"> 2% + 1%</f>
        <v>0.03</v>
      </c>
      <c r="BW23" s="413">
        <f xml:space="preserve"> 2% + 1%</f>
        <v>0.03</v>
      </c>
      <c r="BX23" s="414">
        <f xml:space="preserve"> 2% + 1%</f>
        <v>0.03</v>
      </c>
      <c r="BY23" s="304">
        <f xml:space="preserve"> 2% + 1%</f>
        <v>0.03</v>
      </c>
      <c r="BZ23" s="233">
        <f xml:space="preserve"> 2% + 1%</f>
        <v>0.03</v>
      </c>
      <c r="CB23" s="230">
        <f xml:space="preserve"> 2% + 1%</f>
        <v>0.03</v>
      </c>
      <c r="CC23" s="26">
        <f xml:space="preserve"> 2% + 1%</f>
        <v>0.03</v>
      </c>
      <c r="CD23" s="26">
        <f xml:space="preserve"> 2% + 1%</f>
        <v>0.03</v>
      </c>
      <c r="CE23" s="233">
        <f xml:space="preserve"> 2% + 1%</f>
        <v>0.03</v>
      </c>
    </row>
    <row r="24" spans="1:85" s="8" customFormat="1" x14ac:dyDescent="0.3">
      <c r="A24" s="72"/>
      <c r="B24" s="105"/>
      <c r="C24" s="94"/>
      <c r="D24" s="65"/>
      <c r="E24" s="70" t="s">
        <v>60</v>
      </c>
      <c r="F24" s="87" t="s">
        <v>48</v>
      </c>
      <c r="G24" s="88">
        <f xml:space="preserve"> G20 + ( G20 * G22 ) + ( G20 * G23 )</f>
        <v>59379.902668799987</v>
      </c>
      <c r="H24" s="89">
        <f t="shared" ref="H24:I24" si="14" xml:space="preserve"> H20 + ( H20 * H22 ) + ( H20 * H23 )</f>
        <v>64782.473932799992</v>
      </c>
      <c r="I24" s="11">
        <f t="shared" si="14"/>
        <v>71507.465625600016</v>
      </c>
      <c r="J24" s="12">
        <f t="shared" ref="J24" si="15" xml:space="preserve"> J20 + ( J20 * J22 ) + ( J20 * J23 )</f>
        <v>89473.030963199999</v>
      </c>
      <c r="K24" s="69"/>
      <c r="L24" s="88">
        <f xml:space="preserve"> L20 + ( L20 * L22 ) + ( L20 * L23 )</f>
        <v>59379.902668799987</v>
      </c>
      <c r="M24" s="89">
        <f xml:space="preserve"> M20 + ( M20 * M22 ) + ( M20 * M23 )</f>
        <v>64782.473932799992</v>
      </c>
      <c r="N24" s="11">
        <f xml:space="preserve"> N20 + ( N20 * N22 ) + ( N20 * N23 )</f>
        <v>71507.465625600016</v>
      </c>
      <c r="O24" s="12">
        <f t="shared" ref="O24" si="16" xml:space="preserve"> O20 + ( O20 * O22 ) + ( O20 * O23 )</f>
        <v>89473.030963199999</v>
      </c>
      <c r="P24" s="69"/>
      <c r="Q24" s="88">
        <f t="shared" ref="Q24:R24" si="17" xml:space="preserve"> Q20 + ( Q20 * Q22 ) + ( Q20 * Q23 )</f>
        <v>55111.160678399996</v>
      </c>
      <c r="R24" s="11">
        <f t="shared" si="17"/>
        <v>59147.606937600001</v>
      </c>
      <c r="S24" s="11">
        <f xml:space="preserve"> S20 + ( S20 * S22 ) + ( S20 * S23 )</f>
        <v>64599.221606400002</v>
      </c>
      <c r="T24" s="12">
        <f t="shared" ref="T24" si="18" xml:space="preserve"> T20 + ( T20 * T22 ) + ( T20 * T23 )</f>
        <v>106035.54048000001</v>
      </c>
      <c r="U24" s="182"/>
      <c r="V24" s="88">
        <f xml:space="preserve"> V20 + ( V20 * V22 ) + ( V20 * V23 )</f>
        <v>55111.160678399996</v>
      </c>
      <c r="W24" s="11">
        <f xml:space="preserve"> W20 + ( W20 * W22 ) + ( W20 * W23 )</f>
        <v>59147.606937600001</v>
      </c>
      <c r="X24" s="11">
        <f xml:space="preserve"> X20 + ( X20 * X22 ) + ( X20 * X23 )</f>
        <v>64599.221606400002</v>
      </c>
      <c r="Y24" s="12">
        <f t="shared" ref="Y24" si="19" xml:space="preserve"> Y20 + ( Y20 * Y22 ) + ( Y20 * Y23 )</f>
        <v>106035.54048000001</v>
      </c>
      <c r="Z24" s="182"/>
      <c r="AA24" s="88">
        <f t="shared" ref="AA24:AD24" si="20" xml:space="preserve"> AA20 + ( AA20 * AA22 ) + ( AA20 * AA23 )</f>
        <v>67001.897779200008</v>
      </c>
      <c r="AB24" s="11">
        <f t="shared" si="20"/>
        <v>73200.382525440014</v>
      </c>
      <c r="AC24" s="11">
        <f t="shared" si="20"/>
        <v>80645.037834240022</v>
      </c>
      <c r="AD24" s="12">
        <f t="shared" si="20"/>
        <v>89478.966524313597</v>
      </c>
      <c r="AE24" s="69"/>
      <c r="AF24" s="88">
        <f xml:space="preserve"> AF20 + ( AF20 * AF22 ) + ( AF20 * AF23 )</f>
        <v>67001.897779200008</v>
      </c>
      <c r="AG24" s="11">
        <f xml:space="preserve"> AG20 + ( AG20 * AG22 ) + ( AG20 * AG23 )</f>
        <v>73200.382525440014</v>
      </c>
      <c r="AH24" s="11">
        <f xml:space="preserve"> AH20 + ( AH20 * AH22 ) + ( AH20 * AH23 )</f>
        <v>80645.037834240022</v>
      </c>
      <c r="AI24" s="12">
        <f t="shared" ref="AI24" si="21" xml:space="preserve"> AI20 + ( AI20 * AI22 ) + ( AI20 * AI23 )</f>
        <v>99137.889797529613</v>
      </c>
      <c r="AJ24" s="69"/>
      <c r="AK24" s="88">
        <f t="shared" ref="AK24:AN24" si="22" xml:space="preserve"> AK20 + ( AK20 * AK22 ) + ( AK20 * AK23 )</f>
        <v>48306.45203251201</v>
      </c>
      <c r="AL24" s="11">
        <f t="shared" si="22"/>
        <v>49674.662581247998</v>
      </c>
      <c r="AM24" s="11">
        <f t="shared" si="22"/>
        <v>53678.945922048006</v>
      </c>
      <c r="AN24" s="12">
        <f t="shared" si="22"/>
        <v>57898.469246976005</v>
      </c>
      <c r="AO24" s="69"/>
      <c r="AP24" s="88">
        <f t="shared" ref="AP24:AS24" si="23" xml:space="preserve"> AP20 + ( AP20 * AP22 ) + ( AP20 * AP23 )</f>
        <v>53678.945922048006</v>
      </c>
      <c r="AQ24" s="11">
        <f t="shared" si="23"/>
        <v>57734.689932288005</v>
      </c>
      <c r="AR24" s="11">
        <f t="shared" si="23"/>
        <v>63432.994185216012</v>
      </c>
      <c r="AS24" s="12">
        <f t="shared" si="23"/>
        <v>72252.697918464008</v>
      </c>
      <c r="AU24" s="88">
        <f xml:space="preserve"> AU20 + ( AU20 * AU22 ) + ( AU20 * AU23 )</f>
        <v>59379.902668799987</v>
      </c>
      <c r="AV24" s="89">
        <f t="shared" ref="AV24:AW24" si="24" xml:space="preserve"> AV20 + ( AV20 * AV22 ) + ( AV20 * AV23 )</f>
        <v>64782.473932799992</v>
      </c>
      <c r="AW24" s="11">
        <f t="shared" si="24"/>
        <v>71507.465625600016</v>
      </c>
      <c r="AX24" s="12">
        <f t="shared" ref="AX24" si="25" xml:space="preserve"> AX20 + ( AX20 * AX22 ) + ( AX20 * AX23 )</f>
        <v>89473.030963199999</v>
      </c>
      <c r="AY24" s="69"/>
      <c r="AZ24" s="88">
        <f t="shared" ref="AZ24:BA24" si="26" xml:space="preserve"> AZ20 + ( AZ20 * AZ22 ) + ( AZ20 * AZ23 )</f>
        <v>55111.160678399996</v>
      </c>
      <c r="BA24" s="11">
        <f t="shared" si="26"/>
        <v>59147.606937600001</v>
      </c>
      <c r="BB24" s="11">
        <f xml:space="preserve"> BB20 + ( BB20 * BB22 ) + ( BB20 * BB23 )</f>
        <v>64599.221606400002</v>
      </c>
      <c r="BC24" s="12">
        <f xml:space="preserve"> BC20 + ( BC20 * BC22 ) + ( BC20 * BC23 )</f>
        <v>105735.59424000001</v>
      </c>
      <c r="BD24" s="182"/>
      <c r="BE24" s="88">
        <f t="shared" ref="BE24:BG24" si="27" xml:space="preserve"> BE20 + ( BE20 * BE22 ) + ( BE20 * BE23 )</f>
        <v>67001.897779200008</v>
      </c>
      <c r="BF24" s="11">
        <f t="shared" si="27"/>
        <v>73200.382525440014</v>
      </c>
      <c r="BG24" s="11">
        <f t="shared" si="27"/>
        <v>80645.037834240022</v>
      </c>
      <c r="BH24" s="12">
        <f t="shared" ref="BH24" si="28" xml:space="preserve"> BH20 + ( BH20 * BH22 ) + ( BH20 * BH23 )</f>
        <v>89206.391439360013</v>
      </c>
      <c r="BI24" s="69"/>
      <c r="BJ24" s="88">
        <f t="shared" ref="BJ24:BL24" si="29" xml:space="preserve"> BJ20 + ( BJ20 * BJ22 ) + ( BJ20 * BJ23 )</f>
        <v>48306.45203251201</v>
      </c>
      <c r="BK24" s="11">
        <f t="shared" si="29"/>
        <v>49674.662581247998</v>
      </c>
      <c r="BL24" s="11">
        <f t="shared" si="29"/>
        <v>53678.945922048006</v>
      </c>
      <c r="BM24" s="12">
        <f t="shared" ref="BM24" si="30" xml:space="preserve"> BM20 + ( BM20 * BM22 ) + ( BM20 * BM23 )</f>
        <v>57734.689932288005</v>
      </c>
      <c r="BN24" s="69"/>
      <c r="BO24" s="88">
        <f t="shared" ref="BO24:BP24" si="31" xml:space="preserve"> BO20 + ( BO20 * BO22 ) + ( BO20 * BO23 )</f>
        <v>59211.932774399997</v>
      </c>
      <c r="BP24" s="11">
        <f t="shared" si="31"/>
        <v>64599.221606400002</v>
      </c>
      <c r="BQ24" s="12">
        <f xml:space="preserve"> BQ20 + ( BQ20 * BQ22 ) + ( BQ20 * BQ23 )</f>
        <v>71305.19009280001</v>
      </c>
      <c r="BR24" s="69"/>
      <c r="BS24" s="88">
        <f t="shared" ref="BS24:BT24" si="32" xml:space="preserve"> BS20 + ( BS20 * BS22 ) + ( BS20 * BS23 )</f>
        <v>59147.606937600001</v>
      </c>
      <c r="BT24" s="11">
        <f t="shared" si="32"/>
        <v>64599.221606400002</v>
      </c>
      <c r="BU24" s="12">
        <f xml:space="preserve"> BU20 + ( BU20 * BU22 ) + ( BU20 * BU23 )</f>
        <v>71337.353011200015</v>
      </c>
      <c r="BV24" s="69"/>
      <c r="BW24" s="418">
        <f xml:space="preserve"> BW20 + ( BW20 * BW22 ) + ( BW20 * BW23 )</f>
        <v>67001.897779200008</v>
      </c>
      <c r="BX24" s="11">
        <f xml:space="preserve"> BX20 + ( BX20 * BX22 ) + ( BX20 * BX23 )</f>
        <v>73200.382525440014</v>
      </c>
      <c r="BY24" s="11">
        <f xml:space="preserve"> BY20 + ( BY20 * BY22 ) + ( BY20 * BY23 )</f>
        <v>80645.037834240022</v>
      </c>
      <c r="BZ24" s="12">
        <f xml:space="preserve"> BZ20 + ( BZ20 * BZ22 ) + ( BZ20 * BZ23 )</f>
        <v>89206.391439360013</v>
      </c>
      <c r="CA24" s="69"/>
      <c r="CB24" s="88">
        <f t="shared" ref="CB24:CD24" si="33" xml:space="preserve"> CB20 + ( CB20 * CB22 ) + ( CB20 * CB23 )</f>
        <v>53678.945922048006</v>
      </c>
      <c r="CC24" s="11">
        <f t="shared" si="33"/>
        <v>57734.689932288005</v>
      </c>
      <c r="CD24" s="11">
        <f t="shared" si="33"/>
        <v>63432.994185216012</v>
      </c>
      <c r="CE24" s="12">
        <f t="shared" ref="CE24" si="34" xml:space="preserve"> CE20 + ( CE20 * CE22 ) + ( CE20 * CE23 )</f>
        <v>72048.314322432008</v>
      </c>
      <c r="CF24" s="69"/>
      <c r="CG24" s="182"/>
    </row>
    <row r="25" spans="1:85" s="8" customFormat="1" ht="6" customHeight="1" x14ac:dyDescent="0.3">
      <c r="A25" s="72"/>
      <c r="B25" s="105"/>
      <c r="C25" s="94"/>
      <c r="D25" s="65"/>
      <c r="E25" s="60"/>
      <c r="F25" s="86"/>
      <c r="G25" s="76"/>
      <c r="H25" s="81"/>
      <c r="I25" s="81"/>
      <c r="J25" s="82"/>
      <c r="K25" s="68"/>
      <c r="L25" s="76"/>
      <c r="M25" s="81"/>
      <c r="N25" s="81"/>
      <c r="O25" s="82"/>
      <c r="P25" s="68"/>
      <c r="Q25" s="76"/>
      <c r="R25" s="81"/>
      <c r="S25" s="620"/>
      <c r="T25" s="82"/>
      <c r="U25" s="68"/>
      <c r="V25" s="76"/>
      <c r="W25" s="81"/>
      <c r="X25" s="620"/>
      <c r="Y25" s="82"/>
      <c r="Z25" s="68"/>
      <c r="AA25" s="76"/>
      <c r="AB25" s="81"/>
      <c r="AC25" s="81"/>
      <c r="AD25" s="82"/>
      <c r="AE25" s="68"/>
      <c r="AF25" s="76"/>
      <c r="AG25" s="81"/>
      <c r="AH25" s="81"/>
      <c r="AI25" s="82"/>
      <c r="AJ25" s="68"/>
      <c r="AK25" s="76"/>
      <c r="AL25" s="81"/>
      <c r="AM25" s="81"/>
      <c r="AN25" s="82"/>
      <c r="AO25" s="68"/>
      <c r="AP25" s="76"/>
      <c r="AQ25" s="81"/>
      <c r="AR25" s="81"/>
      <c r="AS25" s="82"/>
      <c r="AU25" s="76"/>
      <c r="AV25" s="81"/>
      <c r="AW25" s="81"/>
      <c r="AX25" s="82"/>
      <c r="AY25" s="68"/>
      <c r="AZ25" s="76"/>
      <c r="BA25" s="81"/>
      <c r="BB25" s="620"/>
      <c r="BC25" s="181"/>
      <c r="BD25" s="68"/>
      <c r="BE25" s="76"/>
      <c r="BF25" s="81"/>
      <c r="BG25" s="81"/>
      <c r="BH25" s="82"/>
      <c r="BI25" s="68"/>
      <c r="BJ25" s="76"/>
      <c r="BK25" s="81"/>
      <c r="BL25" s="81"/>
      <c r="BM25" s="82"/>
      <c r="BN25" s="68"/>
      <c r="BO25" s="76"/>
      <c r="BP25" s="81"/>
      <c r="BQ25" s="181"/>
      <c r="BR25" s="68"/>
      <c r="BS25" s="76"/>
      <c r="BT25" s="81"/>
      <c r="BU25" s="181"/>
      <c r="BV25" s="68"/>
      <c r="BW25" s="420"/>
      <c r="BX25" s="182"/>
      <c r="BY25" s="620"/>
      <c r="BZ25" s="181"/>
      <c r="CA25" s="68"/>
      <c r="CB25" s="76"/>
      <c r="CC25" s="81"/>
      <c r="CD25" s="81"/>
      <c r="CE25" s="181"/>
      <c r="CF25" s="68"/>
      <c r="CG25" s="471"/>
    </row>
    <row r="26" spans="1:85" s="227" customFormat="1" x14ac:dyDescent="0.3">
      <c r="A26" s="224"/>
      <c r="B26" s="225"/>
      <c r="C26" s="224"/>
      <c r="D26" s="226"/>
      <c r="E26" s="232" t="s">
        <v>82</v>
      </c>
      <c r="F26" s="231" t="s">
        <v>62</v>
      </c>
      <c r="G26" s="230">
        <v>0.02</v>
      </c>
      <c r="H26" s="26">
        <v>0.02</v>
      </c>
      <c r="I26" s="26">
        <v>0.02</v>
      </c>
      <c r="J26" s="229">
        <v>0.02</v>
      </c>
      <c r="L26" s="230">
        <v>0.02</v>
      </c>
      <c r="M26" s="26">
        <v>0.02</v>
      </c>
      <c r="N26" s="26">
        <v>0.02</v>
      </c>
      <c r="O26" s="229">
        <v>0.02</v>
      </c>
      <c r="Q26" s="230">
        <v>0.02</v>
      </c>
      <c r="R26" s="26">
        <v>0.02</v>
      </c>
      <c r="S26" s="26">
        <v>0.02</v>
      </c>
      <c r="T26" s="229">
        <v>0.02</v>
      </c>
      <c r="U26" s="232"/>
      <c r="V26" s="230">
        <v>0.02</v>
      </c>
      <c r="W26" s="26">
        <v>0.02</v>
      </c>
      <c r="X26" s="26">
        <v>0.02</v>
      </c>
      <c r="Y26" s="229">
        <v>0.02</v>
      </c>
      <c r="Z26" s="232"/>
      <c r="AA26" s="230">
        <v>0.02</v>
      </c>
      <c r="AB26" s="26">
        <v>0.02</v>
      </c>
      <c r="AC26" s="26">
        <v>0.02</v>
      </c>
      <c r="AD26" s="229">
        <v>0.02</v>
      </c>
      <c r="AF26" s="230">
        <v>0.02</v>
      </c>
      <c r="AG26" s="26">
        <v>0.02</v>
      </c>
      <c r="AH26" s="26">
        <v>0.02</v>
      </c>
      <c r="AI26" s="229">
        <v>0.02</v>
      </c>
      <c r="AK26" s="230">
        <v>0.02</v>
      </c>
      <c r="AL26" s="26">
        <v>0.02</v>
      </c>
      <c r="AM26" s="26">
        <v>0.02</v>
      </c>
      <c r="AN26" s="229">
        <v>0.02</v>
      </c>
      <c r="AP26" s="230">
        <v>0.02</v>
      </c>
      <c r="AQ26" s="26">
        <v>0.02</v>
      </c>
      <c r="AR26" s="26">
        <v>0.02</v>
      </c>
      <c r="AS26" s="229">
        <v>0.02</v>
      </c>
      <c r="AU26" s="230">
        <v>0.02</v>
      </c>
      <c r="AV26" s="26">
        <v>0.02</v>
      </c>
      <c r="AW26" s="26">
        <v>0.02</v>
      </c>
      <c r="AX26" s="229">
        <v>0.02</v>
      </c>
      <c r="AZ26" s="230">
        <v>0.02</v>
      </c>
      <c r="BA26" s="26">
        <v>0.02</v>
      </c>
      <c r="BB26" s="26">
        <v>0.02</v>
      </c>
      <c r="BC26" s="229">
        <v>0.02</v>
      </c>
      <c r="BD26" s="232"/>
      <c r="BE26" s="230">
        <v>0.02</v>
      </c>
      <c r="BF26" s="26">
        <v>0.02</v>
      </c>
      <c r="BG26" s="26">
        <v>0.02</v>
      </c>
      <c r="BH26" s="229">
        <v>0.02</v>
      </c>
      <c r="BJ26" s="230">
        <v>0.02</v>
      </c>
      <c r="BK26" s="26">
        <v>0.02</v>
      </c>
      <c r="BL26" s="26">
        <v>0.02</v>
      </c>
      <c r="BM26" s="229">
        <v>0.02</v>
      </c>
      <c r="BO26" s="230">
        <v>0.02</v>
      </c>
      <c r="BP26" s="26">
        <v>0.02</v>
      </c>
      <c r="BQ26" s="229">
        <v>0.02</v>
      </c>
      <c r="BS26" s="230">
        <v>0.02</v>
      </c>
      <c r="BT26" s="26">
        <v>0.02</v>
      </c>
      <c r="BU26" s="229">
        <v>0.02</v>
      </c>
      <c r="BW26" s="230">
        <v>0.02</v>
      </c>
      <c r="BX26" s="26">
        <v>0.02</v>
      </c>
      <c r="BY26" s="26">
        <v>0.02</v>
      </c>
      <c r="BZ26" s="229">
        <v>0.02</v>
      </c>
      <c r="CB26" s="230">
        <v>0.02</v>
      </c>
      <c r="CC26" s="26">
        <v>0.02</v>
      </c>
      <c r="CD26" s="26">
        <v>0.02</v>
      </c>
      <c r="CE26" s="229">
        <v>0.02</v>
      </c>
    </row>
    <row r="27" spans="1:85" s="8" customFormat="1" x14ac:dyDescent="0.3">
      <c r="A27" s="72"/>
      <c r="B27" s="105"/>
      <c r="C27" s="94"/>
      <c r="D27" s="65"/>
      <c r="E27" s="70" t="s">
        <v>63</v>
      </c>
      <c r="F27" s="87" t="s">
        <v>48</v>
      </c>
      <c r="G27" s="88">
        <f xml:space="preserve"> G24 * ( 1 + G26 )</f>
        <v>60567.500722175988</v>
      </c>
      <c r="H27" s="89">
        <f t="shared" ref="H27:I27" si="35" xml:space="preserve"> H24 * ( 1 + H26 )</f>
        <v>66078.123411455992</v>
      </c>
      <c r="I27" s="11">
        <f t="shared" si="35"/>
        <v>72937.614938112019</v>
      </c>
      <c r="J27" s="12">
        <f t="shared" ref="J27" si="36" xml:space="preserve"> J24 * ( 1 + J26 )</f>
        <v>91262.491582464005</v>
      </c>
      <c r="K27" s="69"/>
      <c r="L27" s="88">
        <f xml:space="preserve"> L24 * ( 1 + L26 )</f>
        <v>60567.500722175988</v>
      </c>
      <c r="M27" s="89">
        <f xml:space="preserve"> M24 * ( 1 + M26 )</f>
        <v>66078.123411455992</v>
      </c>
      <c r="N27" s="11">
        <f xml:space="preserve"> N24 * ( 1 + N26 )</f>
        <v>72937.614938112019</v>
      </c>
      <c r="O27" s="12">
        <f t="shared" ref="O27" si="37" xml:space="preserve"> O24 * ( 1 + O26 )</f>
        <v>91262.491582464005</v>
      </c>
      <c r="P27" s="69"/>
      <c r="Q27" s="88">
        <f t="shared" ref="Q27:R27" si="38" xml:space="preserve"> Q24 * ( 1 + Q26 )</f>
        <v>56213.383891967998</v>
      </c>
      <c r="R27" s="11">
        <f t="shared" si="38"/>
        <v>60330.559076352001</v>
      </c>
      <c r="S27" s="11">
        <f xml:space="preserve"> S24 * ( 1 + S26 )</f>
        <v>65891.206038528006</v>
      </c>
      <c r="T27" s="12">
        <f t="shared" ref="T27" si="39" xml:space="preserve"> T24 * ( 1 + T26 )</f>
        <v>108156.25128960001</v>
      </c>
      <c r="U27" s="182"/>
      <c r="V27" s="88">
        <f xml:space="preserve"> V24 * ( 1 + V26 )</f>
        <v>56213.383891967998</v>
      </c>
      <c r="W27" s="11">
        <f xml:space="preserve"> W24 * ( 1 + W26 )</f>
        <v>60330.559076352001</v>
      </c>
      <c r="X27" s="11">
        <f xml:space="preserve"> X24 * ( 1 + X26 )</f>
        <v>65891.206038528006</v>
      </c>
      <c r="Y27" s="12">
        <f t="shared" ref="Y27" si="40" xml:space="preserve"> Y24 * ( 1 + Y26 )</f>
        <v>108156.25128960001</v>
      </c>
      <c r="Z27" s="182"/>
      <c r="AA27" s="88">
        <f t="shared" ref="AA27:AD27" si="41" xml:space="preserve"> AA24 * ( 1 + AA26 )</f>
        <v>68341.935734784012</v>
      </c>
      <c r="AB27" s="11">
        <f t="shared" si="41"/>
        <v>74664.390175948822</v>
      </c>
      <c r="AC27" s="11">
        <f t="shared" si="41"/>
        <v>82257.938590924823</v>
      </c>
      <c r="AD27" s="12">
        <f t="shared" si="41"/>
        <v>91268.545854799871</v>
      </c>
      <c r="AE27" s="69"/>
      <c r="AF27" s="88">
        <f xml:space="preserve"> AF24 * ( 1 + AF26 )</f>
        <v>68341.935734784012</v>
      </c>
      <c r="AG27" s="11">
        <f xml:space="preserve"> AG24 * ( 1 + AG26 )</f>
        <v>74664.390175948822</v>
      </c>
      <c r="AH27" s="11">
        <f xml:space="preserve"> AH24 * ( 1 + AH26 )</f>
        <v>82257.938590924823</v>
      </c>
      <c r="AI27" s="12">
        <f t="shared" ref="AI27" si="42" xml:space="preserve"> AI24 * ( 1 + AI26 )</f>
        <v>101120.6475934802</v>
      </c>
      <c r="AJ27" s="69"/>
      <c r="AK27" s="88">
        <f t="shared" ref="AK27:AN27" si="43" xml:space="preserve"> AK24 * ( 1 + AK26 )</f>
        <v>49272.581073162248</v>
      </c>
      <c r="AL27" s="11">
        <f t="shared" si="43"/>
        <v>50668.155832872959</v>
      </c>
      <c r="AM27" s="11">
        <f t="shared" si="43"/>
        <v>54752.524840488964</v>
      </c>
      <c r="AN27" s="12">
        <f t="shared" si="43"/>
        <v>59056.438631915524</v>
      </c>
      <c r="AO27" s="69"/>
      <c r="AP27" s="88">
        <f t="shared" ref="AP27:AS27" si="44" xml:space="preserve"> AP24 * ( 1 + AP26 )</f>
        <v>54752.524840488964</v>
      </c>
      <c r="AQ27" s="11">
        <f t="shared" si="44"/>
        <v>58889.383730933769</v>
      </c>
      <c r="AR27" s="11">
        <f t="shared" si="44"/>
        <v>64701.654068920332</v>
      </c>
      <c r="AS27" s="12">
        <f t="shared" si="44"/>
        <v>73697.751876833296</v>
      </c>
      <c r="AU27" s="88">
        <f xml:space="preserve"> AU24 * ( 1 + AU26 )</f>
        <v>60567.500722175988</v>
      </c>
      <c r="AV27" s="89">
        <f t="shared" ref="AV27:AW27" si="45" xml:space="preserve"> AV24 * ( 1 + AV26 )</f>
        <v>66078.123411455992</v>
      </c>
      <c r="AW27" s="11">
        <f t="shared" si="45"/>
        <v>72937.614938112019</v>
      </c>
      <c r="AX27" s="12">
        <f t="shared" ref="AX27" si="46" xml:space="preserve"> AX24 * ( 1 + AX26 )</f>
        <v>91262.491582464005</v>
      </c>
      <c r="AY27" s="69"/>
      <c r="AZ27" s="88">
        <f t="shared" ref="AZ27:BA27" si="47" xml:space="preserve"> AZ24 * ( 1 + AZ26 )</f>
        <v>56213.383891967998</v>
      </c>
      <c r="BA27" s="11">
        <f t="shared" si="47"/>
        <v>60330.559076352001</v>
      </c>
      <c r="BB27" s="11">
        <f xml:space="preserve"> BB24 * ( 1 + BB26 )</f>
        <v>65891.206038528006</v>
      </c>
      <c r="BC27" s="12">
        <f xml:space="preserve"> BC24 * ( 1 + BC26 )</f>
        <v>107850.3061248</v>
      </c>
      <c r="BD27" s="182"/>
      <c r="BE27" s="88">
        <f t="shared" ref="BE27:BG27" si="48" xml:space="preserve"> BE24 * ( 1 + BE26 )</f>
        <v>68341.935734784012</v>
      </c>
      <c r="BF27" s="11">
        <f t="shared" si="48"/>
        <v>74664.390175948822</v>
      </c>
      <c r="BG27" s="11">
        <f t="shared" si="48"/>
        <v>82257.938590924823</v>
      </c>
      <c r="BH27" s="12">
        <f t="shared" ref="BH27" si="49" xml:space="preserve"> BH24 * ( 1 + BH26 )</f>
        <v>90990.519268147211</v>
      </c>
      <c r="BI27" s="69"/>
      <c r="BJ27" s="88">
        <f t="shared" ref="BJ27:BL27" si="50" xml:space="preserve"> BJ24 * ( 1 + BJ26 )</f>
        <v>49272.581073162248</v>
      </c>
      <c r="BK27" s="11">
        <f t="shared" si="50"/>
        <v>50668.155832872959</v>
      </c>
      <c r="BL27" s="11">
        <f t="shared" si="50"/>
        <v>54752.524840488964</v>
      </c>
      <c r="BM27" s="12">
        <f t="shared" ref="BM27" si="51" xml:space="preserve"> BM24 * ( 1 + BM26 )</f>
        <v>58889.383730933769</v>
      </c>
      <c r="BN27" s="69"/>
      <c r="BO27" s="88">
        <f t="shared" ref="BO27:BP27" si="52" xml:space="preserve"> BO24 * ( 1 + BO26 )</f>
        <v>60396.171429887996</v>
      </c>
      <c r="BP27" s="11">
        <f t="shared" si="52"/>
        <v>65891.206038528006</v>
      </c>
      <c r="BQ27" s="12">
        <f xml:space="preserve"> BQ24 * ( 1 + BQ26 )</f>
        <v>72731.293894656017</v>
      </c>
      <c r="BR27" s="69"/>
      <c r="BS27" s="88">
        <f t="shared" ref="BS27:BT27" si="53" xml:space="preserve"> BS24 * ( 1 + BS26 )</f>
        <v>60330.559076352001</v>
      </c>
      <c r="BT27" s="11">
        <f t="shared" si="53"/>
        <v>65891.206038528006</v>
      </c>
      <c r="BU27" s="12">
        <f xml:space="preserve"> BU24 * ( 1 + BU26 )</f>
        <v>72764.100071424022</v>
      </c>
      <c r="BV27" s="69"/>
      <c r="BW27" s="418">
        <f xml:space="preserve"> BW24 * ( 1 + BW26 )</f>
        <v>68341.935734784012</v>
      </c>
      <c r="BX27" s="11">
        <f xml:space="preserve"> BX24 * ( 1 + BX26 )</f>
        <v>74664.390175948822</v>
      </c>
      <c r="BY27" s="11">
        <f xml:space="preserve"> BY24 * ( 1 + BY26 )</f>
        <v>82257.938590924823</v>
      </c>
      <c r="BZ27" s="12">
        <f xml:space="preserve"> BZ24 * ( 1 + BZ26 )</f>
        <v>90990.519268147211</v>
      </c>
      <c r="CA27" s="69"/>
      <c r="CB27" s="88">
        <f t="shared" ref="CB27:CD27" si="54" xml:space="preserve"> CB24 * ( 1 + CB26 )</f>
        <v>54752.524840488964</v>
      </c>
      <c r="CC27" s="11">
        <f t="shared" si="54"/>
        <v>58889.383730933769</v>
      </c>
      <c r="CD27" s="11">
        <f t="shared" si="54"/>
        <v>64701.654068920332</v>
      </c>
      <c r="CE27" s="12">
        <f t="shared" ref="CE27" si="55" xml:space="preserve"> CE24 * ( 1 + CE26 )</f>
        <v>73489.280608880654</v>
      </c>
      <c r="CF27" s="69"/>
      <c r="CG27" s="182"/>
    </row>
    <row r="28" spans="1:85" s="8" customFormat="1" ht="6" customHeight="1" x14ac:dyDescent="0.3">
      <c r="A28" s="72"/>
      <c r="B28" s="105"/>
      <c r="C28" s="94"/>
      <c r="D28" s="65"/>
      <c r="E28" s="63"/>
      <c r="F28" s="103"/>
      <c r="G28" s="76"/>
      <c r="H28" s="81"/>
      <c r="J28" s="10"/>
      <c r="L28" s="9"/>
      <c r="M28" s="81"/>
      <c r="O28" s="10"/>
      <c r="Q28" s="9"/>
      <c r="T28" s="10"/>
      <c r="V28" s="9"/>
      <c r="Y28" s="10"/>
      <c r="AA28" s="9"/>
      <c r="AD28" s="10"/>
      <c r="AF28" s="9"/>
      <c r="AI28" s="10"/>
      <c r="AK28" s="9"/>
      <c r="AN28" s="10"/>
      <c r="AP28" s="9"/>
      <c r="AS28" s="10"/>
      <c r="AU28" s="76"/>
      <c r="AV28" s="81"/>
      <c r="AX28" s="10"/>
      <c r="AZ28" s="9"/>
      <c r="BC28" s="10"/>
      <c r="BE28" s="9"/>
      <c r="BH28" s="10"/>
      <c r="BJ28" s="9"/>
      <c r="BM28" s="10"/>
      <c r="BO28" s="9"/>
      <c r="BQ28" s="10"/>
      <c r="BS28" s="9"/>
      <c r="BU28" s="10"/>
      <c r="BW28" s="9"/>
      <c r="BZ28" s="10"/>
      <c r="CB28" s="9"/>
      <c r="CE28" s="10"/>
    </row>
    <row r="29" spans="1:85" s="72" customFormat="1" x14ac:dyDescent="0.3">
      <c r="B29" s="105"/>
      <c r="C29" s="94"/>
      <c r="D29" s="94"/>
      <c r="E29" s="95" t="s">
        <v>83</v>
      </c>
      <c r="F29" s="96" t="s">
        <v>84</v>
      </c>
      <c r="G29" s="598"/>
      <c r="H29" s="599">
        <f xml:space="preserve"> SUMPRODUCT(G12:J12, G27:J27)</f>
        <v>62538.823179141124</v>
      </c>
      <c r="I29" s="599"/>
      <c r="J29" s="600"/>
      <c r="K29" s="100"/>
      <c r="L29" s="97"/>
      <c r="M29" s="13">
        <f xml:space="preserve"> SUMPRODUCT(L12:O12, L27:O27)</f>
        <v>66531.145945374708</v>
      </c>
      <c r="N29" s="13"/>
      <c r="O29" s="600"/>
      <c r="P29" s="100"/>
      <c r="Q29" s="97"/>
      <c r="R29" s="13">
        <f xml:space="preserve"> SUMPRODUCT(Q12:T12, Q27:T27)</f>
        <v>59662.404151326722</v>
      </c>
      <c r="S29" s="13"/>
      <c r="T29" s="600"/>
      <c r="U29" s="136"/>
      <c r="V29" s="97"/>
      <c r="W29" s="13">
        <f xml:space="preserve"> SUMPRODUCT(V12:Y12, V27:Y27)</f>
        <v>63533.533009950726</v>
      </c>
      <c r="X29" s="13"/>
      <c r="Y29" s="600"/>
      <c r="Z29" s="136"/>
      <c r="AA29" s="97"/>
      <c r="AB29" s="13">
        <f xml:space="preserve"> SUMPRODUCT(AA12:AD12, AA27:AD27)</f>
        <v>70455.887537153336</v>
      </c>
      <c r="AC29" s="13"/>
      <c r="AD29" s="600"/>
      <c r="AE29" s="100"/>
      <c r="AF29" s="97"/>
      <c r="AG29" s="13">
        <f xml:space="preserve"> SUMPRODUCT(AF12:AI12, AF27:AI27)</f>
        <v>75107.236060736614</v>
      </c>
      <c r="AH29" s="13"/>
      <c r="AI29" s="600"/>
      <c r="AJ29" s="100"/>
      <c r="AK29" s="97"/>
      <c r="AL29" s="13">
        <f xml:space="preserve"> SUMPRODUCT(AK12:AN12, AK27:AN27)</f>
        <v>57765.26449448755</v>
      </c>
      <c r="AM29" s="13"/>
      <c r="AN29" s="600"/>
      <c r="AO29" s="100"/>
      <c r="AP29" s="97"/>
      <c r="AQ29" s="13">
        <f xml:space="preserve"> SUMPRODUCT(AP12:AS12, AP27:AS27)</f>
        <v>59101.393648296966</v>
      </c>
      <c r="AR29" s="13"/>
      <c r="AS29" s="600"/>
      <c r="AU29" s="97"/>
      <c r="AV29" s="13">
        <f xml:space="preserve"> SUMPRODUCT(AU12:AX12, AU27:AX27)</f>
        <v>62538.823179141124</v>
      </c>
      <c r="AW29" s="13"/>
      <c r="AX29" s="14"/>
      <c r="AY29" s="100"/>
      <c r="AZ29" s="97"/>
      <c r="BA29" s="13">
        <f xml:space="preserve"> SUMPRODUCT(AZ12:BC12, AZ27:BC27)</f>
        <v>59659.344699678717</v>
      </c>
      <c r="BB29" s="13"/>
      <c r="BC29" s="14"/>
      <c r="BD29" s="136"/>
      <c r="BE29" s="97"/>
      <c r="BF29" s="13">
        <f xml:space="preserve"> SUMPRODUCT(BE12:BH12, BE27:BH27)</f>
        <v>70453.107271286804</v>
      </c>
      <c r="BG29" s="13"/>
      <c r="BH29" s="14"/>
      <c r="BI29" s="100"/>
      <c r="BJ29" s="97"/>
      <c r="BK29" s="13">
        <f xml:space="preserve"> SUMPRODUCT(BJ12:BM12, BJ27:BM27)</f>
        <v>52560.547333558279</v>
      </c>
      <c r="BL29" s="13"/>
      <c r="BM29" s="14"/>
      <c r="BN29" s="100"/>
      <c r="BO29" s="97"/>
      <c r="BP29" s="13">
        <f xml:space="preserve"> SUMPRODUCT(BO12:BQ12, BO27:BQ27)</f>
        <v>63143.688734208001</v>
      </c>
      <c r="BQ29" s="14"/>
      <c r="BR29" s="100"/>
      <c r="BS29" s="97"/>
      <c r="BT29" s="13">
        <f xml:space="preserve"> SUMPRODUCT(BS12:BU12, BS27:BU27)</f>
        <v>63110.882557440003</v>
      </c>
      <c r="BU29" s="14"/>
      <c r="BV29" s="100"/>
      <c r="BW29" s="424"/>
      <c r="BX29" s="13">
        <f xml:space="preserve"> SUMPRODUCT(BW12:BZ12, BW27:BZ27)</f>
        <v>82257.938590924823</v>
      </c>
      <c r="BY29" s="13"/>
      <c r="BZ29" s="14"/>
      <c r="CA29" s="100"/>
      <c r="CB29" s="97"/>
      <c r="CC29" s="13">
        <f xml:space="preserve"> SUMPRODUCT(CB12:CE12, CB27:CE27)</f>
        <v>61795.518899927047</v>
      </c>
      <c r="CD29" s="13"/>
      <c r="CE29" s="14"/>
      <c r="CF29" s="100"/>
      <c r="CG29" s="136"/>
    </row>
    <row r="30" spans="1:85" s="8" customFormat="1" x14ac:dyDescent="0.3">
      <c r="A30" s="72"/>
      <c r="B30" s="105"/>
      <c r="C30" s="94"/>
      <c r="D30" s="65"/>
      <c r="E30" s="63"/>
      <c r="F30" s="103"/>
      <c r="G30" s="9"/>
      <c r="J30" s="10"/>
      <c r="L30" s="9"/>
      <c r="O30" s="10"/>
      <c r="Q30" s="9"/>
      <c r="T30" s="10"/>
      <c r="V30" s="9"/>
      <c r="Y30" s="10"/>
      <c r="AA30" s="9"/>
      <c r="AD30" s="10"/>
      <c r="AF30" s="9"/>
      <c r="AI30" s="10"/>
      <c r="AK30" s="9"/>
      <c r="AN30" s="10"/>
      <c r="AP30" s="9"/>
      <c r="AS30" s="10"/>
      <c r="AU30" s="9"/>
      <c r="AX30" s="10"/>
      <c r="AZ30" s="9"/>
      <c r="BC30" s="10"/>
      <c r="BE30" s="9"/>
      <c r="BH30" s="10"/>
      <c r="BJ30" s="9"/>
      <c r="BM30" s="10"/>
      <c r="BO30" s="9"/>
      <c r="BQ30" s="10"/>
      <c r="BS30" s="9"/>
      <c r="BU30" s="10"/>
      <c r="BW30" s="9"/>
      <c r="BZ30" s="10"/>
      <c r="CB30" s="9"/>
      <c r="CE30" s="10"/>
    </row>
    <row r="31" spans="1:85" s="8" customFormat="1" x14ac:dyDescent="0.3">
      <c r="A31" s="72"/>
      <c r="B31" s="105"/>
      <c r="C31" s="94"/>
      <c r="D31" s="73" t="s">
        <v>69</v>
      </c>
      <c r="E31" s="63"/>
      <c r="F31" s="103"/>
      <c r="G31" s="9"/>
      <c r="J31" s="10"/>
      <c r="L31" s="9"/>
      <c r="O31" s="10"/>
      <c r="Q31" s="9"/>
      <c r="T31" s="10"/>
      <c r="V31" s="9"/>
      <c r="Y31" s="10"/>
      <c r="AA31" s="9"/>
      <c r="AD31" s="10"/>
      <c r="AF31" s="9"/>
      <c r="AI31" s="10"/>
      <c r="AK31" s="9"/>
      <c r="AN31" s="10"/>
      <c r="AP31" s="9"/>
      <c r="AS31" s="10"/>
      <c r="AU31" s="9"/>
      <c r="AX31" s="10"/>
      <c r="AZ31" s="9"/>
      <c r="BC31" s="10"/>
      <c r="BE31" s="9"/>
      <c r="BH31" s="10"/>
      <c r="BJ31" s="9"/>
      <c r="BM31" s="10"/>
      <c r="BO31" s="9"/>
      <c r="BQ31" s="10"/>
      <c r="BS31" s="9"/>
      <c r="BU31" s="10"/>
      <c r="BW31" s="9"/>
      <c r="BZ31" s="10"/>
      <c r="CB31" s="9"/>
      <c r="CE31" s="10"/>
    </row>
    <row r="32" spans="1:85" s="8" customFormat="1" x14ac:dyDescent="0.3">
      <c r="A32" s="72"/>
      <c r="B32" s="105"/>
      <c r="C32" s="94"/>
      <c r="D32" s="65"/>
      <c r="E32" s="61" t="s">
        <v>70</v>
      </c>
      <c r="F32" s="61" t="s">
        <v>71</v>
      </c>
      <c r="G32" s="85">
        <v>1878</v>
      </c>
      <c r="H32" s="91">
        <v>1878</v>
      </c>
      <c r="I32" s="91">
        <v>1878</v>
      </c>
      <c r="J32" s="92">
        <v>1878</v>
      </c>
      <c r="K32" s="66"/>
      <c r="L32" s="85">
        <v>1878</v>
      </c>
      <c r="M32" s="91">
        <v>1878</v>
      </c>
      <c r="N32" s="91">
        <v>1878</v>
      </c>
      <c r="O32" s="92">
        <v>1878</v>
      </c>
      <c r="P32" s="66"/>
      <c r="Q32" s="85">
        <v>1878</v>
      </c>
      <c r="R32" s="91">
        <v>1878</v>
      </c>
      <c r="S32" s="621">
        <v>1878</v>
      </c>
      <c r="T32" s="92">
        <v>1878</v>
      </c>
      <c r="U32"/>
      <c r="V32" s="85">
        <v>1878</v>
      </c>
      <c r="W32" s="91">
        <v>1878</v>
      </c>
      <c r="X32" s="621">
        <v>1878</v>
      </c>
      <c r="Y32" s="92">
        <v>1878</v>
      </c>
      <c r="Z32"/>
      <c r="AA32" s="85">
        <v>1878</v>
      </c>
      <c r="AB32" s="91">
        <v>1878</v>
      </c>
      <c r="AC32" s="91">
        <v>1878</v>
      </c>
      <c r="AD32" s="92">
        <v>1878</v>
      </c>
      <c r="AE32" s="66"/>
      <c r="AF32" s="85">
        <v>1878</v>
      </c>
      <c r="AG32" s="91">
        <v>1878</v>
      </c>
      <c r="AH32" s="91">
        <v>1878</v>
      </c>
      <c r="AI32" s="92">
        <v>1878</v>
      </c>
      <c r="AJ32" s="66"/>
      <c r="AK32" s="85">
        <v>1878</v>
      </c>
      <c r="AL32" s="91">
        <v>1878</v>
      </c>
      <c r="AM32" s="91">
        <v>1878</v>
      </c>
      <c r="AN32" s="92">
        <v>1878</v>
      </c>
      <c r="AO32" s="66"/>
      <c r="AP32" s="85">
        <v>1878</v>
      </c>
      <c r="AQ32" s="91">
        <v>1878</v>
      </c>
      <c r="AR32" s="91">
        <v>1878</v>
      </c>
      <c r="AS32" s="92">
        <v>1878</v>
      </c>
      <c r="AU32" s="85">
        <v>1878</v>
      </c>
      <c r="AV32" s="91">
        <v>1878</v>
      </c>
      <c r="AW32" s="91">
        <v>1878</v>
      </c>
      <c r="AX32" s="92">
        <v>1878</v>
      </c>
      <c r="AY32" s="66"/>
      <c r="AZ32" s="85">
        <v>1878</v>
      </c>
      <c r="BA32" s="91">
        <v>1878</v>
      </c>
      <c r="BB32" s="621">
        <v>1878</v>
      </c>
      <c r="BC32" s="183">
        <v>1878</v>
      </c>
      <c r="BD32"/>
      <c r="BE32" s="85">
        <v>1878</v>
      </c>
      <c r="BF32" s="91">
        <v>1878</v>
      </c>
      <c r="BG32" s="91">
        <v>1878</v>
      </c>
      <c r="BH32" s="92">
        <v>1878</v>
      </c>
      <c r="BI32" s="66"/>
      <c r="BJ32" s="85">
        <v>1878</v>
      </c>
      <c r="BK32" s="91">
        <v>1878</v>
      </c>
      <c r="BL32" s="91">
        <v>1878</v>
      </c>
      <c r="BM32" s="92">
        <v>1878</v>
      </c>
      <c r="BN32" s="66"/>
      <c r="BO32" s="85">
        <v>1878</v>
      </c>
      <c r="BP32" s="91">
        <v>1878</v>
      </c>
      <c r="BQ32" s="183">
        <v>1878</v>
      </c>
      <c r="BR32" s="66"/>
      <c r="BS32" s="85">
        <v>1878</v>
      </c>
      <c r="BT32" s="91">
        <v>1878</v>
      </c>
      <c r="BU32" s="183">
        <v>1878</v>
      </c>
      <c r="BV32" s="66"/>
      <c r="BW32" s="392">
        <v>1878</v>
      </c>
      <c r="BX32">
        <v>1878</v>
      </c>
      <c r="BY32" s="621">
        <v>1878</v>
      </c>
      <c r="BZ32" s="183">
        <v>1878</v>
      </c>
      <c r="CA32" s="66"/>
      <c r="CB32" s="85">
        <v>1878</v>
      </c>
      <c r="CC32" s="91">
        <v>1878</v>
      </c>
      <c r="CD32" s="91">
        <v>1878</v>
      </c>
      <c r="CE32" s="183">
        <v>1878</v>
      </c>
      <c r="CF32" s="66"/>
      <c r="CG32"/>
    </row>
    <row r="33" spans="1:85" s="8" customFormat="1" x14ac:dyDescent="0.3">
      <c r="A33" s="72"/>
      <c r="B33" s="105"/>
      <c r="C33" s="94"/>
      <c r="D33" s="65"/>
      <c r="E33" s="61" t="s">
        <v>72</v>
      </c>
      <c r="F33" s="61" t="s">
        <v>71</v>
      </c>
      <c r="G33" s="77">
        <f t="shared" ref="G33:J33" si="56" xml:space="preserve"> 144 + 22 + 35 + 50</f>
        <v>251</v>
      </c>
      <c r="H33" s="83">
        <f t="shared" si="56"/>
        <v>251</v>
      </c>
      <c r="I33" s="83">
        <f t="shared" si="56"/>
        <v>251</v>
      </c>
      <c r="J33" s="84">
        <f t="shared" si="56"/>
        <v>251</v>
      </c>
      <c r="K33" s="66"/>
      <c r="L33" s="77">
        <f xml:space="preserve"> 144 + 22 + 35 + 50</f>
        <v>251</v>
      </c>
      <c r="M33" s="83">
        <f t="shared" ref="M33:O33" si="57" xml:space="preserve"> 144 + 22 + 35 + 50</f>
        <v>251</v>
      </c>
      <c r="N33" s="83">
        <f t="shared" si="57"/>
        <v>251</v>
      </c>
      <c r="O33" s="84">
        <f t="shared" si="57"/>
        <v>251</v>
      </c>
      <c r="P33" s="66"/>
      <c r="Q33" s="77">
        <f t="shared" ref="Q33:S33" si="58" xml:space="preserve"> 144 + 57 + 50</f>
        <v>251</v>
      </c>
      <c r="R33" s="83">
        <f t="shared" si="58"/>
        <v>251</v>
      </c>
      <c r="S33" s="83">
        <f t="shared" si="58"/>
        <v>251</v>
      </c>
      <c r="T33" s="84">
        <f t="shared" ref="T33" si="59" xml:space="preserve"> 144 + 22 + 35 + 50</f>
        <v>251</v>
      </c>
      <c r="U33"/>
      <c r="V33" s="77">
        <f xml:space="preserve"> 144 + 57 + 50</f>
        <v>251</v>
      </c>
      <c r="W33" s="83">
        <f t="shared" ref="W33:X33" si="60" xml:space="preserve"> 144 + 57 + 50</f>
        <v>251</v>
      </c>
      <c r="X33" s="83">
        <f t="shared" si="60"/>
        <v>251</v>
      </c>
      <c r="Y33" s="84">
        <f t="shared" ref="Y33" si="61" xml:space="preserve"> 144 + 22 + 35 + 50</f>
        <v>251</v>
      </c>
      <c r="Z33"/>
      <c r="AA33" s="77">
        <f t="shared" ref="AA33:AC33" si="62" xml:space="preserve"> 144 + 26 + 50</f>
        <v>220</v>
      </c>
      <c r="AB33" s="83">
        <f t="shared" si="62"/>
        <v>220</v>
      </c>
      <c r="AC33" s="83">
        <f t="shared" si="62"/>
        <v>220</v>
      </c>
      <c r="AD33" s="84">
        <f t="shared" ref="AD33" si="63" xml:space="preserve"> 144 + 22 + 35 + 50</f>
        <v>251</v>
      </c>
      <c r="AE33" s="66"/>
      <c r="AF33" s="77">
        <f xml:space="preserve"> 144 + 26 + 50</f>
        <v>220</v>
      </c>
      <c r="AG33" s="83">
        <f t="shared" ref="AG33:AH33" si="64" xml:space="preserve"> 144 + 26 + 50</f>
        <v>220</v>
      </c>
      <c r="AH33" s="83">
        <f t="shared" si="64"/>
        <v>220</v>
      </c>
      <c r="AI33" s="84">
        <f t="shared" ref="AI33" si="65" xml:space="preserve"> 144 + 22 + 35 + 50</f>
        <v>251</v>
      </c>
      <c r="AJ33" s="66"/>
      <c r="AK33" s="373">
        <f xml:space="preserve"> 144 + 58.4 + 35 + 50</f>
        <v>287.39999999999998</v>
      </c>
      <c r="AL33" s="374">
        <f t="shared" ref="AL33:AM33" si="66" xml:space="preserve"> 144 + 58.4 + 35 + 50</f>
        <v>287.39999999999998</v>
      </c>
      <c r="AM33" s="374">
        <f t="shared" si="66"/>
        <v>287.39999999999998</v>
      </c>
      <c r="AN33" s="84">
        <f t="shared" ref="AN33" si="67" xml:space="preserve"> 144 + 22 + 35 + 50</f>
        <v>251</v>
      </c>
      <c r="AO33" s="66"/>
      <c r="AP33" s="373">
        <f xml:space="preserve"> 144 + 58.4 + 35 + 50</f>
        <v>287.39999999999998</v>
      </c>
      <c r="AQ33" s="374">
        <f t="shared" ref="AQ33:AR33" si="68" xml:space="preserve"> 144 + 58.4 + 35 + 50</f>
        <v>287.39999999999998</v>
      </c>
      <c r="AR33" s="374">
        <f t="shared" si="68"/>
        <v>287.39999999999998</v>
      </c>
      <c r="AS33" s="84">
        <f t="shared" ref="AS33" si="69" xml:space="preserve"> 144 + 22 + 35 + 50</f>
        <v>251</v>
      </c>
      <c r="AU33" s="77">
        <f t="shared" ref="AU33:AX33" si="70" xml:space="preserve"> 144 + 22 + 35 + 50</f>
        <v>251</v>
      </c>
      <c r="AV33" s="83">
        <f t="shared" si="70"/>
        <v>251</v>
      </c>
      <c r="AW33" s="83">
        <f t="shared" si="70"/>
        <v>251</v>
      </c>
      <c r="AX33" s="84">
        <f t="shared" si="70"/>
        <v>251</v>
      </c>
      <c r="AY33" s="66"/>
      <c r="AZ33" s="77">
        <f t="shared" ref="AZ33:BC33" si="71" xml:space="preserve"> 144 + 57 + 50</f>
        <v>251</v>
      </c>
      <c r="BA33" s="83">
        <f t="shared" si="71"/>
        <v>251</v>
      </c>
      <c r="BB33" s="83">
        <f t="shared" si="71"/>
        <v>251</v>
      </c>
      <c r="BC33" s="84">
        <f t="shared" si="71"/>
        <v>251</v>
      </c>
      <c r="BD33"/>
      <c r="BE33" s="77">
        <f t="shared" ref="BE33:BH33" si="72" xml:space="preserve"> 144 + 26 + 50</f>
        <v>220</v>
      </c>
      <c r="BF33" s="83">
        <f t="shared" si="72"/>
        <v>220</v>
      </c>
      <c r="BG33" s="83">
        <f t="shared" si="72"/>
        <v>220</v>
      </c>
      <c r="BH33" s="84">
        <f t="shared" si="72"/>
        <v>220</v>
      </c>
      <c r="BI33" s="66"/>
      <c r="BJ33" s="373">
        <f xml:space="preserve"> 144 + 58.4 + 35 + 50</f>
        <v>287.39999999999998</v>
      </c>
      <c r="BK33" s="374">
        <f t="shared" ref="BK33:BM33" si="73" xml:space="preserve"> 144 + 58.4 + 35 + 50</f>
        <v>287.39999999999998</v>
      </c>
      <c r="BL33" s="374">
        <f t="shared" si="73"/>
        <v>287.39999999999998</v>
      </c>
      <c r="BM33" s="375">
        <f t="shared" si="73"/>
        <v>287.39999999999998</v>
      </c>
      <c r="BN33" s="66"/>
      <c r="BO33" s="77">
        <v>251</v>
      </c>
      <c r="BP33" s="83">
        <v>251</v>
      </c>
      <c r="BQ33" s="84">
        <v>251</v>
      </c>
      <c r="BR33" s="66"/>
      <c r="BS33" s="77">
        <v>251</v>
      </c>
      <c r="BT33" s="83">
        <v>251</v>
      </c>
      <c r="BU33" s="84">
        <v>251</v>
      </c>
      <c r="BV33" s="66"/>
      <c r="BW33" s="460">
        <f xml:space="preserve"> 144 + 58.4 + 35 + 50</f>
        <v>287.39999999999998</v>
      </c>
      <c r="BX33" s="461">
        <f xml:space="preserve"> 144 + 58.4 + 35 + 50</f>
        <v>287.39999999999998</v>
      </c>
      <c r="BY33" s="626">
        <f xml:space="preserve"> 144 + 58.4 + 35 + 50</f>
        <v>287.39999999999998</v>
      </c>
      <c r="BZ33" s="462">
        <f xml:space="preserve"> 144 + 58.4 + 35 + 50</f>
        <v>287.39999999999998</v>
      </c>
      <c r="CA33" s="66"/>
      <c r="CB33" s="373">
        <f xml:space="preserve"> 144 + 58.4 + 35 + 50</f>
        <v>287.39999999999998</v>
      </c>
      <c r="CC33" s="374">
        <f t="shared" ref="CC33:CE33" si="74" xml:space="preserve"> 144 + 58.4 + 35 + 50</f>
        <v>287.39999999999998</v>
      </c>
      <c r="CD33" s="374">
        <f t="shared" si="74"/>
        <v>287.39999999999998</v>
      </c>
      <c r="CE33" s="462">
        <f t="shared" si="74"/>
        <v>287.39999999999998</v>
      </c>
      <c r="CF33" s="66"/>
      <c r="CG33"/>
    </row>
    <row r="34" spans="1:85" s="8" customFormat="1" x14ac:dyDescent="0.3">
      <c r="A34" s="72"/>
      <c r="B34" s="105"/>
      <c r="C34" s="94"/>
      <c r="D34" s="65"/>
      <c r="E34" s="61" t="s">
        <v>73</v>
      </c>
      <c r="F34" s="61" t="s">
        <v>71</v>
      </c>
      <c r="G34" s="77">
        <f>Tarieven!$K$15*G32</f>
        <v>145.7328</v>
      </c>
      <c r="H34" s="83">
        <f>Tarieven!$K$15*H32</f>
        <v>145.7328</v>
      </c>
      <c r="I34" s="83">
        <f>Tarieven!$K$15*I32</f>
        <v>145.7328</v>
      </c>
      <c r="J34" s="84">
        <f>Tarieven!$K$15*J32</f>
        <v>145.7328</v>
      </c>
      <c r="K34" s="66"/>
      <c r="L34" s="77">
        <f>Tarieven!$K$15*L32</f>
        <v>145.7328</v>
      </c>
      <c r="M34" s="83">
        <f>Tarieven!$K$15*M32</f>
        <v>145.7328</v>
      </c>
      <c r="N34" s="83">
        <f>Tarieven!$K$15*N32</f>
        <v>145.7328</v>
      </c>
      <c r="O34" s="84">
        <f>Tarieven!$K$15*O32</f>
        <v>145.7328</v>
      </c>
      <c r="P34" s="66"/>
      <c r="Q34" s="77">
        <f>Tarieven!$K$15*Q32</f>
        <v>145.7328</v>
      </c>
      <c r="R34" s="83">
        <f>Tarieven!$K$15*R32</f>
        <v>145.7328</v>
      </c>
      <c r="S34" s="83">
        <f>Tarieven!$K$15*S32</f>
        <v>145.7328</v>
      </c>
      <c r="T34" s="84">
        <f>Tarieven!$K$15*T32</f>
        <v>145.7328</v>
      </c>
      <c r="U34"/>
      <c r="V34" s="77">
        <f>Tarieven!$K$15*V32</f>
        <v>145.7328</v>
      </c>
      <c r="W34" s="83">
        <f>Tarieven!$K$15*W32</f>
        <v>145.7328</v>
      </c>
      <c r="X34" s="83">
        <f>Tarieven!$K$15*X32</f>
        <v>145.7328</v>
      </c>
      <c r="Y34" s="84">
        <f>Tarieven!$K$15*Y32</f>
        <v>145.7328</v>
      </c>
      <c r="Z34"/>
      <c r="AA34" s="77">
        <f>Tarieven!$K$15*AA32</f>
        <v>145.7328</v>
      </c>
      <c r="AB34" s="83">
        <f>Tarieven!$K$15*AB32</f>
        <v>145.7328</v>
      </c>
      <c r="AC34" s="83">
        <f>Tarieven!$K$15*AC32</f>
        <v>145.7328</v>
      </c>
      <c r="AD34" s="84">
        <f>Tarieven!$K$15*AD32</f>
        <v>145.7328</v>
      </c>
      <c r="AE34" s="66"/>
      <c r="AF34" s="77">
        <f>Tarieven!$K$15*AF32</f>
        <v>145.7328</v>
      </c>
      <c r="AG34" s="83">
        <f>Tarieven!$K$15*AG32</f>
        <v>145.7328</v>
      </c>
      <c r="AH34" s="83">
        <f>Tarieven!$K$15*AH32</f>
        <v>145.7328</v>
      </c>
      <c r="AI34" s="84">
        <f>Tarieven!$K$15*AI32</f>
        <v>145.7328</v>
      </c>
      <c r="AJ34" s="66"/>
      <c r="AK34" s="77">
        <f>Tarieven!$K$15*AK32</f>
        <v>145.7328</v>
      </c>
      <c r="AL34" s="83">
        <f>Tarieven!$K$15*AL32</f>
        <v>145.7328</v>
      </c>
      <c r="AM34" s="83">
        <f>Tarieven!$K$15*AM32</f>
        <v>145.7328</v>
      </c>
      <c r="AN34" s="84">
        <f>Tarieven!$K$15*AN32</f>
        <v>145.7328</v>
      </c>
      <c r="AO34" s="66"/>
      <c r="AP34" s="77">
        <f>Tarieven!$K$15*AP32</f>
        <v>145.7328</v>
      </c>
      <c r="AQ34" s="83">
        <f>Tarieven!$K$15*AQ32</f>
        <v>145.7328</v>
      </c>
      <c r="AR34" s="83">
        <f>Tarieven!$K$15*AR32</f>
        <v>145.7328</v>
      </c>
      <c r="AS34" s="84">
        <f>Tarieven!$K$15*AS32</f>
        <v>145.7328</v>
      </c>
      <c r="AU34" s="77">
        <f>Tarieven!$K$15*AU32</f>
        <v>145.7328</v>
      </c>
      <c r="AV34" s="83">
        <f>Tarieven!$K$15*AV32</f>
        <v>145.7328</v>
      </c>
      <c r="AW34" s="83">
        <f>Tarieven!$K$15*AW32</f>
        <v>145.7328</v>
      </c>
      <c r="AX34" s="84">
        <f>Tarieven!$K$15*AX32</f>
        <v>145.7328</v>
      </c>
      <c r="AY34" s="66"/>
      <c r="AZ34" s="77">
        <f>Tarieven!$K$15*AZ32</f>
        <v>145.7328</v>
      </c>
      <c r="BA34" s="83">
        <f>Tarieven!$K$15*BA32</f>
        <v>145.7328</v>
      </c>
      <c r="BB34" s="83">
        <f>Tarieven!$K$15*BB32</f>
        <v>145.7328</v>
      </c>
      <c r="BC34" s="84">
        <f>Tarieven!$K$15*BC32</f>
        <v>145.7328</v>
      </c>
      <c r="BD34"/>
      <c r="BE34" s="77">
        <f>Tarieven!$K$15*BE32</f>
        <v>145.7328</v>
      </c>
      <c r="BF34" s="83">
        <f>Tarieven!$K$15*BF32</f>
        <v>145.7328</v>
      </c>
      <c r="BG34" s="83">
        <f>Tarieven!$K$15*BG32</f>
        <v>145.7328</v>
      </c>
      <c r="BH34" s="84">
        <f>Tarieven!$K$15*BH32</f>
        <v>145.7328</v>
      </c>
      <c r="BI34" s="66"/>
      <c r="BJ34" s="77">
        <f>Tarieven!$K$15*BJ32</f>
        <v>145.7328</v>
      </c>
      <c r="BK34" s="83">
        <f>Tarieven!$K$15*BK32</f>
        <v>145.7328</v>
      </c>
      <c r="BL34" s="83">
        <f>Tarieven!$K$15*BL32</f>
        <v>145.7328</v>
      </c>
      <c r="BM34" s="84">
        <f>Tarieven!$K$15*BM32</f>
        <v>145.7328</v>
      </c>
      <c r="BN34" s="66"/>
      <c r="BO34" s="77">
        <f>Tarieven!$K$15*BO32</f>
        <v>145.7328</v>
      </c>
      <c r="BP34" s="83">
        <f>Tarieven!$K$15*BP32</f>
        <v>145.7328</v>
      </c>
      <c r="BQ34" s="84">
        <f>Tarieven!$K$15*BQ32</f>
        <v>145.7328</v>
      </c>
      <c r="BR34" s="66"/>
      <c r="BS34" s="77">
        <f>Tarieven!$K$15*BS32</f>
        <v>145.7328</v>
      </c>
      <c r="BT34" s="83">
        <f>Tarieven!$K$15*BT32</f>
        <v>145.7328</v>
      </c>
      <c r="BU34" s="84">
        <f>Tarieven!$K$15*BU32</f>
        <v>145.7328</v>
      </c>
      <c r="BV34" s="66"/>
      <c r="BW34" s="176">
        <f>Tarieven!$K$15*BW32</f>
        <v>145.7328</v>
      </c>
      <c r="BX34" s="177">
        <f>Tarieven!$K$15*BX32</f>
        <v>145.7328</v>
      </c>
      <c r="BY34" s="624">
        <f>Tarieven!$K$15*BY32</f>
        <v>145.7328</v>
      </c>
      <c r="BZ34" s="178">
        <f>Tarieven!$K$15*BZ32</f>
        <v>145.7328</v>
      </c>
      <c r="CA34" s="66"/>
      <c r="CB34" s="77">
        <f>Tarieven!$K$15*CB32</f>
        <v>145.7328</v>
      </c>
      <c r="CC34" s="83">
        <f>Tarieven!$K$15*CC32</f>
        <v>145.7328</v>
      </c>
      <c r="CD34" s="83">
        <f>Tarieven!$K$15*CD32</f>
        <v>145.7328</v>
      </c>
      <c r="CE34" s="178">
        <f>Tarieven!$K$15*CE32</f>
        <v>145.7328</v>
      </c>
      <c r="CF34" s="66"/>
      <c r="CG34"/>
    </row>
    <row r="35" spans="1:85" s="8" customFormat="1" x14ac:dyDescent="0.3">
      <c r="A35" s="72"/>
      <c r="B35" s="105"/>
      <c r="C35" s="94"/>
      <c r="D35" s="65"/>
      <c r="E35" s="61" t="s">
        <v>181</v>
      </c>
      <c r="F35" s="61" t="s">
        <v>71</v>
      </c>
      <c r="G35" s="373">
        <f xml:space="preserve"> 20.5 + 36</f>
        <v>56.5</v>
      </c>
      <c r="H35" s="374">
        <f t="shared" ref="H35:J35" si="75" xml:space="preserve"> 20.5 + 36</f>
        <v>56.5</v>
      </c>
      <c r="I35" s="374">
        <f t="shared" si="75"/>
        <v>56.5</v>
      </c>
      <c r="J35" s="375">
        <f t="shared" si="75"/>
        <v>56.5</v>
      </c>
      <c r="K35" s="126"/>
      <c r="L35" s="373">
        <f xml:space="preserve"> 20.5 + 36</f>
        <v>56.5</v>
      </c>
      <c r="M35" s="374">
        <f t="shared" ref="M35:O35" si="76" xml:space="preserve"> 20.5 + 36</f>
        <v>56.5</v>
      </c>
      <c r="N35" s="374">
        <f t="shared" si="76"/>
        <v>56.5</v>
      </c>
      <c r="O35" s="375">
        <f t="shared" si="76"/>
        <v>56.5</v>
      </c>
      <c r="P35" s="126"/>
      <c r="Q35" s="373">
        <f xml:space="preserve"> 20.5 + 36</f>
        <v>56.5</v>
      </c>
      <c r="R35" s="374">
        <f t="shared" ref="R35:T35" si="77" xml:space="preserve"> 20.5 + 36</f>
        <v>56.5</v>
      </c>
      <c r="S35" s="374">
        <f t="shared" si="77"/>
        <v>56.5</v>
      </c>
      <c r="T35" s="375">
        <f t="shared" si="77"/>
        <v>56.5</v>
      </c>
      <c r="U35" s="179"/>
      <c r="V35" s="373">
        <f xml:space="preserve"> 20.5 + 36</f>
        <v>56.5</v>
      </c>
      <c r="W35" s="374">
        <f t="shared" ref="W35:Y35" si="78" xml:space="preserve"> 20.5 + 36</f>
        <v>56.5</v>
      </c>
      <c r="X35" s="374">
        <f t="shared" si="78"/>
        <v>56.5</v>
      </c>
      <c r="Y35" s="375">
        <f t="shared" si="78"/>
        <v>56.5</v>
      </c>
      <c r="Z35" s="179"/>
      <c r="AA35" s="373">
        <f xml:space="preserve"> 20.5 + 36</f>
        <v>56.5</v>
      </c>
      <c r="AB35" s="374">
        <f t="shared" ref="AB35:AD35" si="79" xml:space="preserve"> 20.5 + 36</f>
        <v>56.5</v>
      </c>
      <c r="AC35" s="374">
        <f t="shared" si="79"/>
        <v>56.5</v>
      </c>
      <c r="AD35" s="375">
        <f t="shared" si="79"/>
        <v>56.5</v>
      </c>
      <c r="AE35" s="126"/>
      <c r="AF35" s="373">
        <f xml:space="preserve"> 20.5 + 36</f>
        <v>56.5</v>
      </c>
      <c r="AG35" s="374">
        <f t="shared" ref="AG35:AI35" si="80" xml:space="preserve"> 20.5 + 36</f>
        <v>56.5</v>
      </c>
      <c r="AH35" s="374">
        <f t="shared" si="80"/>
        <v>56.5</v>
      </c>
      <c r="AI35" s="375">
        <f t="shared" si="80"/>
        <v>56.5</v>
      </c>
      <c r="AJ35" s="126"/>
      <c r="AK35" s="373">
        <f xml:space="preserve"> 20.5 + 36</f>
        <v>56.5</v>
      </c>
      <c r="AL35" s="374">
        <f t="shared" ref="AL35:AN35" si="81" xml:space="preserve"> 20.5 + 36</f>
        <v>56.5</v>
      </c>
      <c r="AM35" s="374">
        <f t="shared" si="81"/>
        <v>56.5</v>
      </c>
      <c r="AN35" s="375">
        <f t="shared" si="81"/>
        <v>56.5</v>
      </c>
      <c r="AO35" s="126"/>
      <c r="AP35" s="373">
        <f xml:space="preserve"> 20.5 + 36</f>
        <v>56.5</v>
      </c>
      <c r="AQ35" s="374">
        <f t="shared" ref="AQ35:AS35" si="82" xml:space="preserve"> 20.5 + 36</f>
        <v>56.5</v>
      </c>
      <c r="AR35" s="374">
        <f t="shared" si="82"/>
        <v>56.5</v>
      </c>
      <c r="AS35" s="375">
        <f t="shared" si="82"/>
        <v>56.5</v>
      </c>
      <c r="AT35" s="125"/>
      <c r="AU35" s="373">
        <f xml:space="preserve"> 20.5 + 36</f>
        <v>56.5</v>
      </c>
      <c r="AV35" s="374">
        <f t="shared" ref="AV35:AX35" si="83" xml:space="preserve"> 20.5 + 36</f>
        <v>56.5</v>
      </c>
      <c r="AW35" s="374">
        <f t="shared" si="83"/>
        <v>56.5</v>
      </c>
      <c r="AX35" s="375">
        <f t="shared" si="83"/>
        <v>56.5</v>
      </c>
      <c r="AY35" s="126"/>
      <c r="AZ35" s="373">
        <f xml:space="preserve"> 20.5 + 36</f>
        <v>56.5</v>
      </c>
      <c r="BA35" s="374">
        <f t="shared" ref="BA35:BC35" si="84" xml:space="preserve"> 20.5 + 36</f>
        <v>56.5</v>
      </c>
      <c r="BB35" s="374">
        <f t="shared" si="84"/>
        <v>56.5</v>
      </c>
      <c r="BC35" s="375">
        <f t="shared" si="84"/>
        <v>56.5</v>
      </c>
      <c r="BD35" s="179"/>
      <c r="BE35" s="373">
        <f xml:space="preserve"> 20.5 + 36</f>
        <v>56.5</v>
      </c>
      <c r="BF35" s="374">
        <f t="shared" ref="BF35:BH35" si="85" xml:space="preserve"> 20.5 + 36</f>
        <v>56.5</v>
      </c>
      <c r="BG35" s="374">
        <f t="shared" si="85"/>
        <v>56.5</v>
      </c>
      <c r="BH35" s="375">
        <f t="shared" si="85"/>
        <v>56.5</v>
      </c>
      <c r="BI35" s="126"/>
      <c r="BJ35" s="373">
        <f xml:space="preserve"> 20.5 + 36</f>
        <v>56.5</v>
      </c>
      <c r="BK35" s="374">
        <f t="shared" ref="BK35:BM35" si="86" xml:space="preserve"> 20.5 + 36</f>
        <v>56.5</v>
      </c>
      <c r="BL35" s="374">
        <f t="shared" si="86"/>
        <v>56.5</v>
      </c>
      <c r="BM35" s="375">
        <f t="shared" si="86"/>
        <v>56.5</v>
      </c>
      <c r="BN35" s="126"/>
      <c r="BO35" s="373">
        <f xml:space="preserve"> 20.5 + 36</f>
        <v>56.5</v>
      </c>
      <c r="BP35" s="374">
        <f t="shared" ref="BP35:BQ35" si="87" xml:space="preserve"> 20.5 + 36</f>
        <v>56.5</v>
      </c>
      <c r="BQ35" s="375">
        <f t="shared" si="87"/>
        <v>56.5</v>
      </c>
      <c r="BR35" s="126"/>
      <c r="BS35" s="373">
        <f xml:space="preserve"> 20.5 + 36</f>
        <v>56.5</v>
      </c>
      <c r="BT35" s="374">
        <f t="shared" ref="BT35:BU35" si="88" xml:space="preserve"> 20.5 + 36</f>
        <v>56.5</v>
      </c>
      <c r="BU35" s="375">
        <f t="shared" si="88"/>
        <v>56.5</v>
      </c>
      <c r="BV35" s="126"/>
      <c r="BW35" s="373">
        <f xml:space="preserve"> 20.5 + 36</f>
        <v>56.5</v>
      </c>
      <c r="BX35" s="374">
        <f t="shared" ref="BX35:BZ35" si="89" xml:space="preserve"> 20.5 + 36</f>
        <v>56.5</v>
      </c>
      <c r="BY35" s="374">
        <f t="shared" si="89"/>
        <v>56.5</v>
      </c>
      <c r="BZ35" s="375">
        <f t="shared" si="89"/>
        <v>56.5</v>
      </c>
      <c r="CA35" s="126"/>
      <c r="CB35" s="373">
        <f xml:space="preserve"> 20.5 + 36</f>
        <v>56.5</v>
      </c>
      <c r="CC35" s="374">
        <f t="shared" ref="CC35:CE35" si="90" xml:space="preserve"> 20.5 + 36</f>
        <v>56.5</v>
      </c>
      <c r="CD35" s="374">
        <f t="shared" si="90"/>
        <v>56.5</v>
      </c>
      <c r="CE35" s="375">
        <f t="shared" si="90"/>
        <v>56.5</v>
      </c>
      <c r="CF35" s="126"/>
      <c r="CG35"/>
    </row>
    <row r="36" spans="1:85" s="8" customFormat="1" x14ac:dyDescent="0.3">
      <c r="A36" s="72"/>
      <c r="B36" s="105"/>
      <c r="C36" s="94"/>
      <c r="D36" s="65"/>
      <c r="E36" s="61" t="s">
        <v>74</v>
      </c>
      <c r="F36" s="61" t="s">
        <v>71</v>
      </c>
      <c r="G36" s="77">
        <v>0</v>
      </c>
      <c r="H36" s="83">
        <v>0</v>
      </c>
      <c r="I36" s="83">
        <v>0</v>
      </c>
      <c r="J36" s="84">
        <v>0</v>
      </c>
      <c r="K36" s="66"/>
      <c r="L36" s="77">
        <v>0</v>
      </c>
      <c r="M36" s="83">
        <v>0</v>
      </c>
      <c r="N36" s="83">
        <v>0</v>
      </c>
      <c r="O36" s="84">
        <v>0</v>
      </c>
      <c r="P36" s="66"/>
      <c r="Q36" s="176">
        <v>0</v>
      </c>
      <c r="R36" s="177">
        <v>0</v>
      </c>
      <c r="S36" s="83">
        <v>0</v>
      </c>
      <c r="T36" s="84">
        <v>0</v>
      </c>
      <c r="U36"/>
      <c r="V36" s="176">
        <v>0</v>
      </c>
      <c r="W36" s="177">
        <v>0</v>
      </c>
      <c r="X36" s="83">
        <v>0</v>
      </c>
      <c r="Y36" s="84">
        <v>0</v>
      </c>
      <c r="Z36"/>
      <c r="AA36" s="176">
        <v>0</v>
      </c>
      <c r="AB36" s="177">
        <v>0</v>
      </c>
      <c r="AC36" s="624">
        <v>0</v>
      </c>
      <c r="AD36" s="84">
        <v>0</v>
      </c>
      <c r="AE36" s="66"/>
      <c r="AF36" s="176">
        <v>0</v>
      </c>
      <c r="AG36" s="177">
        <v>0</v>
      </c>
      <c r="AH36" s="624">
        <v>0</v>
      </c>
      <c r="AI36" s="84">
        <v>0</v>
      </c>
      <c r="AJ36" s="66"/>
      <c r="AK36" s="176">
        <v>0</v>
      </c>
      <c r="AL36" s="177">
        <v>0</v>
      </c>
      <c r="AM36" s="624">
        <v>0</v>
      </c>
      <c r="AN36" s="84">
        <v>0</v>
      </c>
      <c r="AO36" s="66"/>
      <c r="AP36" s="176">
        <v>0</v>
      </c>
      <c r="AQ36" s="177">
        <v>0</v>
      </c>
      <c r="AR36" s="624">
        <v>0</v>
      </c>
      <c r="AS36" s="84">
        <v>0</v>
      </c>
      <c r="AU36" s="77">
        <v>0</v>
      </c>
      <c r="AV36" s="83">
        <v>0</v>
      </c>
      <c r="AW36" s="83">
        <v>0</v>
      </c>
      <c r="AX36" s="84">
        <v>0</v>
      </c>
      <c r="AY36" s="66"/>
      <c r="AZ36" s="176">
        <v>0</v>
      </c>
      <c r="BA36" s="177">
        <v>0</v>
      </c>
      <c r="BB36" s="83">
        <v>0</v>
      </c>
      <c r="BC36" s="84">
        <v>0</v>
      </c>
      <c r="BD36"/>
      <c r="BE36" s="176">
        <v>0</v>
      </c>
      <c r="BF36" s="177">
        <v>0</v>
      </c>
      <c r="BG36" s="624">
        <v>0</v>
      </c>
      <c r="BH36" s="178">
        <v>0</v>
      </c>
      <c r="BI36" s="66"/>
      <c r="BJ36" s="176">
        <v>0</v>
      </c>
      <c r="BK36" s="177">
        <v>0</v>
      </c>
      <c r="BL36" s="624">
        <v>0</v>
      </c>
      <c r="BM36" s="178">
        <v>0</v>
      </c>
      <c r="BN36" s="66"/>
      <c r="BO36" s="176">
        <v>0</v>
      </c>
      <c r="BP36" s="177">
        <v>0</v>
      </c>
      <c r="BQ36" s="84">
        <v>0</v>
      </c>
      <c r="BR36" s="66"/>
      <c r="BS36" s="176">
        <v>0</v>
      </c>
      <c r="BT36" s="177">
        <v>0</v>
      </c>
      <c r="BU36" s="84">
        <v>0</v>
      </c>
      <c r="BV36" s="66"/>
      <c r="BW36" s="176">
        <v>0</v>
      </c>
      <c r="BX36" s="177">
        <v>0</v>
      </c>
      <c r="BY36" s="624">
        <v>0</v>
      </c>
      <c r="BZ36" s="178">
        <v>0</v>
      </c>
      <c r="CA36" s="66"/>
      <c r="CB36" s="176">
        <v>0</v>
      </c>
      <c r="CC36" s="177">
        <v>0</v>
      </c>
      <c r="CD36" s="624">
        <v>0</v>
      </c>
      <c r="CE36" s="178">
        <v>0</v>
      </c>
      <c r="CF36" s="66"/>
      <c r="CG36"/>
    </row>
    <row r="37" spans="1:85" s="8" customFormat="1" x14ac:dyDescent="0.3">
      <c r="A37" s="72"/>
      <c r="B37" s="105"/>
      <c r="C37" s="94"/>
      <c r="D37" s="65"/>
      <c r="E37" s="61" t="s">
        <v>75</v>
      </c>
      <c r="F37" s="61" t="s">
        <v>71</v>
      </c>
      <c r="G37" s="77">
        <v>20</v>
      </c>
      <c r="H37" s="83">
        <v>20</v>
      </c>
      <c r="I37" s="83">
        <v>20</v>
      </c>
      <c r="J37" s="84">
        <v>20</v>
      </c>
      <c r="K37" s="66"/>
      <c r="L37" s="77">
        <v>20</v>
      </c>
      <c r="M37" s="83">
        <v>20</v>
      </c>
      <c r="N37" s="83">
        <v>20</v>
      </c>
      <c r="O37" s="84">
        <v>20</v>
      </c>
      <c r="P37" s="66"/>
      <c r="Q37" s="77">
        <v>20</v>
      </c>
      <c r="R37" s="83">
        <v>20</v>
      </c>
      <c r="S37" s="83">
        <v>20</v>
      </c>
      <c r="T37" s="84">
        <v>20</v>
      </c>
      <c r="U37"/>
      <c r="V37" s="77">
        <v>20</v>
      </c>
      <c r="W37" s="83">
        <v>20</v>
      </c>
      <c r="X37" s="83">
        <v>20</v>
      </c>
      <c r="Y37" s="84">
        <v>20</v>
      </c>
      <c r="Z37"/>
      <c r="AA37" s="77">
        <v>20</v>
      </c>
      <c r="AB37" s="83">
        <v>20</v>
      </c>
      <c r="AC37" s="83">
        <v>20</v>
      </c>
      <c r="AD37" s="84">
        <v>20</v>
      </c>
      <c r="AE37" s="66"/>
      <c r="AF37" s="77">
        <v>20</v>
      </c>
      <c r="AG37" s="83">
        <v>20</v>
      </c>
      <c r="AH37" s="83">
        <v>20</v>
      </c>
      <c r="AI37" s="84">
        <v>20</v>
      </c>
      <c r="AJ37" s="66"/>
      <c r="AK37" s="77">
        <v>20</v>
      </c>
      <c r="AL37" s="83">
        <v>20</v>
      </c>
      <c r="AM37" s="83">
        <v>20</v>
      </c>
      <c r="AN37" s="84">
        <v>20</v>
      </c>
      <c r="AO37" s="66"/>
      <c r="AP37" s="77">
        <v>20</v>
      </c>
      <c r="AQ37" s="83">
        <v>20</v>
      </c>
      <c r="AR37" s="83">
        <v>20</v>
      </c>
      <c r="AS37" s="84">
        <v>20</v>
      </c>
      <c r="AU37" s="77">
        <v>20</v>
      </c>
      <c r="AV37" s="83">
        <v>20</v>
      </c>
      <c r="AW37" s="83">
        <v>20</v>
      </c>
      <c r="AX37" s="84">
        <v>20</v>
      </c>
      <c r="AY37" s="66"/>
      <c r="AZ37" s="77">
        <v>20</v>
      </c>
      <c r="BA37" s="83">
        <v>20</v>
      </c>
      <c r="BB37" s="83">
        <v>20</v>
      </c>
      <c r="BC37" s="84">
        <v>20</v>
      </c>
      <c r="BD37"/>
      <c r="BE37" s="77">
        <v>20</v>
      </c>
      <c r="BF37" s="83">
        <v>20</v>
      </c>
      <c r="BG37" s="83">
        <v>20</v>
      </c>
      <c r="BH37" s="84">
        <v>20</v>
      </c>
      <c r="BI37" s="66"/>
      <c r="BJ37" s="77">
        <v>20</v>
      </c>
      <c r="BK37" s="83">
        <v>20</v>
      </c>
      <c r="BL37" s="83">
        <v>20</v>
      </c>
      <c r="BM37" s="84">
        <v>20</v>
      </c>
      <c r="BN37" s="66"/>
      <c r="BO37" s="77">
        <v>20</v>
      </c>
      <c r="BP37" s="83">
        <v>20</v>
      </c>
      <c r="BQ37" s="84">
        <v>20</v>
      </c>
      <c r="BR37" s="66"/>
      <c r="BS37" s="77">
        <v>20</v>
      </c>
      <c r="BT37" s="83">
        <v>20</v>
      </c>
      <c r="BU37" s="84">
        <v>20</v>
      </c>
      <c r="BV37" s="66"/>
      <c r="BW37" s="176">
        <v>20</v>
      </c>
      <c r="BX37" s="177">
        <v>20</v>
      </c>
      <c r="BY37" s="624">
        <v>20</v>
      </c>
      <c r="BZ37" s="178">
        <v>20</v>
      </c>
      <c r="CA37" s="66"/>
      <c r="CB37" s="77">
        <v>20</v>
      </c>
      <c r="CC37" s="83">
        <v>20</v>
      </c>
      <c r="CD37" s="83">
        <v>20</v>
      </c>
      <c r="CE37" s="178">
        <v>20</v>
      </c>
      <c r="CF37" s="66"/>
      <c r="CG37"/>
    </row>
    <row r="38" spans="1:85" s="8" customFormat="1" x14ac:dyDescent="0.3">
      <c r="A38" s="72"/>
      <c r="B38" s="105"/>
      <c r="C38" s="94"/>
      <c r="D38" s="65"/>
      <c r="E38" s="106" t="s">
        <v>76</v>
      </c>
      <c r="F38" s="106" t="s">
        <v>71</v>
      </c>
      <c r="G38" s="107">
        <f t="shared" ref="G38:I38" si="91" xml:space="preserve"> G32 - SUM( G33:G37 )</f>
        <v>1404.7672</v>
      </c>
      <c r="H38" s="108">
        <f t="shared" si="91"/>
        <v>1404.7672</v>
      </c>
      <c r="I38" s="108">
        <f t="shared" si="91"/>
        <v>1404.7672</v>
      </c>
      <c r="J38" s="109">
        <f t="shared" ref="J38" si="92" xml:space="preserve"> J32 - SUM( J33:J37 )</f>
        <v>1404.7672</v>
      </c>
      <c r="K38" s="66"/>
      <c r="L38" s="107">
        <f t="shared" ref="L38:N38" si="93" xml:space="preserve"> L32 - SUM( L33:L37 )</f>
        <v>1404.7672</v>
      </c>
      <c r="M38" s="108">
        <f t="shared" si="93"/>
        <v>1404.7672</v>
      </c>
      <c r="N38" s="108">
        <f t="shared" si="93"/>
        <v>1404.7672</v>
      </c>
      <c r="O38" s="109">
        <f t="shared" ref="O38" si="94" xml:space="preserve"> O32 - SUM( O33:O37 )</f>
        <v>1404.7672</v>
      </c>
      <c r="P38" s="66"/>
      <c r="Q38" s="107">
        <f xml:space="preserve"> Q32 - SUM( Q33:Q37 )</f>
        <v>1404.7672</v>
      </c>
      <c r="R38" s="108">
        <f xml:space="preserve"> R32 - SUM( R33:R37 )</f>
        <v>1404.7672</v>
      </c>
      <c r="S38" s="427">
        <f xml:space="preserve"> S32 - SUM( S33:S37 )</f>
        <v>1404.7672</v>
      </c>
      <c r="T38" s="109">
        <f t="shared" ref="T38" si="95" xml:space="preserve"> T32 - SUM( T33:T37 )</f>
        <v>1404.7672</v>
      </c>
      <c r="U38"/>
      <c r="V38" s="107">
        <f xml:space="preserve"> V32 - SUM( V33:V37 )</f>
        <v>1404.7672</v>
      </c>
      <c r="W38" s="108">
        <f xml:space="preserve"> W32 - SUM( W33:W37 )</f>
        <v>1404.7672</v>
      </c>
      <c r="X38" s="427">
        <f xml:space="preserve"> X32 - SUM( X33:X37 )</f>
        <v>1404.7672</v>
      </c>
      <c r="Y38" s="109">
        <f t="shared" ref="Y38" si="96" xml:space="preserve"> Y32 - SUM( Y33:Y37 )</f>
        <v>1404.7672</v>
      </c>
      <c r="Z38"/>
      <c r="AA38" s="107">
        <f xml:space="preserve"> AA32 - SUM( AA33:AA37 )</f>
        <v>1435.7672</v>
      </c>
      <c r="AB38" s="108">
        <f xml:space="preserve"> AB32 - SUM( AB33:AB37 )</f>
        <v>1435.7672</v>
      </c>
      <c r="AC38" s="108">
        <f xml:space="preserve"> AC32 - SUM( AC33:AC37 )</f>
        <v>1435.7672</v>
      </c>
      <c r="AD38" s="109">
        <f t="shared" ref="AD38" si="97" xml:space="preserve"> AD32 - SUM( AD33:AD37 )</f>
        <v>1404.7672</v>
      </c>
      <c r="AE38" s="66"/>
      <c r="AF38" s="107">
        <f xml:space="preserve"> AF32 - SUM( AF33:AF37 )</f>
        <v>1435.7672</v>
      </c>
      <c r="AG38" s="108">
        <f xml:space="preserve"> AG32 - SUM( AG33:AG37 )</f>
        <v>1435.7672</v>
      </c>
      <c r="AH38" s="108">
        <f xml:space="preserve"> AH32 - SUM( AH33:AH37 )</f>
        <v>1435.7672</v>
      </c>
      <c r="AI38" s="109">
        <f t="shared" ref="AI38" si="98" xml:space="preserve"> AI32 - SUM( AI33:AI37 )</f>
        <v>1404.7672</v>
      </c>
      <c r="AJ38" s="66"/>
      <c r="AK38" s="107">
        <f t="shared" ref="AK38:AM38" si="99" xml:space="preserve"> AK32 - SUM( AK33:AK37 )</f>
        <v>1368.3672000000001</v>
      </c>
      <c r="AL38" s="108">
        <f t="shared" si="99"/>
        <v>1368.3672000000001</v>
      </c>
      <c r="AM38" s="108">
        <f t="shared" si="99"/>
        <v>1368.3672000000001</v>
      </c>
      <c r="AN38" s="109">
        <f t="shared" ref="AN38" si="100" xml:space="preserve"> AN32 - SUM( AN33:AN37 )</f>
        <v>1404.7672</v>
      </c>
      <c r="AO38" s="66"/>
      <c r="AP38" s="107">
        <f t="shared" ref="AP38:AR38" si="101" xml:space="preserve"> AP32 - SUM( AP33:AP37 )</f>
        <v>1368.3672000000001</v>
      </c>
      <c r="AQ38" s="108">
        <f t="shared" si="101"/>
        <v>1368.3672000000001</v>
      </c>
      <c r="AR38" s="108">
        <f t="shared" si="101"/>
        <v>1368.3672000000001</v>
      </c>
      <c r="AS38" s="109">
        <f t="shared" ref="AS38" si="102" xml:space="preserve"> AS32 - SUM( AS33:AS37 )</f>
        <v>1404.7672</v>
      </c>
      <c r="AU38" s="107">
        <f t="shared" ref="AU38:AW38" si="103" xml:space="preserve"> AU32 - SUM( AU33:AU37 )</f>
        <v>1404.7672</v>
      </c>
      <c r="AV38" s="108">
        <f t="shared" si="103"/>
        <v>1404.7672</v>
      </c>
      <c r="AW38" s="108">
        <f t="shared" si="103"/>
        <v>1404.7672</v>
      </c>
      <c r="AX38" s="109">
        <f t="shared" ref="AX38" si="104" xml:space="preserve"> AX32 - SUM( AX33:AX37 )</f>
        <v>1404.7672</v>
      </c>
      <c r="AY38" s="66"/>
      <c r="AZ38" s="107">
        <f xml:space="preserve"> AZ32 - SUM( AZ33:AZ37 )</f>
        <v>1404.7672</v>
      </c>
      <c r="BA38" s="108">
        <f xml:space="preserve"> BA32 - SUM( BA33:BA37 )</f>
        <v>1404.7672</v>
      </c>
      <c r="BB38" s="427">
        <f xml:space="preserve"> BB32 - SUM( BB33:BB37 )</f>
        <v>1404.7672</v>
      </c>
      <c r="BC38" s="184">
        <f xml:space="preserve"> BC32 - SUM( BC33:BC37 )</f>
        <v>1404.7672</v>
      </c>
      <c r="BD38"/>
      <c r="BE38" s="107">
        <f xml:space="preserve"> BE32 - SUM( BE33:BE37 )</f>
        <v>1435.7672</v>
      </c>
      <c r="BF38" s="108">
        <f xml:space="preserve"> BF32 - SUM( BF33:BF37 )</f>
        <v>1435.7672</v>
      </c>
      <c r="BG38" s="108">
        <f xml:space="preserve"> BG32 - SUM( BG33:BG37 )</f>
        <v>1435.7672</v>
      </c>
      <c r="BH38" s="109">
        <f xml:space="preserve"> BH32 - SUM( BH33:BH37 )</f>
        <v>1435.7672</v>
      </c>
      <c r="BI38" s="66"/>
      <c r="BJ38" s="107">
        <f t="shared" ref="BJ38:BL38" si="105" xml:space="preserve"> BJ32 - SUM( BJ33:BJ37 )</f>
        <v>1368.3672000000001</v>
      </c>
      <c r="BK38" s="108">
        <f t="shared" si="105"/>
        <v>1368.3672000000001</v>
      </c>
      <c r="BL38" s="108">
        <f t="shared" si="105"/>
        <v>1368.3672000000001</v>
      </c>
      <c r="BM38" s="109">
        <f t="shared" ref="BM38" si="106" xml:space="preserve"> BM32 - SUM( BM33:BM37 )</f>
        <v>1368.3672000000001</v>
      </c>
      <c r="BN38" s="66"/>
      <c r="BO38" s="107">
        <f xml:space="preserve"> BO32 - SUM( BO33:BO37 )</f>
        <v>1404.7672</v>
      </c>
      <c r="BP38" s="108">
        <f xml:space="preserve"> BP32 - SUM( BP33:BP37 )</f>
        <v>1404.7672</v>
      </c>
      <c r="BQ38" s="184">
        <f xml:space="preserve"> BQ32 - SUM( BQ33:BQ37 )</f>
        <v>1404.7672</v>
      </c>
      <c r="BR38" s="66"/>
      <c r="BS38" s="107">
        <f xml:space="preserve"> BS32 - SUM( BS33:BS37 )</f>
        <v>1404.7672</v>
      </c>
      <c r="BT38" s="108">
        <f xml:space="preserve"> BT32 - SUM( BT33:BT37 )</f>
        <v>1404.7672</v>
      </c>
      <c r="BU38" s="184">
        <f xml:space="preserve"> BU32 - SUM( BU33:BU37 )</f>
        <v>1404.7672</v>
      </c>
      <c r="BV38" s="66"/>
      <c r="BW38" s="463">
        <f xml:space="preserve"> BW32 - SUM( BW33:BW37 )</f>
        <v>1368.3672000000001</v>
      </c>
      <c r="BX38" s="427">
        <f xml:space="preserve"> BX32 - SUM( BX33:BX37 )</f>
        <v>1368.3672000000001</v>
      </c>
      <c r="BY38" s="427">
        <f xml:space="preserve"> BY32 - SUM( BY33:BY37 )</f>
        <v>1368.3672000000001</v>
      </c>
      <c r="BZ38" s="184">
        <f xml:space="preserve"> BZ32 - SUM( BZ33:BZ37 )</f>
        <v>1368.3672000000001</v>
      </c>
      <c r="CA38" s="66"/>
      <c r="CB38" s="107">
        <f t="shared" ref="CB38:CD38" si="107" xml:space="preserve"> CB32 - SUM( CB33:CB37 )</f>
        <v>1368.3672000000001</v>
      </c>
      <c r="CC38" s="108">
        <f t="shared" si="107"/>
        <v>1368.3672000000001</v>
      </c>
      <c r="CD38" s="108">
        <f t="shared" si="107"/>
        <v>1368.3672000000001</v>
      </c>
      <c r="CE38" s="184">
        <f t="shared" ref="CE38" si="108" xml:space="preserve"> CE32 - SUM( CE33:CE37 )</f>
        <v>1368.3672000000001</v>
      </c>
      <c r="CF38" s="66"/>
      <c r="CG38"/>
    </row>
    <row r="39" spans="1:85" s="8" customFormat="1" ht="6" customHeight="1" x14ac:dyDescent="0.3">
      <c r="A39" s="72"/>
      <c r="B39" s="105"/>
      <c r="C39" s="94"/>
      <c r="D39" s="65"/>
      <c r="E39" s="60"/>
      <c r="F39" s="86"/>
      <c r="G39" s="76"/>
      <c r="H39" s="81"/>
      <c r="I39" s="81"/>
      <c r="J39" s="82"/>
      <c r="K39" s="68"/>
      <c r="L39" s="76"/>
      <c r="M39" s="81"/>
      <c r="N39" s="81"/>
      <c r="O39" s="82"/>
      <c r="P39" s="68"/>
      <c r="Q39" s="76"/>
      <c r="R39" s="81"/>
      <c r="S39" s="620"/>
      <c r="T39" s="82"/>
      <c r="U39" s="68"/>
      <c r="V39" s="76"/>
      <c r="W39" s="81"/>
      <c r="X39" s="620"/>
      <c r="Y39" s="82"/>
      <c r="Z39" s="68"/>
      <c r="AA39" s="76"/>
      <c r="AB39" s="81"/>
      <c r="AC39" s="81"/>
      <c r="AD39" s="82"/>
      <c r="AE39" s="68"/>
      <c r="AF39" s="76"/>
      <c r="AG39" s="81"/>
      <c r="AH39" s="81"/>
      <c r="AI39" s="82"/>
      <c r="AJ39" s="68"/>
      <c r="AK39" s="76"/>
      <c r="AL39" s="81"/>
      <c r="AM39" s="81"/>
      <c r="AN39" s="82"/>
      <c r="AO39" s="68"/>
      <c r="AP39" s="76"/>
      <c r="AQ39" s="81"/>
      <c r="AR39" s="81"/>
      <c r="AS39" s="82"/>
      <c r="AU39" s="76"/>
      <c r="AV39" s="81"/>
      <c r="AW39" s="81"/>
      <c r="AX39" s="82"/>
      <c r="AY39" s="68"/>
      <c r="AZ39" s="76"/>
      <c r="BA39" s="81"/>
      <c r="BB39" s="620"/>
      <c r="BC39" s="181"/>
      <c r="BD39" s="68"/>
      <c r="BE39" s="76"/>
      <c r="BF39" s="81"/>
      <c r="BG39" s="81"/>
      <c r="BH39" s="82"/>
      <c r="BI39" s="68"/>
      <c r="BJ39" s="76"/>
      <c r="BK39" s="81"/>
      <c r="BL39" s="81"/>
      <c r="BM39" s="82"/>
      <c r="BN39" s="68"/>
      <c r="BO39" s="76"/>
      <c r="BP39" s="81"/>
      <c r="BQ39" s="181"/>
      <c r="BR39" s="68"/>
      <c r="BS39" s="76"/>
      <c r="BT39" s="81"/>
      <c r="BU39" s="181"/>
      <c r="BV39" s="68"/>
      <c r="BW39" s="420"/>
      <c r="BX39" s="182"/>
      <c r="BY39" s="620"/>
      <c r="BZ39" s="181"/>
      <c r="CA39" s="68"/>
      <c r="CB39" s="76"/>
      <c r="CC39" s="81"/>
      <c r="CD39" s="81"/>
      <c r="CE39" s="181"/>
      <c r="CF39" s="68"/>
      <c r="CG39" s="471"/>
    </row>
    <row r="40" spans="1:85" s="8" customFormat="1" x14ac:dyDescent="0.3">
      <c r="B40" s="42"/>
      <c r="C40" s="65"/>
      <c r="D40" s="65"/>
      <c r="E40" s="57" t="s">
        <v>85</v>
      </c>
      <c r="F40" s="57" t="s">
        <v>78</v>
      </c>
      <c r="G40" s="20">
        <f xml:space="preserve"> G27 / G38</f>
        <v>43.115685447507595</v>
      </c>
      <c r="H40" s="21">
        <f xml:space="preserve"> H27 / H38</f>
        <v>47.038486812231945</v>
      </c>
      <c r="I40" s="21">
        <f xml:space="preserve"> I27 / I38</f>
        <v>51.921496272202269</v>
      </c>
      <c r="J40" s="22">
        <f xml:space="preserve"> J27 / J38</f>
        <v>64.966274541763227</v>
      </c>
      <c r="K40" s="3"/>
      <c r="L40" s="20">
        <f xml:space="preserve"> L27 / L38</f>
        <v>43.115685447507595</v>
      </c>
      <c r="M40" s="21">
        <f xml:space="preserve"> M27 / M38</f>
        <v>47.038486812231945</v>
      </c>
      <c r="N40" s="21">
        <f xml:space="preserve"> N27 / N38</f>
        <v>51.921496272202269</v>
      </c>
      <c r="O40" s="22">
        <f xml:space="preserve"> O27 / O38</f>
        <v>64.966274541763227</v>
      </c>
      <c r="P40" s="3"/>
      <c r="Q40" s="20">
        <f xml:space="preserve"> Q27 / Q38</f>
        <v>40.016156336770962</v>
      </c>
      <c r="R40" s="21">
        <f xml:space="preserve"> R27 / R38</f>
        <v>42.947015759160664</v>
      </c>
      <c r="S40" s="21">
        <f xml:space="preserve"> S27 / S38</f>
        <v>46.905427489001738</v>
      </c>
      <c r="T40" s="22">
        <f xml:space="preserve"> T27 / T38</f>
        <v>76.992295441977873</v>
      </c>
      <c r="U40" s="3"/>
      <c r="V40" s="20">
        <f xml:space="preserve"> V27 / V38</f>
        <v>40.016156336770962</v>
      </c>
      <c r="W40" s="21">
        <f xml:space="preserve"> W27 / W38</f>
        <v>42.947015759160664</v>
      </c>
      <c r="X40" s="21">
        <f xml:space="preserve"> X27 / X38</f>
        <v>46.905427489001738</v>
      </c>
      <c r="Y40" s="22">
        <f xml:space="preserve"> Y27 / Y38</f>
        <v>76.992295441977873</v>
      </c>
      <c r="Z40" s="3"/>
      <c r="AA40" s="20">
        <f xml:space="preserve"> AA27 / AA38</f>
        <v>47.599593955610636</v>
      </c>
      <c r="AB40" s="21">
        <f xml:space="preserve"> AB27 / AB38</f>
        <v>52.003131270827765</v>
      </c>
      <c r="AC40" s="21">
        <f xml:space="preserve"> AC27 / AC38</f>
        <v>57.291975043673389</v>
      </c>
      <c r="AD40" s="22">
        <f xml:space="preserve"> AD27 / AD38</f>
        <v>64.970584346502307</v>
      </c>
      <c r="AE40" s="3"/>
      <c r="AF40" s="20">
        <f xml:space="preserve"> AF27 / AF38</f>
        <v>47.599593955610636</v>
      </c>
      <c r="AG40" s="21">
        <f xml:space="preserve"> AG27 / AG38</f>
        <v>52.003131270827765</v>
      </c>
      <c r="AH40" s="21">
        <f xml:space="preserve"> AH27 / AH38</f>
        <v>57.291975043673389</v>
      </c>
      <c r="AI40" s="22">
        <f xml:space="preserve"> AI27 / AI38</f>
        <v>71.983918469537301</v>
      </c>
      <c r="AJ40" s="3"/>
      <c r="AK40" s="20">
        <f t="shared" ref="AK40:AM40" si="109" xml:space="preserve"> AK27 / AK38</f>
        <v>36.008303234075065</v>
      </c>
      <c r="AL40" s="21">
        <f t="shared" si="109"/>
        <v>37.028186464037546</v>
      </c>
      <c r="AM40" s="21">
        <f t="shared" si="109"/>
        <v>40.013035127185859</v>
      </c>
      <c r="AN40" s="22">
        <f xml:space="preserve"> AN27 / AN38</f>
        <v>42.040018183735725</v>
      </c>
      <c r="AO40" s="3"/>
      <c r="AP40" s="20">
        <f t="shared" ref="AP40:AR40" si="110" xml:space="preserve"> AP27 / AP38</f>
        <v>40.013035127185859</v>
      </c>
      <c r="AQ40" s="21">
        <f t="shared" si="110"/>
        <v>43.036243291226043</v>
      </c>
      <c r="AR40" s="21">
        <f t="shared" si="110"/>
        <v>47.283838774358465</v>
      </c>
      <c r="AS40" s="22">
        <f xml:space="preserve"> AS27 / AS38</f>
        <v>52.462608663437827</v>
      </c>
      <c r="AU40" s="20">
        <f xml:space="preserve"> AU27 / AU38</f>
        <v>43.115685447507595</v>
      </c>
      <c r="AV40" s="21">
        <f xml:space="preserve"> AV27 / AV38</f>
        <v>47.038486812231945</v>
      </c>
      <c r="AW40" s="21">
        <f xml:space="preserve"> AW27 / AW38</f>
        <v>51.921496272202269</v>
      </c>
      <c r="AX40" s="22">
        <f xml:space="preserve"> AX27 / AX38</f>
        <v>64.966274541763227</v>
      </c>
      <c r="AY40" s="3"/>
      <c r="AZ40" s="20">
        <f xml:space="preserve"> AZ27 / AZ38</f>
        <v>40.016156336770962</v>
      </c>
      <c r="BA40" s="21">
        <f xml:space="preserve"> BA27 / BA38</f>
        <v>42.947015759160664</v>
      </c>
      <c r="BB40" s="21">
        <f xml:space="preserve"> BB27 / BB38</f>
        <v>46.905427489001738</v>
      </c>
      <c r="BC40" s="22">
        <f xml:space="preserve"> BC27 / BC38</f>
        <v>76.774504789690425</v>
      </c>
      <c r="BD40" s="3"/>
      <c r="BE40" s="20">
        <f xml:space="preserve"> BE27 / BE38</f>
        <v>47.599593955610636</v>
      </c>
      <c r="BF40" s="21">
        <f xml:space="preserve"> BF27 / BF38</f>
        <v>52.003131270827765</v>
      </c>
      <c r="BG40" s="21">
        <f xml:space="preserve"> BG27 / BG38</f>
        <v>57.291975043673389</v>
      </c>
      <c r="BH40" s="22">
        <f xml:space="preserve"> BH27 / BH38</f>
        <v>63.374145382445853</v>
      </c>
      <c r="BI40" s="3"/>
      <c r="BJ40" s="20">
        <f t="shared" ref="BJ40:BL40" si="111" xml:space="preserve"> BJ27 / BJ38</f>
        <v>36.008303234075065</v>
      </c>
      <c r="BK40" s="21">
        <f t="shared" si="111"/>
        <v>37.028186464037546</v>
      </c>
      <c r="BL40" s="21">
        <f t="shared" si="111"/>
        <v>40.013035127185859</v>
      </c>
      <c r="BM40" s="22">
        <f t="shared" ref="BM40" si="112" xml:space="preserve"> BM27 / BM38</f>
        <v>43.036243291226043</v>
      </c>
      <c r="BN40" s="3"/>
      <c r="BO40" s="20">
        <f xml:space="preserve"> BO27 / BO38</f>
        <v>42.993722682226633</v>
      </c>
      <c r="BP40" s="21">
        <f xml:space="preserve"> BP27 / BP38</f>
        <v>46.905427489001738</v>
      </c>
      <c r="BQ40" s="22">
        <f xml:space="preserve"> BQ27 / BQ38</f>
        <v>51.774624218629263</v>
      </c>
      <c r="BR40" s="3"/>
      <c r="BS40" s="20">
        <f xml:space="preserve"> BS27 / BS38</f>
        <v>42.947015759160664</v>
      </c>
      <c r="BT40" s="21">
        <f xml:space="preserve"> BT27 / BT38</f>
        <v>46.905427489001738</v>
      </c>
      <c r="BU40" s="22">
        <f xml:space="preserve"> BU27 / BU38</f>
        <v>51.797977680162255</v>
      </c>
      <c r="BV40" s="3"/>
      <c r="BW40" s="20">
        <f xml:space="preserve"> BW27 / BW38</f>
        <v>49.94414930055617</v>
      </c>
      <c r="BX40" s="21">
        <f xml:space="preserve"> BX27 / BX38</f>
        <v>54.564586301066569</v>
      </c>
      <c r="BY40" s="21">
        <f xml:space="preserve"> BY27 / BY38</f>
        <v>60.113936223350585</v>
      </c>
      <c r="BZ40" s="22">
        <f xml:space="preserve"> BZ27 / BZ38</f>
        <v>66.495688633977196</v>
      </c>
      <c r="CA40" s="3"/>
      <c r="CB40" s="20">
        <f t="shared" ref="CB40:CD40" si="113" xml:space="preserve"> CB27 / CB38</f>
        <v>40.013035127185859</v>
      </c>
      <c r="CC40" s="21">
        <f t="shared" si="113"/>
        <v>43.036243291226043</v>
      </c>
      <c r="CD40" s="21">
        <f t="shared" si="113"/>
        <v>47.283838774358465</v>
      </c>
      <c r="CE40" s="22">
        <f t="shared" ref="CE40" si="114" xml:space="preserve"> CE27 / CE38</f>
        <v>53.70581859085825</v>
      </c>
      <c r="CF40" s="3"/>
      <c r="CG40"/>
    </row>
    <row r="41" spans="1:85" s="8" customFormat="1" x14ac:dyDescent="0.3">
      <c r="A41" s="72"/>
      <c r="B41" s="105"/>
      <c r="C41" s="94"/>
      <c r="D41" s="65"/>
      <c r="E41" s="101"/>
      <c r="F41" s="101"/>
      <c r="G41" s="23"/>
      <c r="H41" s="24"/>
      <c r="I41" s="24"/>
      <c r="J41" s="25"/>
      <c r="K41" s="3"/>
      <c r="L41" s="23"/>
      <c r="M41" s="24"/>
      <c r="N41" s="24"/>
      <c r="O41" s="25"/>
      <c r="P41" s="3"/>
      <c r="Q41" s="23"/>
      <c r="R41" s="24"/>
      <c r="S41" s="621"/>
      <c r="T41" s="25"/>
      <c r="U41" s="3"/>
      <c r="V41" s="23"/>
      <c r="W41" s="24"/>
      <c r="X41" s="621"/>
      <c r="Y41" s="25"/>
      <c r="Z41" s="3"/>
      <c r="AA41" s="23"/>
      <c r="AB41" s="24"/>
      <c r="AC41" s="24"/>
      <c r="AD41" s="25"/>
      <c r="AE41" s="3"/>
      <c r="AF41" s="23"/>
      <c r="AG41" s="24"/>
      <c r="AH41" s="24"/>
      <c r="AI41" s="25"/>
      <c r="AJ41" s="3"/>
      <c r="AK41" s="23"/>
      <c r="AL41" s="24"/>
      <c r="AM41" s="24"/>
      <c r="AN41" s="25"/>
      <c r="AO41" s="3"/>
      <c r="AP41" s="23"/>
      <c r="AQ41" s="24"/>
      <c r="AR41" s="24"/>
      <c r="AS41" s="25"/>
      <c r="AU41" s="23"/>
      <c r="AV41" s="24"/>
      <c r="AW41" s="24"/>
      <c r="AX41" s="25"/>
      <c r="AY41" s="3"/>
      <c r="AZ41" s="23"/>
      <c r="BA41" s="24"/>
      <c r="BB41" s="621"/>
      <c r="BC41" s="183"/>
      <c r="BD41" s="3"/>
      <c r="BE41" s="23"/>
      <c r="BF41" s="24"/>
      <c r="BG41" s="24"/>
      <c r="BH41" s="25"/>
      <c r="BI41" s="3"/>
      <c r="BJ41" s="23"/>
      <c r="BK41" s="24"/>
      <c r="BL41" s="24"/>
      <c r="BM41" s="25"/>
      <c r="BN41" s="3"/>
      <c r="BO41" s="23"/>
      <c r="BP41" s="24"/>
      <c r="BQ41" s="183"/>
      <c r="BR41" s="3"/>
      <c r="BS41" s="23"/>
      <c r="BT41" s="24"/>
      <c r="BU41" s="183"/>
      <c r="BV41" s="3"/>
      <c r="BW41" s="392"/>
      <c r="BX41"/>
      <c r="BY41" s="621"/>
      <c r="BZ41" s="183"/>
      <c r="CA41" s="3"/>
      <c r="CB41" s="23"/>
      <c r="CC41" s="24"/>
      <c r="CD41" s="24"/>
      <c r="CE41" s="183"/>
      <c r="CF41" s="3"/>
      <c r="CG41" s="472"/>
    </row>
    <row r="42" spans="1:85" s="72" customFormat="1" x14ac:dyDescent="0.3">
      <c r="B42" s="105"/>
      <c r="C42" s="94"/>
      <c r="D42" s="94"/>
      <c r="E42" s="112" t="s">
        <v>86</v>
      </c>
      <c r="F42" s="112" t="s">
        <v>78</v>
      </c>
      <c r="G42" s="113"/>
      <c r="H42" s="145">
        <f xml:space="preserve"> SUMPRODUCT(G12:J12, G40:J40)</f>
        <v>44.518994449145097</v>
      </c>
      <c r="I42" s="635"/>
      <c r="J42" s="636"/>
      <c r="K42" s="116"/>
      <c r="L42" s="113"/>
      <c r="M42" s="145">
        <f xml:space="preserve"> SUMPRODUCT(L12:O12, L40:O40)</f>
        <v>47.360976213976741</v>
      </c>
      <c r="N42" s="114"/>
      <c r="O42" s="115"/>
      <c r="P42" s="116"/>
      <c r="Q42" s="113"/>
      <c r="R42" s="145">
        <f xml:space="preserve"> SUMPRODUCT(Q12:T12, Q40:T40)</f>
        <v>42.47138184271865</v>
      </c>
      <c r="S42" s="114"/>
      <c r="T42" s="115"/>
      <c r="U42" s="116"/>
      <c r="V42" s="113"/>
      <c r="W42" s="145">
        <f xml:space="preserve"> SUMPRODUCT(V12:Y12, V40:Y40)</f>
        <v>45.227090303610957</v>
      </c>
      <c r="X42" s="114"/>
      <c r="Y42" s="115"/>
      <c r="Z42" s="116"/>
      <c r="AA42" s="113"/>
      <c r="AB42" s="145">
        <f xml:space="preserve"> SUMPRODUCT(AA12:AD12, AA40:AD40)</f>
        <v>49.085971888966917</v>
      </c>
      <c r="AC42" s="114"/>
      <c r="AD42" s="115"/>
      <c r="AE42" s="116"/>
      <c r="AF42" s="113"/>
      <c r="AG42" s="145">
        <f xml:space="preserve"> SUMPRODUCT(AF12:AI12, AF40:AI40)</f>
        <v>52.327111996612103</v>
      </c>
      <c r="AH42" s="114"/>
      <c r="AI42" s="115"/>
      <c r="AJ42" s="116"/>
      <c r="AK42" s="113"/>
      <c r="AL42" s="145">
        <f xml:space="preserve"> SUMPRODUCT(AK12:AN12, AK40:AN40)</f>
        <v>41.431923266770767</v>
      </c>
      <c r="AM42" s="114"/>
      <c r="AN42" s="115"/>
      <c r="AO42" s="116"/>
      <c r="AP42" s="113"/>
      <c r="AQ42" s="145">
        <f xml:space="preserve"> SUMPRODUCT(AP12:AS12, AP40:AS40)</f>
        <v>43.191179712797094</v>
      </c>
      <c r="AR42" s="114"/>
      <c r="AS42" s="115"/>
      <c r="AU42" s="113"/>
      <c r="AV42" s="145">
        <f xml:space="preserve"> SUMPRODUCT(AU12:AX12, AU40:AX40)</f>
        <v>44.518994449145097</v>
      </c>
      <c r="AW42" s="114"/>
      <c r="AX42" s="115"/>
      <c r="AY42" s="116"/>
      <c r="AZ42" s="113"/>
      <c r="BA42" s="145">
        <f xml:space="preserve"> SUMPRODUCT(AZ12:BC12, AZ40:BC40)</f>
        <v>42.469203936195775</v>
      </c>
      <c r="BB42" s="114"/>
      <c r="BC42" s="115"/>
      <c r="BD42" s="116"/>
      <c r="BE42" s="113"/>
      <c r="BF42" s="145">
        <f xml:space="preserve"> SUMPRODUCT(BE12:BH12, BE40:BH40)</f>
        <v>49.070007499326351</v>
      </c>
      <c r="BG42" s="114"/>
      <c r="BH42" s="115"/>
      <c r="BI42" s="116"/>
      <c r="BJ42" s="113"/>
      <c r="BK42" s="145">
        <f xml:space="preserve"> SUMPRODUCT(BJ12:BM12, BJ40:BM40)</f>
        <v>38.411142369941544</v>
      </c>
      <c r="BL42" s="114"/>
      <c r="BM42" s="115"/>
      <c r="BN42" s="116"/>
      <c r="BO42" s="113"/>
      <c r="BP42" s="145">
        <f xml:space="preserve"> SUMPRODUCT(BO12:BQ12, BO40:BQ40)</f>
        <v>44.949575085614185</v>
      </c>
      <c r="BQ42" s="115"/>
      <c r="BR42" s="116"/>
      <c r="BS42" s="113"/>
      <c r="BT42" s="145">
        <f xml:space="preserve"> SUMPRODUCT(BS12:BU12, BS40:BU40)</f>
        <v>44.926221624081201</v>
      </c>
      <c r="BU42" s="115"/>
      <c r="BV42" s="116"/>
      <c r="BW42" s="113"/>
      <c r="BX42" s="145">
        <f xml:space="preserve"> SUMPRODUCT(BW12:BZ12, BW40:BZ40)</f>
        <v>60.113936223350585</v>
      </c>
      <c r="BY42" s="114"/>
      <c r="BZ42" s="115"/>
      <c r="CA42" s="116"/>
      <c r="CB42" s="113"/>
      <c r="CC42" s="145">
        <f xml:space="preserve"> SUMPRODUCT(CB12:CE12, CB40:CE40)</f>
        <v>45.16004103279225</v>
      </c>
      <c r="CD42" s="114"/>
      <c r="CE42" s="115"/>
      <c r="CF42" s="116"/>
      <c r="CG42" s="473"/>
    </row>
    <row r="43" spans="1:85" s="8" customFormat="1" x14ac:dyDescent="0.3">
      <c r="A43" s="72"/>
      <c r="B43" s="105"/>
      <c r="C43" s="94"/>
      <c r="D43" s="65"/>
      <c r="E43" s="43"/>
      <c r="F43" s="43"/>
      <c r="G43" s="9"/>
      <c r="I43" s="603"/>
      <c r="J43" s="10"/>
      <c r="L43" s="9"/>
      <c r="O43" s="10"/>
      <c r="Q43" s="9"/>
      <c r="T43" s="10"/>
      <c r="V43" s="9"/>
      <c r="Y43" s="10"/>
      <c r="AA43" s="9"/>
      <c r="AD43" s="10"/>
      <c r="AF43" s="9"/>
      <c r="AI43" s="10"/>
      <c r="AK43" s="9"/>
      <c r="AN43" s="10"/>
      <c r="AP43" s="9"/>
      <c r="AS43" s="10"/>
      <c r="AU43" s="9"/>
      <c r="AX43" s="10"/>
      <c r="AZ43" s="9"/>
      <c r="BC43" s="10"/>
      <c r="BE43" s="9"/>
      <c r="BH43" s="10"/>
      <c r="BJ43" s="9"/>
      <c r="BM43" s="10"/>
      <c r="BO43" s="9"/>
      <c r="BQ43" s="10"/>
      <c r="BS43" s="9"/>
      <c r="BU43" s="10"/>
      <c r="BW43" s="9"/>
      <c r="BZ43" s="10"/>
      <c r="CB43" s="9"/>
      <c r="CE43" s="10"/>
    </row>
    <row r="44" spans="1:85" x14ac:dyDescent="0.3">
      <c r="D44" s="73" t="s">
        <v>87</v>
      </c>
      <c r="G44" s="9"/>
      <c r="I44" s="8"/>
      <c r="J44" s="10"/>
      <c r="K44" s="8"/>
      <c r="L44" s="9"/>
      <c r="M44" s="8"/>
      <c r="N44" s="8"/>
      <c r="O44" s="10"/>
      <c r="P44" s="8"/>
      <c r="Q44" s="9"/>
      <c r="R44" s="8"/>
      <c r="S44" s="8"/>
      <c r="T44" s="10"/>
      <c r="U44" s="8"/>
      <c r="V44" s="9"/>
      <c r="W44" s="8"/>
      <c r="X44" s="8"/>
      <c r="Y44" s="10"/>
      <c r="Z44" s="8"/>
      <c r="AA44" s="9"/>
      <c r="AB44" s="8"/>
      <c r="AC44" s="8"/>
      <c r="AD44" s="10"/>
      <c r="AE44" s="8"/>
      <c r="AF44" s="9"/>
      <c r="AG44" s="8"/>
      <c r="AH44" s="8"/>
      <c r="AI44" s="10"/>
      <c r="AJ44" s="8"/>
      <c r="AK44" s="9"/>
      <c r="AL44" s="8"/>
      <c r="AM44" s="8"/>
      <c r="AN44" s="10"/>
      <c r="AO44" s="8"/>
      <c r="AP44" s="9"/>
      <c r="AQ44" s="8"/>
      <c r="AR44" s="8"/>
      <c r="AS44" s="10"/>
      <c r="AU44" s="9"/>
      <c r="AV44" s="8"/>
      <c r="AW44" s="8"/>
      <c r="AX44" s="10"/>
      <c r="AY44" s="8"/>
      <c r="AZ44" s="9"/>
      <c r="BA44" s="8"/>
      <c r="BB44" s="8"/>
      <c r="BC44" s="10"/>
      <c r="BD44" s="8"/>
      <c r="BE44" s="9"/>
      <c r="BF44" s="8"/>
      <c r="BG44" s="8"/>
      <c r="BH44" s="10"/>
      <c r="BI44" s="8"/>
      <c r="BJ44" s="9"/>
      <c r="BK44" s="8"/>
      <c r="BL44" s="8"/>
      <c r="BM44" s="10"/>
      <c r="BN44" s="8"/>
      <c r="BO44" s="9"/>
      <c r="BP44" s="8"/>
      <c r="BQ44" s="10"/>
      <c r="BR44" s="8"/>
      <c r="BS44" s="9"/>
      <c r="BT44" s="8"/>
      <c r="BU44" s="10"/>
      <c r="BV44" s="8"/>
      <c r="BW44" s="9"/>
      <c r="BX44" s="8"/>
      <c r="BY44" s="8"/>
      <c r="BZ44" s="10"/>
      <c r="CA44" s="8"/>
      <c r="CB44" s="9"/>
      <c r="CC44" s="8"/>
      <c r="CD44" s="8"/>
      <c r="CE44" s="10"/>
      <c r="CF44" s="8"/>
      <c r="CG44" s="474"/>
    </row>
    <row r="45" spans="1:85" s="66" customFormat="1" x14ac:dyDescent="0.3">
      <c r="A45" s="1"/>
      <c r="B45" s="15"/>
      <c r="C45" s="1"/>
      <c r="D45" s="294"/>
      <c r="E45" s="2" t="s">
        <v>88</v>
      </c>
      <c r="F45" s="294" t="s">
        <v>89</v>
      </c>
      <c r="G45" s="291"/>
      <c r="H45" s="377">
        <v>8</v>
      </c>
      <c r="I45" s="292"/>
      <c r="J45" s="293"/>
      <c r="K45" s="294"/>
      <c r="L45" s="291"/>
      <c r="M45" s="377">
        <v>5</v>
      </c>
      <c r="N45" s="292"/>
      <c r="O45" s="293"/>
      <c r="P45" s="294"/>
      <c r="Q45" s="291"/>
      <c r="R45" s="377">
        <v>8</v>
      </c>
      <c r="S45" s="292"/>
      <c r="T45" s="293"/>
      <c r="U45" s="294"/>
      <c r="V45" s="291"/>
      <c r="W45" s="377">
        <v>5</v>
      </c>
      <c r="X45" s="292"/>
      <c r="Y45" s="293"/>
      <c r="Z45" s="294"/>
      <c r="AA45" s="291"/>
      <c r="AB45" s="177">
        <v>8</v>
      </c>
      <c r="AC45" s="621"/>
      <c r="AD45" s="293"/>
      <c r="AE45"/>
      <c r="AF45" s="392"/>
      <c r="AG45" s="177">
        <v>5</v>
      </c>
      <c r="AH45" s="621"/>
      <c r="AI45" s="293"/>
      <c r="AJ45"/>
      <c r="AK45" s="392"/>
      <c r="AL45" s="461">
        <v>7.5</v>
      </c>
      <c r="AM45" s="292"/>
      <c r="AN45" s="293"/>
      <c r="AO45" s="294"/>
      <c r="AP45" s="291"/>
      <c r="AQ45" s="377">
        <v>5</v>
      </c>
      <c r="AR45" s="292"/>
      <c r="AS45" s="293"/>
      <c r="AU45" s="291"/>
      <c r="AV45" s="377">
        <v>10</v>
      </c>
      <c r="AW45" s="292"/>
      <c r="AX45" s="293"/>
      <c r="AY45" s="294"/>
      <c r="AZ45" s="291"/>
      <c r="BA45" s="377">
        <v>10</v>
      </c>
      <c r="BB45" s="292"/>
      <c r="BC45" s="293"/>
      <c r="BD45" s="294"/>
      <c r="BE45" s="291"/>
      <c r="BF45" s="377">
        <v>10</v>
      </c>
      <c r="BG45" s="292"/>
      <c r="BH45" s="293"/>
      <c r="BI45" s="294"/>
      <c r="BJ45" s="291"/>
      <c r="BK45" s="377">
        <v>10</v>
      </c>
      <c r="BL45" s="292"/>
      <c r="BM45" s="293"/>
      <c r="BN45" s="294"/>
      <c r="BO45" s="291"/>
      <c r="BP45" s="377">
        <v>20</v>
      </c>
      <c r="BQ45" s="293"/>
      <c r="BR45" s="294"/>
      <c r="BS45" s="291"/>
      <c r="BT45" s="377">
        <v>20</v>
      </c>
      <c r="BU45" s="293"/>
      <c r="BV45" s="294"/>
      <c r="BW45" s="392"/>
      <c r="BX45" s="377">
        <v>20</v>
      </c>
      <c r="BY45" s="621"/>
      <c r="BZ45" s="183"/>
      <c r="CA45" s="294"/>
      <c r="CB45" s="291"/>
      <c r="CC45" s="377">
        <v>20</v>
      </c>
      <c r="CD45" s="292"/>
      <c r="CE45" s="183"/>
      <c r="CF45" s="294"/>
      <c r="CG45"/>
    </row>
    <row r="46" spans="1:85" s="227" customFormat="1" x14ac:dyDescent="0.3">
      <c r="A46" s="224"/>
      <c r="B46" s="225"/>
      <c r="C46" s="224"/>
      <c r="D46" s="226"/>
      <c r="E46" s="232" t="s">
        <v>90</v>
      </c>
      <c r="F46" s="227" t="s">
        <v>91</v>
      </c>
      <c r="G46" s="234"/>
      <c r="H46" s="304">
        <v>0.9</v>
      </c>
      <c r="I46" s="578"/>
      <c r="J46" s="235"/>
      <c r="L46" s="234"/>
      <c r="M46" s="304">
        <v>0.9</v>
      </c>
      <c r="N46" s="578"/>
      <c r="O46" s="235"/>
      <c r="Q46" s="234"/>
      <c r="R46" s="304">
        <v>0.9</v>
      </c>
      <c r="S46" s="622"/>
      <c r="T46" s="235"/>
      <c r="U46" s="232"/>
      <c r="V46" s="234"/>
      <c r="W46" s="304">
        <v>0.9</v>
      </c>
      <c r="X46" s="622"/>
      <c r="Y46" s="235"/>
      <c r="Z46" s="232"/>
      <c r="AA46" s="234"/>
      <c r="AB46" s="304">
        <v>0.9</v>
      </c>
      <c r="AC46" s="578"/>
      <c r="AD46" s="235"/>
      <c r="AF46" s="234"/>
      <c r="AG46" s="304">
        <v>0.9</v>
      </c>
      <c r="AH46" s="578"/>
      <c r="AI46" s="235"/>
      <c r="AK46" s="234"/>
      <c r="AL46" s="304">
        <v>0.9</v>
      </c>
      <c r="AM46" s="578"/>
      <c r="AN46" s="235"/>
      <c r="AP46" s="234"/>
      <c r="AQ46" s="304">
        <v>0.9</v>
      </c>
      <c r="AR46" s="578"/>
      <c r="AS46" s="235"/>
      <c r="AU46" s="234"/>
      <c r="AV46" s="304">
        <v>0.9</v>
      </c>
      <c r="AW46" s="578"/>
      <c r="AX46" s="235"/>
      <c r="AZ46" s="234"/>
      <c r="BA46" s="304">
        <v>0.9</v>
      </c>
      <c r="BB46" s="622"/>
      <c r="BC46" s="236"/>
      <c r="BD46" s="232"/>
      <c r="BE46" s="234"/>
      <c r="BF46" s="304">
        <v>0.9</v>
      </c>
      <c r="BG46" s="578"/>
      <c r="BH46" s="235"/>
      <c r="BJ46" s="234"/>
      <c r="BK46" s="304">
        <v>0.9</v>
      </c>
      <c r="BL46" s="578"/>
      <c r="BM46" s="235"/>
      <c r="BO46" s="234"/>
      <c r="BP46" s="304">
        <v>0.9</v>
      </c>
      <c r="BQ46" s="236"/>
      <c r="BS46" s="234"/>
      <c r="BT46" s="304">
        <v>0.9</v>
      </c>
      <c r="BU46" s="236"/>
      <c r="BW46" s="464"/>
      <c r="BX46" s="414">
        <v>0.9</v>
      </c>
      <c r="BY46" s="622"/>
      <c r="BZ46" s="236"/>
      <c r="CB46" s="234"/>
      <c r="CC46" s="304">
        <v>0.9</v>
      </c>
      <c r="CD46" s="578"/>
      <c r="CE46" s="236"/>
    </row>
    <row r="47" spans="1:85" x14ac:dyDescent="0.3">
      <c r="E47" s="61" t="s">
        <v>92</v>
      </c>
      <c r="F47" s="43" t="s">
        <v>93</v>
      </c>
      <c r="G47" s="9"/>
      <c r="H47" s="78">
        <v>4</v>
      </c>
      <c r="I47" s="8"/>
      <c r="J47" s="10"/>
      <c r="K47" s="8"/>
      <c r="L47" s="9"/>
      <c r="M47" s="78">
        <v>4</v>
      </c>
      <c r="N47" s="8"/>
      <c r="O47" s="10"/>
      <c r="P47" s="8"/>
      <c r="Q47" s="9"/>
      <c r="R47" s="78">
        <v>4</v>
      </c>
      <c r="S47" s="8"/>
      <c r="T47" s="10"/>
      <c r="U47" s="8"/>
      <c r="V47" s="9"/>
      <c r="W47" s="78">
        <v>4</v>
      </c>
      <c r="X47" s="8"/>
      <c r="Y47" s="10"/>
      <c r="Z47" s="8"/>
      <c r="AA47" s="9"/>
      <c r="AB47" s="78">
        <v>4</v>
      </c>
      <c r="AC47" s="8"/>
      <c r="AD47" s="10"/>
      <c r="AE47" s="8"/>
      <c r="AF47" s="9"/>
      <c r="AG47" s="78">
        <v>4</v>
      </c>
      <c r="AH47" s="8"/>
      <c r="AI47" s="10"/>
      <c r="AJ47" s="8"/>
      <c r="AK47" s="9"/>
      <c r="AL47" s="78">
        <v>4</v>
      </c>
      <c r="AM47" s="8"/>
      <c r="AN47" s="10"/>
      <c r="AO47" s="8"/>
      <c r="AP47" s="9"/>
      <c r="AQ47" s="78">
        <v>4</v>
      </c>
      <c r="AR47" s="8"/>
      <c r="AS47" s="10"/>
      <c r="AU47" s="9"/>
      <c r="AV47" s="78">
        <v>4</v>
      </c>
      <c r="AW47" s="8"/>
      <c r="AX47" s="10"/>
      <c r="AY47" s="8"/>
      <c r="AZ47" s="9"/>
      <c r="BA47" s="78">
        <v>4</v>
      </c>
      <c r="BB47" s="8"/>
      <c r="BC47" s="10"/>
      <c r="BD47" s="8"/>
      <c r="BE47" s="9"/>
      <c r="BF47" s="78">
        <v>4</v>
      </c>
      <c r="BG47" s="8"/>
      <c r="BH47" s="10"/>
      <c r="BI47" s="8"/>
      <c r="BJ47" s="9"/>
      <c r="BK47" s="78">
        <v>4</v>
      </c>
      <c r="BL47" s="8"/>
      <c r="BM47" s="10"/>
      <c r="BN47" s="8"/>
      <c r="BO47" s="9"/>
      <c r="BP47" s="78">
        <v>4</v>
      </c>
      <c r="BQ47" s="10"/>
      <c r="BR47" s="8"/>
      <c r="BS47" s="9"/>
      <c r="BT47" s="78">
        <v>4</v>
      </c>
      <c r="BU47" s="10"/>
      <c r="BV47" s="8"/>
      <c r="BW47" s="9"/>
      <c r="BX47" s="78">
        <v>4</v>
      </c>
      <c r="BY47" s="8"/>
      <c r="BZ47" s="10"/>
      <c r="CA47" s="8"/>
      <c r="CB47" s="9"/>
      <c r="CC47" s="78">
        <v>4</v>
      </c>
      <c r="CD47" s="8"/>
      <c r="CE47" s="10"/>
      <c r="CF47" s="8"/>
      <c r="CG47" s="474"/>
    </row>
    <row r="48" spans="1:85" s="126" customFormat="1" x14ac:dyDescent="0.3">
      <c r="A48" s="123"/>
      <c r="B48" s="124"/>
      <c r="C48" s="123"/>
      <c r="D48" s="125"/>
      <c r="E48" s="56" t="s">
        <v>119</v>
      </c>
      <c r="F48" s="126" t="s">
        <v>94</v>
      </c>
      <c r="G48" s="45"/>
      <c r="H48" s="574">
        <f xml:space="preserve"> ( 5.77 + 0.72 ) * ( 1 + 2.5% )^8 * 6 / H45</f>
        <v>5.9305761036295239</v>
      </c>
      <c r="I48" s="597"/>
      <c r="J48" s="197"/>
      <c r="L48" s="45"/>
      <c r="M48" s="574">
        <f xml:space="preserve"> ( 5.77 + 0.72 ) * ( 1 + 2.5% )^8 * 6 / M45</f>
        <v>9.4889217658072376</v>
      </c>
      <c r="N48" s="597"/>
      <c r="O48" s="197"/>
      <c r="Q48" s="45"/>
      <c r="R48" s="574">
        <f xml:space="preserve"> ( 5.77 + 0.72 ) * ( 1 + 2.5% )^8 * 6 / R45</f>
        <v>5.9305761036295239</v>
      </c>
      <c r="S48" s="619"/>
      <c r="T48" s="197"/>
      <c r="U48" s="179"/>
      <c r="V48" s="45"/>
      <c r="W48" s="574">
        <f xml:space="preserve"> ( 5.77 + 0.72 ) * ( 1 + 2.5% )^8 * 6 / W45</f>
        <v>9.4889217658072376</v>
      </c>
      <c r="X48" s="619"/>
      <c r="Y48" s="197"/>
      <c r="Z48" s="179"/>
      <c r="AA48" s="45"/>
      <c r="AB48" s="574">
        <f xml:space="preserve"> ( 5.77 + 0.72 ) * ( 1 + 2.5% )^8 * 6 / AB45</f>
        <v>5.9305761036295239</v>
      </c>
      <c r="AC48" s="619"/>
      <c r="AD48" s="197"/>
      <c r="AF48" s="45"/>
      <c r="AG48" s="574">
        <f xml:space="preserve"> ( 5.77 + 0.72 ) * ( 1 + 2.5% )^8 * 6 / AG45</f>
        <v>9.4889217658072376</v>
      </c>
      <c r="AH48" s="619"/>
      <c r="AI48" s="197"/>
      <c r="AK48" s="45"/>
      <c r="AL48" s="574">
        <f xml:space="preserve"> ( 5.77 + 0.72 ) * ( 1 + 2.5% )^8 * 6 / AL45</f>
        <v>6.325947843871492</v>
      </c>
      <c r="AM48" s="619"/>
      <c r="AN48" s="197"/>
      <c r="AP48" s="45"/>
      <c r="AQ48" s="574">
        <f xml:space="preserve"> ( 5.77 + 0.72 ) * ( 1 + 2.5% )^8 * 6 / AQ45</f>
        <v>9.4889217658072376</v>
      </c>
      <c r="AR48" s="619"/>
      <c r="AS48" s="197"/>
      <c r="AU48" s="45"/>
      <c r="AV48" s="377">
        <v>0</v>
      </c>
      <c r="AW48" s="91"/>
      <c r="AX48" s="92"/>
      <c r="AY48" s="66"/>
      <c r="AZ48" s="291"/>
      <c r="BA48" s="377">
        <v>0</v>
      </c>
      <c r="BB48" s="292"/>
      <c r="BC48" s="293"/>
      <c r="BD48"/>
      <c r="BE48" s="291"/>
      <c r="BF48" s="377">
        <v>0</v>
      </c>
      <c r="BG48" s="292"/>
      <c r="BH48" s="293"/>
      <c r="BI48" s="66"/>
      <c r="BJ48" s="291"/>
      <c r="BK48" s="377">
        <v>0</v>
      </c>
      <c r="BL48" s="619"/>
      <c r="BM48" s="46"/>
      <c r="BO48" s="45"/>
      <c r="BP48" s="574">
        <f xml:space="preserve"> ( 5.77 + 0.72 ) * ( 1 + 2.5% )^8 * 6 / BP45</f>
        <v>2.3722304414518094</v>
      </c>
      <c r="BQ48" s="46"/>
      <c r="BS48" s="45"/>
      <c r="BT48" s="574">
        <f xml:space="preserve"> ( 5.77 + 0.72 ) * ( 1 + 2.5% )^8 * 6 / BT45</f>
        <v>2.3722304414518094</v>
      </c>
      <c r="BU48" s="46"/>
      <c r="BW48" s="45"/>
      <c r="BX48" s="574">
        <f xml:space="preserve"> ( 5.77 + 0.72 ) * ( 1 + 2.5% )^8 * 6 / BX45</f>
        <v>2.3722304414518094</v>
      </c>
      <c r="BY48" s="619"/>
      <c r="BZ48" s="46"/>
      <c r="CB48" s="45"/>
      <c r="CC48" s="574">
        <f xml:space="preserve"> ( 5.77 + 0.72 ) * ( 1 + 2.5% )^8 * 6 / CC45</f>
        <v>2.3722304414518094</v>
      </c>
      <c r="CD48" s="619"/>
      <c r="CE48" s="46"/>
    </row>
    <row r="49" spans="1:85" s="126" customFormat="1" x14ac:dyDescent="0.3">
      <c r="A49" s="123"/>
      <c r="B49" s="124"/>
      <c r="C49" s="123"/>
      <c r="D49" s="125"/>
      <c r="E49" s="125" t="s">
        <v>95</v>
      </c>
      <c r="F49" s="126" t="s">
        <v>94</v>
      </c>
      <c r="G49" s="45"/>
      <c r="H49" s="40">
        <v>3.5</v>
      </c>
      <c r="I49" s="605"/>
      <c r="J49" s="46"/>
      <c r="L49" s="45"/>
      <c r="M49" s="40">
        <v>3.5</v>
      </c>
      <c r="N49" s="619"/>
      <c r="O49" s="46"/>
      <c r="Q49" s="45"/>
      <c r="R49" s="40">
        <v>3.5</v>
      </c>
      <c r="S49" s="619"/>
      <c r="T49" s="46"/>
      <c r="U49" s="179"/>
      <c r="V49" s="45"/>
      <c r="W49" s="40">
        <v>3.5</v>
      </c>
      <c r="X49" s="619"/>
      <c r="Y49" s="46"/>
      <c r="Z49" s="179"/>
      <c r="AA49" s="45"/>
      <c r="AB49" s="40">
        <v>3.5</v>
      </c>
      <c r="AC49" s="619"/>
      <c r="AD49" s="46"/>
      <c r="AF49" s="45"/>
      <c r="AG49" s="40">
        <v>3.5</v>
      </c>
      <c r="AH49" s="619"/>
      <c r="AI49" s="46"/>
      <c r="AK49" s="45"/>
      <c r="AL49" s="40">
        <v>3.5</v>
      </c>
      <c r="AM49" s="619"/>
      <c r="AN49" s="46"/>
      <c r="AP49" s="45"/>
      <c r="AQ49" s="40">
        <v>3.5</v>
      </c>
      <c r="AR49" s="619"/>
      <c r="AS49" s="46"/>
      <c r="AU49" s="45"/>
      <c r="AV49" s="377">
        <v>0</v>
      </c>
      <c r="AW49" s="292"/>
      <c r="AX49" s="293"/>
      <c r="AY49" s="66"/>
      <c r="AZ49" s="291"/>
      <c r="BA49" s="377">
        <v>0</v>
      </c>
      <c r="BB49" s="292"/>
      <c r="BC49" s="293"/>
      <c r="BD49"/>
      <c r="BE49" s="291"/>
      <c r="BF49" s="377">
        <v>0</v>
      </c>
      <c r="BG49" s="292"/>
      <c r="BH49" s="293"/>
      <c r="BI49" s="66"/>
      <c r="BJ49" s="291"/>
      <c r="BK49" s="377">
        <v>0</v>
      </c>
      <c r="BL49" s="619"/>
      <c r="BM49" s="46"/>
      <c r="BO49" s="45"/>
      <c r="BP49" s="40">
        <v>3.5</v>
      </c>
      <c r="BQ49" s="46"/>
      <c r="BS49" s="45"/>
      <c r="BT49" s="40">
        <v>3.5</v>
      </c>
      <c r="BU49" s="46"/>
      <c r="BW49" s="45"/>
      <c r="BX49" s="40">
        <v>3.5</v>
      </c>
      <c r="BY49" s="619"/>
      <c r="BZ49" s="46"/>
      <c r="CB49" s="45"/>
      <c r="CC49" s="40">
        <v>3.5</v>
      </c>
      <c r="CD49" s="619"/>
      <c r="CE49" s="46"/>
    </row>
    <row r="50" spans="1:85" x14ac:dyDescent="0.3">
      <c r="A50" s="43"/>
      <c r="B50" s="52"/>
      <c r="C50" s="65"/>
      <c r="E50" s="70" t="s">
        <v>96</v>
      </c>
      <c r="F50" s="16" t="s">
        <v>97</v>
      </c>
      <c r="G50" s="53"/>
      <c r="H50" s="54">
        <f xml:space="preserve"> IF(H45="", 0, ( H42 * H47 / H45 / H46 ) + H48 + H49 )</f>
        <v>34.163350797599023</v>
      </c>
      <c r="I50" s="606"/>
      <c r="J50" s="185"/>
      <c r="L50" s="53"/>
      <c r="M50" s="54">
        <f xml:space="preserve"> IF(M45="", 0, ( M42 * M47 / M45 / M46 ) + M48 + M49 )</f>
        <v>55.087567289342118</v>
      </c>
      <c r="N50" s="606"/>
      <c r="O50" s="185"/>
      <c r="Q50" s="53"/>
      <c r="R50" s="54">
        <f xml:space="preserve"> IF(R45="", 0, ( R42 * R47 / R45 / R46 ) + R48 + R49 )</f>
        <v>33.025788238473218</v>
      </c>
      <c r="S50" s="54"/>
      <c r="T50" s="185"/>
      <c r="V50" s="53"/>
      <c r="W50" s="54">
        <f xml:space="preserve"> IF(W45="", 0, ( W42 * W47 / W45 / W46 ) + W48 + W49 )</f>
        <v>53.190779813461418</v>
      </c>
      <c r="X50" s="54"/>
      <c r="Y50" s="185"/>
      <c r="AA50" s="53"/>
      <c r="AB50" s="54">
        <f xml:space="preserve"> IF(AB45="", 0, ( AB42 * AB47 / AB45 / AB46 ) + AB48 + AB49 )</f>
        <v>36.700560486388923</v>
      </c>
      <c r="AC50" s="54"/>
      <c r="AD50" s="185"/>
      <c r="AF50" s="53"/>
      <c r="AG50" s="54">
        <f xml:space="preserve"> IF(AG45="", 0, ( AG42 * AG47 / AG45 / AG46 ) + AG48 + AG49 )</f>
        <v>59.501910207240215</v>
      </c>
      <c r="AH50" s="54"/>
      <c r="AI50" s="185"/>
      <c r="AK50" s="53"/>
      <c r="AL50" s="54">
        <f xml:space="preserve"> IF(AL45="", 0, ( AL42 * AL47 / AL45 / AL46 ) + AL48 + AL49 )</f>
        <v>34.378198668624542</v>
      </c>
      <c r="AM50" s="54"/>
      <c r="AN50" s="185"/>
      <c r="AP50" s="53"/>
      <c r="AQ50" s="54">
        <f xml:space="preserve"> IF(AQ45="", 0, ( AQ42 * AQ47 / AQ45 / AQ46 ) + AQ48 + AQ49 )</f>
        <v>51.38108151051577</v>
      </c>
      <c r="AR50" s="54"/>
      <c r="AS50" s="185"/>
      <c r="AU50" s="53"/>
      <c r="AV50" s="54">
        <f xml:space="preserve"> IF(AV45="", 0, ( AV42 * AV47 / AV45 / AV46 ) + AV48 + AV49 )</f>
        <v>19.786219755175598</v>
      </c>
      <c r="AW50" s="606"/>
      <c r="AX50" s="185"/>
      <c r="AZ50" s="53"/>
      <c r="BA50" s="54">
        <f xml:space="preserve"> IF(BA45="", 0, ( BA42 * BA47 / BA45 / BA46 ) + BA48 + BA49 )</f>
        <v>18.875201749420341</v>
      </c>
      <c r="BB50" s="54"/>
      <c r="BC50" s="55"/>
      <c r="BE50" s="53"/>
      <c r="BF50" s="54">
        <f xml:space="preserve"> IF(BF45="", 0, ( BF42 * BF47 / BF45 / BF46 ) + BF48 + BF49 )</f>
        <v>21.808892221922822</v>
      </c>
      <c r="BG50" s="54"/>
      <c r="BH50" s="55"/>
      <c r="BJ50" s="53"/>
      <c r="BK50" s="54">
        <f xml:space="preserve"> IF(BK45="", 0, ( BK42 * BK47 / BK45 / BK46 ) + BK48 + BK49 )</f>
        <v>17.071618831085129</v>
      </c>
      <c r="BL50" s="54"/>
      <c r="BM50" s="55"/>
      <c r="BO50" s="53"/>
      <c r="BP50" s="54">
        <f xml:space="preserve"> IF(BP45="", 0, ( BP42 * BP47 / BP45 / BP46 ) + BP48 + BP49 )</f>
        <v>15.861024904921628</v>
      </c>
      <c r="BQ50" s="55"/>
      <c r="BS50" s="53"/>
      <c r="BT50" s="54">
        <f xml:space="preserve"> IF(BT45="", 0, ( BT42 * BT47 / BT45 / BT46 ) + BT48 + BT49 )</f>
        <v>15.855835246803185</v>
      </c>
      <c r="BU50" s="55"/>
      <c r="BW50" s="53"/>
      <c r="BX50" s="54">
        <f xml:space="preserve"> IF(BX45="", 0, ( BX42 * BX47 / BX45 / BX46 ) + BX48 + BX49 )</f>
        <v>19.230882935529717</v>
      </c>
      <c r="BY50" s="54"/>
      <c r="BZ50" s="55"/>
      <c r="CB50" s="53"/>
      <c r="CC50" s="54">
        <f xml:space="preserve"> IF(CC45="", 0, ( CC42 * CC47 / CC45 / CC46 ) + CC48 + CC49 )</f>
        <v>15.907795115405641</v>
      </c>
      <c r="CD50" s="54"/>
      <c r="CE50" s="55"/>
    </row>
    <row r="51" spans="1:85" ht="6" customHeight="1" x14ac:dyDescent="0.3">
      <c r="E51" s="101"/>
      <c r="G51" s="50"/>
      <c r="H51" s="44"/>
      <c r="I51" s="609"/>
      <c r="J51" s="611"/>
      <c r="L51" s="50"/>
      <c r="M51" s="44"/>
      <c r="N51" s="44"/>
      <c r="O51" s="611"/>
      <c r="Q51" s="50"/>
      <c r="R51" s="44"/>
      <c r="S51" s="44"/>
      <c r="T51" s="611"/>
      <c r="V51" s="50"/>
      <c r="W51" s="44"/>
      <c r="X51" s="44"/>
      <c r="Y51" s="611"/>
      <c r="AA51" s="50"/>
      <c r="AB51" s="44"/>
      <c r="AC51" s="44"/>
      <c r="AD51" s="611"/>
      <c r="AF51" s="50"/>
      <c r="AG51" s="44"/>
      <c r="AH51" s="44"/>
      <c r="AI51" s="611"/>
      <c r="AK51" s="50"/>
      <c r="AL51" s="44"/>
      <c r="AM51" s="44"/>
      <c r="AN51" s="611"/>
      <c r="AP51" s="50"/>
      <c r="AQ51" s="44"/>
      <c r="AR51" s="44"/>
      <c r="AS51" s="611"/>
      <c r="AU51" s="50"/>
      <c r="AV51" s="44"/>
      <c r="AW51" s="44"/>
      <c r="AX51" s="51"/>
      <c r="AZ51" s="50"/>
      <c r="BA51" s="44"/>
      <c r="BB51" s="44"/>
      <c r="BC51" s="51"/>
      <c r="BE51" s="50"/>
      <c r="BF51" s="44"/>
      <c r="BG51" s="44"/>
      <c r="BH51" s="51"/>
      <c r="BJ51" s="50"/>
      <c r="BK51" s="44"/>
      <c r="BL51" s="44"/>
      <c r="BM51" s="51"/>
      <c r="BO51" s="50"/>
      <c r="BP51" s="44"/>
      <c r="BQ51" s="51"/>
      <c r="BS51" s="50"/>
      <c r="BT51" s="44"/>
      <c r="BU51" s="51"/>
      <c r="BW51" s="50"/>
      <c r="BX51" s="44"/>
      <c r="BY51" s="44"/>
      <c r="BZ51" s="51"/>
      <c r="CB51" s="50"/>
      <c r="CC51" s="44"/>
      <c r="CD51" s="44"/>
      <c r="CE51" s="51"/>
    </row>
    <row r="52" spans="1:85" s="133" customFormat="1" x14ac:dyDescent="0.3">
      <c r="A52" s="127"/>
      <c r="B52" s="128"/>
      <c r="C52" s="127"/>
      <c r="D52" s="129"/>
      <c r="E52" s="133" t="s">
        <v>64</v>
      </c>
      <c r="F52" s="86" t="s">
        <v>98</v>
      </c>
      <c r="G52" s="48"/>
      <c r="H52" s="131">
        <f xml:space="preserve"> MAX( (24.9% / ( 1 - 24.9% )) * ( 1 - 10%), 25%)</f>
        <v>0.29840213049267644</v>
      </c>
      <c r="I52" s="361"/>
      <c r="J52" s="607"/>
      <c r="K52" s="67"/>
      <c r="L52" s="48"/>
      <c r="M52" s="131">
        <f xml:space="preserve"> MAX( (24.9% / ( 1 - 24.9% )) * ( 1 - 10%), 25%)</f>
        <v>0.29840213049267644</v>
      </c>
      <c r="N52" s="361"/>
      <c r="O52" s="607"/>
      <c r="P52" s="67"/>
      <c r="Q52" s="48"/>
      <c r="R52" s="131">
        <f xml:space="preserve"> MAX( (21.2% / ( 1 - 21.2% )) * ( 1 - 10%), 25%)</f>
        <v>0.25</v>
      </c>
      <c r="S52" s="361"/>
      <c r="T52" s="607"/>
      <c r="U52" s="67"/>
      <c r="V52" s="48"/>
      <c r="W52" s="131">
        <f xml:space="preserve"> MAX( (21.2% / ( 1 - 21.2% )) * ( 1 - 10%), 25%)</f>
        <v>0.25</v>
      </c>
      <c r="X52" s="361"/>
      <c r="Y52" s="607"/>
      <c r="Z52" s="67"/>
      <c r="AA52" s="48"/>
      <c r="AB52" s="131">
        <f xml:space="preserve"> (25% / ( 1 - 25% )) * ( 1 - 10%)</f>
        <v>0.3</v>
      </c>
      <c r="AC52" s="361"/>
      <c r="AD52" s="607"/>
      <c r="AF52" s="48"/>
      <c r="AG52" s="131">
        <f xml:space="preserve"> (25% / ( 1 - 25% )) * ( 1 - 10%)</f>
        <v>0.3</v>
      </c>
      <c r="AH52" s="361"/>
      <c r="AI52" s="607"/>
      <c r="AK52" s="48"/>
      <c r="AL52" s="121">
        <f xml:space="preserve"> MAX( (20.2% / ( 1 - 20.2%)) * ( 1 - 10%), 25%)</f>
        <v>0.25</v>
      </c>
      <c r="AM52" s="361"/>
      <c r="AN52" s="607"/>
      <c r="AO52" s="67"/>
      <c r="AP52" s="48"/>
      <c r="AQ52" s="121">
        <f xml:space="preserve"> MAX( (20.2% / ( 1 - 20.2%)) * ( 1 - 10%), 25%)</f>
        <v>0.25</v>
      </c>
      <c r="AR52" s="361"/>
      <c r="AS52" s="607"/>
      <c r="AU52" s="48"/>
      <c r="AV52" s="131">
        <f xml:space="preserve"> MAX( (24.9% / ( 1 - 24.9% )) * ( 1 - 10%), 25%)</f>
        <v>0.29840213049267644</v>
      </c>
      <c r="AW52" s="361"/>
      <c r="AX52" s="49"/>
      <c r="AY52" s="67"/>
      <c r="AZ52" s="48"/>
      <c r="BA52" s="131">
        <f xml:space="preserve"> MAX( (21.2% / ( 1 - 21.2% )) * ( 1 - 10%), 25%)</f>
        <v>0.25</v>
      </c>
      <c r="BB52" s="361"/>
      <c r="BC52" s="49"/>
      <c r="BD52" s="67"/>
      <c r="BE52" s="48"/>
      <c r="BF52" s="131">
        <f xml:space="preserve"> (25% / ( 1 - 25% )) * ( 1 - 10%)</f>
        <v>0.3</v>
      </c>
      <c r="BG52" s="361"/>
      <c r="BH52" s="49"/>
      <c r="BJ52" s="48"/>
      <c r="BK52" s="121">
        <f xml:space="preserve"> MAX( (20.2% / ( 1 - 20.2%)) * ( 1 - 10%), 25%)</f>
        <v>0.25</v>
      </c>
      <c r="BL52" s="361"/>
      <c r="BM52" s="49"/>
      <c r="BN52" s="67"/>
      <c r="BO52" s="48"/>
      <c r="BP52" s="131">
        <f xml:space="preserve"> MAX( (21.2% / ( 1 - 21.2% )) * ( 1 - 10%), 25%)</f>
        <v>0.25</v>
      </c>
      <c r="BQ52" s="49"/>
      <c r="BR52" s="67"/>
      <c r="BS52" s="48"/>
      <c r="BT52" s="131">
        <f xml:space="preserve"> MAX( (21.2% / ( 1 - 21.2% )) * ( 1 - 10%), 25%)</f>
        <v>0.25</v>
      </c>
      <c r="BU52" s="49"/>
      <c r="BW52" s="48"/>
      <c r="BX52" s="131">
        <f xml:space="preserve"> (25% / ( 1 - 25% )) * ( 1 - 10%)</f>
        <v>0.3</v>
      </c>
      <c r="BY52" s="361"/>
      <c r="BZ52" s="49"/>
      <c r="CB52" s="48"/>
      <c r="CC52" s="121">
        <f xml:space="preserve"> MAX( (20.2% / ( 1 - 20.2%)) * ( 1 - 10%), 25%)</f>
        <v>0.25</v>
      </c>
      <c r="CD52" s="361"/>
      <c r="CE52" s="49"/>
      <c r="CG52" s="470"/>
    </row>
    <row r="53" spans="1:85" x14ac:dyDescent="0.3">
      <c r="A53" s="43"/>
      <c r="B53" s="52"/>
      <c r="C53" s="65"/>
      <c r="E53" s="70" t="s">
        <v>99</v>
      </c>
      <c r="F53" s="16" t="str">
        <f>F50</f>
        <v>EUR / dagdeel</v>
      </c>
      <c r="G53" s="53"/>
      <c r="H53" s="54">
        <f xml:space="preserve"> H50 * ( 1 + H52 )</f>
        <v>44.35776746037125</v>
      </c>
      <c r="I53" s="54"/>
      <c r="J53" s="55"/>
      <c r="L53" s="53"/>
      <c r="M53" s="54">
        <f xml:space="preserve"> M50 * ( 1 + M52 )</f>
        <v>71.525814732140489</v>
      </c>
      <c r="N53" s="54"/>
      <c r="O53" s="55"/>
      <c r="Q53" s="53"/>
      <c r="R53" s="54">
        <f xml:space="preserve"> R50 * ( 1 + R52 )</f>
        <v>41.282235298091521</v>
      </c>
      <c r="S53" s="54"/>
      <c r="T53" s="55"/>
      <c r="V53" s="53"/>
      <c r="W53" s="54">
        <f xml:space="preserve"> W50 * ( 1 + W52 )</f>
        <v>66.488474766826769</v>
      </c>
      <c r="X53" s="54"/>
      <c r="Y53" s="55"/>
      <c r="AA53" s="53"/>
      <c r="AB53" s="54">
        <f xml:space="preserve"> AB50 * ( 1 + AB52 )</f>
        <v>47.710728632305603</v>
      </c>
      <c r="AC53" s="54"/>
      <c r="AD53" s="55"/>
      <c r="AF53" s="53"/>
      <c r="AG53" s="54">
        <f xml:space="preserve"> AG50 * ( 1 + AG52 )</f>
        <v>77.352483269412275</v>
      </c>
      <c r="AH53" s="54"/>
      <c r="AI53" s="55"/>
      <c r="AK53" s="53"/>
      <c r="AL53" s="54">
        <f xml:space="preserve"> AL50 * ( 1 + AL52 )</f>
        <v>42.972748335780679</v>
      </c>
      <c r="AM53" s="54"/>
      <c r="AN53" s="55"/>
      <c r="AP53" s="53"/>
      <c r="AQ53" s="54">
        <f xml:space="preserve"> AQ50 * ( 1 + AQ52 )</f>
        <v>64.226351888144706</v>
      </c>
      <c r="AR53" s="54"/>
      <c r="AS53" s="55"/>
      <c r="AU53" s="53"/>
      <c r="AV53" s="54">
        <f xml:space="preserve"> AV50 * ( 1 + AV52 )</f>
        <v>25.690469884516279</v>
      </c>
      <c r="AW53" s="54"/>
      <c r="AX53" s="55"/>
      <c r="AZ53" s="53"/>
      <c r="BA53" s="54">
        <f xml:space="preserve"> BA50 * ( 1 + BA52 )</f>
        <v>23.594002186775427</v>
      </c>
      <c r="BB53" s="54"/>
      <c r="BC53" s="55"/>
      <c r="BE53" s="53"/>
      <c r="BF53" s="54">
        <f xml:space="preserve"> BF50 * ( 1 + BF52 )</f>
        <v>28.351559888499668</v>
      </c>
      <c r="BG53" s="54"/>
      <c r="BH53" s="55"/>
      <c r="BJ53" s="53"/>
      <c r="BK53" s="54">
        <f xml:space="preserve"> BK50 * ( 1 + BK52 )</f>
        <v>21.339523538856412</v>
      </c>
      <c r="BL53" s="54"/>
      <c r="BM53" s="55"/>
      <c r="BO53" s="53"/>
      <c r="BP53" s="54">
        <f xml:space="preserve"> BP50 * ( 1 + BP52 )</f>
        <v>19.826281131152037</v>
      </c>
      <c r="BQ53" s="55"/>
      <c r="BS53" s="53"/>
      <c r="BT53" s="54">
        <f xml:space="preserve"> BT50 * ( 1 + BT52 )</f>
        <v>19.81979405850398</v>
      </c>
      <c r="BU53" s="55"/>
      <c r="BW53" s="53"/>
      <c r="BX53" s="54">
        <f xml:space="preserve"> BX50 * ( 1 + BX52 )</f>
        <v>25.000147816188633</v>
      </c>
      <c r="BY53" s="54"/>
      <c r="BZ53" s="55"/>
      <c r="CB53" s="53"/>
      <c r="CC53" s="54">
        <f xml:space="preserve"> CC50 * ( 1 + CC52 )</f>
        <v>19.884743894257049</v>
      </c>
      <c r="CD53" s="54"/>
      <c r="CE53" s="55"/>
    </row>
    <row r="54" spans="1:85" ht="6" customHeight="1" x14ac:dyDescent="0.3">
      <c r="E54" s="101"/>
      <c r="G54" s="50"/>
      <c r="H54" s="44"/>
      <c r="I54" s="609"/>
      <c r="J54" s="51"/>
      <c r="L54" s="50"/>
      <c r="M54" s="44"/>
      <c r="N54" s="44"/>
      <c r="O54" s="51"/>
      <c r="Q54" s="50"/>
      <c r="R54" s="44"/>
      <c r="S54" s="44"/>
      <c r="T54" s="51"/>
      <c r="V54" s="50"/>
      <c r="W54" s="44"/>
      <c r="X54" s="44"/>
      <c r="Y54" s="51"/>
      <c r="AA54" s="50"/>
      <c r="AB54" s="44"/>
      <c r="AC54" s="44"/>
      <c r="AD54" s="51"/>
      <c r="AF54" s="50"/>
      <c r="AG54" s="44"/>
      <c r="AH54" s="44"/>
      <c r="AI54" s="51"/>
      <c r="AK54" s="50"/>
      <c r="AL54" s="44"/>
      <c r="AM54" s="44"/>
      <c r="AN54" s="51"/>
      <c r="AP54" s="50"/>
      <c r="AQ54" s="44"/>
      <c r="AR54" s="44"/>
      <c r="AS54" s="51"/>
      <c r="AU54" s="50"/>
      <c r="AV54" s="44"/>
      <c r="AW54" s="44"/>
      <c r="AX54" s="51"/>
      <c r="AZ54" s="50"/>
      <c r="BA54" s="44"/>
      <c r="BB54" s="44"/>
      <c r="BC54" s="51"/>
      <c r="BE54" s="50"/>
      <c r="BF54" s="44"/>
      <c r="BG54" s="44"/>
      <c r="BH54" s="51"/>
      <c r="BJ54" s="50"/>
      <c r="BK54" s="44"/>
      <c r="BL54" s="44"/>
      <c r="BM54" s="51"/>
      <c r="BO54" s="50"/>
      <c r="BP54" s="44"/>
      <c r="BQ54" s="51"/>
      <c r="BS54" s="50"/>
      <c r="BT54" s="44"/>
      <c r="BU54" s="51"/>
      <c r="BW54" s="50"/>
      <c r="BX54" s="44"/>
      <c r="BY54" s="44"/>
      <c r="BZ54" s="51"/>
      <c r="CB54" s="50"/>
      <c r="CC54" s="44"/>
      <c r="CD54" s="44"/>
      <c r="CE54" s="51"/>
    </row>
    <row r="55" spans="1:85" s="227" customFormat="1" x14ac:dyDescent="0.3">
      <c r="A55" s="224"/>
      <c r="B55" s="225"/>
      <c r="C55" s="224"/>
      <c r="D55" s="226"/>
      <c r="E55" s="226" t="s">
        <v>168</v>
      </c>
      <c r="F55" s="228" t="s">
        <v>100</v>
      </c>
      <c r="G55" s="234"/>
      <c r="H55" s="26">
        <v>0.01</v>
      </c>
      <c r="I55" s="578"/>
      <c r="J55" s="608"/>
      <c r="L55" s="234"/>
      <c r="M55" s="26">
        <v>0.01</v>
      </c>
      <c r="N55" s="578"/>
      <c r="O55" s="608"/>
      <c r="Q55" s="234"/>
      <c r="R55" s="26">
        <v>0.01</v>
      </c>
      <c r="S55" s="623"/>
      <c r="T55" s="608"/>
      <c r="U55" s="226"/>
      <c r="V55" s="234"/>
      <c r="W55" s="26">
        <v>0.01</v>
      </c>
      <c r="X55" s="623"/>
      <c r="Y55" s="608"/>
      <c r="Z55" s="226"/>
      <c r="AA55" s="234"/>
      <c r="AB55" s="26">
        <v>0.01</v>
      </c>
      <c r="AC55" s="578"/>
      <c r="AD55" s="608"/>
      <c r="AF55" s="234"/>
      <c r="AG55" s="26">
        <v>0.01</v>
      </c>
      <c r="AH55" s="578"/>
      <c r="AI55" s="608"/>
      <c r="AK55" s="234"/>
      <c r="AL55" s="26">
        <v>0.01</v>
      </c>
      <c r="AM55" s="578"/>
      <c r="AN55" s="608"/>
      <c r="AP55" s="234"/>
      <c r="AQ55" s="26">
        <v>0.01</v>
      </c>
      <c r="AR55" s="578"/>
      <c r="AS55" s="608"/>
      <c r="AU55" s="234"/>
      <c r="AV55" s="26">
        <v>0.02</v>
      </c>
      <c r="AW55" s="578"/>
      <c r="AX55" s="235"/>
      <c r="AZ55" s="234"/>
      <c r="BA55" s="26">
        <v>0.02</v>
      </c>
      <c r="BB55" s="623"/>
      <c r="BC55" s="237"/>
      <c r="BD55" s="226"/>
      <c r="BE55" s="234"/>
      <c r="BF55" s="26">
        <v>0.02</v>
      </c>
      <c r="BG55" s="578"/>
      <c r="BH55" s="235"/>
      <c r="BJ55" s="234"/>
      <c r="BK55" s="26">
        <v>0.02</v>
      </c>
      <c r="BL55" s="578"/>
      <c r="BM55" s="235"/>
      <c r="BO55" s="234"/>
      <c r="BP55" s="26">
        <v>0.01</v>
      </c>
      <c r="BQ55" s="237"/>
      <c r="BS55" s="234"/>
      <c r="BT55" s="26">
        <v>0.01</v>
      </c>
      <c r="BU55" s="237"/>
      <c r="BW55" s="464"/>
      <c r="BX55" s="414">
        <v>0.01</v>
      </c>
      <c r="BY55" s="622"/>
      <c r="BZ55" s="236"/>
      <c r="CB55" s="234"/>
      <c r="CC55" s="26">
        <v>0.01</v>
      </c>
      <c r="CD55" s="578"/>
      <c r="CE55" s="236"/>
    </row>
    <row r="56" spans="1:85" x14ac:dyDescent="0.3">
      <c r="E56" s="95" t="s">
        <v>101</v>
      </c>
      <c r="F56" s="16" t="s">
        <v>97</v>
      </c>
      <c r="G56" s="18"/>
      <c r="H56" s="239">
        <f xml:space="preserve"> H53 * ( 1 + H55 )</f>
        <v>44.801345134974966</v>
      </c>
      <c r="I56" s="610"/>
      <c r="J56" s="17"/>
      <c r="L56" s="18"/>
      <c r="M56" s="239">
        <f xml:space="preserve"> M53 * ( 1 + M55 )</f>
        <v>72.241072879461896</v>
      </c>
      <c r="N56" s="610"/>
      <c r="O56" s="17"/>
      <c r="Q56" s="18"/>
      <c r="R56" s="239">
        <f xml:space="preserve"> R53 * ( 1 + R55 )</f>
        <v>41.695057651072439</v>
      </c>
      <c r="S56" s="610"/>
      <c r="T56" s="17"/>
      <c r="V56" s="18"/>
      <c r="W56" s="239">
        <f xml:space="preserve"> W53 * ( 1 + W55 )</f>
        <v>67.153359514495037</v>
      </c>
      <c r="X56" s="610"/>
      <c r="Y56" s="17"/>
      <c r="AA56" s="18"/>
      <c r="AB56" s="239">
        <f xml:space="preserve"> AB53 * ( 1 + AB55 )</f>
        <v>48.187835918628657</v>
      </c>
      <c r="AC56" s="610"/>
      <c r="AD56" s="17"/>
      <c r="AF56" s="18"/>
      <c r="AG56" s="239">
        <f xml:space="preserve"> AG53 * ( 1 + AG55 )</f>
        <v>78.126008102106397</v>
      </c>
      <c r="AH56" s="610"/>
      <c r="AI56" s="17"/>
      <c r="AK56" s="18"/>
      <c r="AL56" s="239">
        <f xml:space="preserve"> AL53 * ( 1 + AL55 )</f>
        <v>43.402475819138488</v>
      </c>
      <c r="AM56" s="610"/>
      <c r="AN56" s="17"/>
      <c r="AP56" s="18"/>
      <c r="AQ56" s="239">
        <f xml:space="preserve"> AQ53 * ( 1 + AQ55 )</f>
        <v>64.868615407026155</v>
      </c>
      <c r="AR56" s="610"/>
      <c r="AS56" s="17"/>
      <c r="AU56" s="18"/>
      <c r="AV56" s="239">
        <f xml:space="preserve"> AV53 * ( 1 + AV55 )</f>
        <v>26.204279282206606</v>
      </c>
      <c r="AW56" s="610"/>
      <c r="AX56" s="17"/>
      <c r="AZ56" s="18"/>
      <c r="BA56" s="239">
        <f xml:space="preserve"> BA53 * ( 1 + BA55 )</f>
        <v>24.065882230510937</v>
      </c>
      <c r="BB56" s="610"/>
      <c r="BC56" s="17"/>
      <c r="BE56" s="18"/>
      <c r="BF56" s="239">
        <f xml:space="preserve"> BF53 * ( 1 + BF55 )</f>
        <v>28.918591086269661</v>
      </c>
      <c r="BG56" s="610"/>
      <c r="BH56" s="17"/>
      <c r="BJ56" s="18"/>
      <c r="BK56" s="239">
        <f xml:space="preserve"> BK53 * ( 1 + BK55 )</f>
        <v>21.76631400963354</v>
      </c>
      <c r="BL56" s="610"/>
      <c r="BM56" s="17"/>
      <c r="BO56" s="18"/>
      <c r="BP56" s="239">
        <f xml:space="preserve"> BP53 * ( 1 + BP55 )</f>
        <v>20.024543942463556</v>
      </c>
      <c r="BQ56" s="17"/>
      <c r="BS56" s="18"/>
      <c r="BT56" s="239">
        <f xml:space="preserve"> BT53 * ( 1 + BT55 )</f>
        <v>20.01799199908902</v>
      </c>
      <c r="BU56" s="17"/>
      <c r="BW56" s="18"/>
      <c r="BX56" s="239">
        <f xml:space="preserve"> BX53 * ( 1 + BX55 )</f>
        <v>25.250149294350521</v>
      </c>
      <c r="BY56" s="610"/>
      <c r="BZ56" s="17"/>
      <c r="CB56" s="18"/>
      <c r="CC56" s="239">
        <f xml:space="preserve"> CC53 * ( 1 + CC55 )</f>
        <v>20.083591333199621</v>
      </c>
      <c r="CD56" s="610"/>
      <c r="CE56" s="17"/>
    </row>
    <row r="57" spans="1:85" x14ac:dyDescent="0.3">
      <c r="H57" s="47"/>
      <c r="I57" s="613"/>
      <c r="M57" s="47"/>
      <c r="AV57" s="47"/>
    </row>
    <row r="58" spans="1:85" x14ac:dyDescent="0.3">
      <c r="A58" s="58" t="s">
        <v>80</v>
      </c>
      <c r="B58" s="58" t="s">
        <v>80</v>
      </c>
      <c r="C58" s="58" t="s">
        <v>80</v>
      </c>
      <c r="D58" s="58" t="s">
        <v>80</v>
      </c>
      <c r="E58" s="58" t="s">
        <v>80</v>
      </c>
      <c r="F58" s="58" t="s">
        <v>80</v>
      </c>
      <c r="G58" s="58" t="s">
        <v>80</v>
      </c>
      <c r="H58" s="58" t="s">
        <v>80</v>
      </c>
      <c r="I58" s="58" t="s">
        <v>80</v>
      </c>
      <c r="J58" s="58" t="s">
        <v>80</v>
      </c>
      <c r="K58" s="58" t="s">
        <v>80</v>
      </c>
      <c r="L58" s="58" t="s">
        <v>80</v>
      </c>
      <c r="M58" s="58" t="s">
        <v>80</v>
      </c>
      <c r="N58" s="58" t="s">
        <v>80</v>
      </c>
      <c r="O58" s="58"/>
      <c r="P58" s="58" t="s">
        <v>80</v>
      </c>
      <c r="Q58" s="58"/>
      <c r="R58" s="58"/>
      <c r="S58" s="58"/>
      <c r="T58" s="58" t="s">
        <v>80</v>
      </c>
      <c r="U58" s="58"/>
      <c r="V58" s="58"/>
      <c r="W58" s="58"/>
      <c r="X58" s="58"/>
      <c r="Y58" s="58" t="s">
        <v>80</v>
      </c>
      <c r="Z58" s="58"/>
      <c r="AA58" s="58"/>
      <c r="AB58" s="58"/>
      <c r="AC58" s="58"/>
      <c r="AD58" s="58" t="s">
        <v>80</v>
      </c>
      <c r="AE58" s="58"/>
      <c r="AF58" s="58"/>
      <c r="AG58" s="58"/>
      <c r="AH58" s="58"/>
      <c r="AI58" s="58" t="s">
        <v>80</v>
      </c>
      <c r="AJ58" s="58"/>
      <c r="AK58" s="58"/>
      <c r="AL58" s="58"/>
      <c r="AM58" s="58"/>
      <c r="AN58" s="58" t="s">
        <v>80</v>
      </c>
      <c r="AO58" s="58"/>
      <c r="AP58" s="58"/>
      <c r="AQ58" s="58"/>
      <c r="AR58" s="58"/>
      <c r="AS58" s="58" t="s">
        <v>80</v>
      </c>
      <c r="AT58" s="58" t="s">
        <v>80</v>
      </c>
      <c r="AU58" s="58" t="s">
        <v>80</v>
      </c>
      <c r="AV58" s="58" t="s">
        <v>80</v>
      </c>
      <c r="AW58" s="58" t="s">
        <v>80</v>
      </c>
      <c r="AX58" s="58" t="s">
        <v>80</v>
      </c>
      <c r="AY58" s="58" t="s">
        <v>80</v>
      </c>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465"/>
      <c r="BX58" s="465"/>
      <c r="BY58" s="465"/>
      <c r="BZ58" s="465"/>
      <c r="CA58" s="58"/>
      <c r="CB58" s="58"/>
      <c r="CC58" s="58"/>
      <c r="CD58" s="58"/>
      <c r="CE58" s="465"/>
      <c r="CF58" s="58"/>
    </row>
    <row r="59" spans="1:85" x14ac:dyDescent="0.3">
      <c r="H59" s="188"/>
      <c r="I59" s="43"/>
    </row>
    <row r="60" spans="1:85" x14ac:dyDescent="0.3">
      <c r="H60" s="241"/>
      <c r="I60" s="43"/>
      <c r="M60" s="241"/>
      <c r="R60" s="241"/>
      <c r="W60" s="241"/>
      <c r="AB60" s="241"/>
      <c r="AG60" s="241"/>
      <c r="AL60" s="241"/>
      <c r="AQ60" s="241"/>
      <c r="AV60" s="241"/>
      <c r="BA60" s="241"/>
      <c r="BF60" s="241"/>
      <c r="BK60" s="241"/>
      <c r="BT60" s="241"/>
      <c r="BX60" s="466"/>
      <c r="CC60" s="241"/>
    </row>
    <row r="61" spans="1:85" x14ac:dyDescent="0.3">
      <c r="H61" s="241"/>
      <c r="I61" s="43"/>
      <c r="M61" s="241"/>
      <c r="R61" s="241"/>
      <c r="W61" s="241"/>
      <c r="AB61" s="241"/>
      <c r="AG61" s="241"/>
      <c r="AL61" s="241"/>
      <c r="AQ61" s="241"/>
      <c r="AV61" s="241"/>
      <c r="BA61" s="241"/>
      <c r="BF61" s="241"/>
      <c r="BK61" s="241"/>
      <c r="BT61" s="241"/>
      <c r="BX61" s="466"/>
      <c r="CC61" s="241"/>
    </row>
    <row r="62" spans="1:85" x14ac:dyDescent="0.3">
      <c r="H62" s="241"/>
      <c r="I62" s="43"/>
      <c r="AV62" s="241"/>
    </row>
    <row r="63" spans="1:85" x14ac:dyDescent="0.3">
      <c r="I63" s="43"/>
    </row>
    <row r="64" spans="1:85" x14ac:dyDescent="0.3">
      <c r="I64" s="43"/>
    </row>
    <row r="65" spans="9:9" x14ac:dyDescent="0.3">
      <c r="I65" s="43"/>
    </row>
    <row r="66" spans="9:9" x14ac:dyDescent="0.3">
      <c r="I66" s="43"/>
    </row>
    <row r="67" spans="9:9" x14ac:dyDescent="0.3">
      <c r="I67" s="43"/>
    </row>
    <row r="68" spans="9:9" x14ac:dyDescent="0.3">
      <c r="I68" s="43"/>
    </row>
    <row r="69" spans="9:9" x14ac:dyDescent="0.3">
      <c r="I69" s="43"/>
    </row>
    <row r="70" spans="9:9" x14ac:dyDescent="0.3">
      <c r="I70" s="43"/>
    </row>
    <row r="71" spans="9:9" x14ac:dyDescent="0.3">
      <c r="I71" s="43"/>
    </row>
    <row r="72" spans="9:9" x14ac:dyDescent="0.3">
      <c r="I72" s="43"/>
    </row>
    <row r="73" spans="9:9" x14ac:dyDescent="0.3">
      <c r="I73" s="43"/>
    </row>
    <row r="74" spans="9:9" x14ac:dyDescent="0.3">
      <c r="I74" s="43"/>
    </row>
    <row r="75" spans="9:9" x14ac:dyDescent="0.3">
      <c r="I75" s="43"/>
    </row>
    <row r="76" spans="9:9" x14ac:dyDescent="0.3">
      <c r="I76" s="43"/>
    </row>
    <row r="77" spans="9:9" x14ac:dyDescent="0.3">
      <c r="I77" s="43"/>
    </row>
    <row r="78" spans="9:9" x14ac:dyDescent="0.3">
      <c r="I78" s="43"/>
    </row>
    <row r="79" spans="9:9" x14ac:dyDescent="0.3">
      <c r="I79" s="43"/>
    </row>
    <row r="80" spans="9:9" x14ac:dyDescent="0.3">
      <c r="I80" s="43"/>
    </row>
    <row r="81" spans="9:9" x14ac:dyDescent="0.3">
      <c r="I81" s="43"/>
    </row>
    <row r="82" spans="9:9" x14ac:dyDescent="0.3">
      <c r="I82" s="43"/>
    </row>
    <row r="83" spans="9:9" x14ac:dyDescent="0.3">
      <c r="I83" s="43"/>
    </row>
    <row r="84" spans="9:9" x14ac:dyDescent="0.3">
      <c r="I84" s="43"/>
    </row>
    <row r="85" spans="9:9" x14ac:dyDescent="0.3">
      <c r="I85" s="43"/>
    </row>
    <row r="86" spans="9:9" x14ac:dyDescent="0.3">
      <c r="I86" s="43"/>
    </row>
    <row r="88" spans="9:9" x14ac:dyDescent="0.3">
      <c r="I88" s="43"/>
    </row>
    <row r="89" spans="9:9" x14ac:dyDescent="0.3">
      <c r="I89" s="43"/>
    </row>
    <row r="90" spans="9:9" x14ac:dyDescent="0.3">
      <c r="I90" s="43"/>
    </row>
    <row r="91" spans="9:9" x14ac:dyDescent="0.3">
      <c r="I91" s="43"/>
    </row>
    <row r="92" spans="9:9" x14ac:dyDescent="0.3">
      <c r="I92" s="43"/>
    </row>
    <row r="93" spans="9:9" x14ac:dyDescent="0.3">
      <c r="I93" s="43"/>
    </row>
    <row r="94" spans="9:9" x14ac:dyDescent="0.3">
      <c r="I94" s="43"/>
    </row>
    <row r="95" spans="9:9" x14ac:dyDescent="0.3">
      <c r="I95" s="43"/>
    </row>
    <row r="96" spans="9:9" x14ac:dyDescent="0.3">
      <c r="I96" s="43"/>
    </row>
    <row r="97" spans="9:10" x14ac:dyDescent="0.3">
      <c r="I97" s="43"/>
    </row>
    <row r="98" spans="9:10" x14ac:dyDescent="0.3">
      <c r="I98" s="43"/>
    </row>
    <row r="99" spans="9:10" x14ac:dyDescent="0.3">
      <c r="I99" s="43"/>
    </row>
    <row r="100" spans="9:10" x14ac:dyDescent="0.3">
      <c r="I100" s="43"/>
    </row>
    <row r="101" spans="9:10" x14ac:dyDescent="0.3">
      <c r="I101" s="43"/>
    </row>
    <row r="102" spans="9:10" x14ac:dyDescent="0.3">
      <c r="I102" s="43"/>
    </row>
    <row r="103" spans="9:10" x14ac:dyDescent="0.3">
      <c r="I103" s="43"/>
    </row>
    <row r="104" spans="9:10" x14ac:dyDescent="0.3">
      <c r="I104" s="43"/>
    </row>
    <row r="106" spans="9:10" x14ac:dyDescent="0.3">
      <c r="J106" s="612"/>
    </row>
    <row r="107" spans="9:10" x14ac:dyDescent="0.3">
      <c r="I107" s="43"/>
    </row>
    <row r="108" spans="9:10" x14ac:dyDescent="0.3">
      <c r="I108" s="43"/>
    </row>
    <row r="109" spans="9:10" x14ac:dyDescent="0.3">
      <c r="I109" s="43"/>
    </row>
    <row r="110" spans="9:10" x14ac:dyDescent="0.3">
      <c r="I110" s="43"/>
    </row>
    <row r="111" spans="9:10" x14ac:dyDescent="0.3">
      <c r="I111" s="43"/>
    </row>
    <row r="112" spans="9:10" x14ac:dyDescent="0.3">
      <c r="I112" s="43"/>
    </row>
    <row r="113" spans="9:9" x14ac:dyDescent="0.3">
      <c r="I113" s="43"/>
    </row>
    <row r="114" spans="9:9" x14ac:dyDescent="0.3">
      <c r="I114" s="43"/>
    </row>
    <row r="115" spans="9:9" x14ac:dyDescent="0.3">
      <c r="I115" s="43"/>
    </row>
    <row r="116" spans="9:9" x14ac:dyDescent="0.3">
      <c r="I116" s="43"/>
    </row>
    <row r="117" spans="9:9" x14ac:dyDescent="0.3">
      <c r="I117" s="43"/>
    </row>
    <row r="118" spans="9:9" x14ac:dyDescent="0.3">
      <c r="I118" s="43"/>
    </row>
    <row r="119" spans="9:9" x14ac:dyDescent="0.3">
      <c r="I119" s="43"/>
    </row>
    <row r="120" spans="9:9" x14ac:dyDescent="0.3">
      <c r="I120" s="43"/>
    </row>
    <row r="121" spans="9:9" x14ac:dyDescent="0.3">
      <c r="I121" s="43"/>
    </row>
  </sheetData>
  <sheetProtection algorithmName="SHA-512" hashValue="RvouVU8rhaQmKoXUoUlnhRN1f0KMaV7AKltjr9xLFpA2wRjN7TUv9YcPJsFfvTbSGEic6NFh80N/Ye6ykoAhdQ==" saltValue="EHHitq/j5mEc7BC0aWofPg==" spinCount="100000" sheet="1" objects="1" scenarios="1"/>
  <dataValidations disablePrompts="1" count="1">
    <dataValidation type="list" allowBlank="1" showInputMessage="1" showErrorMessage="1" sqref="AA14 V14 AK14 L14 G14 Q14 AP14 AF14 CB14 BO14 AZ14 BW14 BE14 BJ14 AU14 BS14" xr:uid="{E992F1A5-C03A-483D-8B15-06B94316C376}">
      <formula1>"% jaarsalaris EXCL. VU, % jaarsalaris INCL. VU"</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9D3E-8DBF-4823-AE97-FC5612BA0D0B}">
  <sheetPr codeName="Sheet9">
    <tabColor rgb="FFFFFFAF"/>
  </sheetPr>
  <dimension ref="A1:P41"/>
  <sheetViews>
    <sheetView showGridLines="0" zoomScaleNormal="100" workbookViewId="0">
      <selection activeCell="L18" sqref="L18"/>
    </sheetView>
  </sheetViews>
  <sheetFormatPr defaultColWidth="0" defaultRowHeight="13.8" x14ac:dyDescent="0.3"/>
  <cols>
    <col min="1" max="2" width="1.33203125" style="5" customWidth="1"/>
    <col min="3" max="3" width="1.33203125" style="6" customWidth="1"/>
    <col min="4" max="4" width="1.33203125" style="7" customWidth="1"/>
    <col min="5" max="5" width="10.6640625" style="4" customWidth="1"/>
    <col min="6" max="6" width="20.6640625" style="4" customWidth="1"/>
    <col min="7" max="7" width="1.6640625" style="4" customWidth="1"/>
    <col min="8" max="8" width="10.6640625" style="4" customWidth="1"/>
    <col min="9" max="9" width="20.6640625" style="4" customWidth="1"/>
    <col min="10" max="10" width="1.6640625" style="4" customWidth="1"/>
    <col min="11" max="11" width="10.6640625" style="4" customWidth="1"/>
    <col min="12" max="12" width="20.6640625" style="4" customWidth="1"/>
    <col min="13" max="13" width="1.6640625" style="4" customWidth="1"/>
    <col min="14" max="16" width="0" style="4" hidden="1" customWidth="1"/>
    <col min="17" max="16384" width="9.33203125" style="4" hidden="1"/>
  </cols>
  <sheetData>
    <row r="1" spans="1:12" ht="25.8" x14ac:dyDescent="0.5">
      <c r="A1" s="71" t="str">
        <f ca="1">RIGHT(CELL("filename",$A$1),LEN(CELL("filename",$A$1))-SEARCH("]",CELL("filename",$A$1)))</f>
        <v>Bron - cao's 2025</v>
      </c>
    </row>
    <row r="3" spans="1:12" x14ac:dyDescent="0.3">
      <c r="E3" s="4" t="s">
        <v>295</v>
      </c>
    </row>
    <row r="5" spans="1:12" x14ac:dyDescent="0.3">
      <c r="E5" s="27" t="s">
        <v>102</v>
      </c>
      <c r="F5" s="28"/>
      <c r="H5" s="27" t="s">
        <v>102</v>
      </c>
      <c r="I5" s="28"/>
      <c r="K5" s="27" t="s">
        <v>102</v>
      </c>
      <c r="L5" s="28"/>
    </row>
    <row r="6" spans="1:12" x14ac:dyDescent="0.3">
      <c r="E6" s="29" t="s">
        <v>40</v>
      </c>
      <c r="F6" s="30" t="s">
        <v>103</v>
      </c>
      <c r="H6" s="29" t="s">
        <v>40</v>
      </c>
      <c r="I6" s="30" t="s">
        <v>104</v>
      </c>
      <c r="K6" s="29" t="s">
        <v>40</v>
      </c>
      <c r="L6" s="30" t="s">
        <v>105</v>
      </c>
    </row>
    <row r="7" spans="1:12" x14ac:dyDescent="0.3">
      <c r="E7" s="33"/>
      <c r="F7" s="34"/>
      <c r="H7" s="31">
        <v>5</v>
      </c>
      <c r="I7" s="35">
        <v>2448</v>
      </c>
      <c r="K7" s="31">
        <v>5</v>
      </c>
      <c r="L7" s="35">
        <f>L9</f>
        <v>2691.15</v>
      </c>
    </row>
    <row r="8" spans="1:12" x14ac:dyDescent="0.3">
      <c r="E8" s="31">
        <v>10</v>
      </c>
      <c r="F8" s="35">
        <v>2571</v>
      </c>
      <c r="H8" s="31">
        <v>10</v>
      </c>
      <c r="I8" s="35">
        <v>2578</v>
      </c>
      <c r="K8" s="31">
        <v>10</v>
      </c>
      <c r="L8" s="35">
        <f>L9</f>
        <v>2691.15</v>
      </c>
    </row>
    <row r="9" spans="1:12" x14ac:dyDescent="0.3">
      <c r="E9" s="31">
        <v>15</v>
      </c>
      <c r="F9" s="35">
        <v>2715</v>
      </c>
      <c r="H9" s="31">
        <v>15</v>
      </c>
      <c r="I9" s="35">
        <v>2727</v>
      </c>
      <c r="K9" s="31">
        <v>15</v>
      </c>
      <c r="L9" s="35">
        <v>2691.15</v>
      </c>
    </row>
    <row r="10" spans="1:12" x14ac:dyDescent="0.3">
      <c r="E10" s="31">
        <v>20</v>
      </c>
      <c r="F10" s="35">
        <v>2857</v>
      </c>
      <c r="H10" s="31">
        <v>20</v>
      </c>
      <c r="I10" s="35">
        <v>2877</v>
      </c>
      <c r="K10" s="31">
        <v>20</v>
      </c>
      <c r="L10" s="35">
        <v>2847.02</v>
      </c>
    </row>
    <row r="11" spans="1:12" x14ac:dyDescent="0.3">
      <c r="E11" s="31">
        <v>25</v>
      </c>
      <c r="F11" s="35">
        <v>2990</v>
      </c>
      <c r="H11" s="31">
        <v>25</v>
      </c>
      <c r="I11" s="35">
        <v>3028</v>
      </c>
      <c r="K11" s="353">
        <v>25</v>
      </c>
      <c r="L11" s="35">
        <v>3003.86</v>
      </c>
    </row>
    <row r="12" spans="1:12" x14ac:dyDescent="0.3">
      <c r="E12" s="31">
        <v>30</v>
      </c>
      <c r="F12" s="35">
        <v>3127</v>
      </c>
      <c r="H12" s="31">
        <v>30</v>
      </c>
      <c r="I12" s="35">
        <v>3191</v>
      </c>
      <c r="K12" s="353">
        <v>30</v>
      </c>
      <c r="L12" s="35">
        <v>3088.94</v>
      </c>
    </row>
    <row r="13" spans="1:12" x14ac:dyDescent="0.3">
      <c r="E13" s="353">
        <v>35</v>
      </c>
      <c r="F13" s="35">
        <v>3346</v>
      </c>
      <c r="H13" s="353">
        <v>35</v>
      </c>
      <c r="I13" s="35">
        <v>3427</v>
      </c>
      <c r="K13" s="353">
        <v>35</v>
      </c>
      <c r="L13" s="35">
        <v>3337.94</v>
      </c>
    </row>
    <row r="14" spans="1:12" x14ac:dyDescent="0.3">
      <c r="E14" s="353">
        <v>40</v>
      </c>
      <c r="F14" s="35">
        <v>3682</v>
      </c>
      <c r="H14" s="353">
        <v>40</v>
      </c>
      <c r="I14" s="35">
        <v>3678</v>
      </c>
      <c r="K14" s="350">
        <v>40</v>
      </c>
      <c r="L14" s="35">
        <v>3590.14</v>
      </c>
    </row>
    <row r="15" spans="1:12" x14ac:dyDescent="0.3">
      <c r="E15" s="350">
        <v>45</v>
      </c>
      <c r="F15" s="35">
        <v>4017</v>
      </c>
      <c r="H15" s="350">
        <v>45</v>
      </c>
      <c r="I15" s="35">
        <v>4017</v>
      </c>
      <c r="K15" s="350">
        <v>45</v>
      </c>
      <c r="L15" s="35">
        <v>3944.48</v>
      </c>
    </row>
    <row r="16" spans="1:12" x14ac:dyDescent="0.3">
      <c r="E16" s="350">
        <v>50</v>
      </c>
      <c r="F16" s="35">
        <v>4434</v>
      </c>
      <c r="H16" s="350">
        <v>50</v>
      </c>
      <c r="I16" s="35">
        <v>4436</v>
      </c>
      <c r="K16" s="350">
        <v>50</v>
      </c>
      <c r="L16" s="35">
        <v>4480.21</v>
      </c>
    </row>
    <row r="17" spans="5:12" x14ac:dyDescent="0.3">
      <c r="E17" s="350">
        <v>55</v>
      </c>
      <c r="F17" s="35">
        <v>4977</v>
      </c>
      <c r="H17" s="350">
        <v>55</v>
      </c>
      <c r="I17" s="35">
        <v>4902</v>
      </c>
      <c r="K17" s="31">
        <v>55</v>
      </c>
      <c r="L17" s="35">
        <v>5029.1499999999996</v>
      </c>
    </row>
    <row r="18" spans="5:12" x14ac:dyDescent="0.3">
      <c r="E18" s="351">
        <v>60</v>
      </c>
      <c r="F18" s="35">
        <v>5548</v>
      </c>
      <c r="H18" s="350">
        <v>60</v>
      </c>
      <c r="I18" s="35">
        <v>5587</v>
      </c>
      <c r="K18" s="31">
        <v>60</v>
      </c>
      <c r="L18" s="35">
        <v>5733.02</v>
      </c>
    </row>
    <row r="19" spans="5:12" x14ac:dyDescent="0.3">
      <c r="E19" s="351">
        <v>65</v>
      </c>
      <c r="F19" s="35">
        <v>6504</v>
      </c>
      <c r="H19" s="351">
        <v>65</v>
      </c>
      <c r="I19" s="35">
        <v>6575</v>
      </c>
      <c r="K19" s="31">
        <v>65</v>
      </c>
      <c r="L19" s="35">
        <v>6748.37</v>
      </c>
    </row>
    <row r="20" spans="5:12" x14ac:dyDescent="0.3">
      <c r="E20" s="351">
        <v>70</v>
      </c>
      <c r="F20" s="35">
        <v>7659</v>
      </c>
      <c r="H20" s="351">
        <v>70</v>
      </c>
      <c r="I20" s="35">
        <v>7941</v>
      </c>
      <c r="K20" s="31">
        <v>70</v>
      </c>
      <c r="L20" s="35">
        <v>8045.96</v>
      </c>
    </row>
    <row r="21" spans="5:12" x14ac:dyDescent="0.3">
      <c r="E21" s="351">
        <v>75</v>
      </c>
      <c r="F21" s="35">
        <v>9143</v>
      </c>
      <c r="H21" s="351">
        <v>75</v>
      </c>
      <c r="I21" s="35">
        <v>9611</v>
      </c>
      <c r="K21" s="31">
        <v>75</v>
      </c>
      <c r="L21" s="35">
        <v>9724.81</v>
      </c>
    </row>
    <row r="22" spans="5:12" x14ac:dyDescent="0.3">
      <c r="E22" s="351">
        <v>80</v>
      </c>
      <c r="F22" s="35">
        <v>10598</v>
      </c>
      <c r="H22" s="351">
        <v>80</v>
      </c>
      <c r="I22" s="35">
        <v>11427</v>
      </c>
      <c r="K22" s="31">
        <v>80</v>
      </c>
      <c r="L22" s="35">
        <v>11371.13</v>
      </c>
    </row>
    <row r="23" spans="5:12" x14ac:dyDescent="0.3">
      <c r="E23" s="352" t="s">
        <v>106</v>
      </c>
      <c r="F23" s="36">
        <v>10616</v>
      </c>
      <c r="H23" s="37"/>
      <c r="I23" s="38"/>
      <c r="K23" s="37"/>
      <c r="L23" s="38"/>
    </row>
    <row r="25" spans="5:12" x14ac:dyDescent="0.3">
      <c r="E25" s="27" t="s">
        <v>102</v>
      </c>
      <c r="F25" s="28"/>
      <c r="H25" s="27" t="s">
        <v>102</v>
      </c>
      <c r="I25" s="28"/>
    </row>
    <row r="26" spans="5:12" x14ac:dyDescent="0.3">
      <c r="E26" s="29" t="s">
        <v>40</v>
      </c>
      <c r="F26" s="30" t="s">
        <v>107</v>
      </c>
      <c r="H26" s="29" t="s">
        <v>40</v>
      </c>
      <c r="I26" s="30" t="s">
        <v>108</v>
      </c>
    </row>
    <row r="27" spans="5:12" x14ac:dyDescent="0.3">
      <c r="E27" s="31">
        <v>1</v>
      </c>
      <c r="F27" s="35">
        <v>3104.3</v>
      </c>
      <c r="H27" s="31">
        <v>1</v>
      </c>
      <c r="I27" s="35">
        <v>2908</v>
      </c>
      <c r="K27" s="347" t="s">
        <v>155</v>
      </c>
    </row>
    <row r="28" spans="5:12" x14ac:dyDescent="0.3">
      <c r="E28" s="31">
        <v>2</v>
      </c>
      <c r="F28" s="35">
        <v>3104.3</v>
      </c>
      <c r="H28" s="31">
        <v>2</v>
      </c>
      <c r="I28" s="35">
        <v>3086</v>
      </c>
      <c r="K28" s="348" t="s">
        <v>156</v>
      </c>
    </row>
    <row r="29" spans="5:12" x14ac:dyDescent="0.3">
      <c r="E29" s="31">
        <v>3</v>
      </c>
      <c r="F29" s="35">
        <v>3104.3</v>
      </c>
      <c r="H29" s="31">
        <v>3</v>
      </c>
      <c r="I29" s="35">
        <v>3259</v>
      </c>
      <c r="K29" s="349" t="s">
        <v>157</v>
      </c>
    </row>
    <row r="30" spans="5:12" x14ac:dyDescent="0.3">
      <c r="E30" s="31">
        <v>4</v>
      </c>
      <c r="F30" s="35">
        <v>3104.3</v>
      </c>
      <c r="H30" s="31">
        <v>4</v>
      </c>
      <c r="I30" s="35">
        <v>3485</v>
      </c>
    </row>
    <row r="31" spans="5:12" x14ac:dyDescent="0.3">
      <c r="E31" s="31">
        <v>5</v>
      </c>
      <c r="F31" s="35">
        <v>3333.07</v>
      </c>
      <c r="H31" s="31">
        <v>5</v>
      </c>
      <c r="I31" s="35">
        <v>3774</v>
      </c>
    </row>
    <row r="32" spans="5:12" x14ac:dyDescent="0.3">
      <c r="E32" s="31">
        <v>6</v>
      </c>
      <c r="F32" s="35">
        <v>3593.51</v>
      </c>
      <c r="H32" s="353">
        <v>6</v>
      </c>
      <c r="I32" s="35">
        <v>4140</v>
      </c>
    </row>
    <row r="33" spans="5:9" x14ac:dyDescent="0.3">
      <c r="E33" s="353">
        <v>7</v>
      </c>
      <c r="F33" s="35">
        <v>3887.75</v>
      </c>
      <c r="H33" s="353">
        <v>7</v>
      </c>
      <c r="I33" s="35">
        <v>4523</v>
      </c>
    </row>
    <row r="34" spans="5:9" x14ac:dyDescent="0.3">
      <c r="E34" s="350">
        <v>8</v>
      </c>
      <c r="F34" s="35">
        <v>4223.16</v>
      </c>
      <c r="H34" s="350">
        <v>8</v>
      </c>
      <c r="I34" s="35">
        <v>4983</v>
      </c>
    </row>
    <row r="35" spans="5:9" x14ac:dyDescent="0.3">
      <c r="E35" s="350">
        <v>9</v>
      </c>
      <c r="F35" s="35">
        <v>4601.3100000000004</v>
      </c>
      <c r="H35" s="350">
        <v>9</v>
      </c>
      <c r="I35" s="35">
        <v>5512</v>
      </c>
    </row>
    <row r="36" spans="5:9" x14ac:dyDescent="0.3">
      <c r="E36" s="350">
        <v>10</v>
      </c>
      <c r="F36" s="35">
        <v>5036.05</v>
      </c>
      <c r="H36" s="31">
        <v>10</v>
      </c>
      <c r="I36" s="35">
        <v>6107</v>
      </c>
    </row>
    <row r="37" spans="5:9" x14ac:dyDescent="0.3">
      <c r="E37" s="351">
        <v>11</v>
      </c>
      <c r="F37" s="35">
        <v>5793.72</v>
      </c>
      <c r="H37" s="31">
        <v>11</v>
      </c>
      <c r="I37" s="35">
        <v>6780</v>
      </c>
    </row>
    <row r="38" spans="5:9" x14ac:dyDescent="0.3">
      <c r="E38" s="351">
        <v>12</v>
      </c>
      <c r="F38" s="35">
        <v>6646.31</v>
      </c>
      <c r="H38" s="31">
        <v>12</v>
      </c>
      <c r="I38" s="35">
        <v>7544</v>
      </c>
    </row>
    <row r="39" spans="5:9" x14ac:dyDescent="0.3">
      <c r="E39" s="31">
        <v>13</v>
      </c>
      <c r="F39" s="35">
        <v>7624.69</v>
      </c>
      <c r="H39" s="31">
        <v>13</v>
      </c>
      <c r="I39" s="35">
        <v>8691</v>
      </c>
    </row>
    <row r="40" spans="5:9" x14ac:dyDescent="0.3">
      <c r="E40" s="31">
        <v>14</v>
      </c>
      <c r="F40" s="35">
        <v>9614.56</v>
      </c>
      <c r="H40" s="31">
        <v>14</v>
      </c>
      <c r="I40" s="35">
        <v>9651</v>
      </c>
    </row>
    <row r="41" spans="5:9" x14ac:dyDescent="0.3">
      <c r="E41" s="32">
        <v>15</v>
      </c>
      <c r="F41" s="36">
        <v>11242.45</v>
      </c>
      <c r="H41" s="32">
        <v>15</v>
      </c>
      <c r="I41" s="36">
        <v>10715</v>
      </c>
    </row>
  </sheetData>
  <sheetProtection algorithmName="SHA-512" hashValue="R1ue1QCIMpE/b+0dK4PeJ/YFhOOKz6TWLUVBVMWZEknJhyOG4wG+VtEaa0z3/3d4kUGJijJD2h03xAKg++G67A==" saltValue="Pgdsi0r6LAROo6qAWARf7g==" spinCount="100000" sheet="1" objects="1" scenarios="1"/>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7526198067174D8C2328A2424A9547" ma:contentTypeVersion="11" ma:contentTypeDescription="Een nieuw document maken." ma:contentTypeScope="" ma:versionID="1656677ceaa70c4ce2fa9ecc27cfe9b7">
  <xsd:schema xmlns:xsd="http://www.w3.org/2001/XMLSchema" xmlns:xs="http://www.w3.org/2001/XMLSchema" xmlns:p="http://schemas.microsoft.com/office/2006/metadata/properties" xmlns:ns2="cf6e8602-d258-4275-a300-ae6e9fad911e" xmlns:ns3="ff6806f3-33e9-4e3e-a995-41177e9c073e" targetNamespace="http://schemas.microsoft.com/office/2006/metadata/properties" ma:root="true" ma:fieldsID="57a2f7340d853be20367dcbc89248523" ns2:_="" ns3:_="">
    <xsd:import namespace="cf6e8602-d258-4275-a300-ae6e9fad911e"/>
    <xsd:import namespace="ff6806f3-33e9-4e3e-a995-41177e9c07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6e8602-d258-4275-a300-ae6e9fad91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5bbcad0-9ce4-44d8-99da-bc99aa839b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6806f3-33e9-4e3e-a995-41177e9c07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02295a-835a-46e5-a531-072dface5436}" ma:internalName="TaxCatchAll" ma:showField="CatchAllData" ma:web="ff6806f3-33e9-4e3e-a995-41177e9c07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6e8602-d258-4275-a300-ae6e9fad911e">
      <Terms xmlns="http://schemas.microsoft.com/office/infopath/2007/PartnerControls"/>
    </lcf76f155ced4ddcb4097134ff3c332f>
    <TaxCatchAll xmlns="ff6806f3-33e9-4e3e-a995-41177e9c073e" xsi:nil="true"/>
  </documentManagement>
</p:properties>
</file>

<file path=customXml/itemProps1.xml><?xml version="1.0" encoding="utf-8"?>
<ds:datastoreItem xmlns:ds="http://schemas.openxmlformats.org/officeDocument/2006/customXml" ds:itemID="{933A3EC6-5DF0-4CCF-B4FD-2CFE459D2AD0}">
  <ds:schemaRefs>
    <ds:schemaRef ds:uri="http://schemas.microsoft.com/sharepoint/v3/contenttype/forms"/>
  </ds:schemaRefs>
</ds:datastoreItem>
</file>

<file path=customXml/itemProps2.xml><?xml version="1.0" encoding="utf-8"?>
<ds:datastoreItem xmlns:ds="http://schemas.openxmlformats.org/officeDocument/2006/customXml" ds:itemID="{309A02CA-AAAC-4BD4-BDD4-27AD0B16BC19}"/>
</file>

<file path=customXml/itemProps3.xml><?xml version="1.0" encoding="utf-8"?>
<ds:datastoreItem xmlns:ds="http://schemas.openxmlformats.org/officeDocument/2006/customXml" ds:itemID="{45EB43F7-EA53-4222-B209-22BDA846B54F}">
  <ds:schemaRefs>
    <ds:schemaRef ds:uri="http://schemas.microsoft.com/sharepoint/v3"/>
    <ds:schemaRef ds:uri="http://www.w3.org/XML/1998/namespace"/>
    <ds:schemaRef ds:uri="http://schemas.microsoft.com/office/2006/documentManagement/types"/>
    <ds:schemaRef ds:uri="e722d3c4-5633-40de-9150-dbf9b67024c0"/>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 ds:uri="a8f515e1-b07c-45d7-8c90-46c31aadc490"/>
    <ds:schemaRef ds:uri="203c0d2d-9c8c-44e5-9724-d7b86ef69e6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PPT</vt:lpstr>
      <vt:lpstr>Tarieven</vt:lpstr>
      <vt:lpstr>Individuele begeleiding</vt:lpstr>
      <vt:lpstr>Dagbesteding</vt:lpstr>
      <vt:lpstr>Bron - cao's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Menno Berens</dc:creator>
  <cp:keywords/>
  <dc:description/>
  <cp:lastModifiedBy>Fred Boone</cp:lastModifiedBy>
  <cp:revision/>
  <cp:lastPrinted>2025-09-17T19:12:53Z</cp:lastPrinted>
  <dcterms:created xsi:type="dcterms:W3CDTF">2021-09-09T11:28:57Z</dcterms:created>
  <dcterms:modified xsi:type="dcterms:W3CDTF">2025-12-04T17:19:18Z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0x010100E37526198067174D8C2328A2424A9547</vt:lpwstr>
  </property>
  <property fmtid="{D5CDD505-2E9C-101B-9397-08002B2CF9AE}" pid="3" name="MediaServiceImageTags">
    <vt:lpwstr/>
  </property>
</Properties>
</file>