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833043DC-7EF1-4AC7-8F30-1DDA9BE1366C}" xr6:coauthVersionLast="47" xr6:coauthVersionMax="47" xr10:uidLastSave="{00000000-0000-0000-0000-000000000000}"/>
  <bookViews>
    <workbookView xWindow="-120" yWindow="-120" windowWidth="29040" windowHeight="15720" activeTab="13" xr2:uid="{D45CAE26-50A0-4F51-8CAC-B986593BCFCD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werkdag'!$A$3:$S$509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Categorienormen!$F$26</definedName>
    <definedName name="catdw_1_AHV_40">Categorienormen!$F$27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CHB_1">Categorienormen!$F$10</definedName>
    <definedName name="catdw_1_CHV_40">Categorienormen!$F$11</definedName>
    <definedName name="catdw_1_DHB_1">Categorienormen!$F$20</definedName>
    <definedName name="catdw_1_DHV_40">Categorienormen!$F$21</definedName>
    <definedName name="catdw_1_EHB_1">Categorienormen!$F$28</definedName>
    <definedName name="catdw_1_EHV_40">Categorienormen!$F$29</definedName>
    <definedName name="catdw_1_EZB_1">Categorienormen!$F$30</definedName>
    <definedName name="catdw_1_EZV_40">Categorienormen!$F$31</definedName>
    <definedName name="catdw_1_FHB_1">Categorienormen!$F$32</definedName>
    <definedName name="catdw_1_FHV_40">Categorienormen!$F$33</definedName>
    <definedName name="catdw_1_GHB_1">Categorienormen!$F$34</definedName>
    <definedName name="catdw_1_GHV_40">Categorienormen!$F$35</definedName>
    <definedName name="catdw_1_KHB_1">Categorienormen!$F$22</definedName>
    <definedName name="catdw_1_KHV_40">Categorienormen!$F$23</definedName>
    <definedName name="catdw_1_LHB_1">Categorienormen!$F$12</definedName>
    <definedName name="catdw_1_LHV_40">Categorienormen!$F$13</definedName>
    <definedName name="catdw_1_MHB_1">Categorienormen!$F$14</definedName>
    <definedName name="catdw_1_MHV_40">Categorienormen!$F$15</definedName>
    <definedName name="catdw_1_OHV_40">Categorienormen!$F$36</definedName>
    <definedName name="catdw_1_PHB_1">Categorienormen!$F$37</definedName>
    <definedName name="catdw_1_PHV_40">Categorienormen!$F$38</definedName>
    <definedName name="catdw_1_PMHB_1">Categorienormen!$F$16</definedName>
    <definedName name="catdw_1_PMHV_40">Categorienormen!$F$17</definedName>
    <definedName name="catdw_1_PUHB_1">Categorienormen!$F$18</definedName>
    <definedName name="catdw_1_PUHV_40">Categorienormen!$F$19</definedName>
    <definedName name="catdw_1_SHB_1">Categorienormen!$F$24</definedName>
    <definedName name="catdw_1_SHV_40">Categorienormen!$F$25</definedName>
    <definedName name="catdw_1_THB_1">Categorienormen!$F$39</definedName>
    <definedName name="catdw_1_THV_40">Categorienormen!$F$40</definedName>
    <definedName name="catdw_1_VHB_1">Categorienormen!$F$41</definedName>
    <definedName name="catdw_1_VHV_40">Categorienormen!$F$42</definedName>
    <definedName name="catfd_1_AHB_1">Categorienormen!$C$26</definedName>
    <definedName name="catfd_1_AHV_40">Categorienormen!$C$27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CHB_1">Categorienormen!$C$10</definedName>
    <definedName name="catfd_1_CHV_40">Categorienormen!$C$11</definedName>
    <definedName name="catfd_1_DHB_1">Categorienormen!$C$20</definedName>
    <definedName name="catfd_1_DHV_40">Categorienormen!$C$21</definedName>
    <definedName name="catfd_1_EHB_1">Categorienormen!$C$28</definedName>
    <definedName name="catfd_1_EHV_40">Categorienormen!$C$29</definedName>
    <definedName name="catfd_1_EZB_1">Categorienormen!$C$30</definedName>
    <definedName name="catfd_1_EZV_40">Categorienormen!$C$31</definedName>
    <definedName name="catfd_1_FHB_1">Categorienormen!$C$32</definedName>
    <definedName name="catfd_1_FHV_40">Categorienormen!$C$33</definedName>
    <definedName name="catfd_1_GHB_1">Categorienormen!$C$34</definedName>
    <definedName name="catfd_1_GHV_40">Categorienormen!$C$35</definedName>
    <definedName name="catfd_1_KHB_1">Categorienormen!$C$22</definedName>
    <definedName name="catfd_1_KHV_40">Categorienormen!$C$23</definedName>
    <definedName name="catfd_1_LHB_1">Categorienormen!$C$12</definedName>
    <definedName name="catfd_1_LHV_40">Categorienormen!$C$13</definedName>
    <definedName name="catfd_1_MHB_1">Categorienormen!$C$14</definedName>
    <definedName name="catfd_1_MHV_40">Categorienormen!$C$15</definedName>
    <definedName name="catfd_1_OHV_40">Categorienormen!$C$36</definedName>
    <definedName name="catfd_1_PHB_1">Categorienormen!$C$37</definedName>
    <definedName name="catfd_1_PHV_40">Categorienormen!$C$38</definedName>
    <definedName name="catfd_1_PMHB_1">Categorienormen!$C$16</definedName>
    <definedName name="catfd_1_PMHV_40">Categorienormen!$C$17</definedName>
    <definedName name="catfd_1_PUHB_1">Categorienormen!$C$18</definedName>
    <definedName name="catfd_1_PUHV_40">Categorienormen!$C$19</definedName>
    <definedName name="catfd_1_SHB_1">Categorienormen!$C$24</definedName>
    <definedName name="catfd_1_SHV_40">Categorienormen!$C$25</definedName>
    <definedName name="catfd_1_THB_1">Categorienormen!$C$39</definedName>
    <definedName name="catfd_1_THV_40">Categorienormen!$C$40</definedName>
    <definedName name="catfd_1_VHB_1">Categorienormen!$C$41</definedName>
    <definedName name="catfd_1_VHV_40">Categorienormen!$C$42</definedName>
    <definedName name="catpn_1_AHB_1">Categorienormen!$E$26</definedName>
    <definedName name="catpn_1_AHV_40">Categorienormen!$E$27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CHB_1">Categorienormen!$E$10</definedName>
    <definedName name="catpn_1_CHV_40">Categorienormen!$E$11</definedName>
    <definedName name="catpn_1_DHB_1">Categorienormen!$E$20</definedName>
    <definedName name="catpn_1_DHV_40">Categorienormen!$E$21</definedName>
    <definedName name="catpn_1_EHB_1">Categorienormen!$E$28</definedName>
    <definedName name="catpn_1_EHV_40">Categorienormen!$E$29</definedName>
    <definedName name="catpn_1_EZB_1">Categorienormen!$E$30</definedName>
    <definedName name="catpn_1_EZV_40">Categorienormen!$E$31</definedName>
    <definedName name="catpn_1_FHB_1">Categorienormen!$E$32</definedName>
    <definedName name="catpn_1_FHV_40">Categorienormen!$E$33</definedName>
    <definedName name="catpn_1_GHB_1">Categorienormen!$E$34</definedName>
    <definedName name="catpn_1_GHV_40">Categorienormen!$E$35</definedName>
    <definedName name="catpn_1_KHB_1">Categorienormen!$E$22</definedName>
    <definedName name="catpn_1_KHV_40">Categorienormen!$E$23</definedName>
    <definedName name="catpn_1_LHB_1">Categorienormen!$E$12</definedName>
    <definedName name="catpn_1_LHV_40">Categorienormen!$E$13</definedName>
    <definedName name="catpn_1_MHB_1">Categorienormen!$E$14</definedName>
    <definedName name="catpn_1_MHV_40">Categorienormen!$E$15</definedName>
    <definedName name="catpn_1_OHV_40">Categorienormen!$E$36</definedName>
    <definedName name="catpn_1_PHB_1">Categorienormen!$E$37</definedName>
    <definedName name="catpn_1_PHV_40">Categorienormen!$E$38</definedName>
    <definedName name="catpn_1_PMHB_1">Categorienormen!$E$16</definedName>
    <definedName name="catpn_1_PMHV_40">Categorienormen!$E$17</definedName>
    <definedName name="catpn_1_PUHB_1">Categorienormen!$E$18</definedName>
    <definedName name="catpn_1_PUHV_40">Categorienormen!$E$19</definedName>
    <definedName name="catpn_1_SHB_1">Categorienormen!$E$24</definedName>
    <definedName name="catpn_1_SHV_40">Categorienormen!$E$25</definedName>
    <definedName name="catpn_1_THB_1">Categorienormen!$E$39</definedName>
    <definedName name="catpn_1_THV_40">Categorienormen!$E$40</definedName>
    <definedName name="catpn_1_VHB_1">Categorienormen!$E$41</definedName>
    <definedName name="catpn_1_VHV_40">Categorienormen!$E$42</definedName>
    <definedName name="cattf_1_AHB_1">Categorienormen!$H$26</definedName>
    <definedName name="cattf_1_AHV_40">Categorienormen!$H$27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CHB_1">Categorienormen!$H$10</definedName>
    <definedName name="cattf_1_CHV_40">Categorienormen!$H$11</definedName>
    <definedName name="cattf_1_DHB_1">Categorienormen!$H$20</definedName>
    <definedName name="cattf_1_DHV_40">Categorienormen!$H$21</definedName>
    <definedName name="cattf_1_EHB_1">Categorienormen!$H$28</definedName>
    <definedName name="cattf_1_EHV_40">Categorienormen!$H$29</definedName>
    <definedName name="cattf_1_EZB_1">Categorienormen!$H$30</definedName>
    <definedName name="cattf_1_EZV_40">Categorienormen!$H$31</definedName>
    <definedName name="cattf_1_FHB_1">Categorienormen!$H$32</definedName>
    <definedName name="cattf_1_FHV_40">Categorienormen!$H$33</definedName>
    <definedName name="cattf_1_GHB_1">Categorienormen!$H$34</definedName>
    <definedName name="cattf_1_GHV_40">Categorienormen!$H$35</definedName>
    <definedName name="cattf_1_KHB_1">Categorienormen!$H$22</definedName>
    <definedName name="cattf_1_KHV_40">Categorienormen!$H$23</definedName>
    <definedName name="cattf_1_LHB_1">Categorienormen!$H$12</definedName>
    <definedName name="cattf_1_LHV_40">Categorienormen!$H$13</definedName>
    <definedName name="cattf_1_MHB_1">Categorienormen!$H$14</definedName>
    <definedName name="cattf_1_MHV_40">Categorienormen!$H$15</definedName>
    <definedName name="cattf_1_OHV_40">Categorienormen!$H$36</definedName>
    <definedName name="cattf_1_PHB_1">Categorienormen!$H$37</definedName>
    <definedName name="cattf_1_PHV_40">Categorienormen!$H$38</definedName>
    <definedName name="cattf_1_PMHB_1">Categorienormen!$H$16</definedName>
    <definedName name="cattf_1_PMHV_40">Categorienormen!$H$17</definedName>
    <definedName name="cattf_1_PUHB_1">Categorienormen!$H$18</definedName>
    <definedName name="cattf_1_PUHV_40">Categorienormen!$H$19</definedName>
    <definedName name="cattf_1_SHB_1">Categorienormen!$H$24</definedName>
    <definedName name="cattf_1_SHV_40">Categorienormen!$H$25</definedName>
    <definedName name="cattf_1_THB_1">Categorienormen!$H$39</definedName>
    <definedName name="cattf_1_THV_40">Categorienormen!$H$40</definedName>
    <definedName name="cattf_1_VHB_1">Categorienormen!$H$41</definedName>
    <definedName name="cattf_1_VHV_40">Categorienormen!$H$42</definedName>
    <definedName name="dagenperjaar1">Omreken!$B$9</definedName>
    <definedName name="dagenperweek1">Omreken!$B$10</definedName>
    <definedName name="dagsoorttabel1">Omreken!$A$13:$B$27</definedName>
    <definedName name="gemuurtarief1">'Regulier werk'!$I$27</definedName>
    <definedName name="kengetaltabel1">Objectinformatie!$G$5:$G$23</definedName>
    <definedName name="object1_gemuurtarief1">'Ruimten werkdag'!$O$195</definedName>
    <definedName name="object1_opptabel1">Objectinformatie!$I$5:$I$23</definedName>
    <definedName name="object1_prijsdag1">'Ruimten werkdag'!$Q$195</definedName>
    <definedName name="object1_prijsjaar1">'Ruimten werkdag'!$S$195</definedName>
    <definedName name="object1_urendag1">'Ruimten werkdag'!$P$195</definedName>
    <definedName name="object1_urenjaar1">'Ruimten werkdag'!$R$195</definedName>
    <definedName name="object2_gemuurtarief1">'Ruimten werkdag'!$O$297</definedName>
    <definedName name="object2_opptabel1">Objectinformatie!$J$5:$J$23</definedName>
    <definedName name="object2_prijsdag1">'Ruimten werkdag'!$Q$297</definedName>
    <definedName name="object2_prijsjaar1">'Ruimten werkdag'!$S$297</definedName>
    <definedName name="object2_urendag1">'Ruimten werkdag'!$P$297</definedName>
    <definedName name="object2_urenjaar1">'Ruimten werkdag'!$R$297</definedName>
    <definedName name="object3_gemuurtarief1">'Ruimten werkdag'!$O$509</definedName>
    <definedName name="object3_opptabel1">Objectinformatie!$K$5:$K$23</definedName>
    <definedName name="object3_prijsdag1">'Ruimten werkdag'!$Q$509</definedName>
    <definedName name="object3_prijsjaar1">'Ruimten werkdag'!$S$509</definedName>
    <definedName name="object3_urendag1">'Ruimten werkdag'!$P$509</definedName>
    <definedName name="object3_urenjaar1">'Ruimten werkdag'!$R$509</definedName>
    <definedName name="objectprijs1_1">Objecten!$J$6</definedName>
    <definedName name="objectprijs2_1">Objecten!$J$7</definedName>
    <definedName name="objectprijs3_1">Objecten!$J$8</definedName>
    <definedName name="objecturen1_1">Objecten!$I$6</definedName>
    <definedName name="objecturen2_1">Objecten!$I$7</definedName>
    <definedName name="objecturen3_1">Objecten!$I$8</definedName>
    <definedName name="prijsdag1">'Regulier werk'!$K$25</definedName>
    <definedName name="prijsjaar">'Regulier werk'!$M$30</definedName>
    <definedName name="prijsjaar1">'Regulier werk'!$M$25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Objecten!$J$12</definedName>
    <definedName name="prijsjaartotaal1">Objecten!$J$9</definedName>
    <definedName name="prijsjaartotaaloverzicht">'Totaalblad Objecten'!$F$8</definedName>
    <definedName name="prijsmaandtotaal1">Objecten!$K$9</definedName>
    <definedName name="prodnorm0">Glas!$H$8</definedName>
    <definedName name="prodnorm1">'Additioneel werk per locatie'!$I$14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Objectinformatie!$E$5:$E$23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Objectinformatie!$H$5:$H$23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werk'!$J$25</definedName>
    <definedName name="urenjaar">'Regulier werk'!$L$30</definedName>
    <definedName name="urenjaar1">'Regulier werk'!$L$25</definedName>
    <definedName name="urenjaartotaal">Objecten!$I$12</definedName>
    <definedName name="urenjaartotaal1">Objecten!$I$9</definedName>
    <definedName name="urenjaartotaaloverzicht">'Totaalblad Objecten'!$E$8</definedName>
    <definedName name="uurfactortabel1">Objectinformatie!$F$5:$F$23</definedName>
    <definedName name="uurtarief0">Glas!$I$8</definedName>
    <definedName name="uurtarief1">'Additioneel werk per locatie'!$H$14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4" i="10"/>
  <c r="H14" i="10"/>
  <c r="I10" i="10"/>
  <c r="H10" i="10"/>
  <c r="I6" i="10"/>
  <c r="H6" i="10"/>
  <c r="A1" i="10"/>
  <c r="J6" i="9"/>
  <c r="A1" i="9"/>
  <c r="A1" i="8"/>
  <c r="A1" i="7"/>
  <c r="A1" i="5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3" i="6" l="1"/>
  <c r="E22" i="6"/>
  <c r="E21" i="6"/>
  <c r="E20" i="6"/>
  <c r="E19" i="6"/>
  <c r="E18" i="6"/>
  <c r="E16" i="6"/>
  <c r="E15" i="6"/>
  <c r="E14" i="6"/>
  <c r="E13" i="6"/>
  <c r="E12" i="6"/>
  <c r="E11" i="6"/>
  <c r="E10" i="6"/>
  <c r="E9" i="6"/>
  <c r="E8" i="6"/>
  <c r="E7" i="6"/>
  <c r="E6" i="6"/>
  <c r="E5" i="6"/>
  <c r="L507" i="5"/>
  <c r="L505" i="5"/>
  <c r="L503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2" i="5"/>
  <c r="L481" i="5"/>
  <c r="L479" i="5"/>
  <c r="L477" i="5"/>
  <c r="L476" i="5"/>
  <c r="L475" i="5"/>
  <c r="L474" i="5"/>
  <c r="L473" i="5"/>
  <c r="L471" i="5"/>
  <c r="L470" i="5"/>
  <c r="L469" i="5"/>
  <c r="L468" i="5"/>
  <c r="L467" i="5"/>
  <c r="L464" i="5"/>
  <c r="L463" i="5"/>
  <c r="L462" i="5"/>
  <c r="L461" i="5"/>
  <c r="L460" i="5"/>
  <c r="L459" i="5"/>
  <c r="L458" i="5"/>
  <c r="L457" i="5"/>
  <c r="L456" i="5"/>
  <c r="L455" i="5"/>
  <c r="L452" i="5"/>
  <c r="L450" i="5"/>
  <c r="L448" i="5"/>
  <c r="L445" i="5"/>
  <c r="L444" i="5"/>
  <c r="L443" i="5"/>
  <c r="L442" i="5"/>
  <c r="L441" i="5"/>
  <c r="L440" i="5"/>
  <c r="L439" i="5"/>
  <c r="L438" i="5"/>
  <c r="L437" i="5"/>
  <c r="L436" i="5"/>
  <c r="L435" i="5"/>
  <c r="L433" i="5"/>
  <c r="L432" i="5"/>
  <c r="L431" i="5"/>
  <c r="L430" i="5"/>
  <c r="L428" i="5"/>
  <c r="L427" i="5"/>
  <c r="L425" i="5"/>
  <c r="L423" i="5"/>
  <c r="L422" i="5"/>
  <c r="L421" i="5"/>
  <c r="L420" i="5"/>
  <c r="L419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0" i="5"/>
  <c r="L389" i="5"/>
  <c r="L388" i="5"/>
  <c r="L387" i="5"/>
  <c r="L386" i="5"/>
  <c r="L385" i="5"/>
  <c r="L384" i="5"/>
  <c r="L382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7" i="5"/>
  <c r="L366" i="5"/>
  <c r="L365" i="5"/>
  <c r="L363" i="5"/>
  <c r="L362" i="5"/>
  <c r="L361" i="5"/>
  <c r="L360" i="5"/>
  <c r="L357" i="5"/>
  <c r="L356" i="5"/>
  <c r="L354" i="5"/>
  <c r="L353" i="5"/>
  <c r="L351" i="5"/>
  <c r="L350" i="5"/>
  <c r="L349" i="5"/>
  <c r="L348" i="5"/>
  <c r="L347" i="5"/>
  <c r="L346" i="5"/>
  <c r="L342" i="5"/>
  <c r="L340" i="5"/>
  <c r="L339" i="5"/>
  <c r="L338" i="5"/>
  <c r="L337" i="5"/>
  <c r="L336" i="5"/>
  <c r="L335" i="5"/>
  <c r="L334" i="5"/>
  <c r="L333" i="5"/>
  <c r="L332" i="5"/>
  <c r="L331" i="5"/>
  <c r="L326" i="5"/>
  <c r="L323" i="5"/>
  <c r="L322" i="5"/>
  <c r="L321" i="5"/>
  <c r="L316" i="5"/>
  <c r="L315" i="5"/>
  <c r="L314" i="5"/>
  <c r="L312" i="5"/>
  <c r="L311" i="5"/>
  <c r="L310" i="5"/>
  <c r="L308" i="5"/>
  <c r="L307" i="5"/>
  <c r="L305" i="5"/>
  <c r="L303" i="5"/>
  <c r="L302" i="5"/>
  <c r="L300" i="5"/>
  <c r="L299" i="5"/>
  <c r="L292" i="5"/>
  <c r="L291" i="5"/>
  <c r="L290" i="5"/>
  <c r="L289" i="5"/>
  <c r="L288" i="5"/>
  <c r="L287" i="5"/>
  <c r="L283" i="5"/>
  <c r="L282" i="5"/>
  <c r="L280" i="5"/>
  <c r="L279" i="5"/>
  <c r="L278" i="5"/>
  <c r="L277" i="5"/>
  <c r="L276" i="5"/>
  <c r="L274" i="5"/>
  <c r="L269" i="5"/>
  <c r="L267" i="5"/>
  <c r="L266" i="5"/>
  <c r="L265" i="5"/>
  <c r="L264" i="5"/>
  <c r="L263" i="5"/>
  <c r="L262" i="5"/>
  <c r="L261" i="5"/>
  <c r="L260" i="5"/>
  <c r="L259" i="5"/>
  <c r="L258" i="5"/>
  <c r="L256" i="5"/>
  <c r="L255" i="5"/>
  <c r="L254" i="5"/>
  <c r="L253" i="5"/>
  <c r="L252" i="5"/>
  <c r="L251" i="5"/>
  <c r="L250" i="5"/>
  <c r="L249" i="5"/>
  <c r="L246" i="5"/>
  <c r="L245" i="5"/>
  <c r="L244" i="5"/>
  <c r="L242" i="5"/>
  <c r="L240" i="5"/>
  <c r="L238" i="5"/>
  <c r="L237" i="5"/>
  <c r="L236" i="5"/>
  <c r="L235" i="5"/>
  <c r="L234" i="5"/>
  <c r="L233" i="5"/>
  <c r="L231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8" i="5"/>
  <c r="L197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79" i="5"/>
  <c r="L178" i="5"/>
  <c r="L177" i="5"/>
  <c r="L175" i="5"/>
  <c r="L174" i="5"/>
  <c r="L173" i="5"/>
  <c r="L172" i="5"/>
  <c r="L170" i="5"/>
  <c r="L169" i="5"/>
  <c r="L168" i="5"/>
  <c r="L167" i="5"/>
  <c r="L166" i="5"/>
  <c r="L165" i="5"/>
  <c r="L164" i="5"/>
  <c r="L161" i="5"/>
  <c r="L160" i="5"/>
  <c r="L159" i="5"/>
  <c r="L158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1" i="5"/>
  <c r="L140" i="5"/>
  <c r="L139" i="5"/>
  <c r="L138" i="5"/>
  <c r="L137" i="5"/>
  <c r="L136" i="5"/>
  <c r="L135" i="5"/>
  <c r="L130" i="5"/>
  <c r="L128" i="5"/>
  <c r="L127" i="5"/>
  <c r="L126" i="5"/>
  <c r="L125" i="5"/>
  <c r="L124" i="5"/>
  <c r="L123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7" i="5"/>
  <c r="L106" i="5"/>
  <c r="L104" i="5"/>
  <c r="L103" i="5"/>
  <c r="L102" i="5"/>
  <c r="L101" i="5"/>
  <c r="L100" i="5"/>
  <c r="L99" i="5"/>
  <c r="L93" i="5"/>
  <c r="L92" i="5"/>
  <c r="L91" i="5"/>
  <c r="L90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2" i="5"/>
  <c r="L71" i="5"/>
  <c r="L68" i="5"/>
  <c r="L67" i="5"/>
  <c r="L65" i="5"/>
  <c r="L62" i="5"/>
  <c r="L61" i="5"/>
  <c r="L60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2" i="5"/>
  <c r="L41" i="5"/>
  <c r="L40" i="5"/>
  <c r="L39" i="5"/>
  <c r="L38" i="5"/>
  <c r="L36" i="5"/>
  <c r="L35" i="5"/>
  <c r="L34" i="5"/>
  <c r="L33" i="5"/>
  <c r="L32" i="5"/>
  <c r="L31" i="5"/>
  <c r="L30" i="5"/>
  <c r="L29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3" i="5"/>
  <c r="L12" i="5"/>
  <c r="L11" i="5"/>
  <c r="L10" i="5"/>
  <c r="L8" i="5"/>
  <c r="L6" i="5"/>
  <c r="L5" i="5"/>
  <c r="F24" i="4"/>
  <c r="F23" i="4"/>
  <c r="F22" i="4"/>
  <c r="F21" i="4"/>
  <c r="F20" i="4"/>
  <c r="F19" i="4"/>
  <c r="F17" i="4"/>
  <c r="F16" i="4"/>
  <c r="F15" i="4"/>
  <c r="F14" i="4"/>
  <c r="F13" i="4"/>
  <c r="F12" i="4"/>
  <c r="F11" i="4"/>
  <c r="F10" i="4"/>
  <c r="F9" i="4"/>
  <c r="F8" i="4"/>
  <c r="F7" i="4"/>
  <c r="F6" i="4"/>
  <c r="E17" i="6"/>
  <c r="L358" i="5"/>
  <c r="L275" i="5"/>
  <c r="L273" i="5"/>
  <c r="F18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4" i="10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399" i="5"/>
  <c r="P399" i="5" s="1"/>
  <c r="R399" i="5" s="1"/>
  <c r="M226" i="5"/>
  <c r="P226" i="5" s="1"/>
  <c r="R226" i="5" s="1"/>
  <c r="M15" i="5"/>
  <c r="P15" i="5" s="1"/>
  <c r="R15" i="5" s="1"/>
  <c r="J6" i="4"/>
  <c r="H5" i="6"/>
  <c r="O399" i="5"/>
  <c r="Q399" i="5" s="1"/>
  <c r="O226" i="5"/>
  <c r="Q226" i="5" s="1"/>
  <c r="O15" i="5"/>
  <c r="Q15" i="5" s="1"/>
  <c r="K6" i="4"/>
  <c r="G6" i="6"/>
  <c r="M489" i="5"/>
  <c r="P489" i="5" s="1"/>
  <c r="R489" i="5" s="1"/>
  <c r="M487" i="5"/>
  <c r="P487" i="5" s="1"/>
  <c r="R487" i="5" s="1"/>
  <c r="M486" i="5"/>
  <c r="P486" i="5" s="1"/>
  <c r="R486" i="5" s="1"/>
  <c r="M484" i="5"/>
  <c r="P484" i="5" s="1"/>
  <c r="R484" i="5" s="1"/>
  <c r="M481" i="5"/>
  <c r="P481" i="5" s="1"/>
  <c r="R481" i="5" s="1"/>
  <c r="M473" i="5"/>
  <c r="P473" i="5" s="1"/>
  <c r="R473" i="5" s="1"/>
  <c r="M470" i="5"/>
  <c r="P470" i="5" s="1"/>
  <c r="R470" i="5" s="1"/>
  <c r="M468" i="5"/>
  <c r="P468" i="5" s="1"/>
  <c r="R468" i="5" s="1"/>
  <c r="M464" i="5"/>
  <c r="P464" i="5" s="1"/>
  <c r="R464" i="5" s="1"/>
  <c r="M445" i="5"/>
  <c r="P445" i="5" s="1"/>
  <c r="R445" i="5" s="1"/>
  <c r="M433" i="5"/>
  <c r="P433" i="5" s="1"/>
  <c r="R433" i="5" s="1"/>
  <c r="M430" i="5"/>
  <c r="P430" i="5" s="1"/>
  <c r="R430" i="5" s="1"/>
  <c r="M427" i="5"/>
  <c r="P427" i="5" s="1"/>
  <c r="R427" i="5" s="1"/>
  <c r="M419" i="5"/>
  <c r="P419" i="5" s="1"/>
  <c r="R419" i="5" s="1"/>
  <c r="M416" i="5"/>
  <c r="P416" i="5" s="1"/>
  <c r="R416" i="5" s="1"/>
  <c r="M414" i="5"/>
  <c r="P414" i="5" s="1"/>
  <c r="R414" i="5" s="1"/>
  <c r="M412" i="5"/>
  <c r="P412" i="5" s="1"/>
  <c r="R412" i="5" s="1"/>
  <c r="M384" i="5"/>
  <c r="P384" i="5" s="1"/>
  <c r="R384" i="5" s="1"/>
  <c r="M380" i="5"/>
  <c r="P380" i="5" s="1"/>
  <c r="R380" i="5" s="1"/>
  <c r="M379" i="5"/>
  <c r="P379" i="5" s="1"/>
  <c r="R379" i="5" s="1"/>
  <c r="M378" i="5"/>
  <c r="P378" i="5" s="1"/>
  <c r="R378" i="5" s="1"/>
  <c r="M377" i="5"/>
  <c r="P377" i="5" s="1"/>
  <c r="R377" i="5" s="1"/>
  <c r="M376" i="5"/>
  <c r="P376" i="5" s="1"/>
  <c r="R376" i="5" s="1"/>
  <c r="M375" i="5"/>
  <c r="P375" i="5" s="1"/>
  <c r="R375" i="5" s="1"/>
  <c r="M374" i="5"/>
  <c r="P374" i="5" s="1"/>
  <c r="R374" i="5" s="1"/>
  <c r="M373" i="5"/>
  <c r="P373" i="5" s="1"/>
  <c r="R373" i="5" s="1"/>
  <c r="M371" i="5"/>
  <c r="P371" i="5" s="1"/>
  <c r="R371" i="5" s="1"/>
  <c r="M350" i="5"/>
  <c r="P350" i="5" s="1"/>
  <c r="R350" i="5" s="1"/>
  <c r="M346" i="5"/>
  <c r="P346" i="5" s="1"/>
  <c r="R346" i="5" s="1"/>
  <c r="M342" i="5"/>
  <c r="P342" i="5" s="1"/>
  <c r="R342" i="5" s="1"/>
  <c r="M340" i="5"/>
  <c r="P340" i="5" s="1"/>
  <c r="R340" i="5" s="1"/>
  <c r="M338" i="5"/>
  <c r="P338" i="5" s="1"/>
  <c r="R338" i="5" s="1"/>
  <c r="M334" i="5"/>
  <c r="P334" i="5" s="1"/>
  <c r="R334" i="5" s="1"/>
  <c r="M312" i="5"/>
  <c r="P312" i="5" s="1"/>
  <c r="R312" i="5" s="1"/>
  <c r="M300" i="5"/>
  <c r="P300" i="5" s="1"/>
  <c r="R300" i="5" s="1"/>
  <c r="M291" i="5"/>
  <c r="P291" i="5" s="1"/>
  <c r="R291" i="5" s="1"/>
  <c r="M225" i="5"/>
  <c r="P225" i="5" s="1"/>
  <c r="R225" i="5" s="1"/>
  <c r="M215" i="5"/>
  <c r="P215" i="5" s="1"/>
  <c r="R215" i="5" s="1"/>
  <c r="M214" i="5"/>
  <c r="P214" i="5" s="1"/>
  <c r="R214" i="5" s="1"/>
  <c r="M210" i="5"/>
  <c r="P210" i="5" s="1"/>
  <c r="R210" i="5" s="1"/>
  <c r="M209" i="5"/>
  <c r="P209" i="5" s="1"/>
  <c r="R209" i="5" s="1"/>
  <c r="M200" i="5"/>
  <c r="P200" i="5" s="1"/>
  <c r="R200" i="5" s="1"/>
  <c r="M198" i="5"/>
  <c r="P198" i="5" s="1"/>
  <c r="R198" i="5" s="1"/>
  <c r="M188" i="5"/>
  <c r="P188" i="5" s="1"/>
  <c r="R188" i="5" s="1"/>
  <c r="M185" i="5"/>
  <c r="P185" i="5" s="1"/>
  <c r="R185" i="5" s="1"/>
  <c r="M127" i="5"/>
  <c r="P127" i="5" s="1"/>
  <c r="R127" i="5" s="1"/>
  <c r="M126" i="5"/>
  <c r="P126" i="5" s="1"/>
  <c r="R126" i="5" s="1"/>
  <c r="M121" i="5"/>
  <c r="P121" i="5" s="1"/>
  <c r="R121" i="5" s="1"/>
  <c r="M120" i="5"/>
  <c r="P120" i="5" s="1"/>
  <c r="R120" i="5" s="1"/>
  <c r="M119" i="5"/>
  <c r="P119" i="5" s="1"/>
  <c r="R119" i="5" s="1"/>
  <c r="M115" i="5"/>
  <c r="P115" i="5" s="1"/>
  <c r="R115" i="5" s="1"/>
  <c r="M114" i="5"/>
  <c r="P114" i="5" s="1"/>
  <c r="R114" i="5" s="1"/>
  <c r="M101" i="5"/>
  <c r="P101" i="5" s="1"/>
  <c r="R101" i="5" s="1"/>
  <c r="M99" i="5"/>
  <c r="P99" i="5" s="1"/>
  <c r="R99" i="5" s="1"/>
  <c r="M65" i="5"/>
  <c r="P65" i="5" s="1"/>
  <c r="R65" i="5" s="1"/>
  <c r="M56" i="5"/>
  <c r="P56" i="5" s="1"/>
  <c r="R56" i="5" s="1"/>
  <c r="M55" i="5"/>
  <c r="P55" i="5" s="1"/>
  <c r="R55" i="5" s="1"/>
  <c r="M54" i="5"/>
  <c r="P54" i="5" s="1"/>
  <c r="R54" i="5" s="1"/>
  <c r="M53" i="5"/>
  <c r="P53" i="5" s="1"/>
  <c r="R53" i="5" s="1"/>
  <c r="M52" i="5"/>
  <c r="P52" i="5" s="1"/>
  <c r="R52" i="5" s="1"/>
  <c r="M51" i="5"/>
  <c r="P51" i="5" s="1"/>
  <c r="R51" i="5" s="1"/>
  <c r="M50" i="5"/>
  <c r="P50" i="5" s="1"/>
  <c r="R50" i="5" s="1"/>
  <c r="M49" i="5"/>
  <c r="P49" i="5" s="1"/>
  <c r="R49" i="5" s="1"/>
  <c r="M48" i="5"/>
  <c r="P48" i="5" s="1"/>
  <c r="R48" i="5" s="1"/>
  <c r="M47" i="5"/>
  <c r="P47" i="5" s="1"/>
  <c r="R47" i="5" s="1"/>
  <c r="M41" i="5"/>
  <c r="P41" i="5" s="1"/>
  <c r="R41" i="5" s="1"/>
  <c r="M21" i="5"/>
  <c r="P21" i="5" s="1"/>
  <c r="R21" i="5" s="1"/>
  <c r="M13" i="5"/>
  <c r="P13" i="5" s="1"/>
  <c r="R13" i="5" s="1"/>
  <c r="M8" i="5"/>
  <c r="P8" i="5" s="1"/>
  <c r="R8" i="5" s="1"/>
  <c r="J7" i="4"/>
  <c r="L7" i="4" s="1"/>
  <c r="M7" i="4" s="1"/>
  <c r="H6" i="6"/>
  <c r="O489" i="5"/>
  <c r="Q489" i="5" s="1"/>
  <c r="O487" i="5"/>
  <c r="Q487" i="5" s="1"/>
  <c r="O486" i="5"/>
  <c r="Q486" i="5" s="1"/>
  <c r="O484" i="5"/>
  <c r="Q484" i="5" s="1"/>
  <c r="O481" i="5"/>
  <c r="Q481" i="5" s="1"/>
  <c r="O473" i="5"/>
  <c r="Q473" i="5" s="1"/>
  <c r="O470" i="5"/>
  <c r="Q470" i="5" s="1"/>
  <c r="O468" i="5"/>
  <c r="Q468" i="5" s="1"/>
  <c r="O464" i="5"/>
  <c r="Q464" i="5" s="1"/>
  <c r="O445" i="5"/>
  <c r="Q445" i="5" s="1"/>
  <c r="O433" i="5"/>
  <c r="Q433" i="5" s="1"/>
  <c r="O430" i="5"/>
  <c r="Q430" i="5" s="1"/>
  <c r="O427" i="5"/>
  <c r="Q427" i="5" s="1"/>
  <c r="O419" i="5"/>
  <c r="Q419" i="5" s="1"/>
  <c r="O416" i="5"/>
  <c r="Q416" i="5" s="1"/>
  <c r="O414" i="5"/>
  <c r="Q414" i="5" s="1"/>
  <c r="O412" i="5"/>
  <c r="Q412" i="5" s="1"/>
  <c r="O384" i="5"/>
  <c r="Q384" i="5" s="1"/>
  <c r="O380" i="5"/>
  <c r="Q380" i="5" s="1"/>
  <c r="O379" i="5"/>
  <c r="Q379" i="5" s="1"/>
  <c r="O378" i="5"/>
  <c r="Q378" i="5" s="1"/>
  <c r="O377" i="5"/>
  <c r="Q377" i="5" s="1"/>
  <c r="O376" i="5"/>
  <c r="Q376" i="5" s="1"/>
  <c r="O375" i="5"/>
  <c r="Q375" i="5" s="1"/>
  <c r="O374" i="5"/>
  <c r="Q374" i="5" s="1"/>
  <c r="O373" i="5"/>
  <c r="Q373" i="5" s="1"/>
  <c r="O371" i="5"/>
  <c r="Q371" i="5" s="1"/>
  <c r="O350" i="5"/>
  <c r="Q350" i="5" s="1"/>
  <c r="O346" i="5"/>
  <c r="Q346" i="5" s="1"/>
  <c r="O342" i="5"/>
  <c r="Q342" i="5" s="1"/>
  <c r="O340" i="5"/>
  <c r="Q340" i="5" s="1"/>
  <c r="O338" i="5"/>
  <c r="Q338" i="5" s="1"/>
  <c r="O334" i="5"/>
  <c r="Q334" i="5" s="1"/>
  <c r="O312" i="5"/>
  <c r="Q312" i="5" s="1"/>
  <c r="O300" i="5"/>
  <c r="Q300" i="5" s="1"/>
  <c r="O291" i="5"/>
  <c r="Q291" i="5" s="1"/>
  <c r="O225" i="5"/>
  <c r="Q225" i="5" s="1"/>
  <c r="O215" i="5"/>
  <c r="Q215" i="5" s="1"/>
  <c r="O214" i="5"/>
  <c r="Q214" i="5" s="1"/>
  <c r="O210" i="5"/>
  <c r="Q210" i="5" s="1"/>
  <c r="O209" i="5"/>
  <c r="Q209" i="5" s="1"/>
  <c r="O200" i="5"/>
  <c r="Q200" i="5" s="1"/>
  <c r="O198" i="5"/>
  <c r="Q198" i="5" s="1"/>
  <c r="O188" i="5"/>
  <c r="Q188" i="5" s="1"/>
  <c r="O185" i="5"/>
  <c r="Q185" i="5" s="1"/>
  <c r="O127" i="5"/>
  <c r="Q127" i="5" s="1"/>
  <c r="O126" i="5"/>
  <c r="Q126" i="5" s="1"/>
  <c r="O121" i="5"/>
  <c r="Q121" i="5" s="1"/>
  <c r="O120" i="5"/>
  <c r="Q120" i="5" s="1"/>
  <c r="O119" i="5"/>
  <c r="Q119" i="5" s="1"/>
  <c r="O115" i="5"/>
  <c r="Q115" i="5" s="1"/>
  <c r="O114" i="5"/>
  <c r="Q114" i="5" s="1"/>
  <c r="O101" i="5"/>
  <c r="Q101" i="5" s="1"/>
  <c r="O99" i="5"/>
  <c r="Q99" i="5" s="1"/>
  <c r="O65" i="5"/>
  <c r="Q65" i="5" s="1"/>
  <c r="O56" i="5"/>
  <c r="Q56" i="5" s="1"/>
  <c r="O55" i="5"/>
  <c r="Q55" i="5" s="1"/>
  <c r="O54" i="5"/>
  <c r="Q54" i="5" s="1"/>
  <c r="O53" i="5"/>
  <c r="Q53" i="5" s="1"/>
  <c r="O52" i="5"/>
  <c r="Q52" i="5" s="1"/>
  <c r="O51" i="5"/>
  <c r="Q51" i="5" s="1"/>
  <c r="O50" i="5"/>
  <c r="Q50" i="5" s="1"/>
  <c r="O49" i="5"/>
  <c r="Q49" i="5" s="1"/>
  <c r="O48" i="5"/>
  <c r="Q48" i="5" s="1"/>
  <c r="O47" i="5"/>
  <c r="Q47" i="5" s="1"/>
  <c r="O41" i="5"/>
  <c r="Q41" i="5" s="1"/>
  <c r="O21" i="5"/>
  <c r="Q21" i="5" s="1"/>
  <c r="O13" i="5"/>
  <c r="Q13" i="5" s="1"/>
  <c r="O8" i="5"/>
  <c r="Q8" i="5" s="1"/>
  <c r="K7" i="4"/>
  <c r="G7" i="6"/>
  <c r="M335" i="5"/>
  <c r="P335" i="5" s="1"/>
  <c r="R335" i="5" s="1"/>
  <c r="M269" i="5"/>
  <c r="P269" i="5" s="1"/>
  <c r="R269" i="5" s="1"/>
  <c r="M262" i="5"/>
  <c r="P262" i="5" s="1"/>
  <c r="R262" i="5" s="1"/>
  <c r="M261" i="5"/>
  <c r="P261" i="5" s="1"/>
  <c r="R261" i="5" s="1"/>
  <c r="M242" i="5"/>
  <c r="P242" i="5" s="1"/>
  <c r="R242" i="5" s="1"/>
  <c r="M224" i="5"/>
  <c r="P224" i="5" s="1"/>
  <c r="R224" i="5" s="1"/>
  <c r="M205" i="5"/>
  <c r="P205" i="5" s="1"/>
  <c r="R205" i="5" s="1"/>
  <c r="M204" i="5"/>
  <c r="P204" i="5" s="1"/>
  <c r="R204" i="5" s="1"/>
  <c r="M203" i="5"/>
  <c r="P203" i="5" s="1"/>
  <c r="R203" i="5" s="1"/>
  <c r="M113" i="5"/>
  <c r="P113" i="5" s="1"/>
  <c r="R113" i="5" s="1"/>
  <c r="M36" i="5"/>
  <c r="P36" i="5" s="1"/>
  <c r="R36" i="5" s="1"/>
  <c r="J8" i="4"/>
  <c r="L8" i="4" s="1"/>
  <c r="M8" i="4" s="1"/>
  <c r="H7" i="6"/>
  <c r="O335" i="5"/>
  <c r="Q335" i="5" s="1"/>
  <c r="O269" i="5"/>
  <c r="Q269" i="5" s="1"/>
  <c r="O262" i="5"/>
  <c r="Q262" i="5" s="1"/>
  <c r="O261" i="5"/>
  <c r="Q261" i="5" s="1"/>
  <c r="O242" i="5"/>
  <c r="Q242" i="5" s="1"/>
  <c r="O224" i="5"/>
  <c r="Q224" i="5" s="1"/>
  <c r="O205" i="5"/>
  <c r="Q205" i="5" s="1"/>
  <c r="O204" i="5"/>
  <c r="Q204" i="5" s="1"/>
  <c r="O203" i="5"/>
  <c r="Q203" i="5" s="1"/>
  <c r="O113" i="5"/>
  <c r="Q113" i="5" s="1"/>
  <c r="O36" i="5"/>
  <c r="Q36" i="5" s="1"/>
  <c r="K8" i="4"/>
  <c r="G8" i="6"/>
  <c r="M406" i="5"/>
  <c r="P406" i="5" s="1"/>
  <c r="R406" i="5" s="1"/>
  <c r="J9" i="4"/>
  <c r="L9" i="4" s="1"/>
  <c r="M9" i="4" s="1"/>
  <c r="H8" i="6"/>
  <c r="O406" i="5"/>
  <c r="Q406" i="5" s="1"/>
  <c r="K9" i="4"/>
  <c r="G9" i="6"/>
  <c r="M292" i="5"/>
  <c r="P292" i="5" s="1"/>
  <c r="R292" i="5" s="1"/>
  <c r="M288" i="5"/>
  <c r="P288" i="5" s="1"/>
  <c r="R288" i="5" s="1"/>
  <c r="M280" i="5"/>
  <c r="P280" i="5" s="1"/>
  <c r="R280" i="5" s="1"/>
  <c r="M87" i="5"/>
  <c r="P87" i="5" s="1"/>
  <c r="R87" i="5" s="1"/>
  <c r="M84" i="5"/>
  <c r="P84" i="5" s="1"/>
  <c r="R84" i="5" s="1"/>
  <c r="M80" i="5"/>
  <c r="P80" i="5" s="1"/>
  <c r="R80" i="5" s="1"/>
  <c r="M77" i="5"/>
  <c r="P77" i="5" s="1"/>
  <c r="R77" i="5" s="1"/>
  <c r="M67" i="5"/>
  <c r="P67" i="5" s="1"/>
  <c r="R67" i="5" s="1"/>
  <c r="J10" i="4"/>
  <c r="L10" i="4" s="1"/>
  <c r="M10" i="4" s="1"/>
  <c r="H9" i="6"/>
  <c r="O292" i="5"/>
  <c r="Q292" i="5" s="1"/>
  <c r="O288" i="5"/>
  <c r="Q288" i="5" s="1"/>
  <c r="O280" i="5"/>
  <c r="Q280" i="5" s="1"/>
  <c r="O87" i="5"/>
  <c r="Q87" i="5" s="1"/>
  <c r="O84" i="5"/>
  <c r="Q84" i="5" s="1"/>
  <c r="O80" i="5"/>
  <c r="Q80" i="5" s="1"/>
  <c r="O77" i="5"/>
  <c r="Q77" i="5" s="1"/>
  <c r="O67" i="5"/>
  <c r="Q67" i="5" s="1"/>
  <c r="K10" i="4"/>
  <c r="G10" i="6"/>
  <c r="M332" i="5"/>
  <c r="P332" i="5" s="1"/>
  <c r="R332" i="5" s="1"/>
  <c r="M140" i="5"/>
  <c r="P140" i="5" s="1"/>
  <c r="R140" i="5" s="1"/>
  <c r="J11" i="4"/>
  <c r="L11" i="4" s="1"/>
  <c r="M11" i="4" s="1"/>
  <c r="H10" i="6"/>
  <c r="O332" i="5"/>
  <c r="Q332" i="5" s="1"/>
  <c r="O140" i="5"/>
  <c r="Q140" i="5" s="1"/>
  <c r="K11" i="4"/>
  <c r="G11" i="6"/>
  <c r="M392" i="5"/>
  <c r="P392" i="5" s="1"/>
  <c r="R392" i="5" s="1"/>
  <c r="M333" i="5"/>
  <c r="P333" i="5" s="1"/>
  <c r="R333" i="5" s="1"/>
  <c r="M197" i="5"/>
  <c r="P197" i="5" s="1"/>
  <c r="M172" i="5"/>
  <c r="P172" i="5" s="1"/>
  <c r="R172" i="5" s="1"/>
  <c r="M112" i="5"/>
  <c r="P112" i="5" s="1"/>
  <c r="R112" i="5" s="1"/>
  <c r="M107" i="5"/>
  <c r="P107" i="5" s="1"/>
  <c r="R107" i="5" s="1"/>
  <c r="M104" i="5"/>
  <c r="P104" i="5" s="1"/>
  <c r="R104" i="5" s="1"/>
  <c r="M75" i="5"/>
  <c r="P75" i="5" s="1"/>
  <c r="R75" i="5" s="1"/>
  <c r="M17" i="5"/>
  <c r="P17" i="5" s="1"/>
  <c r="R17" i="5" s="1"/>
  <c r="J12" i="4"/>
  <c r="L12" i="4" s="1"/>
  <c r="M12" i="4" s="1"/>
  <c r="H11" i="6"/>
  <c r="O392" i="5"/>
  <c r="Q392" i="5" s="1"/>
  <c r="O333" i="5"/>
  <c r="Q333" i="5" s="1"/>
  <c r="O197" i="5"/>
  <c r="Q197" i="5" s="1"/>
  <c r="Q297" i="5" s="1"/>
  <c r="O172" i="5"/>
  <c r="Q172" i="5" s="1"/>
  <c r="O112" i="5"/>
  <c r="Q112" i="5" s="1"/>
  <c r="O107" i="5"/>
  <c r="Q107" i="5" s="1"/>
  <c r="O104" i="5"/>
  <c r="Q104" i="5" s="1"/>
  <c r="O75" i="5"/>
  <c r="Q75" i="5" s="1"/>
  <c r="O17" i="5"/>
  <c r="Q17" i="5" s="1"/>
  <c r="K12" i="4"/>
  <c r="G12" i="6"/>
  <c r="M387" i="5"/>
  <c r="P387" i="5" s="1"/>
  <c r="R387" i="5" s="1"/>
  <c r="M57" i="5"/>
  <c r="P57" i="5" s="1"/>
  <c r="R57" i="5" s="1"/>
  <c r="J13" i="4"/>
  <c r="L13" i="4" s="1"/>
  <c r="M13" i="4" s="1"/>
  <c r="H12" i="6"/>
  <c r="O387" i="5"/>
  <c r="Q387" i="5" s="1"/>
  <c r="O57" i="5"/>
  <c r="Q57" i="5" s="1"/>
  <c r="K13" i="4"/>
  <c r="G13" i="6"/>
  <c r="M290" i="5"/>
  <c r="P290" i="5" s="1"/>
  <c r="R290" i="5" s="1"/>
  <c r="M72" i="5"/>
  <c r="P72" i="5" s="1"/>
  <c r="R72" i="5" s="1"/>
  <c r="M71" i="5"/>
  <c r="P71" i="5" s="1"/>
  <c r="R71" i="5" s="1"/>
  <c r="J14" i="4"/>
  <c r="L14" i="4" s="1"/>
  <c r="M14" i="4" s="1"/>
  <c r="H13" i="6"/>
  <c r="O290" i="5"/>
  <c r="Q290" i="5" s="1"/>
  <c r="O72" i="5"/>
  <c r="Q72" i="5" s="1"/>
  <c r="O71" i="5"/>
  <c r="Q71" i="5" s="1"/>
  <c r="K14" i="4"/>
  <c r="G14" i="6"/>
  <c r="M287" i="5"/>
  <c r="P287" i="5" s="1"/>
  <c r="R287" i="5" s="1"/>
  <c r="M279" i="5"/>
  <c r="P279" i="5" s="1"/>
  <c r="R279" i="5" s="1"/>
  <c r="M86" i="5"/>
  <c r="P86" i="5" s="1"/>
  <c r="R86" i="5" s="1"/>
  <c r="M83" i="5"/>
  <c r="P83" i="5" s="1"/>
  <c r="R83" i="5" s="1"/>
  <c r="M79" i="5"/>
  <c r="P79" i="5" s="1"/>
  <c r="R79" i="5" s="1"/>
  <c r="M76" i="5"/>
  <c r="P76" i="5" s="1"/>
  <c r="R76" i="5" s="1"/>
  <c r="J15" i="4"/>
  <c r="L15" i="4" s="1"/>
  <c r="M15" i="4" s="1"/>
  <c r="H14" i="6"/>
  <c r="O287" i="5"/>
  <c r="Q287" i="5" s="1"/>
  <c r="O279" i="5"/>
  <c r="Q279" i="5" s="1"/>
  <c r="O86" i="5"/>
  <c r="Q86" i="5" s="1"/>
  <c r="O83" i="5"/>
  <c r="Q83" i="5" s="1"/>
  <c r="O79" i="5"/>
  <c r="Q79" i="5" s="1"/>
  <c r="O76" i="5"/>
  <c r="Q76" i="5" s="1"/>
  <c r="K15" i="4"/>
  <c r="G15" i="6"/>
  <c r="M500" i="5"/>
  <c r="P500" i="5" s="1"/>
  <c r="R500" i="5" s="1"/>
  <c r="M499" i="5"/>
  <c r="P499" i="5" s="1"/>
  <c r="R499" i="5" s="1"/>
  <c r="M498" i="5"/>
  <c r="P498" i="5" s="1"/>
  <c r="R498" i="5" s="1"/>
  <c r="M497" i="5"/>
  <c r="P497" i="5" s="1"/>
  <c r="R497" i="5" s="1"/>
  <c r="M496" i="5"/>
  <c r="P496" i="5" s="1"/>
  <c r="R496" i="5" s="1"/>
  <c r="M495" i="5"/>
  <c r="P495" i="5" s="1"/>
  <c r="R495" i="5" s="1"/>
  <c r="M493" i="5"/>
  <c r="P493" i="5" s="1"/>
  <c r="R493" i="5" s="1"/>
  <c r="M492" i="5"/>
  <c r="P492" i="5" s="1"/>
  <c r="R492" i="5" s="1"/>
  <c r="M491" i="5"/>
  <c r="P491" i="5" s="1"/>
  <c r="R491" i="5" s="1"/>
  <c r="M485" i="5"/>
  <c r="P485" i="5" s="1"/>
  <c r="R485" i="5" s="1"/>
  <c r="M482" i="5"/>
  <c r="P482" i="5" s="1"/>
  <c r="R482" i="5" s="1"/>
  <c r="M476" i="5"/>
  <c r="P476" i="5" s="1"/>
  <c r="R476" i="5" s="1"/>
  <c r="M474" i="5"/>
  <c r="P474" i="5" s="1"/>
  <c r="R474" i="5" s="1"/>
  <c r="M471" i="5"/>
  <c r="P471" i="5" s="1"/>
  <c r="R471" i="5" s="1"/>
  <c r="M469" i="5"/>
  <c r="P469" i="5" s="1"/>
  <c r="R469" i="5" s="1"/>
  <c r="M467" i="5"/>
  <c r="P467" i="5" s="1"/>
  <c r="R467" i="5" s="1"/>
  <c r="M462" i="5"/>
  <c r="P462" i="5" s="1"/>
  <c r="R462" i="5" s="1"/>
  <c r="M461" i="5"/>
  <c r="P461" i="5" s="1"/>
  <c r="R461" i="5" s="1"/>
  <c r="M460" i="5"/>
  <c r="P460" i="5" s="1"/>
  <c r="R460" i="5" s="1"/>
  <c r="M458" i="5"/>
  <c r="P458" i="5" s="1"/>
  <c r="R458" i="5" s="1"/>
  <c r="M457" i="5"/>
  <c r="P457" i="5" s="1"/>
  <c r="R457" i="5" s="1"/>
  <c r="M456" i="5"/>
  <c r="P456" i="5" s="1"/>
  <c r="R456" i="5" s="1"/>
  <c r="M455" i="5"/>
  <c r="P455" i="5" s="1"/>
  <c r="R455" i="5" s="1"/>
  <c r="M444" i="5"/>
  <c r="P444" i="5" s="1"/>
  <c r="R444" i="5" s="1"/>
  <c r="M443" i="5"/>
  <c r="P443" i="5" s="1"/>
  <c r="R443" i="5" s="1"/>
  <c r="M442" i="5"/>
  <c r="P442" i="5" s="1"/>
  <c r="R442" i="5" s="1"/>
  <c r="M441" i="5"/>
  <c r="P441" i="5" s="1"/>
  <c r="R441" i="5" s="1"/>
  <c r="M440" i="5"/>
  <c r="P440" i="5" s="1"/>
  <c r="R440" i="5" s="1"/>
  <c r="M438" i="5"/>
  <c r="P438" i="5" s="1"/>
  <c r="R438" i="5" s="1"/>
  <c r="M437" i="5"/>
  <c r="P437" i="5" s="1"/>
  <c r="R437" i="5" s="1"/>
  <c r="M436" i="5"/>
  <c r="P436" i="5" s="1"/>
  <c r="R436" i="5" s="1"/>
  <c r="M432" i="5"/>
  <c r="P432" i="5" s="1"/>
  <c r="R432" i="5" s="1"/>
  <c r="M428" i="5"/>
  <c r="P428" i="5" s="1"/>
  <c r="R428" i="5" s="1"/>
  <c r="M422" i="5"/>
  <c r="P422" i="5" s="1"/>
  <c r="R422" i="5" s="1"/>
  <c r="M420" i="5"/>
  <c r="P420" i="5" s="1"/>
  <c r="R420" i="5" s="1"/>
  <c r="M417" i="5"/>
  <c r="P417" i="5" s="1"/>
  <c r="R417" i="5" s="1"/>
  <c r="M415" i="5"/>
  <c r="P415" i="5" s="1"/>
  <c r="R415" i="5" s="1"/>
  <c r="M413" i="5"/>
  <c r="P413" i="5" s="1"/>
  <c r="R413" i="5" s="1"/>
  <c r="M410" i="5"/>
  <c r="P410" i="5" s="1"/>
  <c r="R410" i="5" s="1"/>
  <c r="M409" i="5"/>
  <c r="P409" i="5" s="1"/>
  <c r="R409" i="5" s="1"/>
  <c r="M408" i="5"/>
  <c r="P408" i="5" s="1"/>
  <c r="R408" i="5" s="1"/>
  <c r="M405" i="5"/>
  <c r="P405" i="5" s="1"/>
  <c r="R405" i="5" s="1"/>
  <c r="M404" i="5"/>
  <c r="P404" i="5" s="1"/>
  <c r="R404" i="5" s="1"/>
  <c r="M403" i="5"/>
  <c r="P403" i="5" s="1"/>
  <c r="R403" i="5" s="1"/>
  <c r="M402" i="5"/>
  <c r="P402" i="5" s="1"/>
  <c r="R402" i="5" s="1"/>
  <c r="M396" i="5"/>
  <c r="P396" i="5" s="1"/>
  <c r="R396" i="5" s="1"/>
  <c r="M390" i="5"/>
  <c r="P390" i="5" s="1"/>
  <c r="R390" i="5" s="1"/>
  <c r="M369" i="5"/>
  <c r="P369" i="5" s="1"/>
  <c r="R369" i="5" s="1"/>
  <c r="M367" i="5"/>
  <c r="P367" i="5" s="1"/>
  <c r="R367" i="5" s="1"/>
  <c r="M366" i="5"/>
  <c r="P366" i="5" s="1"/>
  <c r="R366" i="5" s="1"/>
  <c r="M365" i="5"/>
  <c r="P365" i="5" s="1"/>
  <c r="R365" i="5" s="1"/>
  <c r="M363" i="5"/>
  <c r="P363" i="5" s="1"/>
  <c r="R363" i="5" s="1"/>
  <c r="M362" i="5"/>
  <c r="P362" i="5" s="1"/>
  <c r="R362" i="5" s="1"/>
  <c r="M361" i="5"/>
  <c r="P361" i="5" s="1"/>
  <c r="R361" i="5" s="1"/>
  <c r="M360" i="5"/>
  <c r="P360" i="5" s="1"/>
  <c r="R360" i="5" s="1"/>
  <c r="M357" i="5"/>
  <c r="P357" i="5" s="1"/>
  <c r="R357" i="5" s="1"/>
  <c r="M353" i="5"/>
  <c r="P353" i="5" s="1"/>
  <c r="R353" i="5" s="1"/>
  <c r="M351" i="5"/>
  <c r="P351" i="5" s="1"/>
  <c r="R351" i="5" s="1"/>
  <c r="M310" i="5"/>
  <c r="P310" i="5" s="1"/>
  <c r="R310" i="5" s="1"/>
  <c r="M308" i="5"/>
  <c r="P308" i="5" s="1"/>
  <c r="R308" i="5" s="1"/>
  <c r="M305" i="5"/>
  <c r="P305" i="5" s="1"/>
  <c r="R305" i="5" s="1"/>
  <c r="M303" i="5"/>
  <c r="P303" i="5" s="1"/>
  <c r="R303" i="5" s="1"/>
  <c r="M274" i="5"/>
  <c r="P274" i="5" s="1"/>
  <c r="R274" i="5" s="1"/>
  <c r="M264" i="5"/>
  <c r="P264" i="5" s="1"/>
  <c r="R264" i="5" s="1"/>
  <c r="M263" i="5"/>
  <c r="P263" i="5" s="1"/>
  <c r="R263" i="5" s="1"/>
  <c r="M260" i="5"/>
  <c r="P260" i="5" s="1"/>
  <c r="R260" i="5" s="1"/>
  <c r="M256" i="5"/>
  <c r="P256" i="5" s="1"/>
  <c r="R256" i="5" s="1"/>
  <c r="M254" i="5"/>
  <c r="P254" i="5" s="1"/>
  <c r="R254" i="5" s="1"/>
  <c r="M250" i="5"/>
  <c r="P250" i="5" s="1"/>
  <c r="R250" i="5" s="1"/>
  <c r="M249" i="5"/>
  <c r="P249" i="5" s="1"/>
  <c r="R249" i="5" s="1"/>
  <c r="M245" i="5"/>
  <c r="P245" i="5" s="1"/>
  <c r="R245" i="5" s="1"/>
  <c r="M240" i="5"/>
  <c r="P240" i="5" s="1"/>
  <c r="R240" i="5" s="1"/>
  <c r="M234" i="5"/>
  <c r="P234" i="5" s="1"/>
  <c r="R234" i="5" s="1"/>
  <c r="M233" i="5"/>
  <c r="P233" i="5" s="1"/>
  <c r="R233" i="5" s="1"/>
  <c r="M229" i="5"/>
  <c r="P229" i="5" s="1"/>
  <c r="R229" i="5" s="1"/>
  <c r="M228" i="5"/>
  <c r="P228" i="5" s="1"/>
  <c r="R228" i="5" s="1"/>
  <c r="M213" i="5"/>
  <c r="P213" i="5" s="1"/>
  <c r="R213" i="5" s="1"/>
  <c r="M211" i="5"/>
  <c r="P211" i="5" s="1"/>
  <c r="R211" i="5" s="1"/>
  <c r="M208" i="5"/>
  <c r="P208" i="5" s="1"/>
  <c r="R208" i="5" s="1"/>
  <c r="M189" i="5"/>
  <c r="P189" i="5" s="1"/>
  <c r="R189" i="5" s="1"/>
  <c r="M182" i="5"/>
  <c r="P182" i="5" s="1"/>
  <c r="R182" i="5" s="1"/>
  <c r="M181" i="5"/>
  <c r="P181" i="5" s="1"/>
  <c r="R181" i="5" s="1"/>
  <c r="M178" i="5"/>
  <c r="P178" i="5" s="1"/>
  <c r="R178" i="5" s="1"/>
  <c r="M177" i="5"/>
  <c r="P177" i="5" s="1"/>
  <c r="R177" i="5" s="1"/>
  <c r="M174" i="5"/>
  <c r="P174" i="5" s="1"/>
  <c r="R174" i="5" s="1"/>
  <c r="M173" i="5"/>
  <c r="P173" i="5" s="1"/>
  <c r="R173" i="5" s="1"/>
  <c r="M169" i="5"/>
  <c r="P169" i="5" s="1"/>
  <c r="R169" i="5" s="1"/>
  <c r="M168" i="5"/>
  <c r="P168" i="5" s="1"/>
  <c r="R168" i="5" s="1"/>
  <c r="M164" i="5"/>
  <c r="P164" i="5" s="1"/>
  <c r="R164" i="5" s="1"/>
  <c r="M161" i="5"/>
  <c r="P161" i="5" s="1"/>
  <c r="R161" i="5" s="1"/>
  <c r="M160" i="5"/>
  <c r="P160" i="5" s="1"/>
  <c r="R160" i="5" s="1"/>
  <c r="M159" i="5"/>
  <c r="P159" i="5" s="1"/>
  <c r="R159" i="5" s="1"/>
  <c r="M158" i="5"/>
  <c r="P158" i="5" s="1"/>
  <c r="R158" i="5" s="1"/>
  <c r="M139" i="5"/>
  <c r="P139" i="5" s="1"/>
  <c r="R139" i="5" s="1"/>
  <c r="M138" i="5"/>
  <c r="P138" i="5" s="1"/>
  <c r="R138" i="5" s="1"/>
  <c r="M137" i="5"/>
  <c r="P137" i="5" s="1"/>
  <c r="R137" i="5" s="1"/>
  <c r="M136" i="5"/>
  <c r="P136" i="5" s="1"/>
  <c r="R136" i="5" s="1"/>
  <c r="M135" i="5"/>
  <c r="P135" i="5" s="1"/>
  <c r="R135" i="5" s="1"/>
  <c r="M130" i="5"/>
  <c r="P130" i="5" s="1"/>
  <c r="R130" i="5" s="1"/>
  <c r="M125" i="5"/>
  <c r="P125" i="5" s="1"/>
  <c r="R125" i="5" s="1"/>
  <c r="M124" i="5"/>
  <c r="P124" i="5" s="1"/>
  <c r="R124" i="5" s="1"/>
  <c r="M117" i="5"/>
  <c r="P117" i="5" s="1"/>
  <c r="R117" i="5" s="1"/>
  <c r="M116" i="5"/>
  <c r="P116" i="5" s="1"/>
  <c r="R116" i="5" s="1"/>
  <c r="M35" i="5"/>
  <c r="P35" i="5" s="1"/>
  <c r="R35" i="5" s="1"/>
  <c r="M34" i="5"/>
  <c r="P34" i="5" s="1"/>
  <c r="R34" i="5" s="1"/>
  <c r="M33" i="5"/>
  <c r="P33" i="5" s="1"/>
  <c r="R33" i="5" s="1"/>
  <c r="M32" i="5"/>
  <c r="P32" i="5" s="1"/>
  <c r="R32" i="5" s="1"/>
  <c r="M31" i="5"/>
  <c r="P31" i="5" s="1"/>
  <c r="R31" i="5" s="1"/>
  <c r="M30" i="5"/>
  <c r="P30" i="5" s="1"/>
  <c r="R30" i="5" s="1"/>
  <c r="M27" i="5"/>
  <c r="P27" i="5" s="1"/>
  <c r="R27" i="5" s="1"/>
  <c r="M26" i="5"/>
  <c r="P26" i="5" s="1"/>
  <c r="R26" i="5" s="1"/>
  <c r="M25" i="5"/>
  <c r="P25" i="5" s="1"/>
  <c r="R25" i="5" s="1"/>
  <c r="M24" i="5"/>
  <c r="P24" i="5" s="1"/>
  <c r="R24" i="5" s="1"/>
  <c r="M23" i="5"/>
  <c r="P23" i="5" s="1"/>
  <c r="R23" i="5" s="1"/>
  <c r="M22" i="5"/>
  <c r="P22" i="5" s="1"/>
  <c r="R22" i="5" s="1"/>
  <c r="J16" i="4"/>
  <c r="L16" i="4" s="1"/>
  <c r="M16" i="4" s="1"/>
  <c r="H15" i="6"/>
  <c r="O500" i="5"/>
  <c r="Q500" i="5" s="1"/>
  <c r="O499" i="5"/>
  <c r="Q499" i="5" s="1"/>
  <c r="O498" i="5"/>
  <c r="Q498" i="5" s="1"/>
  <c r="O497" i="5"/>
  <c r="Q497" i="5" s="1"/>
  <c r="O496" i="5"/>
  <c r="Q496" i="5" s="1"/>
  <c r="O495" i="5"/>
  <c r="Q495" i="5" s="1"/>
  <c r="O493" i="5"/>
  <c r="Q493" i="5" s="1"/>
  <c r="O492" i="5"/>
  <c r="Q492" i="5" s="1"/>
  <c r="O491" i="5"/>
  <c r="Q491" i="5" s="1"/>
  <c r="O485" i="5"/>
  <c r="Q485" i="5" s="1"/>
  <c r="O482" i="5"/>
  <c r="Q482" i="5" s="1"/>
  <c r="O476" i="5"/>
  <c r="Q476" i="5" s="1"/>
  <c r="O474" i="5"/>
  <c r="Q474" i="5" s="1"/>
  <c r="O471" i="5"/>
  <c r="Q471" i="5" s="1"/>
  <c r="O469" i="5"/>
  <c r="Q469" i="5" s="1"/>
  <c r="O467" i="5"/>
  <c r="Q467" i="5" s="1"/>
  <c r="O462" i="5"/>
  <c r="Q462" i="5" s="1"/>
  <c r="O461" i="5"/>
  <c r="Q461" i="5" s="1"/>
  <c r="O460" i="5"/>
  <c r="Q460" i="5" s="1"/>
  <c r="O458" i="5"/>
  <c r="Q458" i="5" s="1"/>
  <c r="O457" i="5"/>
  <c r="Q457" i="5" s="1"/>
  <c r="O456" i="5"/>
  <c r="Q456" i="5" s="1"/>
  <c r="O455" i="5"/>
  <c r="Q455" i="5" s="1"/>
  <c r="O444" i="5"/>
  <c r="Q444" i="5" s="1"/>
  <c r="O443" i="5"/>
  <c r="Q443" i="5" s="1"/>
  <c r="O442" i="5"/>
  <c r="Q442" i="5" s="1"/>
  <c r="O441" i="5"/>
  <c r="Q441" i="5" s="1"/>
  <c r="O440" i="5"/>
  <c r="Q440" i="5" s="1"/>
  <c r="O438" i="5"/>
  <c r="Q438" i="5" s="1"/>
  <c r="O437" i="5"/>
  <c r="Q437" i="5" s="1"/>
  <c r="O436" i="5"/>
  <c r="Q436" i="5" s="1"/>
  <c r="O432" i="5"/>
  <c r="Q432" i="5" s="1"/>
  <c r="O428" i="5"/>
  <c r="Q428" i="5" s="1"/>
  <c r="O422" i="5"/>
  <c r="Q422" i="5" s="1"/>
  <c r="O420" i="5"/>
  <c r="Q420" i="5" s="1"/>
  <c r="O417" i="5"/>
  <c r="Q417" i="5" s="1"/>
  <c r="O415" i="5"/>
  <c r="Q415" i="5" s="1"/>
  <c r="O413" i="5"/>
  <c r="Q413" i="5" s="1"/>
  <c r="O410" i="5"/>
  <c r="Q410" i="5" s="1"/>
  <c r="O409" i="5"/>
  <c r="Q409" i="5" s="1"/>
  <c r="O408" i="5"/>
  <c r="Q408" i="5" s="1"/>
  <c r="O405" i="5"/>
  <c r="Q405" i="5" s="1"/>
  <c r="O404" i="5"/>
  <c r="Q404" i="5" s="1"/>
  <c r="O403" i="5"/>
  <c r="Q403" i="5" s="1"/>
  <c r="O402" i="5"/>
  <c r="Q402" i="5" s="1"/>
  <c r="O396" i="5"/>
  <c r="Q396" i="5" s="1"/>
  <c r="O390" i="5"/>
  <c r="Q390" i="5" s="1"/>
  <c r="O369" i="5"/>
  <c r="Q369" i="5" s="1"/>
  <c r="O367" i="5"/>
  <c r="Q367" i="5" s="1"/>
  <c r="O366" i="5"/>
  <c r="Q366" i="5" s="1"/>
  <c r="O365" i="5"/>
  <c r="Q365" i="5" s="1"/>
  <c r="O363" i="5"/>
  <c r="Q363" i="5" s="1"/>
  <c r="O362" i="5"/>
  <c r="Q362" i="5" s="1"/>
  <c r="O361" i="5"/>
  <c r="Q361" i="5" s="1"/>
  <c r="O360" i="5"/>
  <c r="Q360" i="5" s="1"/>
  <c r="O357" i="5"/>
  <c r="Q357" i="5" s="1"/>
  <c r="O353" i="5"/>
  <c r="Q353" i="5" s="1"/>
  <c r="O351" i="5"/>
  <c r="Q351" i="5" s="1"/>
  <c r="O310" i="5"/>
  <c r="Q310" i="5" s="1"/>
  <c r="O308" i="5"/>
  <c r="Q308" i="5" s="1"/>
  <c r="O305" i="5"/>
  <c r="Q305" i="5" s="1"/>
  <c r="O303" i="5"/>
  <c r="Q303" i="5" s="1"/>
  <c r="O274" i="5"/>
  <c r="Q274" i="5" s="1"/>
  <c r="O264" i="5"/>
  <c r="Q264" i="5" s="1"/>
  <c r="O263" i="5"/>
  <c r="Q263" i="5" s="1"/>
  <c r="O260" i="5"/>
  <c r="Q260" i="5" s="1"/>
  <c r="O256" i="5"/>
  <c r="Q256" i="5" s="1"/>
  <c r="O254" i="5"/>
  <c r="Q254" i="5" s="1"/>
  <c r="O250" i="5"/>
  <c r="Q250" i="5" s="1"/>
  <c r="O249" i="5"/>
  <c r="Q249" i="5" s="1"/>
  <c r="O245" i="5"/>
  <c r="Q245" i="5" s="1"/>
  <c r="O240" i="5"/>
  <c r="Q240" i="5" s="1"/>
  <c r="O234" i="5"/>
  <c r="Q234" i="5" s="1"/>
  <c r="O233" i="5"/>
  <c r="Q233" i="5" s="1"/>
  <c r="O229" i="5"/>
  <c r="Q229" i="5" s="1"/>
  <c r="O228" i="5"/>
  <c r="Q228" i="5" s="1"/>
  <c r="O213" i="5"/>
  <c r="Q213" i="5" s="1"/>
  <c r="O211" i="5"/>
  <c r="Q211" i="5" s="1"/>
  <c r="O208" i="5"/>
  <c r="Q208" i="5" s="1"/>
  <c r="O189" i="5"/>
  <c r="Q189" i="5" s="1"/>
  <c r="O182" i="5"/>
  <c r="Q182" i="5" s="1"/>
  <c r="O181" i="5"/>
  <c r="Q181" i="5" s="1"/>
  <c r="O178" i="5"/>
  <c r="Q178" i="5" s="1"/>
  <c r="O177" i="5"/>
  <c r="Q177" i="5" s="1"/>
  <c r="O174" i="5"/>
  <c r="Q174" i="5" s="1"/>
  <c r="O173" i="5"/>
  <c r="Q173" i="5" s="1"/>
  <c r="O169" i="5"/>
  <c r="Q169" i="5" s="1"/>
  <c r="O168" i="5"/>
  <c r="Q168" i="5" s="1"/>
  <c r="O164" i="5"/>
  <c r="Q164" i="5" s="1"/>
  <c r="O161" i="5"/>
  <c r="Q161" i="5" s="1"/>
  <c r="O160" i="5"/>
  <c r="Q160" i="5" s="1"/>
  <c r="O159" i="5"/>
  <c r="Q159" i="5" s="1"/>
  <c r="O158" i="5"/>
  <c r="Q158" i="5" s="1"/>
  <c r="O139" i="5"/>
  <c r="Q139" i="5" s="1"/>
  <c r="O138" i="5"/>
  <c r="Q138" i="5" s="1"/>
  <c r="O137" i="5"/>
  <c r="Q137" i="5" s="1"/>
  <c r="O136" i="5"/>
  <c r="Q136" i="5" s="1"/>
  <c r="O135" i="5"/>
  <c r="Q135" i="5" s="1"/>
  <c r="O130" i="5"/>
  <c r="Q130" i="5" s="1"/>
  <c r="O125" i="5"/>
  <c r="Q125" i="5" s="1"/>
  <c r="O124" i="5"/>
  <c r="Q124" i="5" s="1"/>
  <c r="O117" i="5"/>
  <c r="Q117" i="5" s="1"/>
  <c r="O116" i="5"/>
  <c r="Q116" i="5" s="1"/>
  <c r="O35" i="5"/>
  <c r="Q35" i="5" s="1"/>
  <c r="O34" i="5"/>
  <c r="Q34" i="5" s="1"/>
  <c r="O33" i="5"/>
  <c r="Q33" i="5" s="1"/>
  <c r="O32" i="5"/>
  <c r="Q32" i="5" s="1"/>
  <c r="O31" i="5"/>
  <c r="Q31" i="5" s="1"/>
  <c r="O30" i="5"/>
  <c r="Q30" i="5" s="1"/>
  <c r="O27" i="5"/>
  <c r="Q27" i="5" s="1"/>
  <c r="O26" i="5"/>
  <c r="Q26" i="5" s="1"/>
  <c r="O25" i="5"/>
  <c r="Q25" i="5" s="1"/>
  <c r="O24" i="5"/>
  <c r="Q24" i="5" s="1"/>
  <c r="O23" i="5"/>
  <c r="Q23" i="5" s="1"/>
  <c r="O22" i="5"/>
  <c r="Q22" i="5" s="1"/>
  <c r="K16" i="4"/>
  <c r="G16" i="6"/>
  <c r="M299" i="5"/>
  <c r="P299" i="5" s="1"/>
  <c r="J17" i="4"/>
  <c r="L17" i="4" s="1"/>
  <c r="M17" i="4" s="1"/>
  <c r="H16" i="6"/>
  <c r="O299" i="5"/>
  <c r="Q299" i="5" s="1"/>
  <c r="Q509" i="5" s="1"/>
  <c r="K17" i="4"/>
  <c r="G17" i="6"/>
  <c r="M358" i="5"/>
  <c r="P358" i="5" s="1"/>
  <c r="R358" i="5" s="1"/>
  <c r="M275" i="5"/>
  <c r="P275" i="5" s="1"/>
  <c r="R275" i="5" s="1"/>
  <c r="M273" i="5"/>
  <c r="P273" i="5" s="1"/>
  <c r="R273" i="5" s="1"/>
  <c r="J18" i="4"/>
  <c r="L18" i="4" s="1"/>
  <c r="M18" i="4" s="1"/>
  <c r="H17" i="6"/>
  <c r="O358" i="5"/>
  <c r="Q358" i="5" s="1"/>
  <c r="O275" i="5"/>
  <c r="Q275" i="5" s="1"/>
  <c r="O273" i="5"/>
  <c r="Q273" i="5" s="1"/>
  <c r="K18" i="4"/>
  <c r="G18" i="6"/>
  <c r="M400" i="5"/>
  <c r="P400" i="5" s="1"/>
  <c r="R400" i="5" s="1"/>
  <c r="M218" i="5"/>
  <c r="P218" i="5" s="1"/>
  <c r="R218" i="5" s="1"/>
  <c r="J19" i="4"/>
  <c r="L19" i="4" s="1"/>
  <c r="M19" i="4" s="1"/>
  <c r="H18" i="6"/>
  <c r="O400" i="5"/>
  <c r="Q400" i="5" s="1"/>
  <c r="O218" i="5"/>
  <c r="Q218" i="5" s="1"/>
  <c r="K19" i="4"/>
  <c r="G19" i="6"/>
  <c r="M316" i="5"/>
  <c r="P316" i="5" s="1"/>
  <c r="R316" i="5" s="1"/>
  <c r="M100" i="5"/>
  <c r="P100" i="5" s="1"/>
  <c r="R100" i="5" s="1"/>
  <c r="J20" i="4"/>
  <c r="L20" i="4" s="1"/>
  <c r="M20" i="4" s="1"/>
  <c r="H19" i="6"/>
  <c r="O316" i="5"/>
  <c r="Q316" i="5" s="1"/>
  <c r="O100" i="5"/>
  <c r="Q100" i="5" s="1"/>
  <c r="K20" i="4"/>
  <c r="G20" i="6"/>
  <c r="M315" i="5"/>
  <c r="P315" i="5" s="1"/>
  <c r="R315" i="5" s="1"/>
  <c r="M246" i="5"/>
  <c r="P246" i="5" s="1"/>
  <c r="R246" i="5" s="1"/>
  <c r="M118" i="5"/>
  <c r="P118" i="5" s="1"/>
  <c r="R118" i="5" s="1"/>
  <c r="M102" i="5"/>
  <c r="P102" i="5" s="1"/>
  <c r="R102" i="5" s="1"/>
  <c r="J21" i="4"/>
  <c r="L21" i="4" s="1"/>
  <c r="M21" i="4" s="1"/>
  <c r="H20" i="6"/>
  <c r="O315" i="5"/>
  <c r="Q315" i="5" s="1"/>
  <c r="O246" i="5"/>
  <c r="Q246" i="5" s="1"/>
  <c r="O118" i="5"/>
  <c r="Q118" i="5" s="1"/>
  <c r="O102" i="5"/>
  <c r="Q102" i="5" s="1"/>
  <c r="K21" i="4"/>
  <c r="G21" i="6"/>
  <c r="M507" i="5"/>
  <c r="P507" i="5" s="1"/>
  <c r="R507" i="5" s="1"/>
  <c r="M505" i="5"/>
  <c r="P505" i="5" s="1"/>
  <c r="R505" i="5" s="1"/>
  <c r="M479" i="5"/>
  <c r="P479" i="5" s="1"/>
  <c r="R479" i="5" s="1"/>
  <c r="M477" i="5"/>
  <c r="P477" i="5" s="1"/>
  <c r="R477" i="5" s="1"/>
  <c r="M452" i="5"/>
  <c r="P452" i="5" s="1"/>
  <c r="R452" i="5" s="1"/>
  <c r="M450" i="5"/>
  <c r="P450" i="5" s="1"/>
  <c r="R450" i="5" s="1"/>
  <c r="M425" i="5"/>
  <c r="P425" i="5" s="1"/>
  <c r="R425" i="5" s="1"/>
  <c r="M423" i="5"/>
  <c r="P423" i="5" s="1"/>
  <c r="R423" i="5" s="1"/>
  <c r="M389" i="5"/>
  <c r="P389" i="5" s="1"/>
  <c r="R389" i="5" s="1"/>
  <c r="M388" i="5"/>
  <c r="P388" i="5" s="1"/>
  <c r="R388" i="5" s="1"/>
  <c r="M385" i="5"/>
  <c r="P385" i="5" s="1"/>
  <c r="R385" i="5" s="1"/>
  <c r="M356" i="5"/>
  <c r="P356" i="5" s="1"/>
  <c r="R356" i="5" s="1"/>
  <c r="M349" i="5"/>
  <c r="P349" i="5" s="1"/>
  <c r="R349" i="5" s="1"/>
  <c r="M348" i="5"/>
  <c r="P348" i="5" s="1"/>
  <c r="R348" i="5" s="1"/>
  <c r="M337" i="5"/>
  <c r="P337" i="5" s="1"/>
  <c r="R337" i="5" s="1"/>
  <c r="M336" i="5"/>
  <c r="P336" i="5" s="1"/>
  <c r="R336" i="5" s="1"/>
  <c r="M289" i="5"/>
  <c r="P289" i="5" s="1"/>
  <c r="R289" i="5" s="1"/>
  <c r="M283" i="5"/>
  <c r="P283" i="5" s="1"/>
  <c r="R283" i="5" s="1"/>
  <c r="M282" i="5"/>
  <c r="P282" i="5" s="1"/>
  <c r="R282" i="5" s="1"/>
  <c r="M267" i="5"/>
  <c r="P267" i="5" s="1"/>
  <c r="R267" i="5" s="1"/>
  <c r="M266" i="5"/>
  <c r="P266" i="5" s="1"/>
  <c r="R266" i="5" s="1"/>
  <c r="M259" i="5"/>
  <c r="P259" i="5" s="1"/>
  <c r="R259" i="5" s="1"/>
  <c r="M258" i="5"/>
  <c r="P258" i="5" s="1"/>
  <c r="R258" i="5" s="1"/>
  <c r="M253" i="5"/>
  <c r="P253" i="5" s="1"/>
  <c r="R253" i="5" s="1"/>
  <c r="M252" i="5"/>
  <c r="P252" i="5" s="1"/>
  <c r="R252" i="5" s="1"/>
  <c r="M251" i="5"/>
  <c r="P251" i="5" s="1"/>
  <c r="R251" i="5" s="1"/>
  <c r="M238" i="5"/>
  <c r="P238" i="5" s="1"/>
  <c r="R238" i="5" s="1"/>
  <c r="M237" i="5"/>
  <c r="P237" i="5" s="1"/>
  <c r="R237" i="5" s="1"/>
  <c r="M236" i="5"/>
  <c r="P236" i="5" s="1"/>
  <c r="R236" i="5" s="1"/>
  <c r="M223" i="5"/>
  <c r="P223" i="5" s="1"/>
  <c r="R223" i="5" s="1"/>
  <c r="M222" i="5"/>
  <c r="P222" i="5" s="1"/>
  <c r="R222" i="5" s="1"/>
  <c r="M221" i="5"/>
  <c r="P221" i="5" s="1"/>
  <c r="R221" i="5" s="1"/>
  <c r="M220" i="5"/>
  <c r="P220" i="5" s="1"/>
  <c r="R220" i="5" s="1"/>
  <c r="M219" i="5"/>
  <c r="P219" i="5" s="1"/>
  <c r="R219" i="5" s="1"/>
  <c r="M207" i="5"/>
  <c r="P207" i="5" s="1"/>
  <c r="R207" i="5" s="1"/>
  <c r="M206" i="5"/>
  <c r="P206" i="5" s="1"/>
  <c r="R206" i="5" s="1"/>
  <c r="M184" i="5"/>
  <c r="P184" i="5" s="1"/>
  <c r="R184" i="5" s="1"/>
  <c r="M167" i="5"/>
  <c r="P167" i="5" s="1"/>
  <c r="R167" i="5" s="1"/>
  <c r="M155" i="5"/>
  <c r="P155" i="5" s="1"/>
  <c r="R155" i="5" s="1"/>
  <c r="M154" i="5"/>
  <c r="P154" i="5" s="1"/>
  <c r="R154" i="5" s="1"/>
  <c r="M153" i="5"/>
  <c r="P153" i="5" s="1"/>
  <c r="R153" i="5" s="1"/>
  <c r="M152" i="5"/>
  <c r="P152" i="5" s="1"/>
  <c r="R152" i="5" s="1"/>
  <c r="M151" i="5"/>
  <c r="P151" i="5" s="1"/>
  <c r="R151" i="5" s="1"/>
  <c r="M150" i="5"/>
  <c r="P150" i="5" s="1"/>
  <c r="R150" i="5" s="1"/>
  <c r="M148" i="5"/>
  <c r="P148" i="5" s="1"/>
  <c r="R148" i="5" s="1"/>
  <c r="M147" i="5"/>
  <c r="P147" i="5" s="1"/>
  <c r="R147" i="5" s="1"/>
  <c r="M146" i="5"/>
  <c r="P146" i="5" s="1"/>
  <c r="R146" i="5" s="1"/>
  <c r="M145" i="5"/>
  <c r="P145" i="5" s="1"/>
  <c r="R145" i="5" s="1"/>
  <c r="M144" i="5"/>
  <c r="P144" i="5" s="1"/>
  <c r="R144" i="5" s="1"/>
  <c r="M143" i="5"/>
  <c r="P143" i="5" s="1"/>
  <c r="R143" i="5" s="1"/>
  <c r="M93" i="5"/>
  <c r="P93" i="5" s="1"/>
  <c r="R93" i="5" s="1"/>
  <c r="M92" i="5"/>
  <c r="P92" i="5" s="1"/>
  <c r="R92" i="5" s="1"/>
  <c r="M91" i="5"/>
  <c r="P91" i="5" s="1"/>
  <c r="R91" i="5" s="1"/>
  <c r="M88" i="5"/>
  <c r="P88" i="5" s="1"/>
  <c r="R88" i="5" s="1"/>
  <c r="M85" i="5"/>
  <c r="P85" i="5" s="1"/>
  <c r="R85" i="5" s="1"/>
  <c r="M81" i="5"/>
  <c r="P81" i="5" s="1"/>
  <c r="R81" i="5" s="1"/>
  <c r="M68" i="5"/>
  <c r="P68" i="5" s="1"/>
  <c r="R68" i="5" s="1"/>
  <c r="M62" i="5"/>
  <c r="P62" i="5" s="1"/>
  <c r="R62" i="5" s="1"/>
  <c r="M61" i="5"/>
  <c r="P61" i="5" s="1"/>
  <c r="R61" i="5" s="1"/>
  <c r="M60" i="5"/>
  <c r="P60" i="5" s="1"/>
  <c r="R60" i="5" s="1"/>
  <c r="M58" i="5"/>
  <c r="P58" i="5" s="1"/>
  <c r="R58" i="5" s="1"/>
  <c r="M46" i="5"/>
  <c r="P46" i="5" s="1"/>
  <c r="R46" i="5" s="1"/>
  <c r="M45" i="5"/>
  <c r="P45" i="5" s="1"/>
  <c r="R45" i="5" s="1"/>
  <c r="M44" i="5"/>
  <c r="P44" i="5" s="1"/>
  <c r="R44" i="5" s="1"/>
  <c r="M40" i="5"/>
  <c r="P40" i="5" s="1"/>
  <c r="R40" i="5" s="1"/>
  <c r="M39" i="5"/>
  <c r="P39" i="5" s="1"/>
  <c r="R39" i="5" s="1"/>
  <c r="M38" i="5"/>
  <c r="P38" i="5" s="1"/>
  <c r="R38" i="5" s="1"/>
  <c r="M20" i="5"/>
  <c r="P20" i="5" s="1"/>
  <c r="R20" i="5" s="1"/>
  <c r="M19" i="5"/>
  <c r="P19" i="5" s="1"/>
  <c r="R19" i="5" s="1"/>
  <c r="M18" i="5"/>
  <c r="P18" i="5" s="1"/>
  <c r="R18" i="5" s="1"/>
  <c r="M12" i="5"/>
  <c r="P12" i="5" s="1"/>
  <c r="R12" i="5" s="1"/>
  <c r="M11" i="5"/>
  <c r="P11" i="5" s="1"/>
  <c r="R11" i="5" s="1"/>
  <c r="M10" i="5"/>
  <c r="P10" i="5" s="1"/>
  <c r="R10" i="5" s="1"/>
  <c r="J22" i="4"/>
  <c r="L22" i="4" s="1"/>
  <c r="M22" i="4" s="1"/>
  <c r="H21" i="6"/>
  <c r="O507" i="5"/>
  <c r="Q507" i="5" s="1"/>
  <c r="O505" i="5"/>
  <c r="Q505" i="5" s="1"/>
  <c r="O479" i="5"/>
  <c r="Q479" i="5" s="1"/>
  <c r="O477" i="5"/>
  <c r="Q477" i="5" s="1"/>
  <c r="O452" i="5"/>
  <c r="Q452" i="5" s="1"/>
  <c r="O450" i="5"/>
  <c r="Q450" i="5" s="1"/>
  <c r="O425" i="5"/>
  <c r="Q425" i="5" s="1"/>
  <c r="O423" i="5"/>
  <c r="Q423" i="5" s="1"/>
  <c r="O389" i="5"/>
  <c r="Q389" i="5" s="1"/>
  <c r="O388" i="5"/>
  <c r="Q388" i="5" s="1"/>
  <c r="O385" i="5"/>
  <c r="Q385" i="5" s="1"/>
  <c r="O356" i="5"/>
  <c r="Q356" i="5" s="1"/>
  <c r="O349" i="5"/>
  <c r="Q349" i="5" s="1"/>
  <c r="O348" i="5"/>
  <c r="Q348" i="5" s="1"/>
  <c r="O337" i="5"/>
  <c r="Q337" i="5" s="1"/>
  <c r="O336" i="5"/>
  <c r="Q336" i="5" s="1"/>
  <c r="O289" i="5"/>
  <c r="Q289" i="5" s="1"/>
  <c r="O283" i="5"/>
  <c r="Q283" i="5" s="1"/>
  <c r="O282" i="5"/>
  <c r="Q282" i="5" s="1"/>
  <c r="O267" i="5"/>
  <c r="Q267" i="5" s="1"/>
  <c r="O266" i="5"/>
  <c r="Q266" i="5" s="1"/>
  <c r="O259" i="5"/>
  <c r="Q259" i="5" s="1"/>
  <c r="O258" i="5"/>
  <c r="Q258" i="5" s="1"/>
  <c r="O253" i="5"/>
  <c r="Q253" i="5" s="1"/>
  <c r="O252" i="5"/>
  <c r="Q252" i="5" s="1"/>
  <c r="O251" i="5"/>
  <c r="Q251" i="5" s="1"/>
  <c r="O238" i="5"/>
  <c r="Q238" i="5" s="1"/>
  <c r="O237" i="5"/>
  <c r="Q237" i="5" s="1"/>
  <c r="O236" i="5"/>
  <c r="Q236" i="5" s="1"/>
  <c r="O223" i="5"/>
  <c r="Q223" i="5" s="1"/>
  <c r="O222" i="5"/>
  <c r="Q222" i="5" s="1"/>
  <c r="O221" i="5"/>
  <c r="Q221" i="5" s="1"/>
  <c r="O220" i="5"/>
  <c r="Q220" i="5" s="1"/>
  <c r="O219" i="5"/>
  <c r="Q219" i="5" s="1"/>
  <c r="O207" i="5"/>
  <c r="Q207" i="5" s="1"/>
  <c r="O206" i="5"/>
  <c r="Q206" i="5" s="1"/>
  <c r="O184" i="5"/>
  <c r="Q184" i="5" s="1"/>
  <c r="O167" i="5"/>
  <c r="Q167" i="5" s="1"/>
  <c r="O155" i="5"/>
  <c r="Q155" i="5" s="1"/>
  <c r="O154" i="5"/>
  <c r="Q154" i="5" s="1"/>
  <c r="O153" i="5"/>
  <c r="Q153" i="5" s="1"/>
  <c r="O152" i="5"/>
  <c r="Q152" i="5" s="1"/>
  <c r="O151" i="5"/>
  <c r="Q151" i="5" s="1"/>
  <c r="O150" i="5"/>
  <c r="Q150" i="5" s="1"/>
  <c r="O148" i="5"/>
  <c r="Q148" i="5" s="1"/>
  <c r="O147" i="5"/>
  <c r="Q147" i="5" s="1"/>
  <c r="O146" i="5"/>
  <c r="Q146" i="5" s="1"/>
  <c r="O145" i="5"/>
  <c r="Q145" i="5" s="1"/>
  <c r="O144" i="5"/>
  <c r="Q144" i="5" s="1"/>
  <c r="O143" i="5"/>
  <c r="Q143" i="5" s="1"/>
  <c r="O93" i="5"/>
  <c r="Q93" i="5" s="1"/>
  <c r="O92" i="5"/>
  <c r="Q92" i="5" s="1"/>
  <c r="O91" i="5"/>
  <c r="Q91" i="5" s="1"/>
  <c r="O88" i="5"/>
  <c r="Q88" i="5" s="1"/>
  <c r="O85" i="5"/>
  <c r="Q85" i="5" s="1"/>
  <c r="O81" i="5"/>
  <c r="Q81" i="5" s="1"/>
  <c r="O68" i="5"/>
  <c r="Q68" i="5" s="1"/>
  <c r="O62" i="5"/>
  <c r="Q62" i="5" s="1"/>
  <c r="O61" i="5"/>
  <c r="Q61" i="5" s="1"/>
  <c r="O60" i="5"/>
  <c r="Q60" i="5" s="1"/>
  <c r="O58" i="5"/>
  <c r="Q58" i="5" s="1"/>
  <c r="O46" i="5"/>
  <c r="Q46" i="5" s="1"/>
  <c r="O45" i="5"/>
  <c r="Q45" i="5" s="1"/>
  <c r="O44" i="5"/>
  <c r="Q44" i="5" s="1"/>
  <c r="O40" i="5"/>
  <c r="Q40" i="5" s="1"/>
  <c r="O39" i="5"/>
  <c r="Q39" i="5" s="1"/>
  <c r="O38" i="5"/>
  <c r="Q38" i="5" s="1"/>
  <c r="O20" i="5"/>
  <c r="Q20" i="5" s="1"/>
  <c r="O19" i="5"/>
  <c r="Q19" i="5" s="1"/>
  <c r="O18" i="5"/>
  <c r="Q18" i="5" s="1"/>
  <c r="O12" i="5"/>
  <c r="Q12" i="5" s="1"/>
  <c r="O11" i="5"/>
  <c r="Q11" i="5" s="1"/>
  <c r="O10" i="5"/>
  <c r="Q10" i="5" s="1"/>
  <c r="K22" i="4"/>
  <c r="G22" i="6"/>
  <c r="M503" i="5"/>
  <c r="P503" i="5" s="1"/>
  <c r="R503" i="5" s="1"/>
  <c r="M490" i="5"/>
  <c r="P490" i="5" s="1"/>
  <c r="R490" i="5" s="1"/>
  <c r="M459" i="5"/>
  <c r="P459" i="5" s="1"/>
  <c r="R459" i="5" s="1"/>
  <c r="M448" i="5"/>
  <c r="P448" i="5" s="1"/>
  <c r="R448" i="5" s="1"/>
  <c r="M431" i="5"/>
  <c r="P431" i="5" s="1"/>
  <c r="R431" i="5" s="1"/>
  <c r="M407" i="5"/>
  <c r="P407" i="5" s="1"/>
  <c r="R407" i="5" s="1"/>
  <c r="M386" i="5"/>
  <c r="P386" i="5" s="1"/>
  <c r="R386" i="5" s="1"/>
  <c r="M339" i="5"/>
  <c r="P339" i="5" s="1"/>
  <c r="R339" i="5" s="1"/>
  <c r="M323" i="5"/>
  <c r="P323" i="5" s="1"/>
  <c r="R323" i="5" s="1"/>
  <c r="M227" i="5"/>
  <c r="P227" i="5" s="1"/>
  <c r="R227" i="5" s="1"/>
  <c r="M217" i="5"/>
  <c r="P217" i="5" s="1"/>
  <c r="R217" i="5" s="1"/>
  <c r="M141" i="5"/>
  <c r="P141" i="5" s="1"/>
  <c r="R141" i="5" s="1"/>
  <c r="M111" i="5"/>
  <c r="P111" i="5" s="1"/>
  <c r="R111" i="5" s="1"/>
  <c r="M16" i="5"/>
  <c r="P16" i="5" s="1"/>
  <c r="R16" i="5" s="1"/>
  <c r="J23" i="4"/>
  <c r="L23" i="4" s="1"/>
  <c r="M23" i="4" s="1"/>
  <c r="H22" i="6"/>
  <c r="O503" i="5"/>
  <c r="Q503" i="5" s="1"/>
  <c r="O490" i="5"/>
  <c r="Q490" i="5" s="1"/>
  <c r="O459" i="5"/>
  <c r="Q459" i="5" s="1"/>
  <c r="O448" i="5"/>
  <c r="Q448" i="5" s="1"/>
  <c r="O431" i="5"/>
  <c r="Q431" i="5" s="1"/>
  <c r="O407" i="5"/>
  <c r="Q407" i="5" s="1"/>
  <c r="O386" i="5"/>
  <c r="Q386" i="5" s="1"/>
  <c r="O339" i="5"/>
  <c r="Q339" i="5" s="1"/>
  <c r="O323" i="5"/>
  <c r="Q323" i="5" s="1"/>
  <c r="O227" i="5"/>
  <c r="Q227" i="5" s="1"/>
  <c r="O217" i="5"/>
  <c r="Q217" i="5" s="1"/>
  <c r="O141" i="5"/>
  <c r="Q141" i="5" s="1"/>
  <c r="O111" i="5"/>
  <c r="Q111" i="5" s="1"/>
  <c r="O16" i="5"/>
  <c r="Q16" i="5" s="1"/>
  <c r="K23" i="4"/>
  <c r="G23" i="6"/>
  <c r="M494" i="5"/>
  <c r="P494" i="5" s="1"/>
  <c r="R494" i="5" s="1"/>
  <c r="M488" i="5"/>
  <c r="P488" i="5" s="1"/>
  <c r="R488" i="5" s="1"/>
  <c r="M475" i="5"/>
  <c r="P475" i="5" s="1"/>
  <c r="R475" i="5" s="1"/>
  <c r="M463" i="5"/>
  <c r="P463" i="5" s="1"/>
  <c r="R463" i="5" s="1"/>
  <c r="M439" i="5"/>
  <c r="P439" i="5" s="1"/>
  <c r="R439" i="5" s="1"/>
  <c r="M435" i="5"/>
  <c r="P435" i="5" s="1"/>
  <c r="R435" i="5" s="1"/>
  <c r="M421" i="5"/>
  <c r="P421" i="5" s="1"/>
  <c r="R421" i="5" s="1"/>
  <c r="M411" i="5"/>
  <c r="P411" i="5" s="1"/>
  <c r="R411" i="5" s="1"/>
  <c r="M401" i="5"/>
  <c r="P401" i="5" s="1"/>
  <c r="R401" i="5" s="1"/>
  <c r="M398" i="5"/>
  <c r="P398" i="5" s="1"/>
  <c r="R398" i="5" s="1"/>
  <c r="M397" i="5"/>
  <c r="P397" i="5" s="1"/>
  <c r="R397" i="5" s="1"/>
  <c r="M395" i="5"/>
  <c r="P395" i="5" s="1"/>
  <c r="R395" i="5" s="1"/>
  <c r="M394" i="5"/>
  <c r="P394" i="5" s="1"/>
  <c r="R394" i="5" s="1"/>
  <c r="M393" i="5"/>
  <c r="P393" i="5" s="1"/>
  <c r="R393" i="5" s="1"/>
  <c r="M382" i="5"/>
  <c r="P382" i="5" s="1"/>
  <c r="R382" i="5" s="1"/>
  <c r="M372" i="5"/>
  <c r="P372" i="5" s="1"/>
  <c r="R372" i="5" s="1"/>
  <c r="M370" i="5"/>
  <c r="P370" i="5" s="1"/>
  <c r="R370" i="5" s="1"/>
  <c r="M354" i="5"/>
  <c r="P354" i="5" s="1"/>
  <c r="R354" i="5" s="1"/>
  <c r="M347" i="5"/>
  <c r="P347" i="5" s="1"/>
  <c r="R347" i="5" s="1"/>
  <c r="M331" i="5"/>
  <c r="P331" i="5" s="1"/>
  <c r="R331" i="5" s="1"/>
  <c r="M326" i="5"/>
  <c r="P326" i="5" s="1"/>
  <c r="R326" i="5" s="1"/>
  <c r="M322" i="5"/>
  <c r="P322" i="5" s="1"/>
  <c r="R322" i="5" s="1"/>
  <c r="M321" i="5"/>
  <c r="P321" i="5" s="1"/>
  <c r="R321" i="5" s="1"/>
  <c r="M314" i="5"/>
  <c r="P314" i="5" s="1"/>
  <c r="R314" i="5" s="1"/>
  <c r="M311" i="5"/>
  <c r="P311" i="5" s="1"/>
  <c r="R311" i="5" s="1"/>
  <c r="M307" i="5"/>
  <c r="P307" i="5" s="1"/>
  <c r="R307" i="5" s="1"/>
  <c r="M302" i="5"/>
  <c r="P302" i="5" s="1"/>
  <c r="R302" i="5" s="1"/>
  <c r="M278" i="5"/>
  <c r="P278" i="5" s="1"/>
  <c r="R278" i="5" s="1"/>
  <c r="M277" i="5"/>
  <c r="P277" i="5" s="1"/>
  <c r="R277" i="5" s="1"/>
  <c r="M276" i="5"/>
  <c r="P276" i="5" s="1"/>
  <c r="R276" i="5" s="1"/>
  <c r="M265" i="5"/>
  <c r="P265" i="5" s="1"/>
  <c r="R265" i="5" s="1"/>
  <c r="M255" i="5"/>
  <c r="P255" i="5" s="1"/>
  <c r="R255" i="5" s="1"/>
  <c r="M244" i="5"/>
  <c r="P244" i="5" s="1"/>
  <c r="R244" i="5" s="1"/>
  <c r="M235" i="5"/>
  <c r="P235" i="5" s="1"/>
  <c r="R235" i="5" s="1"/>
  <c r="M231" i="5"/>
  <c r="P231" i="5" s="1"/>
  <c r="R231" i="5" s="1"/>
  <c r="M216" i="5"/>
  <c r="P216" i="5" s="1"/>
  <c r="R216" i="5" s="1"/>
  <c r="M212" i="5"/>
  <c r="P212" i="5" s="1"/>
  <c r="R212" i="5" s="1"/>
  <c r="M202" i="5"/>
  <c r="P202" i="5" s="1"/>
  <c r="R202" i="5" s="1"/>
  <c r="M201" i="5"/>
  <c r="P201" i="5" s="1"/>
  <c r="R201" i="5" s="1"/>
  <c r="M194" i="5"/>
  <c r="P194" i="5" s="1"/>
  <c r="R194" i="5" s="1"/>
  <c r="M193" i="5"/>
  <c r="P193" i="5" s="1"/>
  <c r="R193" i="5" s="1"/>
  <c r="M192" i="5"/>
  <c r="P192" i="5" s="1"/>
  <c r="R192" i="5" s="1"/>
  <c r="M191" i="5"/>
  <c r="P191" i="5" s="1"/>
  <c r="R191" i="5" s="1"/>
  <c r="M190" i="5"/>
  <c r="P190" i="5" s="1"/>
  <c r="R190" i="5" s="1"/>
  <c r="M187" i="5"/>
  <c r="P187" i="5" s="1"/>
  <c r="R187" i="5" s="1"/>
  <c r="M186" i="5"/>
  <c r="P186" i="5" s="1"/>
  <c r="R186" i="5" s="1"/>
  <c r="M183" i="5"/>
  <c r="P183" i="5" s="1"/>
  <c r="R183" i="5" s="1"/>
  <c r="M179" i="5"/>
  <c r="P179" i="5" s="1"/>
  <c r="R179" i="5" s="1"/>
  <c r="M175" i="5"/>
  <c r="P175" i="5" s="1"/>
  <c r="R175" i="5" s="1"/>
  <c r="M170" i="5"/>
  <c r="P170" i="5" s="1"/>
  <c r="R170" i="5" s="1"/>
  <c r="M166" i="5"/>
  <c r="P166" i="5" s="1"/>
  <c r="R166" i="5" s="1"/>
  <c r="M165" i="5"/>
  <c r="P165" i="5" s="1"/>
  <c r="R165" i="5" s="1"/>
  <c r="M156" i="5"/>
  <c r="P156" i="5" s="1"/>
  <c r="R156" i="5" s="1"/>
  <c r="M149" i="5"/>
  <c r="P149" i="5" s="1"/>
  <c r="R149" i="5" s="1"/>
  <c r="M128" i="5"/>
  <c r="P128" i="5" s="1"/>
  <c r="R128" i="5" s="1"/>
  <c r="M123" i="5"/>
  <c r="P123" i="5" s="1"/>
  <c r="R123" i="5" s="1"/>
  <c r="M110" i="5"/>
  <c r="P110" i="5" s="1"/>
  <c r="R110" i="5" s="1"/>
  <c r="M109" i="5"/>
  <c r="P109" i="5" s="1"/>
  <c r="R109" i="5" s="1"/>
  <c r="M106" i="5"/>
  <c r="P106" i="5" s="1"/>
  <c r="R106" i="5" s="1"/>
  <c r="M103" i="5"/>
  <c r="P103" i="5" s="1"/>
  <c r="R103" i="5" s="1"/>
  <c r="M90" i="5"/>
  <c r="P90" i="5" s="1"/>
  <c r="R90" i="5" s="1"/>
  <c r="M82" i="5"/>
  <c r="P82" i="5" s="1"/>
  <c r="R82" i="5" s="1"/>
  <c r="M78" i="5"/>
  <c r="P78" i="5" s="1"/>
  <c r="R78" i="5" s="1"/>
  <c r="M42" i="5"/>
  <c r="P42" i="5" s="1"/>
  <c r="R42" i="5" s="1"/>
  <c r="M29" i="5"/>
  <c r="P29" i="5" s="1"/>
  <c r="R29" i="5" s="1"/>
  <c r="M6" i="5"/>
  <c r="P6" i="5" s="1"/>
  <c r="R6" i="5" s="1"/>
  <c r="M5" i="5"/>
  <c r="P5" i="5" s="1"/>
  <c r="J24" i="4"/>
  <c r="L24" i="4" s="1"/>
  <c r="M24" i="4" s="1"/>
  <c r="H23" i="6"/>
  <c r="O494" i="5"/>
  <c r="Q494" i="5" s="1"/>
  <c r="O488" i="5"/>
  <c r="Q488" i="5" s="1"/>
  <c r="O475" i="5"/>
  <c r="Q475" i="5" s="1"/>
  <c r="O463" i="5"/>
  <c r="Q463" i="5" s="1"/>
  <c r="O439" i="5"/>
  <c r="Q439" i="5" s="1"/>
  <c r="O435" i="5"/>
  <c r="Q435" i="5" s="1"/>
  <c r="O421" i="5"/>
  <c r="Q421" i="5" s="1"/>
  <c r="O411" i="5"/>
  <c r="Q411" i="5" s="1"/>
  <c r="O401" i="5"/>
  <c r="Q401" i="5" s="1"/>
  <c r="O398" i="5"/>
  <c r="Q398" i="5" s="1"/>
  <c r="O397" i="5"/>
  <c r="Q397" i="5" s="1"/>
  <c r="O395" i="5"/>
  <c r="Q395" i="5" s="1"/>
  <c r="O394" i="5"/>
  <c r="Q394" i="5" s="1"/>
  <c r="O393" i="5"/>
  <c r="Q393" i="5" s="1"/>
  <c r="O382" i="5"/>
  <c r="Q382" i="5" s="1"/>
  <c r="O372" i="5"/>
  <c r="Q372" i="5" s="1"/>
  <c r="O370" i="5"/>
  <c r="Q370" i="5" s="1"/>
  <c r="O354" i="5"/>
  <c r="Q354" i="5" s="1"/>
  <c r="O347" i="5"/>
  <c r="Q347" i="5" s="1"/>
  <c r="O331" i="5"/>
  <c r="Q331" i="5" s="1"/>
  <c r="O326" i="5"/>
  <c r="Q326" i="5" s="1"/>
  <c r="O322" i="5"/>
  <c r="Q322" i="5" s="1"/>
  <c r="O321" i="5"/>
  <c r="Q321" i="5" s="1"/>
  <c r="O314" i="5"/>
  <c r="Q314" i="5" s="1"/>
  <c r="O311" i="5"/>
  <c r="Q311" i="5" s="1"/>
  <c r="O307" i="5"/>
  <c r="Q307" i="5" s="1"/>
  <c r="O302" i="5"/>
  <c r="Q302" i="5" s="1"/>
  <c r="O278" i="5"/>
  <c r="Q278" i="5" s="1"/>
  <c r="O277" i="5"/>
  <c r="Q277" i="5" s="1"/>
  <c r="O276" i="5"/>
  <c r="Q276" i="5" s="1"/>
  <c r="O265" i="5"/>
  <c r="Q265" i="5" s="1"/>
  <c r="O255" i="5"/>
  <c r="Q255" i="5" s="1"/>
  <c r="O244" i="5"/>
  <c r="Q244" i="5" s="1"/>
  <c r="O235" i="5"/>
  <c r="Q235" i="5" s="1"/>
  <c r="O231" i="5"/>
  <c r="Q231" i="5" s="1"/>
  <c r="O216" i="5"/>
  <c r="Q216" i="5" s="1"/>
  <c r="O212" i="5"/>
  <c r="Q212" i="5" s="1"/>
  <c r="O202" i="5"/>
  <c r="Q202" i="5" s="1"/>
  <c r="O201" i="5"/>
  <c r="Q201" i="5" s="1"/>
  <c r="O194" i="5"/>
  <c r="Q194" i="5" s="1"/>
  <c r="O193" i="5"/>
  <c r="Q193" i="5" s="1"/>
  <c r="O192" i="5"/>
  <c r="Q192" i="5" s="1"/>
  <c r="O191" i="5"/>
  <c r="Q191" i="5" s="1"/>
  <c r="O190" i="5"/>
  <c r="Q190" i="5" s="1"/>
  <c r="O187" i="5"/>
  <c r="Q187" i="5" s="1"/>
  <c r="O186" i="5"/>
  <c r="Q186" i="5" s="1"/>
  <c r="O183" i="5"/>
  <c r="Q183" i="5" s="1"/>
  <c r="O179" i="5"/>
  <c r="Q179" i="5" s="1"/>
  <c r="O175" i="5"/>
  <c r="Q175" i="5" s="1"/>
  <c r="O170" i="5"/>
  <c r="Q170" i="5" s="1"/>
  <c r="O166" i="5"/>
  <c r="Q166" i="5" s="1"/>
  <c r="O165" i="5"/>
  <c r="Q165" i="5" s="1"/>
  <c r="O156" i="5"/>
  <c r="Q156" i="5" s="1"/>
  <c r="O149" i="5"/>
  <c r="Q149" i="5" s="1"/>
  <c r="O128" i="5"/>
  <c r="Q128" i="5" s="1"/>
  <c r="O123" i="5"/>
  <c r="Q123" i="5" s="1"/>
  <c r="O110" i="5"/>
  <c r="Q110" i="5" s="1"/>
  <c r="O109" i="5"/>
  <c r="Q109" i="5" s="1"/>
  <c r="O106" i="5"/>
  <c r="Q106" i="5" s="1"/>
  <c r="O103" i="5"/>
  <c r="Q103" i="5" s="1"/>
  <c r="O90" i="5"/>
  <c r="Q90" i="5" s="1"/>
  <c r="O82" i="5"/>
  <c r="Q82" i="5" s="1"/>
  <c r="O78" i="5"/>
  <c r="Q78" i="5" s="1"/>
  <c r="O42" i="5"/>
  <c r="Q42" i="5" s="1"/>
  <c r="O29" i="5"/>
  <c r="Q29" i="5" s="1"/>
  <c r="O6" i="5"/>
  <c r="Q6" i="5" s="1"/>
  <c r="O5" i="5"/>
  <c r="Q5" i="5" s="1"/>
  <c r="Q195" i="5" s="1"/>
  <c r="K24" i="4"/>
  <c r="K6" i="10"/>
  <c r="K7" i="10" s="1"/>
  <c r="K10" i="10"/>
  <c r="K11" i="10" s="1"/>
  <c r="K14" i="10"/>
  <c r="K15" i="10" s="1"/>
  <c r="P195" i="5" l="1"/>
  <c r="R5" i="5"/>
  <c r="S6" i="5"/>
  <c r="S29" i="5"/>
  <c r="S42" i="5"/>
  <c r="S78" i="5"/>
  <c r="S82" i="5"/>
  <c r="S90" i="5"/>
  <c r="S103" i="5"/>
  <c r="S106" i="5"/>
  <c r="S109" i="5"/>
  <c r="S110" i="5"/>
  <c r="S123" i="5"/>
  <c r="S128" i="5"/>
  <c r="S149" i="5"/>
  <c r="S156" i="5"/>
  <c r="S165" i="5"/>
  <c r="S166" i="5"/>
  <c r="S170" i="5"/>
  <c r="S175" i="5"/>
  <c r="S179" i="5"/>
  <c r="S183" i="5"/>
  <c r="S186" i="5"/>
  <c r="S187" i="5"/>
  <c r="S190" i="5"/>
  <c r="S191" i="5"/>
  <c r="S192" i="5"/>
  <c r="S193" i="5"/>
  <c r="S194" i="5"/>
  <c r="S201" i="5"/>
  <c r="S202" i="5"/>
  <c r="S212" i="5"/>
  <c r="S216" i="5"/>
  <c r="S231" i="5"/>
  <c r="S235" i="5"/>
  <c r="S244" i="5"/>
  <c r="S255" i="5"/>
  <c r="S265" i="5"/>
  <c r="S276" i="5"/>
  <c r="S277" i="5"/>
  <c r="S278" i="5"/>
  <c r="S302" i="5"/>
  <c r="S307" i="5"/>
  <c r="S311" i="5"/>
  <c r="S314" i="5"/>
  <c r="S321" i="5"/>
  <c r="S322" i="5"/>
  <c r="S326" i="5"/>
  <c r="S331" i="5"/>
  <c r="S347" i="5"/>
  <c r="S354" i="5"/>
  <c r="S370" i="5"/>
  <c r="S372" i="5"/>
  <c r="S382" i="5"/>
  <c r="S393" i="5"/>
  <c r="S394" i="5"/>
  <c r="S395" i="5"/>
  <c r="S397" i="5"/>
  <c r="S398" i="5"/>
  <c r="S401" i="5"/>
  <c r="S411" i="5"/>
  <c r="S421" i="5"/>
  <c r="S435" i="5"/>
  <c r="S439" i="5"/>
  <c r="S463" i="5"/>
  <c r="S475" i="5"/>
  <c r="S488" i="5"/>
  <c r="S494" i="5"/>
  <c r="S16" i="5"/>
  <c r="S111" i="5"/>
  <c r="S141" i="5"/>
  <c r="S217" i="5"/>
  <c r="S227" i="5"/>
  <c r="S323" i="5"/>
  <c r="S339" i="5"/>
  <c r="S386" i="5"/>
  <c r="S407" i="5"/>
  <c r="S431" i="5"/>
  <c r="S448" i="5"/>
  <c r="S459" i="5"/>
  <c r="S490" i="5"/>
  <c r="S503" i="5"/>
  <c r="S10" i="5"/>
  <c r="S11" i="5"/>
  <c r="S12" i="5"/>
  <c r="S18" i="5"/>
  <c r="S19" i="5"/>
  <c r="S20" i="5"/>
  <c r="S38" i="5"/>
  <c r="S39" i="5"/>
  <c r="S40" i="5"/>
  <c r="S44" i="5"/>
  <c r="S45" i="5"/>
  <c r="S46" i="5"/>
  <c r="S58" i="5"/>
  <c r="S60" i="5"/>
  <c r="S61" i="5"/>
  <c r="S62" i="5"/>
  <c r="S68" i="5"/>
  <c r="S81" i="5"/>
  <c r="S85" i="5"/>
  <c r="S88" i="5"/>
  <c r="S91" i="5"/>
  <c r="S92" i="5"/>
  <c r="S93" i="5"/>
  <c r="S143" i="5"/>
  <c r="S144" i="5"/>
  <c r="S145" i="5"/>
  <c r="S146" i="5"/>
  <c r="S147" i="5"/>
  <c r="S148" i="5"/>
  <c r="S150" i="5"/>
  <c r="S151" i="5"/>
  <c r="S152" i="5"/>
  <c r="S153" i="5"/>
  <c r="S154" i="5"/>
  <c r="S155" i="5"/>
  <c r="S167" i="5"/>
  <c r="S184" i="5"/>
  <c r="S206" i="5"/>
  <c r="S207" i="5"/>
  <c r="S219" i="5"/>
  <c r="S220" i="5"/>
  <c r="S221" i="5"/>
  <c r="S222" i="5"/>
  <c r="S223" i="5"/>
  <c r="S236" i="5"/>
  <c r="S237" i="5"/>
  <c r="S238" i="5"/>
  <c r="S251" i="5"/>
  <c r="S252" i="5"/>
  <c r="S253" i="5"/>
  <c r="S258" i="5"/>
  <c r="S259" i="5"/>
  <c r="S266" i="5"/>
  <c r="S267" i="5"/>
  <c r="S282" i="5"/>
  <c r="S283" i="5"/>
  <c r="S289" i="5"/>
  <c r="S336" i="5"/>
  <c r="S337" i="5"/>
  <c r="S348" i="5"/>
  <c r="S349" i="5"/>
  <c r="S356" i="5"/>
  <c r="S385" i="5"/>
  <c r="S388" i="5"/>
  <c r="S389" i="5"/>
  <c r="S423" i="5"/>
  <c r="S425" i="5"/>
  <c r="S450" i="5"/>
  <c r="S452" i="5"/>
  <c r="S477" i="5"/>
  <c r="S479" i="5"/>
  <c r="S505" i="5"/>
  <c r="S507" i="5"/>
  <c r="S102" i="5"/>
  <c r="S118" i="5"/>
  <c r="S246" i="5"/>
  <c r="S315" i="5"/>
  <c r="S100" i="5"/>
  <c r="S316" i="5"/>
  <c r="S218" i="5"/>
  <c r="S400" i="5"/>
  <c r="S273" i="5"/>
  <c r="S275" i="5"/>
  <c r="S358" i="5"/>
  <c r="P509" i="5"/>
  <c r="R299" i="5"/>
  <c r="S22" i="5"/>
  <c r="S23" i="5"/>
  <c r="S24" i="5"/>
  <c r="S25" i="5"/>
  <c r="S26" i="5"/>
  <c r="S27" i="5"/>
  <c r="S30" i="5"/>
  <c r="S31" i="5"/>
  <c r="S32" i="5"/>
  <c r="S33" i="5"/>
  <c r="S34" i="5"/>
  <c r="S35" i="5"/>
  <c r="S116" i="5"/>
  <c r="S117" i="5"/>
  <c r="S124" i="5"/>
  <c r="S125" i="5"/>
  <c r="S130" i="5"/>
  <c r="S135" i="5"/>
  <c r="S136" i="5"/>
  <c r="S137" i="5"/>
  <c r="S138" i="5"/>
  <c r="S139" i="5"/>
  <c r="S158" i="5"/>
  <c r="S159" i="5"/>
  <c r="S160" i="5"/>
  <c r="S161" i="5"/>
  <c r="S164" i="5"/>
  <c r="S168" i="5"/>
  <c r="S169" i="5"/>
  <c r="S173" i="5"/>
  <c r="S174" i="5"/>
  <c r="S177" i="5"/>
  <c r="S178" i="5"/>
  <c r="S181" i="5"/>
  <c r="S182" i="5"/>
  <c r="S189" i="5"/>
  <c r="S208" i="5"/>
  <c r="S211" i="5"/>
  <c r="S213" i="5"/>
  <c r="S228" i="5"/>
  <c r="S229" i="5"/>
  <c r="S233" i="5"/>
  <c r="S234" i="5"/>
  <c r="S240" i="5"/>
  <c r="S245" i="5"/>
  <c r="S249" i="5"/>
  <c r="S250" i="5"/>
  <c r="S254" i="5"/>
  <c r="S256" i="5"/>
  <c r="S260" i="5"/>
  <c r="S263" i="5"/>
  <c r="S264" i="5"/>
  <c r="S274" i="5"/>
  <c r="S303" i="5"/>
  <c r="S305" i="5"/>
  <c r="S308" i="5"/>
  <c r="S310" i="5"/>
  <c r="S351" i="5"/>
  <c r="S353" i="5"/>
  <c r="S357" i="5"/>
  <c r="S360" i="5"/>
  <c r="S361" i="5"/>
  <c r="S362" i="5"/>
  <c r="S363" i="5"/>
  <c r="S365" i="5"/>
  <c r="S366" i="5"/>
  <c r="S367" i="5"/>
  <c r="S369" i="5"/>
  <c r="S390" i="5"/>
  <c r="S396" i="5"/>
  <c r="S402" i="5"/>
  <c r="S403" i="5"/>
  <c r="S404" i="5"/>
  <c r="S405" i="5"/>
  <c r="S408" i="5"/>
  <c r="S409" i="5"/>
  <c r="S410" i="5"/>
  <c r="S413" i="5"/>
  <c r="S415" i="5"/>
  <c r="S417" i="5"/>
  <c r="S420" i="5"/>
  <c r="S422" i="5"/>
  <c r="S428" i="5"/>
  <c r="S432" i="5"/>
  <c r="S436" i="5"/>
  <c r="S437" i="5"/>
  <c r="S438" i="5"/>
  <c r="S440" i="5"/>
  <c r="S441" i="5"/>
  <c r="S442" i="5"/>
  <c r="S443" i="5"/>
  <c r="S444" i="5"/>
  <c r="S455" i="5"/>
  <c r="S456" i="5"/>
  <c r="S457" i="5"/>
  <c r="S458" i="5"/>
  <c r="S460" i="5"/>
  <c r="S461" i="5"/>
  <c r="S462" i="5"/>
  <c r="S467" i="5"/>
  <c r="S469" i="5"/>
  <c r="S471" i="5"/>
  <c r="S474" i="5"/>
  <c r="S476" i="5"/>
  <c r="S482" i="5"/>
  <c r="S485" i="5"/>
  <c r="S491" i="5"/>
  <c r="S492" i="5"/>
  <c r="S493" i="5"/>
  <c r="S495" i="5"/>
  <c r="S496" i="5"/>
  <c r="S497" i="5"/>
  <c r="S498" i="5"/>
  <c r="S499" i="5"/>
  <c r="S500" i="5"/>
  <c r="S76" i="5"/>
  <c r="S79" i="5"/>
  <c r="S83" i="5"/>
  <c r="S86" i="5"/>
  <c r="S279" i="5"/>
  <c r="S287" i="5"/>
  <c r="S71" i="5"/>
  <c r="S72" i="5"/>
  <c r="S290" i="5"/>
  <c r="S57" i="5"/>
  <c r="S387" i="5"/>
  <c r="S17" i="5"/>
  <c r="S75" i="5"/>
  <c r="S104" i="5"/>
  <c r="S107" i="5"/>
  <c r="S112" i="5"/>
  <c r="S172" i="5"/>
  <c r="P297" i="5"/>
  <c r="R197" i="5"/>
  <c r="S333" i="5"/>
  <c r="S392" i="5"/>
  <c r="S140" i="5"/>
  <c r="S332" i="5"/>
  <c r="S67" i="5"/>
  <c r="S77" i="5"/>
  <c r="S80" i="5"/>
  <c r="S84" i="5"/>
  <c r="S87" i="5"/>
  <c r="S280" i="5"/>
  <c r="S288" i="5"/>
  <c r="S292" i="5"/>
  <c r="S406" i="5"/>
  <c r="S36" i="5"/>
  <c r="S113" i="5"/>
  <c r="S203" i="5"/>
  <c r="S204" i="5"/>
  <c r="S205" i="5"/>
  <c r="S224" i="5"/>
  <c r="S242" i="5"/>
  <c r="S261" i="5"/>
  <c r="S262" i="5"/>
  <c r="S269" i="5"/>
  <c r="S335" i="5"/>
  <c r="S8" i="5"/>
  <c r="S13" i="5"/>
  <c r="S21" i="5"/>
  <c r="S41" i="5"/>
  <c r="S47" i="5"/>
  <c r="S48" i="5"/>
  <c r="S49" i="5"/>
  <c r="S50" i="5"/>
  <c r="S51" i="5"/>
  <c r="S52" i="5"/>
  <c r="S53" i="5"/>
  <c r="S54" i="5"/>
  <c r="S55" i="5"/>
  <c r="S56" i="5"/>
  <c r="S65" i="5"/>
  <c r="S99" i="5"/>
  <c r="S101" i="5"/>
  <c r="S114" i="5"/>
  <c r="S115" i="5"/>
  <c r="S119" i="5"/>
  <c r="S120" i="5"/>
  <c r="S121" i="5"/>
  <c r="S126" i="5"/>
  <c r="S127" i="5"/>
  <c r="S185" i="5"/>
  <c r="S188" i="5"/>
  <c r="S198" i="5"/>
  <c r="S200" i="5"/>
  <c r="S209" i="5"/>
  <c r="S210" i="5"/>
  <c r="S214" i="5"/>
  <c r="S215" i="5"/>
  <c r="S225" i="5"/>
  <c r="S291" i="5"/>
  <c r="S300" i="5"/>
  <c r="S312" i="5"/>
  <c r="S334" i="5"/>
  <c r="S338" i="5"/>
  <c r="S340" i="5"/>
  <c r="S342" i="5"/>
  <c r="S346" i="5"/>
  <c r="S350" i="5"/>
  <c r="S371" i="5"/>
  <c r="S373" i="5"/>
  <c r="S374" i="5"/>
  <c r="S375" i="5"/>
  <c r="S376" i="5"/>
  <c r="S377" i="5"/>
  <c r="S378" i="5"/>
  <c r="S379" i="5"/>
  <c r="S380" i="5"/>
  <c r="S384" i="5"/>
  <c r="S412" i="5"/>
  <c r="S414" i="5"/>
  <c r="S416" i="5"/>
  <c r="S419" i="5"/>
  <c r="S427" i="5"/>
  <c r="S430" i="5"/>
  <c r="S433" i="5"/>
  <c r="S445" i="5"/>
  <c r="S464" i="5"/>
  <c r="S468" i="5"/>
  <c r="S470" i="5"/>
  <c r="S473" i="5"/>
  <c r="S481" i="5"/>
  <c r="S484" i="5"/>
  <c r="S486" i="5"/>
  <c r="S487" i="5"/>
  <c r="S489" i="5"/>
  <c r="K25" i="4"/>
  <c r="J25" i="4"/>
  <c r="L6" i="4"/>
  <c r="S15" i="5"/>
  <c r="S226" i="5"/>
  <c r="S399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L14" i="10"/>
  <c r="K9" i="13"/>
  <c r="L6" i="13"/>
  <c r="K8" i="12"/>
  <c r="L6" i="12"/>
  <c r="K10" i="12" l="1"/>
  <c r="L8" i="12"/>
  <c r="K11" i="13"/>
  <c r="L9" i="13"/>
  <c r="L15" i="10"/>
  <c r="M15" i="10" s="1"/>
  <c r="M14" i="10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5" i="4"/>
  <c r="M6" i="4"/>
  <c r="M25" i="4" s="1"/>
  <c r="M30" i="4" s="1"/>
  <c r="R297" i="5"/>
  <c r="O297" i="5" s="1"/>
  <c r="S197" i="5"/>
  <c r="S297" i="5" s="1"/>
  <c r="R509" i="5"/>
  <c r="O509" i="5" s="1"/>
  <c r="S299" i="5"/>
  <c r="S509" i="5" s="1"/>
  <c r="R195" i="5"/>
  <c r="O195" i="5" s="1"/>
  <c r="S5" i="5"/>
  <c r="S195" i="5" s="1"/>
  <c r="L30" i="4" l="1"/>
  <c r="I27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8" i="7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8" i="7"/>
  <c r="J8" i="7"/>
  <c r="K8" i="7"/>
  <c r="F6" i="8"/>
  <c r="G6" i="8"/>
  <c r="H6" i="8"/>
  <c r="G8" i="7"/>
  <c r="I8" i="7"/>
  <c r="E6" i="8"/>
  <c r="H7" i="7"/>
  <c r="J7" i="7"/>
  <c r="K7" i="7"/>
  <c r="F5" i="8"/>
  <c r="G5" i="8"/>
  <c r="H5" i="8"/>
  <c r="G7" i="7"/>
  <c r="I7" i="7"/>
  <c r="E5" i="8"/>
  <c r="H6" i="7"/>
  <c r="J6" i="7"/>
  <c r="K6" i="7"/>
  <c r="K9" i="7"/>
  <c r="K12" i="7"/>
  <c r="K14" i="7"/>
  <c r="J9" i="7"/>
  <c r="J12" i="7"/>
  <c r="J14" i="7"/>
  <c r="F4" i="8"/>
  <c r="G4" i="8"/>
  <c r="H4" i="8"/>
  <c r="H8" i="8"/>
  <c r="G8" i="8"/>
  <c r="F8" i="8"/>
  <c r="C4" i="14"/>
  <c r="D4" i="14"/>
  <c r="C9" i="14"/>
  <c r="D9" i="14"/>
  <c r="C12" i="14"/>
  <c r="E12" i="14"/>
  <c r="G6" i="7"/>
  <c r="I6" i="7"/>
  <c r="I9" i="7"/>
  <c r="I12" i="7"/>
  <c r="E4" i="8"/>
  <c r="E8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<sst xmlns="http://schemas.openxmlformats.org/spreadsheetml/2006/main" count="6135" uniqueCount="918">
  <si>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</si>
  <si>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</si>
  <si>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</si>
  <si>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</si>
  <si>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</si>
  <si>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</si>
  <si>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</si>
  <si>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</si>
  <si>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</si>
  <si>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</si>
  <si>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</si>
  <si>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</si>
  <si>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</si>
  <si>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</si>
  <si>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</si>
  <si>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</si>
  <si>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</si>
  <si>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</si>
  <si>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</si>
  <si>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</si>
  <si>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</si>
  <si>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</si>
  <si>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</si>
  <si>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</si>
  <si>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</si>
  <si>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</si>
  <si>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</si>
  <si>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</si>
  <si>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</si>
  <si>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</si>
  <si>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</si>
  <si>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</si>
  <si>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</si>
  <si>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</si>
  <si>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</si>
  <si>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</si>
  <si>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</si>
  <si>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</si>
  <si>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</si>
  <si>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</si>
  <si>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</si>
  <si>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</si>
  <si>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</si>
  <si>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</si>
  <si>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</si>
  <si>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</si>
  <si>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</si>
  <si>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</si>
  <si>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</si>
  <si>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</si>
  <si>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</si>
  <si>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</si>
  <si>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</si>
  <si>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</si>
  <si>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</si>
  <si>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</si>
  <si>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</si>
  <si>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</si>
  <si>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</si>
  <si>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</si>
  <si>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</si>
  <si>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</si>
  <si>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</si>
  <si>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</si>
  <si>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</si>
  <si>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</si>
  <si>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</si>
  <si>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</si>
  <si>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</si>
  <si>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</si>
  <si>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</si>
  <si>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</si>
  <si>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</si>
  <si>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</si>
  <si>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</si>
  <si>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</si>
  <si>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</si>
  <si>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</si>
  <si>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</si>
  <si>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</si>
  <si>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</si>
  <si>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</si>
  <si>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</si>
  <si>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</si>
  <si>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</si>
  <si>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</si>
  <si>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</si>
  <si>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</si>
  <si>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</si>
  <si>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</si>
  <si>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</si>
  <si>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</si>
  <si>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</si>
  <si>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</si>
  <si>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</si>
  <si>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</si>
  <si>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</si>
  <si>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</si>
  <si>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</si>
  <si>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</si>
  <si>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</si>
  <si>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</si>
  <si>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</si>
  <si>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</si>
  <si>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</si>
  <si>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</si>
  <si>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</si>
  <si>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</si>
  <si>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</si>
  <si>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</si>
  <si>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CHB</t>
  </si>
  <si>
    <t>Computerlokaal - harde vloeren (basis)</t>
  </si>
  <si>
    <t>CHV</t>
  </si>
  <si>
    <t>Computerlokaal - harde vloeren (volledig)</t>
  </si>
  <si>
    <t>LHB</t>
  </si>
  <si>
    <t>Leslokalen/studieruimte hard (basis)</t>
  </si>
  <si>
    <t>LHV</t>
  </si>
  <si>
    <t>Leslokalen/studieruimte hard (volledig)</t>
  </si>
  <si>
    <t>MHB</t>
  </si>
  <si>
    <t>Media-/bilbiotheek hard (basis)</t>
  </si>
  <si>
    <t>MHV</t>
  </si>
  <si>
    <t>Media-/bilbiotheek hard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</si>
  <si>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</si>
  <si>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</si>
  <si>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</si>
  <si>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</si>
  <si>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</si>
  <si>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</si>
  <si>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</si>
  <si>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</si>
  <si>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</si>
  <si>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</si>
  <si>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</si>
  <si>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</si>
  <si>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</si>
  <si>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</si>
  <si>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</si>
  <si>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</si>
  <si>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</si>
  <si>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</si>
  <si>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</si>
  <si>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</si>
  <si>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</si>
  <si>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</si>
  <si>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</si>
  <si>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</si>
  <si>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</si>
  <si>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</si>
  <si>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</si>
  <si>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</si>
  <si>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</si>
  <si>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</si>
  <si>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</si>
  <si>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</si>
  <si>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</si>
  <si>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</si>
  <si>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</si>
  <si>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</si>
  <si>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</si>
  <si>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</si>
  <si>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</si>
  <si>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</si>
  <si>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</si>
  <si>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</si>
  <si>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</si>
  <si>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</si>
  <si>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</si>
  <si>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</si>
  <si>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</si>
  <si>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</si>
  <si>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</si>
  <si>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</si>
  <si>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</si>
  <si>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</si>
  <si>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</si>
  <si>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</si>
  <si>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</si>
  <si>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</si>
  <si>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</si>
  <si>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</si>
  <si>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</si>
  <si>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</si>
  <si>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</si>
  <si>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</si>
  <si>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</si>
  <si>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</si>
  <si>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</si>
  <si>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</si>
  <si>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</si>
  <si>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</si>
  <si>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</si>
  <si>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</si>
  <si>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</si>
  <si>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</si>
  <si>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</si>
  <si>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CH</t>
  </si>
  <si>
    <t>Computerlokaal - harde vloeren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</si>
  <si>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</si>
  <si>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</si>
  <si>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</si>
  <si>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</si>
  <si>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</si>
  <si>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</si>
  <si>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</si>
  <si>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</si>
  <si>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</si>
  <si>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</si>
  <si>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</si>
  <si>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</si>
  <si>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</si>
  <si>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</si>
  <si>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MH</t>
  </si>
  <si>
    <t>Media-/bibliotheek harde vloer</t>
  </si>
  <si>
    <t>OH</t>
  </si>
  <si>
    <t>Archief/magazijn/opslag - harde vloeren</t>
  </si>
  <si>
    <t>PH</t>
  </si>
  <si>
    <t>Pantry/keuken harde vloer</t>
  </si>
  <si>
    <t>PMH</t>
  </si>
  <si>
    <t>Praktijklokaal minimaal harde vloer</t>
  </si>
  <si>
    <t>PUH</t>
  </si>
  <si>
    <t>Praktijklokaal uitgebreid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</si>
  <si>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</si>
  <si>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</si>
  <si>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</si>
  <si>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</si>
  <si>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</si>
  <si>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</si>
  <si>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</si>
  <si>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</si>
  <si>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</si>
  <si>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</si>
  <si>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</si>
  <si>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</si>
  <si>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</si>
  <si>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</si>
  <si>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</si>
  <si>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</si>
  <si>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</si>
  <si>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0046 - VSO Daaf Geluk, Plesmanplein 8, Haarlem</t>
  </si>
  <si>
    <t>0046</t>
  </si>
  <si>
    <t>A</t>
  </si>
  <si>
    <t>00</t>
  </si>
  <si>
    <t>0.40</t>
  </si>
  <si>
    <t>Verkeersruimte</t>
  </si>
  <si>
    <t>linoleum</t>
  </si>
  <si>
    <t>0.41</t>
  </si>
  <si>
    <t>0.42</t>
  </si>
  <si>
    <t>Bergruimte</t>
  </si>
  <si>
    <t>N.I.O.</t>
  </si>
  <si>
    <t>0.43</t>
  </si>
  <si>
    <t>Receptie</t>
  </si>
  <si>
    <t>0.44</t>
  </si>
  <si>
    <t>Technische ruimte</t>
  </si>
  <si>
    <t>0.45</t>
  </si>
  <si>
    <t>Toiletruimte</t>
  </si>
  <si>
    <t>gietvloer</t>
  </si>
  <si>
    <t>0.46</t>
  </si>
  <si>
    <t>0.47</t>
  </si>
  <si>
    <t>0.48</t>
  </si>
  <si>
    <t>Lerarenruimte</t>
  </si>
  <si>
    <t>0.49</t>
  </si>
  <si>
    <t>Serverruimte</t>
  </si>
  <si>
    <t>0.50</t>
  </si>
  <si>
    <t>Aula / Verkeersruimte</t>
  </si>
  <si>
    <t>0.50A</t>
  </si>
  <si>
    <t>Trappenhuis</t>
  </si>
  <si>
    <t>hout</t>
  </si>
  <si>
    <t>0.50B</t>
  </si>
  <si>
    <t>Entree</t>
  </si>
  <si>
    <t>inloopmat</t>
  </si>
  <si>
    <t>0.52</t>
  </si>
  <si>
    <t>0.53</t>
  </si>
  <si>
    <t>0.54</t>
  </si>
  <si>
    <t>0.55</t>
  </si>
  <si>
    <t>Kantoorruimte</t>
  </si>
  <si>
    <t>0.56</t>
  </si>
  <si>
    <t>Lokaal</t>
  </si>
  <si>
    <t>0.57</t>
  </si>
  <si>
    <t>Zelfstudieruimte</t>
  </si>
  <si>
    <t>0.58</t>
  </si>
  <si>
    <t>0.59</t>
  </si>
  <si>
    <t>0.60</t>
  </si>
  <si>
    <t>0.61</t>
  </si>
  <si>
    <t>0.62</t>
  </si>
  <si>
    <t>B</t>
  </si>
  <si>
    <t>01</t>
  </si>
  <si>
    <t>1.13</t>
  </si>
  <si>
    <t>1.14</t>
  </si>
  <si>
    <t>1.15</t>
  </si>
  <si>
    <t>1.16</t>
  </si>
  <si>
    <t>1.17</t>
  </si>
  <si>
    <t>1.18</t>
  </si>
  <si>
    <t>1.19</t>
  </si>
  <si>
    <t>1.20</t>
  </si>
  <si>
    <t>Spreekkamer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</si>
  <si>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</si>
  <si>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</si>
  <si>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</si>
  <si>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</si>
  <si>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</si>
  <si>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</si>
  <si>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</si>
  <si>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</si>
  <si>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</si>
  <si>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</si>
  <si>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</si>
  <si>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1.31A</t>
  </si>
  <si>
    <t>Vergaderruimte</t>
  </si>
  <si>
    <t>1.32</t>
  </si>
  <si>
    <t>1.33</t>
  </si>
  <si>
    <t>1.34</t>
  </si>
  <si>
    <t>1.35</t>
  </si>
  <si>
    <t>1.36</t>
  </si>
  <si>
    <t>1.37</t>
  </si>
  <si>
    <t>1.37A</t>
  </si>
  <si>
    <t>1.37B</t>
  </si>
  <si>
    <t>C</t>
  </si>
  <si>
    <t>0.64</t>
  </si>
  <si>
    <t>Lift</t>
  </si>
  <si>
    <t>0.65</t>
  </si>
  <si>
    <t>Miva</t>
  </si>
  <si>
    <t>0.66</t>
  </si>
  <si>
    <t>0.67</t>
  </si>
  <si>
    <t>0.68</t>
  </si>
  <si>
    <t>0.69</t>
  </si>
  <si>
    <t>0.70</t>
  </si>
  <si>
    <t>Werkkast</t>
  </si>
  <si>
    <t>0.70a</t>
  </si>
  <si>
    <t>Traforuimte</t>
  </si>
  <si>
    <t>0.71</t>
  </si>
  <si>
    <t>0.72</t>
  </si>
  <si>
    <t>0.73</t>
  </si>
  <si>
    <t>Doucheruimte</t>
  </si>
  <si>
    <t>0.74</t>
  </si>
  <si>
    <t>0.75</t>
  </si>
  <si>
    <t>0.76</t>
  </si>
  <si>
    <t>0.77</t>
  </si>
  <si>
    <t>Gymzaal</t>
  </si>
  <si>
    <t>descol</t>
  </si>
  <si>
    <t>0.78</t>
  </si>
  <si>
    <t>0.79</t>
  </si>
  <si>
    <t>Berging</t>
  </si>
  <si>
    <t>0.80</t>
  </si>
  <si>
    <t>0.81</t>
  </si>
  <si>
    <t>1.01</t>
  </si>
  <si>
    <t>Kleedruimte</t>
  </si>
  <si>
    <t>1.01A</t>
  </si>
  <si>
    <t>douche</t>
  </si>
  <si>
    <t>1.02</t>
  </si>
  <si>
    <t>1.03</t>
  </si>
  <si>
    <t>1.03A</t>
  </si>
  <si>
    <t>1.03B</t>
  </si>
  <si>
    <t>Toilet</t>
  </si>
  <si>
    <t>1.04</t>
  </si>
  <si>
    <t>1.05</t>
  </si>
  <si>
    <t>1.05A</t>
  </si>
  <si>
    <t>1.05B</t>
  </si>
  <si>
    <t>1.06</t>
  </si>
  <si>
    <t>1.06A</t>
  </si>
  <si>
    <t>1.06B</t>
  </si>
  <si>
    <t>1.07</t>
  </si>
  <si>
    <t>1.08</t>
  </si>
  <si>
    <t>1.09</t>
  </si>
  <si>
    <t>1.10</t>
  </si>
  <si>
    <t>1.11</t>
  </si>
  <si>
    <t>1.12</t>
  </si>
  <si>
    <t>noppen</t>
  </si>
  <si>
    <t>D</t>
  </si>
  <si>
    <t>-1</t>
  </si>
  <si>
    <t>-1.01</t>
  </si>
  <si>
    <t>-1.02</t>
  </si>
  <si>
    <t>-1.03</t>
  </si>
  <si>
    <t>0.01</t>
  </si>
  <si>
    <t>0.02</t>
  </si>
  <si>
    <t>0.03</t>
  </si>
  <si>
    <t>Praktijklokaal handvaardigheid</t>
  </si>
  <si>
    <t>0.03A</t>
  </si>
  <si>
    <t>Kabinet</t>
  </si>
  <si>
    <t>0.04</t>
  </si>
  <si>
    <t>Praktijklokaal scheikunde</t>
  </si>
  <si>
    <t>0.05</t>
  </si>
  <si>
    <t>dhgt</t>
  </si>
  <si>
    <t>0.06</t>
  </si>
  <si>
    <t>0.07</t>
  </si>
  <si>
    <t>tapijt</t>
  </si>
  <si>
    <t>0.08</t>
  </si>
  <si>
    <t>0.09</t>
  </si>
  <si>
    <t>Entree portaal</t>
  </si>
  <si>
    <t>0.10</t>
  </si>
  <si>
    <t>0.11</t>
  </si>
  <si>
    <t>0.11B</t>
  </si>
  <si>
    <t>Hal</t>
  </si>
  <si>
    <t>tegels</t>
  </si>
  <si>
    <t>0.11C</t>
  </si>
  <si>
    <t>0.11D</t>
  </si>
  <si>
    <t>0.11a</t>
  </si>
  <si>
    <t>0.25</t>
  </si>
  <si>
    <t>0.31</t>
  </si>
  <si>
    <t>0.37</t>
  </si>
  <si>
    <t>0.38</t>
  </si>
  <si>
    <t>Lokaal drama</t>
  </si>
  <si>
    <t>0.39</t>
  </si>
  <si>
    <t>1.38</t>
  </si>
  <si>
    <t>1.39</t>
  </si>
  <si>
    <t>1.40</t>
  </si>
  <si>
    <t>1.42</t>
  </si>
  <si>
    <t>1.43</t>
  </si>
  <si>
    <t>Reproruimte</t>
  </si>
  <si>
    <t>1.44</t>
  </si>
  <si>
    <t>1.45</t>
  </si>
  <si>
    <t>1.46</t>
  </si>
  <si>
    <t>1.47</t>
  </si>
  <si>
    <t>1.48</t>
  </si>
  <si>
    <t>1.49</t>
  </si>
  <si>
    <t>1.50</t>
  </si>
  <si>
    <t>2.01</t>
  </si>
  <si>
    <t>2.02</t>
  </si>
  <si>
    <t>2.03</t>
  </si>
  <si>
    <t>2.04</t>
  </si>
  <si>
    <t>E</t>
  </si>
  <si>
    <t>0.12</t>
  </si>
  <si>
    <t>0.13</t>
  </si>
  <si>
    <t>0.14</t>
  </si>
  <si>
    <t>0.15</t>
  </si>
  <si>
    <t>0.16</t>
  </si>
  <si>
    <t>0.17</t>
  </si>
  <si>
    <t>Entree nood</t>
  </si>
  <si>
    <t>0.17A</t>
  </si>
  <si>
    <t>0.18</t>
  </si>
  <si>
    <t>0.19</t>
  </si>
  <si>
    <t>0.20</t>
  </si>
  <si>
    <t>0.21</t>
  </si>
  <si>
    <t>0.22</t>
  </si>
  <si>
    <t>0.23</t>
  </si>
  <si>
    <t>0.24</t>
  </si>
  <si>
    <t>0.82</t>
  </si>
  <si>
    <t>Gang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</si>
  <si>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</si>
  <si>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</si>
  <si>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</si>
  <si>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</si>
  <si>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</si>
  <si>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</si>
  <si>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</si>
  <si>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</si>
  <si>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</si>
  <si>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</si>
  <si>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</si>
  <si>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</si>
  <si>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</si>
  <si>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</si>
  <si>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Nood</t>
  </si>
  <si>
    <t>N001/002</t>
  </si>
  <si>
    <t>N003</t>
  </si>
  <si>
    <t>N003A</t>
  </si>
  <si>
    <t>N004</t>
  </si>
  <si>
    <t>N005</t>
  </si>
  <si>
    <t>Lokaal/vangnet</t>
  </si>
  <si>
    <t>N006/007</t>
  </si>
  <si>
    <t>lokaal</t>
  </si>
  <si>
    <t>N008/009</t>
  </si>
  <si>
    <t>N008/009A</t>
  </si>
  <si>
    <t>N010/011</t>
  </si>
  <si>
    <t>ND 1</t>
  </si>
  <si>
    <t>ND 1A</t>
  </si>
  <si>
    <t>ND 1B</t>
  </si>
  <si>
    <t>berging / T.R</t>
  </si>
  <si>
    <t>ND 2</t>
  </si>
  <si>
    <t>ND 3</t>
  </si>
  <si>
    <t>ND 3A</t>
  </si>
  <si>
    <t>ND 3B</t>
  </si>
  <si>
    <t>Berging/ T.R.</t>
  </si>
  <si>
    <t>ND 4</t>
  </si>
  <si>
    <t>N012/013</t>
  </si>
  <si>
    <t>N014</t>
  </si>
  <si>
    <t>N015</t>
  </si>
  <si>
    <t>N016</t>
  </si>
  <si>
    <t>N017/018</t>
  </si>
  <si>
    <t>kantine</t>
  </si>
  <si>
    <t>N019</t>
  </si>
  <si>
    <t>N020</t>
  </si>
  <si>
    <t>N021/022</t>
  </si>
  <si>
    <t>N023</t>
  </si>
  <si>
    <t>N024</t>
  </si>
  <si>
    <t>N025</t>
  </si>
  <si>
    <t>N026</t>
  </si>
  <si>
    <t>N027</t>
  </si>
  <si>
    <t>Totaal werkdag</t>
  </si>
  <si>
    <t>0048 - Prof. Dr. Gunningschool VSO, Planetenlaan 13, Haarlem</t>
  </si>
  <si>
    <t>0048</t>
  </si>
  <si>
    <t>0.19a</t>
  </si>
  <si>
    <t>Werkruimte</t>
  </si>
  <si>
    <t>Overig (vrij in te vullen)</t>
  </si>
  <si>
    <t>0.26</t>
  </si>
  <si>
    <t>0.27</t>
  </si>
  <si>
    <t>0.28</t>
  </si>
  <si>
    <t>0.29</t>
  </si>
  <si>
    <t>0.30</t>
  </si>
  <si>
    <t>0.30a</t>
  </si>
  <si>
    <t>0.30b</t>
  </si>
  <si>
    <t>0.31a</t>
  </si>
  <si>
    <t>lino/ steen</t>
  </si>
  <si>
    <t>0.31b</t>
  </si>
  <si>
    <t>Keuken kantine (alleen vloer)</t>
  </si>
  <si>
    <t>0.32</t>
  </si>
  <si>
    <t>0.33</t>
  </si>
  <si>
    <t>0.34</t>
  </si>
  <si>
    <t>0.35</t>
  </si>
  <si>
    <t>0.36</t>
  </si>
  <si>
    <t>Aula</t>
  </si>
  <si>
    <t>0.58a</t>
  </si>
  <si>
    <t>Bergruimte (laptops)</t>
  </si>
  <si>
    <t>lino/ inloopmat</t>
  </si>
  <si>
    <t>Lokaal (keuken)</t>
  </si>
  <si>
    <t>Bergruimte (keuken)</t>
  </si>
  <si>
    <t>1.19a</t>
  </si>
  <si>
    <t>beton (ruw)</t>
  </si>
  <si>
    <t>Bergruimte (leermiddelen)</t>
  </si>
  <si>
    <t>-1.04</t>
  </si>
  <si>
    <t>Opslag</t>
  </si>
  <si>
    <t>-1.05</t>
  </si>
  <si>
    <t>-1.06</t>
  </si>
  <si>
    <t>-1.07</t>
  </si>
  <si>
    <t>Hal/trap</t>
  </si>
  <si>
    <t>-1.08</t>
  </si>
  <si>
    <t>Werkkast / bergruimte</t>
  </si>
  <si>
    <t>0.44a</t>
  </si>
  <si>
    <t>Kantoor / kleedruimte docenten</t>
  </si>
  <si>
    <t>0.51</t>
  </si>
  <si>
    <t>0067 - Het Schoter, Sportweg 9, Haarlem</t>
  </si>
  <si>
    <t>0067</t>
  </si>
  <si>
    <t>Mediatheek (vloer beschadigd)</t>
  </si>
  <si>
    <t>pvc</t>
  </si>
  <si>
    <t>0.01a</t>
  </si>
  <si>
    <t>Concierge</t>
  </si>
  <si>
    <t>0.01b</t>
  </si>
  <si>
    <t>0.01c</t>
  </si>
  <si>
    <t>0.02a</t>
  </si>
  <si>
    <t>0.03a</t>
  </si>
  <si>
    <t>0.03b</t>
  </si>
  <si>
    <t>Lokaal tekenen</t>
  </si>
  <si>
    <t>0.04a</t>
  </si>
  <si>
    <t>Studieruimte</t>
  </si>
  <si>
    <t>0.05a</t>
  </si>
  <si>
    <t>Portaal</t>
  </si>
  <si>
    <t>0.05b</t>
  </si>
  <si>
    <t>0.05c</t>
  </si>
  <si>
    <t>0.05d</t>
  </si>
  <si>
    <t>Techniekruimte</t>
  </si>
  <si>
    <t>0.08a</t>
  </si>
  <si>
    <t>Werkplaats</t>
  </si>
  <si>
    <t>0.08b</t>
  </si>
  <si>
    <t>Kastenwand</t>
  </si>
  <si>
    <t>0.09a</t>
  </si>
  <si>
    <t>0.12a</t>
  </si>
  <si>
    <t>Trap</t>
  </si>
  <si>
    <t>Verdelers</t>
  </si>
  <si>
    <t>beton</t>
  </si>
  <si>
    <t>Stookruimte</t>
  </si>
  <si>
    <t>Installatie</t>
  </si>
  <si>
    <t>Lockers</t>
  </si>
  <si>
    <t>steen</t>
  </si>
  <si>
    <t>Entreehal</t>
  </si>
  <si>
    <t>1.01a</t>
  </si>
  <si>
    <t>1.01b</t>
  </si>
  <si>
    <t>1.01c</t>
  </si>
  <si>
    <t>1.01d</t>
  </si>
  <si>
    <t>Toilet H</t>
  </si>
  <si>
    <t>1.01e</t>
  </si>
  <si>
    <t>Toilet D</t>
  </si>
  <si>
    <t>1.04a</t>
  </si>
  <si>
    <t>Server</t>
  </si>
  <si>
    <t>Kantoor</t>
  </si>
  <si>
    <t>1.05a</t>
  </si>
  <si>
    <t>Kast</t>
  </si>
  <si>
    <t>1.05b</t>
  </si>
  <si>
    <t>1.05c</t>
  </si>
  <si>
    <t>beton/pvc</t>
  </si>
  <si>
    <t>1.06a</t>
  </si>
  <si>
    <t>1.06b</t>
  </si>
  <si>
    <t>1.06c</t>
  </si>
  <si>
    <t>1.09a</t>
  </si>
  <si>
    <t>1.10a</t>
  </si>
  <si>
    <t>1.10b</t>
  </si>
  <si>
    <t>1.10c</t>
  </si>
  <si>
    <t>MIVA-toilet</t>
  </si>
  <si>
    <t>1.11a</t>
  </si>
  <si>
    <t>1.11b</t>
  </si>
  <si>
    <t>1.15a</t>
  </si>
  <si>
    <t>Schacht</t>
  </si>
  <si>
    <t>1.16a</t>
  </si>
  <si>
    <t>1.17a</t>
  </si>
  <si>
    <t>1.18a</t>
  </si>
  <si>
    <t>Personeelsruimte</t>
  </si>
  <si>
    <t>1.28a</t>
  </si>
  <si>
    <t>Repro-ruimte</t>
  </si>
  <si>
    <t>1.29a</t>
  </si>
  <si>
    <t>E-kast</t>
  </si>
  <si>
    <t>Algemene werkruimte</t>
  </si>
  <si>
    <t>Toiletten</t>
  </si>
  <si>
    <t>Toiletten D</t>
  </si>
  <si>
    <t>Toiletten H</t>
  </si>
  <si>
    <t>Gang / zelfstudie</t>
  </si>
  <si>
    <t>1.36a</t>
  </si>
  <si>
    <t>Meterkast</t>
  </si>
  <si>
    <t>1.36b</t>
  </si>
  <si>
    <t>Podium</t>
  </si>
  <si>
    <t>1.39a</t>
  </si>
  <si>
    <t>1.39b</t>
  </si>
  <si>
    <t>1.39c</t>
  </si>
  <si>
    <t>1.41</t>
  </si>
  <si>
    <t>Keuken</t>
  </si>
  <si>
    <t>lino/pvc</t>
  </si>
  <si>
    <t>ICT/Serverruimte</t>
  </si>
  <si>
    <t>2.04a</t>
  </si>
  <si>
    <t>2.05</t>
  </si>
  <si>
    <t>2.06</t>
  </si>
  <si>
    <t>2.07</t>
  </si>
  <si>
    <t>2.07a</t>
  </si>
  <si>
    <t>2.08</t>
  </si>
  <si>
    <t>2.09</t>
  </si>
  <si>
    <t>2.10</t>
  </si>
  <si>
    <t>2.11</t>
  </si>
  <si>
    <t>2.12</t>
  </si>
  <si>
    <t>2.13</t>
  </si>
  <si>
    <t>2.13a</t>
  </si>
  <si>
    <t>2.14</t>
  </si>
  <si>
    <t>2.15</t>
  </si>
  <si>
    <t>2.15a</t>
  </si>
  <si>
    <t>2.15b</t>
  </si>
  <si>
    <t>Ruimte</t>
  </si>
  <si>
    <t>2.15c</t>
  </si>
  <si>
    <t>2.15d</t>
  </si>
  <si>
    <t>2.15e</t>
  </si>
  <si>
    <t>2.15f</t>
  </si>
  <si>
    <t>2.16</t>
  </si>
  <si>
    <t>2.17</t>
  </si>
  <si>
    <t>2.17a</t>
  </si>
  <si>
    <t>2.18</t>
  </si>
  <si>
    <t>2.18a</t>
  </si>
  <si>
    <t>2.18b</t>
  </si>
  <si>
    <t>2.20</t>
  </si>
  <si>
    <t>2.20a</t>
  </si>
  <si>
    <t>Patchkast</t>
  </si>
  <si>
    <t>2.20b</t>
  </si>
  <si>
    <t>2.21</t>
  </si>
  <si>
    <t>2.22</t>
  </si>
  <si>
    <t>2.23</t>
  </si>
  <si>
    <t>2.23a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</si>
  <si>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</si>
  <si>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</si>
  <si>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</si>
  <si>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</si>
  <si>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</si>
  <si>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</si>
  <si>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</si>
  <si>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</si>
  <si>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</si>
  <si>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</si>
  <si>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</si>
  <si>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</si>
  <si>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</si>
  <si>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</si>
  <si>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</si>
  <si>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Techniekruimte LBK</t>
  </si>
  <si>
    <t>02</t>
  </si>
  <si>
    <t>3.01</t>
  </si>
  <si>
    <t>3.02</t>
  </si>
  <si>
    <t>3.03</t>
  </si>
  <si>
    <t>3.04</t>
  </si>
  <si>
    <t>3.04a</t>
  </si>
  <si>
    <t>3.05</t>
  </si>
  <si>
    <t>3.06</t>
  </si>
  <si>
    <t>3.07</t>
  </si>
  <si>
    <t>3.07a</t>
  </si>
  <si>
    <t>3.08</t>
  </si>
  <si>
    <t>3.08a</t>
  </si>
  <si>
    <t>3.08b</t>
  </si>
  <si>
    <t>3.09</t>
  </si>
  <si>
    <t>3.10</t>
  </si>
  <si>
    <t>3.11</t>
  </si>
  <si>
    <t>3.12</t>
  </si>
  <si>
    <t>3.13</t>
  </si>
  <si>
    <t>3.13a</t>
  </si>
  <si>
    <t>3.14</t>
  </si>
  <si>
    <t>3.15</t>
  </si>
  <si>
    <t>3.15a</t>
  </si>
  <si>
    <t>3.15b</t>
  </si>
  <si>
    <t>3.15c</t>
  </si>
  <si>
    <t>3.15d</t>
  </si>
  <si>
    <t>3.15e</t>
  </si>
  <si>
    <t>3.15f</t>
  </si>
  <si>
    <t>3.16</t>
  </si>
  <si>
    <t>3.17</t>
  </si>
  <si>
    <t>3.17a</t>
  </si>
  <si>
    <t>3.18</t>
  </si>
  <si>
    <t>3.19</t>
  </si>
  <si>
    <t>3.20</t>
  </si>
  <si>
    <t>3.21</t>
  </si>
  <si>
    <t>3.21a</t>
  </si>
  <si>
    <t>3.22</t>
  </si>
  <si>
    <t>3.22a</t>
  </si>
  <si>
    <t>3.23</t>
  </si>
  <si>
    <t>3.24</t>
  </si>
  <si>
    <t>3.25</t>
  </si>
  <si>
    <t>3.25a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</si>
  <si>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</si>
  <si>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</si>
  <si>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</si>
  <si>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</si>
  <si>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</si>
  <si>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</si>
  <si>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</si>
  <si>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</si>
  <si>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</si>
  <si>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</si>
  <si>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</si>
  <si>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</si>
  <si>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</si>
  <si>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</si>
  <si>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</si>
  <si>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</si>
  <si>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</si>
  <si>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</si>
  <si>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</si>
  <si>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</si>
  <si>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</si>
  <si>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0046</t>
  </si>
  <si>
    <t xml:space="preserve">    0048</t>
  </si>
  <si>
    <t xml:space="preserve">    0067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</si>
  <si>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</si>
  <si>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</si>
  <si>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</si>
  <si>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</si>
  <si>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</si>
  <si>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</si>
  <si>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</si>
  <si>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</si>
  <si>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VSO Daaf Geluk</t>
  </si>
  <si>
    <t>Plesmanplein 8</t>
  </si>
  <si>
    <t>Haarlem</t>
  </si>
  <si>
    <t>Prof. Dr. Gunningschool VSO</t>
  </si>
  <si>
    <t>Planetenlaan 13</t>
  </si>
  <si>
    <t>Het Schoter</t>
  </si>
  <si>
    <t>Sportweg 9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</si>
  <si>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</si>
  <si>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</si>
  <si>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</si>
  <si>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</si>
  <si>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</si>
  <si>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</si>
  <si>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</si>
  <si>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</si>
  <si>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</si>
  <si>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</si>
  <si>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</si>
  <si>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</si>
  <si>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</si>
  <si>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</si>
  <si>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</si>
  <si>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</si>
  <si>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0046 - VSO Daaf Geluk, Plesmanplein 8, Haarlem</t>
  </si>
  <si>
    <t>Totaal 0048 - Prof. Dr. Gunningschool VSO, Planetenlaan 13, Haarlem</t>
  </si>
  <si>
    <t>Totaal 0067 - Het Schoter, Sportweg 9, Haarlem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</si>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</sst>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6186-17F3-48C8-A7B2-6B6703DD4C0A}">
  <dimension ref="A1:B27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0.2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0.15384615384615385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4.6153846153846156E-2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3.8461538461538464E-2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2.3076923076923078E-2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1.5384615384615385E-2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1.1538461538461539E-2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7.6923076923076927E-3</v>
      </c>
    </row>
    <row r="27" spans="1:2" x14ac:dyDescent="0.25">
      <c r="A27" s="6" t="s">
        <v>23</v>
      </c>
      <c r="B27" s="7">
        <f>IF(A27="2½W",2.5/dagenperweek1,IF(RIGHT(A27,1)="W",VALUE(LEFT(A27,LEN(A27)-1))/dagenperweek1,IF(RIGHT(A27,1)="J",VALUE(LEFT(A27,LEN(A27)-1))/dagenperjaar1,IF(RIGHT(A27,1)="D",VALUE(LEFT(A27,LEN(A27)-1)),"handmatig!"))))</f>
        <v>3.8461538461538464E-3</v>
      </c>
    </row>
  </sheetData>
  <sheetProtection algorithmName="SHA-512" hashValue="XRMUGaACPR3BoJyIzogz9RWNZg9yOYRBksekrtwaRrU9KOmsykR1hIhBcdDhryaZF8al3R8X+enT3F9JJvAETg==" saltValue="QbUlJeX9Tgg048j+7Cmms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6399-E85F-420F-9901-2BE347E21A2D}">
  <dimension ref="A1:M1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F.5.7: ",tabeltype," additioneel werk per locatie")</f>
        <v>Bijlage F.5.7: Invultabel additioneel werk per locatie</v>
      </c>
    </row>
    <row r="3" spans="1:13" ht="45" x14ac:dyDescent="0.25">
      <c r="A3" s="44" t="s">
        <v>750</v>
      </c>
      <c r="B3" s="44" t="s">
        <v>7</v>
      </c>
      <c r="C3" s="44" t="s">
        <v>751</v>
      </c>
      <c r="D3" s="44" t="s">
        <v>721</v>
      </c>
      <c r="E3" s="44" t="s">
        <v>94</v>
      </c>
      <c r="F3" s="44" t="s">
        <v>97</v>
      </c>
      <c r="G3" s="44" t="s">
        <v>752</v>
      </c>
      <c r="H3" s="44" t="s">
        <v>753</v>
      </c>
      <c r="I3" s="44" t="s">
        <v>754</v>
      </c>
      <c r="J3" s="44" t="s">
        <v>755</v>
      </c>
      <c r="K3" s="44" t="s">
        <v>756</v>
      </c>
      <c r="L3" s="44" t="s">
        <v>187</v>
      </c>
      <c r="M3" s="44" t="s">
        <v>737</v>
      </c>
    </row>
    <row r="5" spans="1:13" x14ac:dyDescent="0.25">
      <c r="A5" s="125" t="s">
        <v>238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6"/>
    </row>
    <row r="6" spans="1:13" x14ac:dyDescent="0.25">
      <c r="A6" s="117" t="s">
        <v>757</v>
      </c>
      <c r="B6" s="117" t="s">
        <v>23</v>
      </c>
      <c r="C6" s="118">
        <f>IF(ISBLANK(B6),0,IF(ISERROR(VALUE(B6)),VLOOKUP(B6,dagsoorttabel1,2,FALSE)*dagenperjaar1,VALUE(B6)))</f>
        <v>1</v>
      </c>
      <c r="D6" s="117" t="s">
        <v>730</v>
      </c>
      <c r="E6" s="117" t="s">
        <v>758</v>
      </c>
      <c r="F6" s="117" t="s">
        <v>759</v>
      </c>
      <c r="G6" s="119">
        <v>2723.1499999999996</v>
      </c>
      <c r="H6" s="127">
        <f>'Additioneel werk'!G6</f>
        <v>0</v>
      </c>
      <c r="I6" s="128">
        <f>'Additioneel werk'!H6</f>
        <v>0</v>
      </c>
      <c r="J6" s="122"/>
      <c r="K6" s="123" t="e">
        <f>IF(ISBLANK(I6),0,G6 / ROUND(I6,4) * ROUND(H6,2))</f>
        <v>#DIV/0!</v>
      </c>
      <c r="L6" s="123" t="e">
        <f>C6*K6</f>
        <v>#DIV/0!</v>
      </c>
      <c r="M6" s="123" t="e">
        <f>L6/12</f>
        <v>#DIV/0!</v>
      </c>
    </row>
    <row r="7" spans="1:13" x14ac:dyDescent="0.25">
      <c r="A7" s="129" t="s">
        <v>761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4" t="e">
        <f>L7/12</f>
        <v>#DIV/0!</v>
      </c>
    </row>
    <row r="9" spans="1:13" x14ac:dyDescent="0.25">
      <c r="A9" s="125" t="s">
        <v>488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6"/>
    </row>
    <row r="10" spans="1:13" x14ac:dyDescent="0.25">
      <c r="A10" s="117" t="s">
        <v>757</v>
      </c>
      <c r="B10" s="117" t="s">
        <v>23</v>
      </c>
      <c r="C10" s="118">
        <f>IF(ISBLANK(B10),0,IF(ISERROR(VALUE(B10)),VLOOKUP(B10,dagsoorttabel1,2,FALSE)*dagenperjaar1,VALUE(B10)))</f>
        <v>1</v>
      </c>
      <c r="D10" s="117" t="s">
        <v>730</v>
      </c>
      <c r="E10" s="117" t="s">
        <v>758</v>
      </c>
      <c r="F10" s="117" t="s">
        <v>759</v>
      </c>
      <c r="G10" s="119">
        <v>1758.7299999999998</v>
      </c>
      <c r="H10" s="127">
        <f>'Additioneel werk'!G6</f>
        <v>0</v>
      </c>
      <c r="I10" s="128">
        <f>'Additioneel werk'!H6</f>
        <v>0</v>
      </c>
      <c r="J10" s="122"/>
      <c r="K10" s="123" t="e">
        <f>IF(ISBLANK(I10),0,G10 / ROUND(I10,4) * ROUND(H10,2))</f>
        <v>#DIV/0!</v>
      </c>
      <c r="L10" s="123" t="e">
        <f>C10*K10</f>
        <v>#DIV/0!</v>
      </c>
      <c r="M10" s="123" t="e">
        <f>L10/12</f>
        <v>#DIV/0!</v>
      </c>
    </row>
    <row r="11" spans="1:13" x14ac:dyDescent="0.25">
      <c r="A11" s="129" t="s">
        <v>762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4" t="e">
        <f>L11/12</f>
        <v>#DIV/0!</v>
      </c>
    </row>
    <row r="13" spans="1:13" x14ac:dyDescent="0.25">
      <c r="A13" s="125" t="s">
        <v>529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126"/>
    </row>
    <row r="14" spans="1:13" x14ac:dyDescent="0.25">
      <c r="A14" s="117" t="s">
        <v>757</v>
      </c>
      <c r="B14" s="117" t="s">
        <v>23</v>
      </c>
      <c r="C14" s="118">
        <f>IF(ISBLANK(B14),0,IF(ISERROR(VALUE(B14)),VLOOKUP(B14,dagsoorttabel1,2,FALSE)*dagenperjaar1,VALUE(B14)))</f>
        <v>1</v>
      </c>
      <c r="D14" s="117" t="s">
        <v>730</v>
      </c>
      <c r="E14" s="117" t="s">
        <v>758</v>
      </c>
      <c r="F14" s="117" t="s">
        <v>759</v>
      </c>
      <c r="G14" s="119">
        <v>4089.66</v>
      </c>
      <c r="H14" s="127">
        <f>'Additioneel werk'!G6</f>
        <v>0</v>
      </c>
      <c r="I14" s="128">
        <f>'Additioneel werk'!H6</f>
        <v>0</v>
      </c>
      <c r="J14" s="122"/>
      <c r="K14" s="123" t="e">
        <f>IF(ISBLANK(I14),0,G14 / ROUND(I14,4) * ROUND(H14,2))</f>
        <v>#DIV/0!</v>
      </c>
      <c r="L14" s="123" t="e">
        <f>C14*K14</f>
        <v>#DIV/0!</v>
      </c>
      <c r="M14" s="123" t="e">
        <f>L14/12</f>
        <v>#DIV/0!</v>
      </c>
    </row>
    <row r="15" spans="1:13" x14ac:dyDescent="0.25">
      <c r="A15" s="129" t="s">
        <v>763</v>
      </c>
      <c r="B15" s="77"/>
      <c r="C15" s="77"/>
      <c r="D15" s="77"/>
      <c r="E15" s="77"/>
      <c r="F15" s="77"/>
      <c r="G15" s="77"/>
      <c r="H15" s="77"/>
      <c r="I15" s="77"/>
      <c r="J15" s="77"/>
      <c r="K15" s="79" t="e">
        <f>SUM(K14:K14)</f>
        <v>#DIV/0!</v>
      </c>
      <c r="L15" s="79" t="e">
        <f>SUM(L14:L14)</f>
        <v>#DIV/0!</v>
      </c>
      <c r="M15" s="124" t="e">
        <f>L15/12</f>
        <v>#DIV/0!</v>
      </c>
    </row>
  </sheetData>
  <sheetProtection algorithmName="SHA-512" hashValue="gjofO0T6byFPDP4eq4P9AIdcDM3gj4KJMKb09v63Q1DvRE2xlBCJDBsizjJtRVq6h5kaNoVEFqtYcSOKzELlzA==" saltValue="KSGiB0ZNb2oaowo26k8Qz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3676-340B-49B6-B8EA-94E121C66E60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F.5.8: ",tabeltype," afroep incidenteel")</f>
        <v>Bijlage F.5.8: Invultabel afroep incidenteel</v>
      </c>
    </row>
    <row r="3" spans="1:5" ht="45" x14ac:dyDescent="0.25">
      <c r="A3" s="44" t="s">
        <v>750</v>
      </c>
      <c r="B3" s="44" t="s">
        <v>94</v>
      </c>
      <c r="C3" s="44" t="s">
        <v>97</v>
      </c>
      <c r="D3" s="44" t="s">
        <v>764</v>
      </c>
      <c r="E3" s="44" t="s">
        <v>755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99</v>
      </c>
      <c r="B5" s="49"/>
      <c r="C5" s="49"/>
      <c r="D5" s="49"/>
      <c r="E5" s="50"/>
    </row>
    <row r="6" spans="1:5" x14ac:dyDescent="0.25">
      <c r="A6" s="51" t="s">
        <v>765</v>
      </c>
      <c r="B6" s="51" t="s">
        <v>766</v>
      </c>
      <c r="C6" s="51" t="s">
        <v>767</v>
      </c>
      <c r="D6" s="51" t="s">
        <v>768</v>
      </c>
      <c r="E6" s="55"/>
    </row>
    <row r="7" spans="1:5" x14ac:dyDescent="0.25">
      <c r="A7" s="56" t="s">
        <v>769</v>
      </c>
      <c r="B7" s="56" t="s">
        <v>766</v>
      </c>
      <c r="C7" s="56" t="s">
        <v>767</v>
      </c>
      <c r="D7" s="56" t="s">
        <v>770</v>
      </c>
      <c r="E7" s="60"/>
    </row>
    <row r="8" spans="1:5" x14ac:dyDescent="0.25">
      <c r="A8" s="56" t="s">
        <v>771</v>
      </c>
      <c r="B8" s="56" t="s">
        <v>766</v>
      </c>
      <c r="C8" s="56" t="s">
        <v>767</v>
      </c>
      <c r="D8" s="56" t="s">
        <v>772</v>
      </c>
      <c r="E8" s="60"/>
    </row>
    <row r="9" spans="1:5" x14ac:dyDescent="0.25">
      <c r="A9" s="56" t="s">
        <v>773</v>
      </c>
      <c r="B9" s="56" t="s">
        <v>766</v>
      </c>
      <c r="C9" s="56" t="s">
        <v>767</v>
      </c>
      <c r="D9" s="56" t="s">
        <v>774</v>
      </c>
      <c r="E9" s="60"/>
    </row>
    <row r="10" spans="1:5" x14ac:dyDescent="0.25">
      <c r="A10" s="56" t="s">
        <v>775</v>
      </c>
      <c r="B10" s="56" t="s">
        <v>776</v>
      </c>
      <c r="C10" s="56" t="s">
        <v>767</v>
      </c>
      <c r="D10" s="56" t="s">
        <v>768</v>
      </c>
      <c r="E10" s="60"/>
    </row>
    <row r="11" spans="1:5" x14ac:dyDescent="0.25">
      <c r="A11" s="56" t="s">
        <v>777</v>
      </c>
      <c r="B11" s="56" t="s">
        <v>776</v>
      </c>
      <c r="C11" s="56" t="s">
        <v>767</v>
      </c>
      <c r="D11" s="56" t="s">
        <v>770</v>
      </c>
      <c r="E11" s="60"/>
    </row>
    <row r="12" spans="1:5" x14ac:dyDescent="0.25">
      <c r="A12" s="56" t="s">
        <v>778</v>
      </c>
      <c r="B12" s="56" t="s">
        <v>776</v>
      </c>
      <c r="C12" s="56" t="s">
        <v>767</v>
      </c>
      <c r="D12" s="56" t="s">
        <v>772</v>
      </c>
      <c r="E12" s="60"/>
    </row>
    <row r="13" spans="1:5" x14ac:dyDescent="0.25">
      <c r="A13" s="56" t="s">
        <v>779</v>
      </c>
      <c r="B13" s="56" t="s">
        <v>776</v>
      </c>
      <c r="C13" s="56" t="s">
        <v>767</v>
      </c>
      <c r="D13" s="56" t="s">
        <v>774</v>
      </c>
      <c r="E13" s="60"/>
    </row>
    <row r="14" spans="1:5" x14ac:dyDescent="0.25">
      <c r="A14" s="56" t="s">
        <v>780</v>
      </c>
      <c r="B14" s="56" t="s">
        <v>781</v>
      </c>
      <c r="C14" s="56" t="s">
        <v>767</v>
      </c>
      <c r="D14" s="56" t="s">
        <v>768</v>
      </c>
      <c r="E14" s="60"/>
    </row>
    <row r="15" spans="1:5" x14ac:dyDescent="0.25">
      <c r="A15" s="56" t="s">
        <v>782</v>
      </c>
      <c r="B15" s="56" t="s">
        <v>781</v>
      </c>
      <c r="C15" s="56" t="s">
        <v>767</v>
      </c>
      <c r="D15" s="56" t="s">
        <v>770</v>
      </c>
      <c r="E15" s="60"/>
    </row>
    <row r="16" spans="1:5" x14ac:dyDescent="0.25">
      <c r="A16" s="56" t="s">
        <v>783</v>
      </c>
      <c r="B16" s="56" t="s">
        <v>781</v>
      </c>
      <c r="C16" s="56" t="s">
        <v>767</v>
      </c>
      <c r="D16" s="56" t="s">
        <v>772</v>
      </c>
      <c r="E16" s="60"/>
    </row>
    <row r="17" spans="1:5" x14ac:dyDescent="0.25">
      <c r="A17" s="56" t="s">
        <v>784</v>
      </c>
      <c r="B17" s="56" t="s">
        <v>781</v>
      </c>
      <c r="C17" s="56" t="s">
        <v>767</v>
      </c>
      <c r="D17" s="56" t="s">
        <v>774</v>
      </c>
      <c r="E17" s="60"/>
    </row>
    <row r="18" spans="1:5" x14ac:dyDescent="0.25">
      <c r="A18" s="56" t="s">
        <v>785</v>
      </c>
      <c r="B18" s="56" t="s">
        <v>786</v>
      </c>
      <c r="C18" s="56" t="s">
        <v>767</v>
      </c>
      <c r="D18" s="56" t="s">
        <v>768</v>
      </c>
      <c r="E18" s="60"/>
    </row>
    <row r="19" spans="1:5" x14ac:dyDescent="0.25">
      <c r="A19" s="56" t="s">
        <v>787</v>
      </c>
      <c r="B19" s="56" t="s">
        <v>786</v>
      </c>
      <c r="C19" s="56" t="s">
        <v>767</v>
      </c>
      <c r="D19" s="56" t="s">
        <v>770</v>
      </c>
      <c r="E19" s="60"/>
    </row>
    <row r="20" spans="1:5" x14ac:dyDescent="0.25">
      <c r="A20" s="56" t="s">
        <v>788</v>
      </c>
      <c r="B20" s="56" t="s">
        <v>786</v>
      </c>
      <c r="C20" s="56" t="s">
        <v>767</v>
      </c>
      <c r="D20" s="56" t="s">
        <v>772</v>
      </c>
      <c r="E20" s="60"/>
    </row>
    <row r="21" spans="1:5" x14ac:dyDescent="0.25">
      <c r="A21" s="56" t="s">
        <v>789</v>
      </c>
      <c r="B21" s="56" t="s">
        <v>786</v>
      </c>
      <c r="C21" s="56" t="s">
        <v>767</v>
      </c>
      <c r="D21" s="56" t="s">
        <v>774</v>
      </c>
      <c r="E21" s="60"/>
    </row>
    <row r="22" spans="1:5" x14ac:dyDescent="0.25">
      <c r="A22" s="56" t="s">
        <v>790</v>
      </c>
      <c r="B22" s="56" t="s">
        <v>791</v>
      </c>
      <c r="C22" s="56" t="s">
        <v>792</v>
      </c>
      <c r="D22" s="56" t="s">
        <v>793</v>
      </c>
      <c r="E22" s="60"/>
    </row>
    <row r="23" spans="1:5" x14ac:dyDescent="0.25">
      <c r="A23" s="56" t="s">
        <v>794</v>
      </c>
      <c r="B23" s="56" t="s">
        <v>791</v>
      </c>
      <c r="C23" s="56" t="s">
        <v>792</v>
      </c>
      <c r="D23" s="56" t="s">
        <v>795</v>
      </c>
      <c r="E23" s="60"/>
    </row>
    <row r="24" spans="1:5" x14ac:dyDescent="0.25">
      <c r="A24" s="56" t="s">
        <v>796</v>
      </c>
      <c r="B24" s="56" t="s">
        <v>791</v>
      </c>
      <c r="C24" s="56" t="s">
        <v>792</v>
      </c>
      <c r="D24" s="56" t="s">
        <v>797</v>
      </c>
      <c r="E24" s="60"/>
    </row>
    <row r="25" spans="1:5" x14ac:dyDescent="0.25">
      <c r="A25" s="56" t="s">
        <v>798</v>
      </c>
      <c r="B25" s="56" t="s">
        <v>791</v>
      </c>
      <c r="C25" s="56" t="s">
        <v>792</v>
      </c>
      <c r="D25" s="56" t="s">
        <v>799</v>
      </c>
      <c r="E25" s="60"/>
    </row>
    <row r="26" spans="1:5" x14ac:dyDescent="0.25">
      <c r="A26" s="56" t="s">
        <v>800</v>
      </c>
      <c r="B26" s="56" t="s">
        <v>801</v>
      </c>
      <c r="C26" s="56" t="s">
        <v>792</v>
      </c>
      <c r="D26" s="56" t="s">
        <v>793</v>
      </c>
      <c r="E26" s="60"/>
    </row>
    <row r="27" spans="1:5" x14ac:dyDescent="0.25">
      <c r="A27" s="56" t="s">
        <v>802</v>
      </c>
      <c r="B27" s="56" t="s">
        <v>801</v>
      </c>
      <c r="C27" s="56" t="s">
        <v>792</v>
      </c>
      <c r="D27" s="56" t="s">
        <v>795</v>
      </c>
      <c r="E27" s="60"/>
    </row>
    <row r="28" spans="1:5" x14ac:dyDescent="0.25">
      <c r="A28" s="56" t="s">
        <v>803</v>
      </c>
      <c r="B28" s="56" t="s">
        <v>801</v>
      </c>
      <c r="C28" s="56" t="s">
        <v>792</v>
      </c>
      <c r="D28" s="56" t="s">
        <v>797</v>
      </c>
      <c r="E28" s="60"/>
    </row>
    <row r="29" spans="1:5" x14ac:dyDescent="0.25">
      <c r="A29" s="56" t="s">
        <v>804</v>
      </c>
      <c r="B29" s="56" t="s">
        <v>801</v>
      </c>
      <c r="C29" s="56" t="s">
        <v>792</v>
      </c>
      <c r="D29" s="56" t="s">
        <v>799</v>
      </c>
      <c r="E29" s="60"/>
    </row>
    <row r="30" spans="1:5" x14ac:dyDescent="0.25">
      <c r="A30" s="56" t="s">
        <v>805</v>
      </c>
      <c r="B30" s="56" t="s">
        <v>806</v>
      </c>
      <c r="C30" s="56" t="s">
        <v>792</v>
      </c>
      <c r="D30" s="56" t="s">
        <v>793</v>
      </c>
      <c r="E30" s="60"/>
    </row>
    <row r="31" spans="1:5" x14ac:dyDescent="0.25">
      <c r="A31" s="56" t="s">
        <v>807</v>
      </c>
      <c r="B31" s="56" t="s">
        <v>806</v>
      </c>
      <c r="C31" s="56" t="s">
        <v>792</v>
      </c>
      <c r="D31" s="56" t="s">
        <v>795</v>
      </c>
      <c r="E31" s="60"/>
    </row>
    <row r="32" spans="1:5" x14ac:dyDescent="0.25">
      <c r="A32" s="56" t="s">
        <v>808</v>
      </c>
      <c r="B32" s="56" t="s">
        <v>806</v>
      </c>
      <c r="C32" s="56" t="s">
        <v>792</v>
      </c>
      <c r="D32" s="56" t="s">
        <v>797</v>
      </c>
      <c r="E32" s="60"/>
    </row>
    <row r="33" spans="1:5" x14ac:dyDescent="0.25">
      <c r="A33" s="56" t="s">
        <v>809</v>
      </c>
      <c r="B33" s="56" t="s">
        <v>806</v>
      </c>
      <c r="C33" s="56" t="s">
        <v>792</v>
      </c>
      <c r="D33" s="56" t="s">
        <v>799</v>
      </c>
      <c r="E33" s="60"/>
    </row>
    <row r="34" spans="1:5" x14ac:dyDescent="0.25">
      <c r="A34" s="56" t="s">
        <v>810</v>
      </c>
      <c r="B34" s="56" t="s">
        <v>811</v>
      </c>
      <c r="C34" s="56" t="s">
        <v>792</v>
      </c>
      <c r="D34" s="56" t="s">
        <v>793</v>
      </c>
      <c r="E34" s="60"/>
    </row>
    <row r="35" spans="1:5" x14ac:dyDescent="0.25">
      <c r="A35" s="56" t="s">
        <v>812</v>
      </c>
      <c r="B35" s="56" t="s">
        <v>811</v>
      </c>
      <c r="C35" s="56" t="s">
        <v>792</v>
      </c>
      <c r="D35" s="56" t="s">
        <v>795</v>
      </c>
      <c r="E35" s="60"/>
    </row>
    <row r="36" spans="1:5" x14ac:dyDescent="0.25">
      <c r="A36" s="56" t="s">
        <v>813</v>
      </c>
      <c r="B36" s="56" t="s">
        <v>811</v>
      </c>
      <c r="C36" s="56" t="s">
        <v>792</v>
      </c>
      <c r="D36" s="56" t="s">
        <v>797</v>
      </c>
      <c r="E36" s="60"/>
    </row>
    <row r="37" spans="1:5" x14ac:dyDescent="0.25">
      <c r="A37" s="56" t="s">
        <v>814</v>
      </c>
      <c r="B37" s="56" t="s">
        <v>811</v>
      </c>
      <c r="C37" s="56" t="s">
        <v>792</v>
      </c>
      <c r="D37" s="56" t="s">
        <v>799</v>
      </c>
      <c r="E37" s="60"/>
    </row>
    <row r="38" spans="1:5" x14ac:dyDescent="0.25">
      <c r="A38" s="56" t="s">
        <v>815</v>
      </c>
      <c r="B38" s="56" t="s">
        <v>816</v>
      </c>
      <c r="C38" s="56" t="s">
        <v>792</v>
      </c>
      <c r="D38" s="56" t="s">
        <v>793</v>
      </c>
      <c r="E38" s="60"/>
    </row>
    <row r="39" spans="1:5" x14ac:dyDescent="0.25">
      <c r="A39" s="56" t="s">
        <v>817</v>
      </c>
      <c r="B39" s="56" t="s">
        <v>816</v>
      </c>
      <c r="C39" s="56" t="s">
        <v>792</v>
      </c>
      <c r="D39" s="56" t="s">
        <v>795</v>
      </c>
      <c r="E39" s="60"/>
    </row>
    <row r="40" spans="1:5" x14ac:dyDescent="0.25">
      <c r="A40" s="56" t="s">
        <v>818</v>
      </c>
      <c r="B40" s="56" t="s">
        <v>816</v>
      </c>
      <c r="C40" s="56" t="s">
        <v>792</v>
      </c>
      <c r="D40" s="56" t="s">
        <v>797</v>
      </c>
      <c r="E40" s="60"/>
    </row>
    <row r="41" spans="1:5" x14ac:dyDescent="0.25">
      <c r="A41" s="56" t="s">
        <v>819</v>
      </c>
      <c r="B41" s="56" t="s">
        <v>816</v>
      </c>
      <c r="C41" s="56" t="s">
        <v>792</v>
      </c>
      <c r="D41" s="56" t="s">
        <v>799</v>
      </c>
      <c r="E41" s="60"/>
    </row>
    <row r="42" spans="1:5" x14ac:dyDescent="0.25">
      <c r="A42" s="56" t="s">
        <v>820</v>
      </c>
      <c r="B42" s="56" t="s">
        <v>821</v>
      </c>
      <c r="C42" s="56" t="s">
        <v>792</v>
      </c>
      <c r="D42" s="56" t="s">
        <v>793</v>
      </c>
      <c r="E42" s="60"/>
    </row>
    <row r="43" spans="1:5" x14ac:dyDescent="0.25">
      <c r="A43" s="56" t="s">
        <v>822</v>
      </c>
      <c r="B43" s="56" t="s">
        <v>821</v>
      </c>
      <c r="C43" s="56" t="s">
        <v>792</v>
      </c>
      <c r="D43" s="56" t="s">
        <v>795</v>
      </c>
      <c r="E43" s="60"/>
    </row>
    <row r="44" spans="1:5" x14ac:dyDescent="0.25">
      <c r="A44" s="56" t="s">
        <v>823</v>
      </c>
      <c r="B44" s="56" t="s">
        <v>821</v>
      </c>
      <c r="C44" s="56" t="s">
        <v>792</v>
      </c>
      <c r="D44" s="56" t="s">
        <v>797</v>
      </c>
      <c r="E44" s="60"/>
    </row>
    <row r="45" spans="1:5" x14ac:dyDescent="0.25">
      <c r="A45" s="56" t="s">
        <v>824</v>
      </c>
      <c r="B45" s="56" t="s">
        <v>821</v>
      </c>
      <c r="C45" s="56" t="s">
        <v>792</v>
      </c>
      <c r="D45" s="56" t="s">
        <v>799</v>
      </c>
      <c r="E45" s="60"/>
    </row>
    <row r="46" spans="1:5" x14ac:dyDescent="0.25">
      <c r="A46" s="56" t="s">
        <v>825</v>
      </c>
      <c r="B46" s="56" t="s">
        <v>826</v>
      </c>
      <c r="C46" s="56" t="s">
        <v>792</v>
      </c>
      <c r="D46" s="56" t="s">
        <v>793</v>
      </c>
      <c r="E46" s="60"/>
    </row>
    <row r="47" spans="1:5" x14ac:dyDescent="0.25">
      <c r="A47" s="56" t="s">
        <v>827</v>
      </c>
      <c r="B47" s="56" t="s">
        <v>826</v>
      </c>
      <c r="C47" s="56" t="s">
        <v>792</v>
      </c>
      <c r="D47" s="56" t="s">
        <v>795</v>
      </c>
      <c r="E47" s="60"/>
    </row>
    <row r="48" spans="1:5" x14ac:dyDescent="0.25">
      <c r="A48" s="56" t="s">
        <v>828</v>
      </c>
      <c r="B48" s="56" t="s">
        <v>826</v>
      </c>
      <c r="C48" s="56" t="s">
        <v>792</v>
      </c>
      <c r="D48" s="56" t="s">
        <v>797</v>
      </c>
      <c r="E48" s="60"/>
    </row>
    <row r="49" spans="1:5" x14ac:dyDescent="0.25">
      <c r="A49" s="56" t="s">
        <v>829</v>
      </c>
      <c r="B49" s="56" t="s">
        <v>826</v>
      </c>
      <c r="C49" s="56" t="s">
        <v>792</v>
      </c>
      <c r="D49" s="56" t="s">
        <v>799</v>
      </c>
      <c r="E49" s="60"/>
    </row>
    <row r="50" spans="1:5" x14ac:dyDescent="0.25">
      <c r="A50" s="56" t="s">
        <v>830</v>
      </c>
      <c r="B50" s="56" t="s">
        <v>831</v>
      </c>
      <c r="C50" s="56" t="s">
        <v>792</v>
      </c>
      <c r="D50" s="56" t="s">
        <v>37</v>
      </c>
      <c r="E50" s="60"/>
    </row>
    <row r="51" spans="1:5" x14ac:dyDescent="0.25">
      <c r="A51" s="56" t="s">
        <v>832</v>
      </c>
      <c r="B51" s="56" t="s">
        <v>833</v>
      </c>
      <c r="C51" s="56" t="s">
        <v>834</v>
      </c>
      <c r="D51" s="56" t="s">
        <v>37</v>
      </c>
      <c r="E51" s="60"/>
    </row>
    <row r="52" spans="1:5" x14ac:dyDescent="0.25">
      <c r="A52" s="56" t="s">
        <v>835</v>
      </c>
      <c r="B52" s="56" t="s">
        <v>836</v>
      </c>
      <c r="C52" s="56" t="s">
        <v>792</v>
      </c>
      <c r="D52" s="56" t="s">
        <v>837</v>
      </c>
      <c r="E52" s="60"/>
    </row>
    <row r="53" spans="1:5" x14ac:dyDescent="0.25">
      <c r="A53" s="56" t="s">
        <v>838</v>
      </c>
      <c r="B53" s="56" t="s">
        <v>836</v>
      </c>
      <c r="C53" s="56" t="s">
        <v>792</v>
      </c>
      <c r="D53" s="56" t="s">
        <v>839</v>
      </c>
      <c r="E53" s="60"/>
    </row>
    <row r="54" spans="1:5" x14ac:dyDescent="0.25">
      <c r="A54" s="56" t="s">
        <v>840</v>
      </c>
      <c r="B54" s="56" t="s">
        <v>836</v>
      </c>
      <c r="C54" s="56" t="s">
        <v>792</v>
      </c>
      <c r="D54" s="56" t="s">
        <v>841</v>
      </c>
      <c r="E54" s="60"/>
    </row>
    <row r="55" spans="1:5" x14ac:dyDescent="0.25">
      <c r="A55" s="56" t="s">
        <v>842</v>
      </c>
      <c r="B55" s="56" t="s">
        <v>836</v>
      </c>
      <c r="C55" s="56" t="s">
        <v>792</v>
      </c>
      <c r="D55" s="56" t="s">
        <v>843</v>
      </c>
      <c r="E55" s="60"/>
    </row>
    <row r="56" spans="1:5" x14ac:dyDescent="0.25">
      <c r="A56" s="56" t="s">
        <v>844</v>
      </c>
      <c r="B56" s="56" t="s">
        <v>845</v>
      </c>
      <c r="C56" s="56" t="s">
        <v>792</v>
      </c>
      <c r="D56" s="56" t="s">
        <v>837</v>
      </c>
      <c r="E56" s="60"/>
    </row>
    <row r="57" spans="1:5" x14ac:dyDescent="0.25">
      <c r="A57" s="56" t="s">
        <v>846</v>
      </c>
      <c r="B57" s="56" t="s">
        <v>845</v>
      </c>
      <c r="C57" s="56" t="s">
        <v>792</v>
      </c>
      <c r="D57" s="56" t="s">
        <v>839</v>
      </c>
      <c r="E57" s="60"/>
    </row>
    <row r="58" spans="1:5" x14ac:dyDescent="0.25">
      <c r="A58" s="56" t="s">
        <v>847</v>
      </c>
      <c r="B58" s="56" t="s">
        <v>845</v>
      </c>
      <c r="C58" s="56" t="s">
        <v>792</v>
      </c>
      <c r="D58" s="56" t="s">
        <v>841</v>
      </c>
      <c r="E58" s="60"/>
    </row>
    <row r="59" spans="1:5" x14ac:dyDescent="0.25">
      <c r="A59" s="56" t="s">
        <v>848</v>
      </c>
      <c r="B59" s="56" t="s">
        <v>845</v>
      </c>
      <c r="C59" s="56" t="s">
        <v>792</v>
      </c>
      <c r="D59" s="56" t="s">
        <v>843</v>
      </c>
      <c r="E59" s="60"/>
    </row>
    <row r="60" spans="1:5" x14ac:dyDescent="0.25">
      <c r="A60" s="56" t="s">
        <v>849</v>
      </c>
      <c r="B60" s="56" t="s">
        <v>850</v>
      </c>
      <c r="C60" s="56" t="s">
        <v>792</v>
      </c>
      <c r="D60" s="56" t="s">
        <v>837</v>
      </c>
      <c r="E60" s="60"/>
    </row>
    <row r="61" spans="1:5" x14ac:dyDescent="0.25">
      <c r="A61" s="56" t="s">
        <v>851</v>
      </c>
      <c r="B61" s="56" t="s">
        <v>850</v>
      </c>
      <c r="C61" s="56" t="s">
        <v>792</v>
      </c>
      <c r="D61" s="56" t="s">
        <v>839</v>
      </c>
      <c r="E61" s="60"/>
    </row>
    <row r="62" spans="1:5" x14ac:dyDescent="0.25">
      <c r="A62" s="56" t="s">
        <v>852</v>
      </c>
      <c r="B62" s="56" t="s">
        <v>850</v>
      </c>
      <c r="C62" s="56" t="s">
        <v>792</v>
      </c>
      <c r="D62" s="56" t="s">
        <v>841</v>
      </c>
      <c r="E62" s="60"/>
    </row>
    <row r="63" spans="1:5" x14ac:dyDescent="0.25">
      <c r="A63" s="56" t="s">
        <v>853</v>
      </c>
      <c r="B63" s="56" t="s">
        <v>850</v>
      </c>
      <c r="C63" s="56" t="s">
        <v>792</v>
      </c>
      <c r="D63" s="56" t="s">
        <v>843</v>
      </c>
      <c r="E63" s="60"/>
    </row>
    <row r="64" spans="1:5" x14ac:dyDescent="0.25">
      <c r="A64" s="56" t="s">
        <v>854</v>
      </c>
      <c r="B64" s="56" t="s">
        <v>855</v>
      </c>
      <c r="C64" s="56" t="s">
        <v>792</v>
      </c>
      <c r="D64" s="56" t="s">
        <v>837</v>
      </c>
      <c r="E64" s="60"/>
    </row>
    <row r="65" spans="1:5" x14ac:dyDescent="0.25">
      <c r="A65" s="56" t="s">
        <v>856</v>
      </c>
      <c r="B65" s="56" t="s">
        <v>855</v>
      </c>
      <c r="C65" s="56" t="s">
        <v>792</v>
      </c>
      <c r="D65" s="56" t="s">
        <v>839</v>
      </c>
      <c r="E65" s="60"/>
    </row>
    <row r="66" spans="1:5" x14ac:dyDescent="0.25">
      <c r="A66" s="56" t="s">
        <v>857</v>
      </c>
      <c r="B66" s="56" t="s">
        <v>855</v>
      </c>
      <c r="C66" s="56" t="s">
        <v>792</v>
      </c>
      <c r="D66" s="56" t="s">
        <v>841</v>
      </c>
      <c r="E66" s="60"/>
    </row>
    <row r="67" spans="1:5" x14ac:dyDescent="0.25">
      <c r="A67" s="56" t="s">
        <v>858</v>
      </c>
      <c r="B67" s="56" t="s">
        <v>855</v>
      </c>
      <c r="C67" s="56" t="s">
        <v>792</v>
      </c>
      <c r="D67" s="56" t="s">
        <v>843</v>
      </c>
      <c r="E67" s="60"/>
    </row>
    <row r="68" spans="1:5" x14ac:dyDescent="0.25">
      <c r="A68" s="56" t="s">
        <v>859</v>
      </c>
      <c r="B68" s="56" t="s">
        <v>860</v>
      </c>
      <c r="C68" s="56" t="s">
        <v>792</v>
      </c>
      <c r="D68" s="56" t="s">
        <v>837</v>
      </c>
      <c r="E68" s="60"/>
    </row>
    <row r="69" spans="1:5" x14ac:dyDescent="0.25">
      <c r="A69" s="56" t="s">
        <v>861</v>
      </c>
      <c r="B69" s="56" t="s">
        <v>860</v>
      </c>
      <c r="C69" s="56" t="s">
        <v>792</v>
      </c>
      <c r="D69" s="56" t="s">
        <v>839</v>
      </c>
      <c r="E69" s="60"/>
    </row>
    <row r="70" spans="1:5" x14ac:dyDescent="0.25">
      <c r="A70" s="56" t="s">
        <v>862</v>
      </c>
      <c r="B70" s="56" t="s">
        <v>860</v>
      </c>
      <c r="C70" s="56" t="s">
        <v>792</v>
      </c>
      <c r="D70" s="56" t="s">
        <v>841</v>
      </c>
      <c r="E70" s="60"/>
    </row>
    <row r="71" spans="1:5" x14ac:dyDescent="0.25">
      <c r="A71" s="56" t="s">
        <v>863</v>
      </c>
      <c r="B71" s="56" t="s">
        <v>860</v>
      </c>
      <c r="C71" s="56" t="s">
        <v>792</v>
      </c>
      <c r="D71" s="56" t="s">
        <v>843</v>
      </c>
      <c r="E71" s="60"/>
    </row>
    <row r="72" spans="1:5" x14ac:dyDescent="0.25">
      <c r="A72" s="56" t="s">
        <v>864</v>
      </c>
      <c r="B72" s="56" t="s">
        <v>865</v>
      </c>
      <c r="C72" s="56" t="s">
        <v>792</v>
      </c>
      <c r="D72" s="56" t="s">
        <v>837</v>
      </c>
      <c r="E72" s="60"/>
    </row>
    <row r="73" spans="1:5" x14ac:dyDescent="0.25">
      <c r="A73" s="56" t="s">
        <v>866</v>
      </c>
      <c r="B73" s="56" t="s">
        <v>865</v>
      </c>
      <c r="C73" s="56" t="s">
        <v>792</v>
      </c>
      <c r="D73" s="56" t="s">
        <v>839</v>
      </c>
      <c r="E73" s="60"/>
    </row>
    <row r="74" spans="1:5" x14ac:dyDescent="0.25">
      <c r="A74" s="56" t="s">
        <v>867</v>
      </c>
      <c r="B74" s="56" t="s">
        <v>865</v>
      </c>
      <c r="C74" s="56" t="s">
        <v>792</v>
      </c>
      <c r="D74" s="56" t="s">
        <v>841</v>
      </c>
      <c r="E74" s="60"/>
    </row>
    <row r="75" spans="1:5" x14ac:dyDescent="0.25">
      <c r="A75" s="56" t="s">
        <v>868</v>
      </c>
      <c r="B75" s="56" t="s">
        <v>865</v>
      </c>
      <c r="C75" s="56" t="s">
        <v>792</v>
      </c>
      <c r="D75" s="56" t="s">
        <v>843</v>
      </c>
      <c r="E75" s="60"/>
    </row>
    <row r="76" spans="1:5" x14ac:dyDescent="0.25">
      <c r="A76" s="56" t="s">
        <v>869</v>
      </c>
      <c r="B76" s="56" t="s">
        <v>870</v>
      </c>
      <c r="C76" s="56" t="s">
        <v>792</v>
      </c>
      <c r="D76" s="56" t="s">
        <v>837</v>
      </c>
      <c r="E76" s="60"/>
    </row>
    <row r="77" spans="1:5" x14ac:dyDescent="0.25">
      <c r="A77" s="56" t="s">
        <v>871</v>
      </c>
      <c r="B77" s="56" t="s">
        <v>870</v>
      </c>
      <c r="C77" s="56" t="s">
        <v>792</v>
      </c>
      <c r="D77" s="56" t="s">
        <v>839</v>
      </c>
      <c r="E77" s="60"/>
    </row>
    <row r="78" spans="1:5" x14ac:dyDescent="0.25">
      <c r="A78" s="56" t="s">
        <v>872</v>
      </c>
      <c r="B78" s="56" t="s">
        <v>870</v>
      </c>
      <c r="C78" s="56" t="s">
        <v>792</v>
      </c>
      <c r="D78" s="56" t="s">
        <v>841</v>
      </c>
      <c r="E78" s="60"/>
    </row>
    <row r="79" spans="1:5" x14ac:dyDescent="0.25">
      <c r="A79" s="56" t="s">
        <v>873</v>
      </c>
      <c r="B79" s="56" t="s">
        <v>870</v>
      </c>
      <c r="C79" s="56" t="s">
        <v>792</v>
      </c>
      <c r="D79" s="56" t="s">
        <v>843</v>
      </c>
      <c r="E79" s="60"/>
    </row>
    <row r="80" spans="1:5" x14ac:dyDescent="0.25">
      <c r="A80" s="56" t="s">
        <v>874</v>
      </c>
      <c r="B80" s="56" t="s">
        <v>875</v>
      </c>
      <c r="C80" s="56" t="s">
        <v>792</v>
      </c>
      <c r="D80" s="56" t="s">
        <v>837</v>
      </c>
      <c r="E80" s="60"/>
    </row>
    <row r="81" spans="1:5" x14ac:dyDescent="0.25">
      <c r="A81" s="56" t="s">
        <v>876</v>
      </c>
      <c r="B81" s="56" t="s">
        <v>875</v>
      </c>
      <c r="C81" s="56" t="s">
        <v>792</v>
      </c>
      <c r="D81" s="56" t="s">
        <v>839</v>
      </c>
      <c r="E81" s="60"/>
    </row>
    <row r="82" spans="1:5" x14ac:dyDescent="0.25">
      <c r="A82" s="56" t="s">
        <v>877</v>
      </c>
      <c r="B82" s="56" t="s">
        <v>875</v>
      </c>
      <c r="C82" s="56" t="s">
        <v>792</v>
      </c>
      <c r="D82" s="56" t="s">
        <v>841</v>
      </c>
      <c r="E82" s="60"/>
    </row>
    <row r="83" spans="1:5" x14ac:dyDescent="0.25">
      <c r="A83" s="56" t="s">
        <v>878</v>
      </c>
      <c r="B83" s="56" t="s">
        <v>875</v>
      </c>
      <c r="C83" s="56" t="s">
        <v>792</v>
      </c>
      <c r="D83" s="56" t="s">
        <v>843</v>
      </c>
      <c r="E83" s="60"/>
    </row>
    <row r="84" spans="1:5" x14ac:dyDescent="0.25">
      <c r="A84" s="56" t="s">
        <v>879</v>
      </c>
      <c r="B84" s="56" t="s">
        <v>880</v>
      </c>
      <c r="C84" s="56" t="s">
        <v>792</v>
      </c>
      <c r="D84" s="56" t="s">
        <v>837</v>
      </c>
      <c r="E84" s="60"/>
    </row>
    <row r="85" spans="1:5" x14ac:dyDescent="0.25">
      <c r="A85" s="56" t="s">
        <v>881</v>
      </c>
      <c r="B85" s="56" t="s">
        <v>880</v>
      </c>
      <c r="C85" s="56" t="s">
        <v>792</v>
      </c>
      <c r="D85" s="56" t="s">
        <v>839</v>
      </c>
      <c r="E85" s="60"/>
    </row>
    <row r="86" spans="1:5" x14ac:dyDescent="0.25">
      <c r="A86" s="56" t="s">
        <v>882</v>
      </c>
      <c r="B86" s="56" t="s">
        <v>880</v>
      </c>
      <c r="C86" s="56" t="s">
        <v>792</v>
      </c>
      <c r="D86" s="56" t="s">
        <v>841</v>
      </c>
      <c r="E86" s="60"/>
    </row>
    <row r="87" spans="1:5" x14ac:dyDescent="0.25">
      <c r="A87" s="56" t="s">
        <v>883</v>
      </c>
      <c r="B87" s="56" t="s">
        <v>880</v>
      </c>
      <c r="C87" s="56" t="s">
        <v>792</v>
      </c>
      <c r="D87" s="56" t="s">
        <v>843</v>
      </c>
      <c r="E87" s="60"/>
    </row>
    <row r="88" spans="1:5" x14ac:dyDescent="0.25">
      <c r="A88" s="56" t="s">
        <v>884</v>
      </c>
      <c r="B88" s="56" t="s">
        <v>885</v>
      </c>
      <c r="C88" s="56" t="s">
        <v>792</v>
      </c>
      <c r="D88" s="56" t="s">
        <v>837</v>
      </c>
      <c r="E88" s="60"/>
    </row>
    <row r="89" spans="1:5" x14ac:dyDescent="0.25">
      <c r="A89" s="56" t="s">
        <v>886</v>
      </c>
      <c r="B89" s="56" t="s">
        <v>885</v>
      </c>
      <c r="C89" s="56" t="s">
        <v>792</v>
      </c>
      <c r="D89" s="56" t="s">
        <v>839</v>
      </c>
      <c r="E89" s="60"/>
    </row>
    <row r="90" spans="1:5" x14ac:dyDescent="0.25">
      <c r="A90" s="56" t="s">
        <v>887</v>
      </c>
      <c r="B90" s="56" t="s">
        <v>885</v>
      </c>
      <c r="C90" s="56" t="s">
        <v>792</v>
      </c>
      <c r="D90" s="56" t="s">
        <v>841</v>
      </c>
      <c r="E90" s="60"/>
    </row>
    <row r="91" spans="1:5" x14ac:dyDescent="0.25">
      <c r="A91" s="56" t="s">
        <v>888</v>
      </c>
      <c r="B91" s="56" t="s">
        <v>885</v>
      </c>
      <c r="C91" s="56" t="s">
        <v>792</v>
      </c>
      <c r="D91" s="56" t="s">
        <v>843</v>
      </c>
      <c r="E91" s="60"/>
    </row>
    <row r="92" spans="1:5" x14ac:dyDescent="0.25">
      <c r="A92" s="56" t="s">
        <v>889</v>
      </c>
      <c r="B92" s="56" t="s">
        <v>890</v>
      </c>
      <c r="C92" s="56" t="s">
        <v>767</v>
      </c>
      <c r="D92" s="56" t="s">
        <v>768</v>
      </c>
      <c r="E92" s="60"/>
    </row>
    <row r="93" spans="1:5" x14ac:dyDescent="0.25">
      <c r="A93" s="56" t="s">
        <v>891</v>
      </c>
      <c r="B93" s="56" t="s">
        <v>890</v>
      </c>
      <c r="C93" s="56" t="s">
        <v>767</v>
      </c>
      <c r="D93" s="56" t="s">
        <v>770</v>
      </c>
      <c r="E93" s="60"/>
    </row>
    <row r="94" spans="1:5" x14ac:dyDescent="0.25">
      <c r="A94" s="56" t="s">
        <v>892</v>
      </c>
      <c r="B94" s="56" t="s">
        <v>890</v>
      </c>
      <c r="C94" s="56" t="s">
        <v>767</v>
      </c>
      <c r="D94" s="56" t="s">
        <v>772</v>
      </c>
      <c r="E94" s="60"/>
    </row>
    <row r="95" spans="1:5" x14ac:dyDescent="0.25">
      <c r="A95" s="61" t="s">
        <v>893</v>
      </c>
      <c r="B95" s="61" t="s">
        <v>890</v>
      </c>
      <c r="C95" s="61" t="s">
        <v>767</v>
      </c>
      <c r="D95" s="61" t="s">
        <v>774</v>
      </c>
      <c r="E95" s="65"/>
    </row>
    <row r="96" spans="1:5" x14ac:dyDescent="0.25">
      <c r="A96" s="76" t="s">
        <v>227</v>
      </c>
      <c r="B96" s="77"/>
      <c r="C96" s="77"/>
      <c r="D96" s="77"/>
      <c r="E96" s="126"/>
    </row>
    <row r="98" spans="1:5" x14ac:dyDescent="0.25">
      <c r="A98" s="76" t="s">
        <v>894</v>
      </c>
      <c r="B98" s="77"/>
      <c r="C98" s="77"/>
      <c r="D98" s="77"/>
      <c r="E98" s="126"/>
    </row>
  </sheetData>
  <sheetProtection algorithmName="SHA-512" hashValue="Tl0KFNFkFwqkHd/AWw5K4Pupu1HeZwXjOCm01v/R2l/rWgxey8bKr3uGYrXkhsiXt+wLNhIRMWOcZMu2TAXRkg==" saltValue="L3lfsMcXSxrxnpF8UY1MV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F2FE-F317-4497-A73A-AC2517F6B220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F.5.9: ",tabeltype," regiewerk")</f>
        <v>Bijlage F.5.9: Invultabel regiewerk</v>
      </c>
    </row>
    <row r="3" spans="1:12" ht="45" x14ac:dyDescent="0.25">
      <c r="A3" s="44" t="s">
        <v>750</v>
      </c>
      <c r="B3" s="44" t="s">
        <v>7</v>
      </c>
      <c r="C3" s="44" t="s">
        <v>751</v>
      </c>
      <c r="D3" s="44" t="s">
        <v>94</v>
      </c>
      <c r="E3" s="44" t="s">
        <v>97</v>
      </c>
      <c r="F3" s="44" t="s">
        <v>752</v>
      </c>
      <c r="G3" s="44" t="s">
        <v>753</v>
      </c>
      <c r="H3" s="44" t="s">
        <v>754</v>
      </c>
      <c r="I3" s="44" t="s">
        <v>755</v>
      </c>
      <c r="J3" s="44" t="s">
        <v>756</v>
      </c>
      <c r="K3" s="44" t="s">
        <v>187</v>
      </c>
      <c r="L3" s="44" t="s">
        <v>737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895</v>
      </c>
      <c r="B6" s="51" t="s">
        <v>18</v>
      </c>
      <c r="C6" s="52">
        <f>IF(ISBLANK(B6),0,IF(ISERROR(VALUE(B6)),VLOOKUP(B6,dagsoorttabel1,2,FALSE)*dagenperjaar1,VALUE(B6)))</f>
        <v>10</v>
      </c>
      <c r="D6" s="51" t="s">
        <v>896</v>
      </c>
      <c r="E6" s="51" t="s">
        <v>834</v>
      </c>
      <c r="F6" s="130">
        <v>20</v>
      </c>
      <c r="G6" s="55"/>
      <c r="H6" s="131"/>
      <c r="I6" s="132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897</v>
      </c>
      <c r="B7" s="61" t="s">
        <v>18</v>
      </c>
      <c r="C7" s="62">
        <f>IF(ISBLANK(B7),0,IF(ISERROR(VALUE(B7)),VLOOKUP(B7,dagsoorttabel1,2,FALSE)*dagenperjaar1,VALUE(B7)))</f>
        <v>10</v>
      </c>
      <c r="D7" s="61" t="s">
        <v>898</v>
      </c>
      <c r="E7" s="61" t="s">
        <v>834</v>
      </c>
      <c r="F7" s="133">
        <v>4</v>
      </c>
      <c r="G7" s="65"/>
      <c r="H7" s="134"/>
      <c r="I7" s="135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227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4">
        <f>K8/12</f>
        <v>0</v>
      </c>
    </row>
    <row r="10" spans="1:12" x14ac:dyDescent="0.25">
      <c r="A10" s="76" t="s">
        <v>899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4">
        <f>K10/12</f>
        <v>0</v>
      </c>
    </row>
  </sheetData>
  <sheetProtection algorithmName="SHA-512" hashValue="cRqZTN5mfQ3tfy2I5Y1h4tnHRAgwHh+AlY9uHpIpss5ibUaODXlDG3ORGfP/N+bZICtnzi3MCpqJTJwLKlgrcw==" saltValue="5wnHZ1XHL9QqgAK8g5FJO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21A7-FBC6-4F34-A417-228896591CED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F.5.10: ",tabeltype," glas")</f>
        <v>Bijlage F.5.10: Invultabel glas</v>
      </c>
    </row>
    <row r="3" spans="1:12" ht="45" x14ac:dyDescent="0.25">
      <c r="A3" s="44" t="s">
        <v>750</v>
      </c>
      <c r="B3" s="44" t="s">
        <v>7</v>
      </c>
      <c r="C3" s="44" t="s">
        <v>751</v>
      </c>
      <c r="D3" s="44" t="s">
        <v>94</v>
      </c>
      <c r="E3" s="44" t="s">
        <v>97</v>
      </c>
      <c r="F3" s="44" t="s">
        <v>752</v>
      </c>
      <c r="G3" s="44" t="s">
        <v>753</v>
      </c>
      <c r="H3" s="44" t="s">
        <v>754</v>
      </c>
      <c r="I3" s="44" t="s">
        <v>755</v>
      </c>
      <c r="J3" s="44" t="s">
        <v>756</v>
      </c>
      <c r="K3" s="44" t="s">
        <v>187</v>
      </c>
      <c r="L3" s="44" t="s">
        <v>737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900</v>
      </c>
      <c r="B6" s="51" t="s">
        <v>22</v>
      </c>
      <c r="C6" s="52">
        <f>IF(ISBLANK(B6),0,IF(ISERROR(VALUE(B6)),VLOOKUP(B6,dagsoorttabel1,2,FALSE)*dagenperjaar1,VALUE(B6)))</f>
        <v>2</v>
      </c>
      <c r="D6" s="51" t="s">
        <v>901</v>
      </c>
      <c r="E6" s="51" t="s">
        <v>792</v>
      </c>
      <c r="F6" s="130">
        <v>4000</v>
      </c>
      <c r="G6" s="55"/>
      <c r="H6" s="131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902</v>
      </c>
      <c r="B7" s="56" t="s">
        <v>22</v>
      </c>
      <c r="C7" s="57">
        <f>IF(ISBLANK(B7),0,IF(ISERROR(VALUE(B7)),VLOOKUP(B7,dagsoorttabel1,2,FALSE)*dagenperjaar1,VALUE(B7)))</f>
        <v>2</v>
      </c>
      <c r="D7" s="56" t="s">
        <v>903</v>
      </c>
      <c r="E7" s="56" t="s">
        <v>792</v>
      </c>
      <c r="F7" s="136">
        <v>4000</v>
      </c>
      <c r="G7" s="60"/>
      <c r="H7" s="137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904</v>
      </c>
      <c r="B8" s="61" t="s">
        <v>22</v>
      </c>
      <c r="C8" s="62">
        <f>IF(ISBLANK(B8),0,IF(ISERROR(VALUE(B8)),VLOOKUP(B8,dagsoorttabel1,2,FALSE)*dagenperjaar1,VALUE(B8)))</f>
        <v>2</v>
      </c>
      <c r="D8" s="61" t="s">
        <v>905</v>
      </c>
      <c r="E8" s="61" t="s">
        <v>792</v>
      </c>
      <c r="F8" s="133">
        <v>6000</v>
      </c>
      <c r="G8" s="65"/>
      <c r="H8" s="134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227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4">
        <f>K9/12</f>
        <v>0</v>
      </c>
    </row>
    <row r="11" spans="1:12" x14ac:dyDescent="0.25">
      <c r="A11" s="76" t="s">
        <v>906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4">
        <f>K11/12</f>
        <v>0</v>
      </c>
    </row>
  </sheetData>
  <sheetProtection algorithmName="SHA-512" hashValue="kf0yOrmVfYTIYIfCxkFfZEpYZmOQlMK7A+2cIl+OCwn0wEyLGZWbZUCIp/IRbY1bEDgDQOZCAYD3ja0kzi75Eg==" saltValue="oI+uGjulxISawZe0bcsK3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83E9-D71B-4C91-85C5-3BC9C6B9219E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F.5.11: ",tabeltype," totaalblad schoonmaakwerk")</f>
        <v>Bijlage F.5.11: Invultabel totaalblad schoonmaakwerk</v>
      </c>
    </row>
    <row r="3" spans="1:5" ht="30" x14ac:dyDescent="0.25">
      <c r="A3" s="44" t="s">
        <v>907</v>
      </c>
      <c r="B3" s="44" t="s">
        <v>908</v>
      </c>
      <c r="C3" s="44" t="s">
        <v>909</v>
      </c>
      <c r="D3" s="44" t="s">
        <v>910</v>
      </c>
    </row>
    <row r="4" spans="1:5" x14ac:dyDescent="0.25">
      <c r="A4" s="138" t="s">
        <v>911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9" t="s">
        <v>912</v>
      </c>
      <c r="B5" s="140"/>
      <c r="C5" s="71">
        <f>prijsjaaradditioneel</f>
        <v>0</v>
      </c>
      <c r="D5" s="71">
        <f>C5*1.21</f>
        <v>0</v>
      </c>
    </row>
    <row r="6" spans="1:5" x14ac:dyDescent="0.25">
      <c r="A6" s="139" t="s">
        <v>913</v>
      </c>
      <c r="B6" s="140"/>
      <c r="C6" s="71">
        <f>prijsjaarregie</f>
        <v>0</v>
      </c>
      <c r="D6" s="71">
        <f>C6*1.21</f>
        <v>0</v>
      </c>
    </row>
    <row r="7" spans="1:5" x14ac:dyDescent="0.25">
      <c r="A7" s="141" t="s">
        <v>914</v>
      </c>
      <c r="B7" s="142"/>
      <c r="C7" s="74">
        <f>prijsjaarglas</f>
        <v>0</v>
      </c>
      <c r="D7" s="74">
        <f>C7*1.21</f>
        <v>0</v>
      </c>
    </row>
    <row r="9" spans="1:5" x14ac:dyDescent="0.25">
      <c r="A9" s="44" t="s">
        <v>915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3" t="s">
        <v>916</v>
      </c>
      <c r="B12" s="110"/>
      <c r="C12" s="144">
        <f>ROUND(SUM(vp_regulier,vp_additioneel,vp_regie,vp_glas),2)</f>
        <v>0</v>
      </c>
      <c r="D12" s="110"/>
      <c r="E12" s="145" t="str">
        <f>IF(OR(C12&gt;_xlfn.SINGLE(vp_prijs_plafond)),"ONGELDIG","")</f>
        <v/>
      </c>
    </row>
    <row r="13" spans="1:5" x14ac:dyDescent="0.25">
      <c r="A13" s="146" t="s">
        <v>917</v>
      </c>
      <c r="B13" s="110"/>
      <c r="C13" s="123">
        <v>478225</v>
      </c>
      <c r="D13" s="110"/>
    </row>
  </sheetData>
  <sheetProtection algorithmName="SHA-512" hashValue="M/WVpJqTK2i3l5rUcqf2OZ2kcUh2AckpV1NueRygXJqOP3Q1l9UFWDFnFs+hap2G1HmJ+XkEDdJIKIp49zuuNA==" saltValue="tHaUmglwsElkDaeBv9Pq1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1668-3BEC-476A-85CD-F3F959A8C5BF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24</v>
      </c>
    </row>
    <row r="3" spans="1:17" x14ac:dyDescent="0.25">
      <c r="A3" s="8"/>
      <c r="B3" s="9" t="s">
        <v>25</v>
      </c>
      <c r="C3" s="9"/>
      <c r="D3" s="9" t="s">
        <v>25</v>
      </c>
      <c r="E3" s="9"/>
      <c r="F3" s="9" t="s">
        <v>25</v>
      </c>
      <c r="G3" s="9"/>
      <c r="H3" s="9" t="s">
        <v>25</v>
      </c>
      <c r="I3" s="9"/>
      <c r="J3" s="9" t="s">
        <v>25</v>
      </c>
      <c r="K3" s="9"/>
      <c r="L3" s="9" t="s">
        <v>26</v>
      </c>
      <c r="M3" s="9"/>
      <c r="N3" s="9" t="s">
        <v>26</v>
      </c>
      <c r="O3" s="9"/>
      <c r="P3" s="9" t="s">
        <v>26</v>
      </c>
      <c r="Q3" s="10"/>
    </row>
    <row r="4" spans="1:17" x14ac:dyDescent="0.25">
      <c r="A4" s="11"/>
      <c r="B4" s="12" t="s">
        <v>27</v>
      </c>
      <c r="C4" s="12"/>
      <c r="D4" s="12" t="s">
        <v>27</v>
      </c>
      <c r="E4" s="12"/>
      <c r="F4" s="12" t="s">
        <v>27</v>
      </c>
      <c r="G4" s="12"/>
      <c r="H4" s="12" t="s">
        <v>28</v>
      </c>
      <c r="I4" s="12"/>
      <c r="J4" s="12" t="s">
        <v>28</v>
      </c>
      <c r="K4" s="12"/>
      <c r="L4" s="12" t="s">
        <v>27</v>
      </c>
      <c r="M4" s="12"/>
      <c r="N4" s="12" t="s">
        <v>27</v>
      </c>
      <c r="O4" s="12"/>
      <c r="P4" s="12" t="s">
        <v>28</v>
      </c>
      <c r="Q4" s="13"/>
    </row>
    <row r="5" spans="1:17" ht="30" customHeight="1" x14ac:dyDescent="0.25">
      <c r="A5" s="14" t="s">
        <v>29</v>
      </c>
      <c r="B5" s="15" t="s">
        <v>30</v>
      </c>
      <c r="C5" s="15"/>
      <c r="D5" s="15" t="s">
        <v>30</v>
      </c>
      <c r="E5" s="15"/>
      <c r="F5" s="15" t="s">
        <v>31</v>
      </c>
      <c r="G5" s="15"/>
      <c r="H5" s="15" t="s">
        <v>32</v>
      </c>
      <c r="I5" s="15"/>
      <c r="J5" s="15" t="s">
        <v>32</v>
      </c>
      <c r="K5" s="15"/>
      <c r="L5" s="15" t="s">
        <v>33</v>
      </c>
      <c r="M5" s="15"/>
      <c r="N5" s="15" t="s">
        <v>33</v>
      </c>
      <c r="O5" s="15"/>
      <c r="P5" s="15" t="s">
        <v>34</v>
      </c>
      <c r="Q5" s="16"/>
    </row>
    <row r="6" spans="1:17" ht="45" customHeight="1" x14ac:dyDescent="0.25">
      <c r="A6" s="17" t="s">
        <v>35</v>
      </c>
      <c r="B6" s="15" t="s">
        <v>36</v>
      </c>
      <c r="C6" s="15"/>
      <c r="D6" s="18" t="s">
        <v>37</v>
      </c>
      <c r="E6" s="18"/>
      <c r="F6" s="15" t="s">
        <v>38</v>
      </c>
      <c r="G6" s="15"/>
      <c r="H6" s="15" t="s">
        <v>38</v>
      </c>
      <c r="I6" s="15"/>
      <c r="J6" s="15" t="s">
        <v>39</v>
      </c>
      <c r="K6" s="15"/>
      <c r="L6" s="18" t="s">
        <v>37</v>
      </c>
      <c r="M6" s="18"/>
      <c r="N6" s="15" t="s">
        <v>40</v>
      </c>
      <c r="O6" s="15"/>
      <c r="P6" s="18" t="s">
        <v>37</v>
      </c>
      <c r="Q6" s="19"/>
    </row>
    <row r="7" spans="1:17" x14ac:dyDescent="0.25">
      <c r="A7" s="20" t="s">
        <v>41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43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44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45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46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47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48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49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50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51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52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53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54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55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56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57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58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59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60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61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62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63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64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65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66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67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68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69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70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71</v>
      </c>
      <c r="B40" s="31" t="s">
        <v>72</v>
      </c>
      <c r="C40" s="31" t="s">
        <v>73</v>
      </c>
      <c r="D40" s="31" t="s">
        <v>72</v>
      </c>
      <c r="E40" s="31" t="s">
        <v>73</v>
      </c>
      <c r="F40" s="31" t="s">
        <v>72</v>
      </c>
      <c r="G40" s="31" t="s">
        <v>73</v>
      </c>
      <c r="H40" s="31" t="s">
        <v>72</v>
      </c>
      <c r="I40" s="31" t="s">
        <v>73</v>
      </c>
      <c r="J40" s="31" t="s">
        <v>72</v>
      </c>
      <c r="K40" s="31" t="s">
        <v>73</v>
      </c>
      <c r="L40" s="31" t="s">
        <v>72</v>
      </c>
      <c r="M40" s="31" t="s">
        <v>73</v>
      </c>
      <c r="N40" s="31" t="s">
        <v>72</v>
      </c>
      <c r="O40" s="31" t="s">
        <v>73</v>
      </c>
      <c r="P40" s="31" t="s">
        <v>72</v>
      </c>
      <c r="Q40" s="32" t="s">
        <v>73</v>
      </c>
    </row>
    <row r="41" spans="1:17" x14ac:dyDescent="0.25">
      <c r="A41" s="11" t="s">
        <v>74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75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76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77</v>
      </c>
      <c r="B45" s="38" t="s">
        <v>78</v>
      </c>
      <c r="C45" s="38"/>
      <c r="D45" s="38" t="s">
        <v>79</v>
      </c>
      <c r="E45" s="38"/>
      <c r="F45" s="38" t="s">
        <v>80</v>
      </c>
      <c r="G45" s="39"/>
    </row>
    <row r="46" spans="1:17" x14ac:dyDescent="0.25">
      <c r="A46" s="28"/>
      <c r="B46" s="31" t="s">
        <v>81</v>
      </c>
      <c r="C46" s="31" t="s">
        <v>82</v>
      </c>
      <c r="D46" s="31" t="s">
        <v>81</v>
      </c>
      <c r="E46" s="31" t="s">
        <v>82</v>
      </c>
      <c r="F46" s="31" t="s">
        <v>81</v>
      </c>
      <c r="G46" s="32" t="s">
        <v>82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83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84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85</v>
      </c>
      <c r="B55" s="38" t="s">
        <v>86</v>
      </c>
      <c r="C55" s="38"/>
      <c r="D55" s="38" t="s">
        <v>87</v>
      </c>
      <c r="E55" s="38"/>
      <c r="F55" s="38" t="s">
        <v>88</v>
      </c>
      <c r="G55" s="38"/>
      <c r="H55" s="38" t="s">
        <v>89</v>
      </c>
      <c r="I55" s="39"/>
    </row>
    <row r="56" spans="1:9" x14ac:dyDescent="0.25">
      <c r="A56" s="28"/>
      <c r="B56" s="31" t="s">
        <v>81</v>
      </c>
      <c r="C56" s="31" t="s">
        <v>82</v>
      </c>
      <c r="D56" s="31" t="s">
        <v>81</v>
      </c>
      <c r="E56" s="31" t="s">
        <v>82</v>
      </c>
      <c r="F56" s="31" t="s">
        <v>81</v>
      </c>
      <c r="G56" s="31" t="s">
        <v>82</v>
      </c>
      <c r="H56" s="31" t="s">
        <v>81</v>
      </c>
      <c r="I56" s="32" t="s">
        <v>82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83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90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Rj0pAZbauNOPKxM3bW1PLLUeW228dg/fTPH6CF7TTOXGLICcM5MCBZdqt2dHZ7c8oZx9VVBKyvvViLQb7Z0+4w==" saltValue="u5ZHXB4nHWMSUdOxAaVdkQ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5F9-A732-4224-BE4F-8F369DF3BC50}">
  <dimension ref="A1:H42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F.5.1: ",tabeltype," categorienormen")</f>
        <v>Bijlage F.5.1: Invultabel categorienormen</v>
      </c>
    </row>
    <row r="3" spans="1:8" ht="60" x14ac:dyDescent="0.25">
      <c r="A3" s="44" t="s">
        <v>91</v>
      </c>
      <c r="B3" s="44" t="s">
        <v>92</v>
      </c>
      <c r="C3" s="44" t="s">
        <v>93</v>
      </c>
      <c r="D3" s="44" t="s">
        <v>94</v>
      </c>
      <c r="E3" s="44" t="s">
        <v>95</v>
      </c>
      <c r="F3" s="44" t="s">
        <v>96</v>
      </c>
      <c r="G3" s="44" t="s">
        <v>97</v>
      </c>
      <c r="H3" s="44" t="s">
        <v>98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99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100</v>
      </c>
      <c r="B6" s="52" t="s">
        <v>101</v>
      </c>
      <c r="C6" s="51">
        <v>1</v>
      </c>
      <c r="D6" s="51" t="s">
        <v>102</v>
      </c>
      <c r="E6" s="53"/>
      <c r="F6" s="54"/>
      <c r="G6" s="51" t="s">
        <v>103</v>
      </c>
      <c r="H6" s="55"/>
    </row>
    <row r="7" spans="1:8" x14ac:dyDescent="0.25">
      <c r="A7" s="56" t="s">
        <v>104</v>
      </c>
      <c r="B7" s="57" t="s">
        <v>101</v>
      </c>
      <c r="C7" s="56">
        <v>40</v>
      </c>
      <c r="D7" s="56" t="s">
        <v>105</v>
      </c>
      <c r="E7" s="58"/>
      <c r="F7" s="59"/>
      <c r="G7" s="56" t="s">
        <v>103</v>
      </c>
      <c r="H7" s="60"/>
    </row>
    <row r="8" spans="1:8" x14ac:dyDescent="0.25">
      <c r="A8" s="56" t="s">
        <v>106</v>
      </c>
      <c r="B8" s="57" t="s">
        <v>101</v>
      </c>
      <c r="C8" s="56">
        <v>1</v>
      </c>
      <c r="D8" s="56" t="s">
        <v>107</v>
      </c>
      <c r="E8" s="58"/>
      <c r="F8" s="59"/>
      <c r="G8" s="56" t="s">
        <v>103</v>
      </c>
      <c r="H8" s="60"/>
    </row>
    <row r="9" spans="1:8" x14ac:dyDescent="0.25">
      <c r="A9" s="56" t="s">
        <v>108</v>
      </c>
      <c r="B9" s="57" t="s">
        <v>101</v>
      </c>
      <c r="C9" s="56">
        <v>40</v>
      </c>
      <c r="D9" s="56" t="s">
        <v>109</v>
      </c>
      <c r="E9" s="58"/>
      <c r="F9" s="59"/>
      <c r="G9" s="56" t="s">
        <v>103</v>
      </c>
      <c r="H9" s="60"/>
    </row>
    <row r="10" spans="1:8" x14ac:dyDescent="0.25">
      <c r="A10" s="56" t="s">
        <v>110</v>
      </c>
      <c r="B10" s="57" t="s">
        <v>101</v>
      </c>
      <c r="C10" s="56">
        <v>1</v>
      </c>
      <c r="D10" s="56" t="s">
        <v>111</v>
      </c>
      <c r="E10" s="58"/>
      <c r="F10" s="59"/>
      <c r="G10" s="56" t="s">
        <v>103</v>
      </c>
      <c r="H10" s="60"/>
    </row>
    <row r="11" spans="1:8" x14ac:dyDescent="0.25">
      <c r="A11" s="56" t="s">
        <v>112</v>
      </c>
      <c r="B11" s="57" t="s">
        <v>101</v>
      </c>
      <c r="C11" s="56">
        <v>40</v>
      </c>
      <c r="D11" s="56" t="s">
        <v>113</v>
      </c>
      <c r="E11" s="58"/>
      <c r="F11" s="59"/>
      <c r="G11" s="56" t="s">
        <v>103</v>
      </c>
      <c r="H11" s="60"/>
    </row>
    <row r="12" spans="1:8" x14ac:dyDescent="0.25">
      <c r="A12" s="56" t="s">
        <v>114</v>
      </c>
      <c r="B12" s="57" t="s">
        <v>101</v>
      </c>
      <c r="C12" s="56">
        <v>1</v>
      </c>
      <c r="D12" s="56" t="s">
        <v>115</v>
      </c>
      <c r="E12" s="58"/>
      <c r="F12" s="59"/>
      <c r="G12" s="56" t="s">
        <v>103</v>
      </c>
      <c r="H12" s="60"/>
    </row>
    <row r="13" spans="1:8" x14ac:dyDescent="0.25">
      <c r="A13" s="56" t="s">
        <v>116</v>
      </c>
      <c r="B13" s="57" t="s">
        <v>101</v>
      </c>
      <c r="C13" s="56">
        <v>40</v>
      </c>
      <c r="D13" s="56" t="s">
        <v>117</v>
      </c>
      <c r="E13" s="58"/>
      <c r="F13" s="59"/>
      <c r="G13" s="56" t="s">
        <v>103</v>
      </c>
      <c r="H13" s="60"/>
    </row>
    <row r="14" spans="1:8" x14ac:dyDescent="0.25">
      <c r="A14" s="56" t="s">
        <v>118</v>
      </c>
      <c r="B14" s="57" t="s">
        <v>101</v>
      </c>
      <c r="C14" s="56">
        <v>1</v>
      </c>
      <c r="D14" s="56" t="s">
        <v>119</v>
      </c>
      <c r="E14" s="58"/>
      <c r="F14" s="59"/>
      <c r="G14" s="56" t="s">
        <v>103</v>
      </c>
      <c r="H14" s="60"/>
    </row>
    <row r="15" spans="1:8" x14ac:dyDescent="0.25">
      <c r="A15" s="56" t="s">
        <v>120</v>
      </c>
      <c r="B15" s="57" t="s">
        <v>101</v>
      </c>
      <c r="C15" s="56">
        <v>40</v>
      </c>
      <c r="D15" s="56" t="s">
        <v>121</v>
      </c>
      <c r="E15" s="58"/>
      <c r="F15" s="59"/>
      <c r="G15" s="56" t="s">
        <v>103</v>
      </c>
      <c r="H15" s="60"/>
    </row>
    <row r="16" spans="1:8" x14ac:dyDescent="0.25">
      <c r="A16" s="56" t="s">
        <v>122</v>
      </c>
      <c r="B16" s="57" t="s">
        <v>123</v>
      </c>
      <c r="C16" s="56">
        <v>1</v>
      </c>
      <c r="D16" s="56" t="s">
        <v>124</v>
      </c>
      <c r="E16" s="58"/>
      <c r="F16" s="59"/>
      <c r="G16" s="56" t="s">
        <v>103</v>
      </c>
      <c r="H16" s="60"/>
    </row>
    <row r="17" spans="1:8" x14ac:dyDescent="0.25">
      <c r="A17" s="56" t="s">
        <v>125</v>
      </c>
      <c r="B17" s="57" t="s">
        <v>123</v>
      </c>
      <c r="C17" s="56">
        <v>40</v>
      </c>
      <c r="D17" s="56" t="s">
        <v>126</v>
      </c>
      <c r="E17" s="58"/>
      <c r="F17" s="59"/>
      <c r="G17" s="56" t="s">
        <v>103</v>
      </c>
      <c r="H17" s="60"/>
    </row>
    <row r="18" spans="1:8" x14ac:dyDescent="0.25">
      <c r="A18" s="56" t="s">
        <v>127</v>
      </c>
      <c r="B18" s="57" t="s">
        <v>128</v>
      </c>
      <c r="C18" s="56">
        <v>1</v>
      </c>
      <c r="D18" s="56" t="s">
        <v>129</v>
      </c>
      <c r="E18" s="58"/>
      <c r="F18" s="59"/>
      <c r="G18" s="56" t="s">
        <v>103</v>
      </c>
      <c r="H18" s="60"/>
    </row>
    <row r="19" spans="1:8" x14ac:dyDescent="0.25">
      <c r="A19" s="56" t="s">
        <v>130</v>
      </c>
      <c r="B19" s="57" t="s">
        <v>128</v>
      </c>
      <c r="C19" s="56">
        <v>40</v>
      </c>
      <c r="D19" s="56" t="s">
        <v>131</v>
      </c>
      <c r="E19" s="58"/>
      <c r="F19" s="59"/>
      <c r="G19" s="56" t="s">
        <v>103</v>
      </c>
      <c r="H19" s="60"/>
    </row>
    <row r="20" spans="1:8" x14ac:dyDescent="0.25">
      <c r="A20" s="56" t="s">
        <v>132</v>
      </c>
      <c r="B20" s="57" t="s">
        <v>133</v>
      </c>
      <c r="C20" s="56">
        <v>1</v>
      </c>
      <c r="D20" s="56" t="s">
        <v>134</v>
      </c>
      <c r="E20" s="58"/>
      <c r="F20" s="59"/>
      <c r="G20" s="56" t="s">
        <v>103</v>
      </c>
      <c r="H20" s="60"/>
    </row>
    <row r="21" spans="1:8" x14ac:dyDescent="0.25">
      <c r="A21" s="56" t="s">
        <v>135</v>
      </c>
      <c r="B21" s="57" t="s">
        <v>133</v>
      </c>
      <c r="C21" s="56">
        <v>40</v>
      </c>
      <c r="D21" s="56" t="s">
        <v>136</v>
      </c>
      <c r="E21" s="58"/>
      <c r="F21" s="59"/>
      <c r="G21" s="56" t="s">
        <v>103</v>
      </c>
      <c r="H21" s="60"/>
    </row>
    <row r="22" spans="1:8" x14ac:dyDescent="0.25">
      <c r="A22" s="56" t="s">
        <v>137</v>
      </c>
      <c r="B22" s="57" t="s">
        <v>133</v>
      </c>
      <c r="C22" s="56">
        <v>1</v>
      </c>
      <c r="D22" s="56" t="s">
        <v>138</v>
      </c>
      <c r="E22" s="58"/>
      <c r="F22" s="59"/>
      <c r="G22" s="56" t="s">
        <v>103</v>
      </c>
      <c r="H22" s="60"/>
    </row>
    <row r="23" spans="1:8" x14ac:dyDescent="0.25">
      <c r="A23" s="56" t="s">
        <v>139</v>
      </c>
      <c r="B23" s="57" t="s">
        <v>133</v>
      </c>
      <c r="C23" s="56">
        <v>40</v>
      </c>
      <c r="D23" s="56" t="s">
        <v>140</v>
      </c>
      <c r="E23" s="58"/>
      <c r="F23" s="59"/>
      <c r="G23" s="56" t="s">
        <v>103</v>
      </c>
      <c r="H23" s="60"/>
    </row>
    <row r="24" spans="1:8" x14ac:dyDescent="0.25">
      <c r="A24" s="56" t="s">
        <v>141</v>
      </c>
      <c r="B24" s="57" t="s">
        <v>133</v>
      </c>
      <c r="C24" s="56">
        <v>1</v>
      </c>
      <c r="D24" s="56" t="s">
        <v>142</v>
      </c>
      <c r="E24" s="58"/>
      <c r="F24" s="59"/>
      <c r="G24" s="56" t="s">
        <v>103</v>
      </c>
      <c r="H24" s="60"/>
    </row>
    <row r="25" spans="1:8" x14ac:dyDescent="0.25">
      <c r="A25" s="56" t="s">
        <v>143</v>
      </c>
      <c r="B25" s="57" t="s">
        <v>133</v>
      </c>
      <c r="C25" s="56">
        <v>40</v>
      </c>
      <c r="D25" s="56" t="s">
        <v>144</v>
      </c>
      <c r="E25" s="58"/>
      <c r="F25" s="59"/>
      <c r="G25" s="56" t="s">
        <v>103</v>
      </c>
      <c r="H25" s="60"/>
    </row>
    <row r="26" spans="1:8" x14ac:dyDescent="0.25">
      <c r="A26" s="56" t="s">
        <v>145</v>
      </c>
      <c r="B26" s="57" t="s">
        <v>146</v>
      </c>
      <c r="C26" s="56">
        <v>1</v>
      </c>
      <c r="D26" s="56" t="s">
        <v>147</v>
      </c>
      <c r="E26" s="58"/>
      <c r="F26" s="59"/>
      <c r="G26" s="56" t="s">
        <v>103</v>
      </c>
      <c r="H26" s="60"/>
    </row>
    <row r="27" spans="1:8" x14ac:dyDescent="0.25">
      <c r="A27" s="56" t="s">
        <v>148</v>
      </c>
      <c r="B27" s="57" t="s">
        <v>146</v>
      </c>
      <c r="C27" s="56">
        <v>40</v>
      </c>
      <c r="D27" s="56" t="s">
        <v>149</v>
      </c>
      <c r="E27" s="58"/>
      <c r="F27" s="59"/>
      <c r="G27" s="56" t="s">
        <v>103</v>
      </c>
      <c r="H27" s="60"/>
    </row>
    <row r="28" spans="1:8" x14ac:dyDescent="0.25">
      <c r="A28" s="56" t="s">
        <v>150</v>
      </c>
      <c r="B28" s="57" t="s">
        <v>146</v>
      </c>
      <c r="C28" s="56">
        <v>1</v>
      </c>
      <c r="D28" s="56" t="s">
        <v>151</v>
      </c>
      <c r="E28" s="58"/>
      <c r="F28" s="59"/>
      <c r="G28" s="56" t="s">
        <v>103</v>
      </c>
      <c r="H28" s="60"/>
    </row>
    <row r="29" spans="1:8" x14ac:dyDescent="0.25">
      <c r="A29" s="56" t="s">
        <v>152</v>
      </c>
      <c r="B29" s="57" t="s">
        <v>146</v>
      </c>
      <c r="C29" s="56">
        <v>40</v>
      </c>
      <c r="D29" s="56" t="s">
        <v>153</v>
      </c>
      <c r="E29" s="58"/>
      <c r="F29" s="59"/>
      <c r="G29" s="56" t="s">
        <v>103</v>
      </c>
      <c r="H29" s="60"/>
    </row>
    <row r="30" spans="1:8" x14ac:dyDescent="0.25">
      <c r="A30" s="56" t="s">
        <v>154</v>
      </c>
      <c r="B30" s="57" t="s">
        <v>146</v>
      </c>
      <c r="C30" s="56">
        <v>1</v>
      </c>
      <c r="D30" s="56" t="s">
        <v>155</v>
      </c>
      <c r="E30" s="58"/>
      <c r="F30" s="59"/>
      <c r="G30" s="56" t="s">
        <v>103</v>
      </c>
      <c r="H30" s="60"/>
    </row>
    <row r="31" spans="1:8" x14ac:dyDescent="0.25">
      <c r="A31" s="56" t="s">
        <v>156</v>
      </c>
      <c r="B31" s="57" t="s">
        <v>146</v>
      </c>
      <c r="C31" s="56">
        <v>40</v>
      </c>
      <c r="D31" s="56" t="s">
        <v>157</v>
      </c>
      <c r="E31" s="58"/>
      <c r="F31" s="59"/>
      <c r="G31" s="56" t="s">
        <v>103</v>
      </c>
      <c r="H31" s="60"/>
    </row>
    <row r="32" spans="1:8" x14ac:dyDescent="0.25">
      <c r="A32" s="56" t="s">
        <v>158</v>
      </c>
      <c r="B32" s="57" t="s">
        <v>146</v>
      </c>
      <c r="C32" s="56">
        <v>1</v>
      </c>
      <c r="D32" s="56" t="s">
        <v>159</v>
      </c>
      <c r="E32" s="58"/>
      <c r="F32" s="59"/>
      <c r="G32" s="56" t="s">
        <v>103</v>
      </c>
      <c r="H32" s="60"/>
    </row>
    <row r="33" spans="1:8" x14ac:dyDescent="0.25">
      <c r="A33" s="56" t="s">
        <v>160</v>
      </c>
      <c r="B33" s="57" t="s">
        <v>146</v>
      </c>
      <c r="C33" s="56">
        <v>40</v>
      </c>
      <c r="D33" s="56" t="s">
        <v>161</v>
      </c>
      <c r="E33" s="58"/>
      <c r="F33" s="59"/>
      <c r="G33" s="56" t="s">
        <v>103</v>
      </c>
      <c r="H33" s="60"/>
    </row>
    <row r="34" spans="1:8" x14ac:dyDescent="0.25">
      <c r="A34" s="56" t="s">
        <v>162</v>
      </c>
      <c r="B34" s="57" t="s">
        <v>146</v>
      </c>
      <c r="C34" s="56">
        <v>1</v>
      </c>
      <c r="D34" s="56" t="s">
        <v>163</v>
      </c>
      <c r="E34" s="58"/>
      <c r="F34" s="59"/>
      <c r="G34" s="56" t="s">
        <v>103</v>
      </c>
      <c r="H34" s="60"/>
    </row>
    <row r="35" spans="1:8" x14ac:dyDescent="0.25">
      <c r="A35" s="56" t="s">
        <v>164</v>
      </c>
      <c r="B35" s="57" t="s">
        <v>146</v>
      </c>
      <c r="C35" s="56">
        <v>40</v>
      </c>
      <c r="D35" s="56" t="s">
        <v>165</v>
      </c>
      <c r="E35" s="58"/>
      <c r="F35" s="59"/>
      <c r="G35" s="56" t="s">
        <v>103</v>
      </c>
      <c r="H35" s="60"/>
    </row>
    <row r="36" spans="1:8" x14ac:dyDescent="0.25">
      <c r="A36" s="56" t="s">
        <v>166</v>
      </c>
      <c r="B36" s="57" t="s">
        <v>146</v>
      </c>
      <c r="C36" s="56">
        <v>40</v>
      </c>
      <c r="D36" s="56" t="s">
        <v>167</v>
      </c>
      <c r="E36" s="58"/>
      <c r="F36" s="59"/>
      <c r="G36" s="56" t="s">
        <v>103</v>
      </c>
      <c r="H36" s="60"/>
    </row>
    <row r="37" spans="1:8" x14ac:dyDescent="0.25">
      <c r="A37" s="56" t="s">
        <v>168</v>
      </c>
      <c r="B37" s="57" t="s">
        <v>146</v>
      </c>
      <c r="C37" s="56">
        <v>1</v>
      </c>
      <c r="D37" s="56" t="s">
        <v>169</v>
      </c>
      <c r="E37" s="58"/>
      <c r="F37" s="59"/>
      <c r="G37" s="56" t="s">
        <v>103</v>
      </c>
      <c r="H37" s="60"/>
    </row>
    <row r="38" spans="1:8" x14ac:dyDescent="0.25">
      <c r="A38" s="56" t="s">
        <v>170</v>
      </c>
      <c r="B38" s="57" t="s">
        <v>146</v>
      </c>
      <c r="C38" s="56">
        <v>40</v>
      </c>
      <c r="D38" s="56" t="s">
        <v>171</v>
      </c>
      <c r="E38" s="58"/>
      <c r="F38" s="59"/>
      <c r="G38" s="56" t="s">
        <v>103</v>
      </c>
      <c r="H38" s="60"/>
    </row>
    <row r="39" spans="1:8" x14ac:dyDescent="0.25">
      <c r="A39" s="56" t="s">
        <v>172</v>
      </c>
      <c r="B39" s="57" t="s">
        <v>146</v>
      </c>
      <c r="C39" s="56">
        <v>1</v>
      </c>
      <c r="D39" s="56" t="s">
        <v>173</v>
      </c>
      <c r="E39" s="58"/>
      <c r="F39" s="59"/>
      <c r="G39" s="56" t="s">
        <v>103</v>
      </c>
      <c r="H39" s="60"/>
    </row>
    <row r="40" spans="1:8" x14ac:dyDescent="0.25">
      <c r="A40" s="56" t="s">
        <v>174</v>
      </c>
      <c r="B40" s="57" t="s">
        <v>146</v>
      </c>
      <c r="C40" s="56">
        <v>40</v>
      </c>
      <c r="D40" s="56" t="s">
        <v>175</v>
      </c>
      <c r="E40" s="58"/>
      <c r="F40" s="59"/>
      <c r="G40" s="56" t="s">
        <v>103</v>
      </c>
      <c r="H40" s="60"/>
    </row>
    <row r="41" spans="1:8" x14ac:dyDescent="0.25">
      <c r="A41" s="56" t="s">
        <v>176</v>
      </c>
      <c r="B41" s="57" t="s">
        <v>146</v>
      </c>
      <c r="C41" s="56">
        <v>1</v>
      </c>
      <c r="D41" s="56" t="s">
        <v>177</v>
      </c>
      <c r="E41" s="58"/>
      <c r="F41" s="59"/>
      <c r="G41" s="56" t="s">
        <v>103</v>
      </c>
      <c r="H41" s="60"/>
    </row>
    <row r="42" spans="1:8" x14ac:dyDescent="0.25">
      <c r="A42" s="61" t="s">
        <v>178</v>
      </c>
      <c r="B42" s="62" t="s">
        <v>146</v>
      </c>
      <c r="C42" s="61">
        <v>40</v>
      </c>
      <c r="D42" s="61" t="s">
        <v>179</v>
      </c>
      <c r="E42" s="63"/>
      <c r="F42" s="64"/>
      <c r="G42" s="61" t="s">
        <v>103</v>
      </c>
      <c r="H42" s="65"/>
    </row>
  </sheetData>
  <sheetProtection algorithmName="SHA-512" hashValue="b2qOgJ41MiyN/kYn+coD3TmV3Pt/5ywwfzCocwxIR0zX180wd8eSWHY7ypuGneW5lglDSkF98uTGrPin/FXv1A==" saltValue="YOnluUPKYSyOdsm7PLaj5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2AC2-9125-4BDC-8F36-6EB7B41F0918}">
  <dimension ref="A1:M3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F.5.2: ",tabeltype," regulier werk")</f>
        <v>Bijlage F.5.2: Invultabel regulier werk</v>
      </c>
    </row>
    <row r="3" spans="1:13" ht="45" x14ac:dyDescent="0.25">
      <c r="A3" s="44" t="s">
        <v>180</v>
      </c>
      <c r="B3" s="44" t="s">
        <v>7</v>
      </c>
      <c r="C3" s="44" t="s">
        <v>181</v>
      </c>
      <c r="D3" s="44" t="s">
        <v>94</v>
      </c>
      <c r="E3" s="44" t="s">
        <v>182</v>
      </c>
      <c r="F3" s="44" t="s">
        <v>183</v>
      </c>
      <c r="G3" s="44" t="s">
        <v>95</v>
      </c>
      <c r="H3" s="44" t="s">
        <v>97</v>
      </c>
      <c r="I3" s="44" t="s">
        <v>98</v>
      </c>
      <c r="J3" s="44" t="s">
        <v>184</v>
      </c>
      <c r="K3" s="44" t="s">
        <v>185</v>
      </c>
      <c r="L3" s="44" t="s">
        <v>186</v>
      </c>
      <c r="M3" s="44" t="s">
        <v>187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188</v>
      </c>
      <c r="B6" s="51" t="s">
        <v>11</v>
      </c>
      <c r="C6" s="51" t="s">
        <v>189</v>
      </c>
      <c r="D6" s="51" t="s">
        <v>190</v>
      </c>
      <c r="E6" s="66">
        <v>744.01</v>
      </c>
      <c r="F6" s="66">
        <f>E6*VLOOKUP(B6,dagsoorttabel1,2,FALSE)</f>
        <v>572.31538461538469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103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191</v>
      </c>
      <c r="B7" s="56" t="s">
        <v>11</v>
      </c>
      <c r="C7" s="56" t="s">
        <v>189</v>
      </c>
      <c r="D7" s="56" t="s">
        <v>192</v>
      </c>
      <c r="E7" s="69">
        <v>1441.68</v>
      </c>
      <c r="F7" s="69">
        <f>E7*VLOOKUP(B7,dagsoorttabel1,2,FALSE)</f>
        <v>1108.9846153846156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103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193</v>
      </c>
      <c r="B8" s="56" t="s">
        <v>11</v>
      </c>
      <c r="C8" s="56" t="s">
        <v>189</v>
      </c>
      <c r="D8" s="56" t="s">
        <v>194</v>
      </c>
      <c r="E8" s="69">
        <v>242.32</v>
      </c>
      <c r="F8" s="69">
        <f>E8*VLOOKUP(B8,dagsoorttabel1,2,FALSE)</f>
        <v>186.4</v>
      </c>
      <c r="G8" s="70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56" t="s">
        <v>103</v>
      </c>
      <c r="I8" s="71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195</v>
      </c>
      <c r="B9" s="56" t="s">
        <v>11</v>
      </c>
      <c r="C9" s="56" t="s">
        <v>189</v>
      </c>
      <c r="D9" s="56" t="s">
        <v>196</v>
      </c>
      <c r="E9" s="69">
        <v>10.75</v>
      </c>
      <c r="F9" s="69">
        <f>E9*VLOOKUP(B9,dagsoorttabel1,2,FALSE)</f>
        <v>8.2692307692307701</v>
      </c>
      <c r="G9" s="70">
        <f>IF(AND(catpn_1_CHB_1&gt;0,catpn_1_CHV_40&gt;0),(dagenperjaar1*VLOOKUP(B9,dagsoorttabel1,2,FALSE))/(((dagenperjaar1*VLOOKUP(B9,dagsoorttabel1,2,FALSE))-catfd_1_CHV_40)/catpn_1_CHB_1+catfd_1_CHV_40/catpn_1_CHV_40),0)</f>
        <v>0</v>
      </c>
      <c r="H9" s="56" t="s">
        <v>103</v>
      </c>
      <c r="I9" s="71">
        <f>IF(AND(catpn_1_CHB_1&gt;0,catpn_1_CHV_40&gt;0),(cattf_1_CHB_1*((dagenperjaar1*VLOOKUP(B9,dagsoorttabel1,2,FALSE))-catfd_1_CHV_40)/catpn_1_CHB_1+cattf_1_CHV_40*catfd_1_CHV_40/catpn_1_CHV_40)/(((dagenperjaar1*VLOOKUP(B9,dagsoorttabel1,2,FALSE))-catfd_1_CHV_40)/catpn_1_CHB_1+catfd_1_CHV_40/catpn_1_CH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197</v>
      </c>
      <c r="B10" s="56" t="s">
        <v>11</v>
      </c>
      <c r="C10" s="56" t="s">
        <v>189</v>
      </c>
      <c r="D10" s="56" t="s">
        <v>198</v>
      </c>
      <c r="E10" s="69">
        <v>57.460000000000008</v>
      </c>
      <c r="F10" s="69">
        <f>E10*VLOOKUP(B10,dagsoorttabel1,2,FALSE)</f>
        <v>44.20000000000001</v>
      </c>
      <c r="G10" s="70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56" t="s">
        <v>103</v>
      </c>
      <c r="I10" s="71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199</v>
      </c>
      <c r="B11" s="56" t="s">
        <v>11</v>
      </c>
      <c r="C11" s="56" t="s">
        <v>189</v>
      </c>
      <c r="D11" s="56" t="s">
        <v>200</v>
      </c>
      <c r="E11" s="69">
        <v>325.66999999999996</v>
      </c>
      <c r="F11" s="69">
        <f>E11*VLOOKUP(B11,dagsoorttabel1,2,FALSE)</f>
        <v>250.51538461538459</v>
      </c>
      <c r="G11" s="70">
        <f>IF(AND(catpn_1_EHB_1&gt;0,catpn_1_EHV_40&gt;0),(dagenperjaar1*VLOOKUP(B11,dagsoorttabel1,2,FALSE))/(((dagenperjaar1*VLOOKUP(B11,dagsoorttabel1,2,FALSE))-catfd_1_EHV_40)/catpn_1_EHB_1+catfd_1_EHV_40/catpn_1_EHV_40),0)</f>
        <v>0</v>
      </c>
      <c r="H11" s="56" t="s">
        <v>103</v>
      </c>
      <c r="I11" s="71">
        <f>IF(AND(catpn_1_EHB_1&gt;0,catpn_1_EHV_40&gt;0),(cattf_1_EHB_1*((dagenperjaar1*VLOOKUP(B11,dagsoorttabel1,2,FALSE))-catfd_1_EHV_40)/catpn_1_EHB_1+cattf_1_EHV_40*catfd_1_EHV_40/catpn_1_EHV_40)/(((dagenperjaar1*VLOOKUP(B11,dagsoorttabel1,2,FALSE))-catfd_1_EHV_40)/catpn_1_EHB_1+catfd_1_EHV_40/catpn_1_EH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201</v>
      </c>
      <c r="B12" s="56" t="s">
        <v>11</v>
      </c>
      <c r="C12" s="56" t="s">
        <v>189</v>
      </c>
      <c r="D12" s="56" t="s">
        <v>202</v>
      </c>
      <c r="E12" s="69">
        <v>107.32</v>
      </c>
      <c r="F12" s="69">
        <f>E12*VLOOKUP(B12,dagsoorttabel1,2,FALSE)</f>
        <v>82.553846153846152</v>
      </c>
      <c r="G12" s="70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56" t="s">
        <v>103</v>
      </c>
      <c r="I12" s="71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203</v>
      </c>
      <c r="B13" s="56" t="s">
        <v>11</v>
      </c>
      <c r="C13" s="56" t="s">
        <v>189</v>
      </c>
      <c r="D13" s="56" t="s">
        <v>204</v>
      </c>
      <c r="E13" s="69">
        <v>5.5299999999999994</v>
      </c>
      <c r="F13" s="69">
        <f>E13*VLOOKUP(B13,dagsoorttabel1,2,FALSE)</f>
        <v>4.2538461538461538</v>
      </c>
      <c r="G13" s="70">
        <f>IF(AND(catpn_1_FHB_1&gt;0,catpn_1_FHV_40&gt;0),(dagenperjaar1*VLOOKUP(B13,dagsoorttabel1,2,FALSE))/(((dagenperjaar1*VLOOKUP(B13,dagsoorttabel1,2,FALSE))-catfd_1_FHV_40)/catpn_1_FHB_1+catfd_1_FHV_40/catpn_1_FHV_40),0)</f>
        <v>0</v>
      </c>
      <c r="H13" s="56" t="s">
        <v>103</v>
      </c>
      <c r="I13" s="71">
        <f>IF(AND(catpn_1_FHB_1&gt;0,catpn_1_FHV_40&gt;0),(cattf_1_FHB_1*((dagenperjaar1*VLOOKUP(B13,dagsoorttabel1,2,FALSE))-catfd_1_FHV_40)/catpn_1_FHB_1+cattf_1_FHV_40*catfd_1_FHV_40/catpn_1_FHV_40)/(((dagenperjaar1*VLOOKUP(B13,dagsoorttabel1,2,FALSE))-catfd_1_FHV_40)/catpn_1_FHB_1+catfd_1_FHV_40/catpn_1_F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205</v>
      </c>
      <c r="B14" s="56" t="s">
        <v>11</v>
      </c>
      <c r="C14" s="56" t="s">
        <v>189</v>
      </c>
      <c r="D14" s="56" t="s">
        <v>206</v>
      </c>
      <c r="E14" s="69">
        <v>752.32</v>
      </c>
      <c r="F14" s="69">
        <f>E14*VLOOKUP(B14,dagsoorttabel1,2,FALSE)</f>
        <v>578.70769230769235</v>
      </c>
      <c r="G14" s="70">
        <f>IF(AND(catpn_1_GHB_1&gt;0,catpn_1_GHV_40&gt;0),(dagenperjaar1*VLOOKUP(B14,dagsoorttabel1,2,FALSE))/(((dagenperjaar1*VLOOKUP(B14,dagsoorttabel1,2,FALSE))-catfd_1_GHV_40)/catpn_1_GHB_1+catfd_1_GHV_40/catpn_1_GHV_40),0)</f>
        <v>0</v>
      </c>
      <c r="H14" s="56" t="s">
        <v>103</v>
      </c>
      <c r="I14" s="71">
        <f>IF(AND(catpn_1_GHB_1&gt;0,catpn_1_GHV_40&gt;0),(cattf_1_GHB_1*((dagenperjaar1*VLOOKUP(B14,dagsoorttabel1,2,FALSE))-catfd_1_GHV_40)/catpn_1_GHB_1+cattf_1_GHV_40*catfd_1_GHV_40/catpn_1_GHV_40)/(((dagenperjaar1*VLOOKUP(B14,dagsoorttabel1,2,FALSE))-catfd_1_GHV_40)/catpn_1_GHB_1+catfd_1_GHV_40/catpn_1_GHV_40)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207</v>
      </c>
      <c r="B15" s="56" t="s">
        <v>11</v>
      </c>
      <c r="C15" s="56" t="s">
        <v>189</v>
      </c>
      <c r="D15" s="56" t="s">
        <v>208</v>
      </c>
      <c r="E15" s="69">
        <v>125.18</v>
      </c>
      <c r="F15" s="69">
        <f>E15*VLOOKUP(B15,dagsoorttabel1,2,FALSE)</f>
        <v>96.292307692307702</v>
      </c>
      <c r="G15" s="70">
        <f>IF(AND(catpn_1_KHB_1&gt;0,catpn_1_KHV_40&gt;0),(dagenperjaar1*VLOOKUP(B15,dagsoorttabel1,2,FALSE))/(((dagenperjaar1*VLOOKUP(B15,dagsoorttabel1,2,FALSE))-catfd_1_KHV_40)/catpn_1_KHB_1+catfd_1_KHV_40/catpn_1_KHV_40),0)</f>
        <v>0</v>
      </c>
      <c r="H15" s="56" t="s">
        <v>103</v>
      </c>
      <c r="I15" s="71">
        <f>IF(AND(catpn_1_KHB_1&gt;0,catpn_1_KHV_40&gt;0),(cattf_1_KHB_1*((dagenperjaar1*VLOOKUP(B15,dagsoorttabel1,2,FALSE))-catfd_1_KHV_40)/catpn_1_KHB_1+cattf_1_KHV_40*catfd_1_KHV_40/catpn_1_KHV_40)/(((dagenperjaar1*VLOOKUP(B15,dagsoorttabel1,2,FALSE))-catfd_1_KHV_40)/catpn_1_KHB_1+catfd_1_KHV_40/catpn_1_K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209</v>
      </c>
      <c r="B16" s="56" t="s">
        <v>11</v>
      </c>
      <c r="C16" s="56" t="s">
        <v>189</v>
      </c>
      <c r="D16" s="56" t="s">
        <v>210</v>
      </c>
      <c r="E16" s="69">
        <v>6407.84</v>
      </c>
      <c r="F16" s="69">
        <f>E16*VLOOKUP(B16,dagsoorttabel1,2,FALSE)</f>
        <v>4929.1076923076926</v>
      </c>
      <c r="G16" s="70">
        <f>IF(AND(catpn_1_LHB_1&gt;0,catpn_1_LHV_40&gt;0),(dagenperjaar1*VLOOKUP(B16,dagsoorttabel1,2,FALSE))/(((dagenperjaar1*VLOOKUP(B16,dagsoorttabel1,2,FALSE))-catfd_1_LHV_40)/catpn_1_LHB_1+catfd_1_LHV_40/catpn_1_LHV_40),0)</f>
        <v>0</v>
      </c>
      <c r="H16" s="56" t="s">
        <v>103</v>
      </c>
      <c r="I16" s="71">
        <f>IF(AND(catpn_1_LHB_1&gt;0,catpn_1_LHV_40&gt;0),(cattf_1_LHB_1*((dagenperjaar1*VLOOKUP(B16,dagsoorttabel1,2,FALSE))-catfd_1_LHV_40)/catpn_1_LHB_1+cattf_1_LHV_40*catfd_1_LHV_40/catpn_1_LHV_40)/(((dagenperjaar1*VLOOKUP(B16,dagsoorttabel1,2,FALSE))-catfd_1_LHV_40)/catpn_1_LHB_1+catfd_1_LHV_40/catpn_1_LH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211</v>
      </c>
      <c r="B17" s="56" t="s">
        <v>11</v>
      </c>
      <c r="C17" s="56" t="s">
        <v>189</v>
      </c>
      <c r="D17" s="56" t="s">
        <v>212</v>
      </c>
      <c r="E17" s="69">
        <v>75.23</v>
      </c>
      <c r="F17" s="69">
        <f>E17*VLOOKUP(B17,dagsoorttabel1,2,FALSE)</f>
        <v>57.869230769230775</v>
      </c>
      <c r="G17" s="70">
        <f>IF(AND(catpn_1_MHB_1&gt;0,catpn_1_MHV_40&gt;0),(dagenperjaar1*VLOOKUP(B17,dagsoorttabel1,2,FALSE))/(((dagenperjaar1*VLOOKUP(B17,dagsoorttabel1,2,FALSE))-catfd_1_MHV_40)/catpn_1_MHB_1+catfd_1_MHV_40/catpn_1_MHV_40),0)</f>
        <v>0</v>
      </c>
      <c r="H17" s="56" t="s">
        <v>103</v>
      </c>
      <c r="I17" s="71">
        <f>IF(AND(catpn_1_MHB_1&gt;0,catpn_1_MHV_40&gt;0),(cattf_1_MHB_1*((dagenperjaar1*VLOOKUP(B17,dagsoorttabel1,2,FALSE))-catfd_1_MHV_40)/catpn_1_MHB_1+cattf_1_MHV_40*catfd_1_MHV_40/catpn_1_MHV_40)/(((dagenperjaar1*VLOOKUP(B17,dagsoorttabel1,2,FALSE))-catfd_1_MHV_40)/catpn_1_MHB_1+catfd_1_MHV_40/catpn_1_M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213</v>
      </c>
      <c r="B18" s="56" t="s">
        <v>15</v>
      </c>
      <c r="C18" s="56" t="s">
        <v>189</v>
      </c>
      <c r="D18" s="56" t="s">
        <v>214</v>
      </c>
      <c r="E18" s="69">
        <v>65.97</v>
      </c>
      <c r="F18" s="69">
        <f>E18*VLOOKUP(B18,dagsoorttabel1,2,FALSE)</f>
        <v>10.149230769230769</v>
      </c>
      <c r="G18" s="70">
        <f>catpn_1_OHV_40</f>
        <v>0</v>
      </c>
      <c r="H18" s="56" t="s">
        <v>103</v>
      </c>
      <c r="I18" s="71">
        <f>cattf_1_OHV_40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215</v>
      </c>
      <c r="B19" s="56" t="s">
        <v>11</v>
      </c>
      <c r="C19" s="56" t="s">
        <v>189</v>
      </c>
      <c r="D19" s="56" t="s">
        <v>216</v>
      </c>
      <c r="E19" s="69">
        <v>41.489999999999995</v>
      </c>
      <c r="F19" s="69">
        <f>E19*VLOOKUP(B19,dagsoorttabel1,2,FALSE)</f>
        <v>31.915384615384614</v>
      </c>
      <c r="G19" s="70">
        <f>IF(AND(catpn_1_PHB_1&gt;0,catpn_1_PHV_40&gt;0),(dagenperjaar1*VLOOKUP(B19,dagsoorttabel1,2,FALSE))/(((dagenperjaar1*VLOOKUP(B19,dagsoorttabel1,2,FALSE))-catfd_1_PHV_40)/catpn_1_PHB_1+catfd_1_PHV_40/catpn_1_PHV_40),0)</f>
        <v>0</v>
      </c>
      <c r="H19" s="56" t="s">
        <v>103</v>
      </c>
      <c r="I19" s="71">
        <f>IF(AND(catpn_1_PHB_1&gt;0,catpn_1_PHV_40&gt;0),(cattf_1_PHB_1*((dagenperjaar1*VLOOKUP(B19,dagsoorttabel1,2,FALSE))-catfd_1_PHV_40)/catpn_1_PHB_1+cattf_1_PHV_40*catfd_1_PHV_40/catpn_1_PHV_40)/(((dagenperjaar1*VLOOKUP(B19,dagsoorttabel1,2,FALSE))-catfd_1_PHV_40)/catpn_1_PHB_1+catfd_1_PHV_40/catpn_1_PHV_40)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217</v>
      </c>
      <c r="B20" s="56" t="s">
        <v>11</v>
      </c>
      <c r="C20" s="56" t="s">
        <v>189</v>
      </c>
      <c r="D20" s="56" t="s">
        <v>218</v>
      </c>
      <c r="E20" s="69">
        <v>128.82</v>
      </c>
      <c r="F20" s="69">
        <f>E20*VLOOKUP(B20,dagsoorttabel1,2,FALSE)</f>
        <v>99.092307692307699</v>
      </c>
      <c r="G20" s="70">
        <f>IF(AND(catpn_1_PMHB_1&gt;0,catpn_1_PMHV_40&gt;0),(dagenperjaar1*VLOOKUP(B20,dagsoorttabel1,2,FALSE))/(((dagenperjaar1*VLOOKUP(B20,dagsoorttabel1,2,FALSE))-catfd_1_PMHV_40)/catpn_1_PMHB_1+catfd_1_PMHV_40/catpn_1_PMHV_40),0)</f>
        <v>0</v>
      </c>
      <c r="H20" s="56" t="s">
        <v>103</v>
      </c>
      <c r="I20" s="71">
        <f>IF(AND(catpn_1_PMHB_1&gt;0,catpn_1_PMHV_40&gt;0),(cattf_1_PMHB_1*((dagenperjaar1*VLOOKUP(B20,dagsoorttabel1,2,FALSE))-catfd_1_PMHV_40)/catpn_1_PMHB_1+cattf_1_PMHV_40*catfd_1_PMHV_40/catpn_1_PMHV_40)/(((dagenperjaar1*VLOOKUP(B20,dagsoorttabel1,2,FALSE))-catfd_1_PMHV_40)/catpn_1_PMHB_1+catfd_1_PMHV_40/catpn_1_PMHV_40),0)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219</v>
      </c>
      <c r="B21" s="56" t="s">
        <v>11</v>
      </c>
      <c r="C21" s="56" t="s">
        <v>189</v>
      </c>
      <c r="D21" s="56" t="s">
        <v>220</v>
      </c>
      <c r="E21" s="69">
        <v>320.34000000000003</v>
      </c>
      <c r="F21" s="69">
        <f>E21*VLOOKUP(B21,dagsoorttabel1,2,FALSE)</f>
        <v>246.41538461538465</v>
      </c>
      <c r="G21" s="70">
        <f>IF(AND(catpn_1_PUHB_1&gt;0,catpn_1_PUHV_40&gt;0),(dagenperjaar1*VLOOKUP(B21,dagsoorttabel1,2,FALSE))/(((dagenperjaar1*VLOOKUP(B21,dagsoorttabel1,2,FALSE))-catfd_1_PUHV_40)/catpn_1_PUHB_1+catfd_1_PUHV_40/catpn_1_PUHV_40),0)</f>
        <v>0</v>
      </c>
      <c r="H21" s="56" t="s">
        <v>103</v>
      </c>
      <c r="I21" s="71">
        <f>IF(AND(catpn_1_PUHB_1&gt;0,catpn_1_PUHV_40&gt;0),(cattf_1_PUHB_1*((dagenperjaar1*VLOOKUP(B21,dagsoorttabel1,2,FALSE))-catfd_1_PUHV_40)/catpn_1_PUHB_1+cattf_1_PUHV_40*catfd_1_PUHV_40/catpn_1_PUHV_40)/(((dagenperjaar1*VLOOKUP(B21,dagsoorttabel1,2,FALSE))-catfd_1_PUHV_40)/catpn_1_PUHB_1+catfd_1_PUHV_40/catpn_1_PUHV_40)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221</v>
      </c>
      <c r="B22" s="56" t="s">
        <v>11</v>
      </c>
      <c r="C22" s="56" t="s">
        <v>189</v>
      </c>
      <c r="D22" s="56" t="s">
        <v>222</v>
      </c>
      <c r="E22" s="69">
        <v>324.73</v>
      </c>
      <c r="F22" s="69">
        <f>E22*VLOOKUP(B22,dagsoorttabel1,2,FALSE)</f>
        <v>249.79230769230773</v>
      </c>
      <c r="G22" s="70">
        <f>IF(AND(catpn_1_SHB_1&gt;0,catpn_1_SHV_40&gt;0),(dagenperjaar1*VLOOKUP(B22,dagsoorttabel1,2,FALSE))/(((dagenperjaar1*VLOOKUP(B22,dagsoorttabel1,2,FALSE))-catfd_1_SHV_40)/catpn_1_SHB_1+catfd_1_SHV_40/catpn_1_SHV_40),0)</f>
        <v>0</v>
      </c>
      <c r="H22" s="56" t="s">
        <v>103</v>
      </c>
      <c r="I22" s="71">
        <f>IF(AND(catpn_1_SHB_1&gt;0,catpn_1_SHV_40&gt;0),(cattf_1_SHB_1*((dagenperjaar1*VLOOKUP(B22,dagsoorttabel1,2,FALSE))-catfd_1_SHV_40)/catpn_1_SHB_1+cattf_1_SHV_40*catfd_1_SHV_40/catpn_1_SHV_40)/(((dagenperjaar1*VLOOKUP(B22,dagsoorttabel1,2,FALSE))-catfd_1_SHV_40)/catpn_1_SHB_1+catfd_1_SHV_40/catpn_1_S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223</v>
      </c>
      <c r="B23" s="56" t="s">
        <v>11</v>
      </c>
      <c r="C23" s="56" t="s">
        <v>189</v>
      </c>
      <c r="D23" s="56" t="s">
        <v>224</v>
      </c>
      <c r="E23" s="69">
        <v>335.77000000000004</v>
      </c>
      <c r="F23" s="69">
        <f>E23*VLOOKUP(B23,dagsoorttabel1,2,FALSE)</f>
        <v>258.28461538461545</v>
      </c>
      <c r="G23" s="70">
        <f>IF(AND(catpn_1_THB_1&gt;0,catpn_1_THV_40&gt;0),(dagenperjaar1*VLOOKUP(B23,dagsoorttabel1,2,FALSE))/(((dagenperjaar1*VLOOKUP(B23,dagsoorttabel1,2,FALSE))-catfd_1_THV_40)/catpn_1_THB_1+catfd_1_THV_40/catpn_1_THV_40),0)</f>
        <v>0</v>
      </c>
      <c r="H23" s="56" t="s">
        <v>103</v>
      </c>
      <c r="I23" s="71">
        <f>IF(AND(catpn_1_THB_1&gt;0,catpn_1_THV_40&gt;0),(cattf_1_THB_1*((dagenperjaar1*VLOOKUP(B23,dagsoorttabel1,2,FALSE))-catfd_1_THV_40)/catpn_1_THB_1+cattf_1_THV_40*catfd_1_THV_40/catpn_1_THV_40)/(((dagenperjaar1*VLOOKUP(B23,dagsoorttabel1,2,FALSE))-catfd_1_THV_40)/catpn_1_THB_1+catfd_1_THV_40/catpn_1_THV_40)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61" t="s">
        <v>225</v>
      </c>
      <c r="B24" s="61" t="s">
        <v>11</v>
      </c>
      <c r="C24" s="61" t="s">
        <v>189</v>
      </c>
      <c r="D24" s="61" t="s">
        <v>226</v>
      </c>
      <c r="E24" s="72">
        <v>3206.2999999999997</v>
      </c>
      <c r="F24" s="72">
        <f>E24*VLOOKUP(B24,dagsoorttabel1,2,FALSE)</f>
        <v>2466.3846153846152</v>
      </c>
      <c r="G24" s="73">
        <f>IF(AND(catpn_1_VHB_1&gt;0,catpn_1_VHV_40&gt;0),(dagenperjaar1*VLOOKUP(B24,dagsoorttabel1,2,FALSE))/(((dagenperjaar1*VLOOKUP(B24,dagsoorttabel1,2,FALSE))-catfd_1_VHV_40)/catpn_1_VHB_1+catfd_1_VHV_40/catpn_1_VHV_40),0)</f>
        <v>0</v>
      </c>
      <c r="H24" s="61" t="s">
        <v>103</v>
      </c>
      <c r="I24" s="74">
        <f>IF(AND(catpn_1_VHB_1&gt;0,catpn_1_VHV_40&gt;0),(cattf_1_VHB_1*((dagenperjaar1*VLOOKUP(B24,dagsoorttabel1,2,FALSE))-catfd_1_VHV_40)/catpn_1_VHB_1+cattf_1_VHV_40*catfd_1_VHV_40/catpn_1_VHV_40)/(((dagenperjaar1*VLOOKUP(B24,dagsoorttabel1,2,FALSE))-catfd_1_VHV_40)/catpn_1_VHB_1+catfd_1_VHV_40/catpn_1_VHV_40),0)</f>
        <v>0</v>
      </c>
      <c r="J24" s="72">
        <f>IF(OR(ISBLANK(G24),G24=0),0,F24/ROUND(G24,4))</f>
        <v>0</v>
      </c>
      <c r="K24" s="74">
        <f>ROUND(I24,2)*J24</f>
        <v>0</v>
      </c>
      <c r="L24" s="72">
        <f>J24*dagenperjaar1</f>
        <v>0</v>
      </c>
      <c r="M24" s="74">
        <f>L24*ROUND(I24,2)</f>
        <v>0</v>
      </c>
    </row>
    <row r="25" spans="1:13" x14ac:dyDescent="0.25">
      <c r="A25" s="76" t="s">
        <v>227</v>
      </c>
      <c r="B25" s="77"/>
      <c r="C25" s="77"/>
      <c r="D25" s="77"/>
      <c r="E25" s="77"/>
      <c r="F25" s="77"/>
      <c r="G25" s="77"/>
      <c r="H25" s="77"/>
      <c r="I25" s="77"/>
      <c r="J25" s="78">
        <f>SUM(J6:J24)</f>
        <v>0</v>
      </c>
      <c r="K25" s="79">
        <f>SUM(K6:K24)</f>
        <v>0</v>
      </c>
      <c r="L25" s="78">
        <f>SUM(L6:L24)</f>
        <v>0</v>
      </c>
      <c r="M25" s="80">
        <f>SUM(M6:M24)</f>
        <v>0</v>
      </c>
    </row>
    <row r="26" spans="1:13" x14ac:dyDescent="0.25">
      <c r="A26" s="81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82"/>
    </row>
    <row r="27" spans="1:13" x14ac:dyDescent="0.25">
      <c r="A27" s="76" t="s">
        <v>228</v>
      </c>
      <c r="B27" s="77"/>
      <c r="C27" s="77"/>
      <c r="D27" s="77"/>
      <c r="E27" s="77"/>
      <c r="F27" s="77"/>
      <c r="G27" s="77"/>
      <c r="H27" s="77"/>
      <c r="I27" s="79">
        <f>IF(urenjaar1&gt;0,SUMIF(L6:L24,"&gt;0",M6:M24)/urenjaar1,0)</f>
        <v>0</v>
      </c>
      <c r="J27" s="77"/>
      <c r="K27" s="77"/>
      <c r="L27" s="77"/>
      <c r="M27" s="82"/>
    </row>
    <row r="28" spans="1:13" x14ac:dyDescent="0.25">
      <c r="A28" s="81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82"/>
    </row>
    <row r="30" spans="1:13" x14ac:dyDescent="0.25">
      <c r="A30" s="76" t="s">
        <v>229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8">
        <f>urenjaar1</f>
        <v>0</v>
      </c>
      <c r="M30" s="79">
        <f>prijsjaar1</f>
        <v>0</v>
      </c>
    </row>
  </sheetData>
  <sheetProtection algorithmName="SHA-512" hashValue="abIhiTUyy0+3meblxE4f/2vHE+TfVX5HbVVVW0Q6EwtnrumE0PSgVblcasWRbJGz9Pgpwnl4PU/gEC7pTTn8kg==" saltValue="5lVpz53bUuEfDt4KP2Cng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335A-D007-41CB-A180-5F37E7EFDAAD}">
  <dimension ref="A1:S509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F.5.3: ",tabeltype," ruimten werkdag")</f>
        <v>Bijlage F.5.3: Invultabel ruimten werkdag</v>
      </c>
    </row>
    <row r="3" spans="1:19" ht="45" x14ac:dyDescent="0.25">
      <c r="A3" s="83" t="s">
        <v>230</v>
      </c>
      <c r="B3" s="44" t="s">
        <v>231</v>
      </c>
      <c r="C3" s="44" t="s">
        <v>232</v>
      </c>
      <c r="D3" s="44" t="s">
        <v>233</v>
      </c>
      <c r="E3" s="44" t="s">
        <v>234</v>
      </c>
      <c r="F3" s="44" t="s">
        <v>235</v>
      </c>
      <c r="G3" s="44" t="s">
        <v>180</v>
      </c>
      <c r="H3" s="44" t="s">
        <v>7</v>
      </c>
      <c r="I3" s="44" t="s">
        <v>236</v>
      </c>
      <c r="J3" s="44" t="s">
        <v>237</v>
      </c>
      <c r="K3" s="44" t="s">
        <v>182</v>
      </c>
      <c r="L3" s="44" t="s">
        <v>183</v>
      </c>
      <c r="M3" s="44" t="s">
        <v>95</v>
      </c>
      <c r="N3" s="44" t="s">
        <v>97</v>
      </c>
      <c r="O3" s="44" t="s">
        <v>98</v>
      </c>
      <c r="P3" s="44" t="s">
        <v>184</v>
      </c>
      <c r="Q3" s="44" t="s">
        <v>185</v>
      </c>
      <c r="R3" s="44" t="s">
        <v>186</v>
      </c>
      <c r="S3" s="84" t="s">
        <v>187</v>
      </c>
    </row>
    <row r="4" spans="1:19" x14ac:dyDescent="0.25">
      <c r="A4" s="85" t="s">
        <v>238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ht="30" x14ac:dyDescent="0.25">
      <c r="A5" s="86" t="s">
        <v>239</v>
      </c>
      <c r="B5" s="87" t="s">
        <v>240</v>
      </c>
      <c r="C5" s="87" t="s">
        <v>241</v>
      </c>
      <c r="D5" s="87" t="s">
        <v>242</v>
      </c>
      <c r="E5" s="88" t="s">
        <v>243</v>
      </c>
      <c r="F5" s="87" t="s">
        <v>244</v>
      </c>
      <c r="G5" s="87" t="s">
        <v>225</v>
      </c>
      <c r="H5" s="87" t="s">
        <v>11</v>
      </c>
      <c r="I5" s="87" t="s">
        <v>189</v>
      </c>
      <c r="J5" s="88" t="s">
        <v>226</v>
      </c>
      <c r="K5" s="89">
        <v>16.439999999999998</v>
      </c>
      <c r="L5" s="89">
        <f>K5*VLOOKUP(H5,dagsoorttabel1,2,FALSE)</f>
        <v>12.646153846153846</v>
      </c>
      <c r="M5" s="90">
        <f>prodnorm20</f>
        <v>0</v>
      </c>
      <c r="N5" s="87" t="s">
        <v>103</v>
      </c>
      <c r="O5" s="91">
        <f>uurtarief20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2" t="e">
        <f>R5*ROUND(O5,2)</f>
        <v>#DIV/0!</v>
      </c>
    </row>
    <row r="6" spans="1:19" ht="30" x14ac:dyDescent="0.25">
      <c r="A6" s="93" t="s">
        <v>239</v>
      </c>
      <c r="B6" s="94" t="s">
        <v>240</v>
      </c>
      <c r="C6" s="94" t="s">
        <v>241</v>
      </c>
      <c r="D6" s="94" t="s">
        <v>245</v>
      </c>
      <c r="E6" s="95" t="s">
        <v>243</v>
      </c>
      <c r="F6" s="94" t="s">
        <v>244</v>
      </c>
      <c r="G6" s="94" t="s">
        <v>225</v>
      </c>
      <c r="H6" s="94" t="s">
        <v>11</v>
      </c>
      <c r="I6" s="94" t="s">
        <v>189</v>
      </c>
      <c r="J6" s="95" t="s">
        <v>226</v>
      </c>
      <c r="K6" s="96">
        <v>78.88</v>
      </c>
      <c r="L6" s="96">
        <f>K6*VLOOKUP(H6,dagsoorttabel1,2,FALSE)</f>
        <v>60.676923076923075</v>
      </c>
      <c r="M6" s="97">
        <f>prodnorm20</f>
        <v>0</v>
      </c>
      <c r="N6" s="94" t="s">
        <v>103</v>
      </c>
      <c r="O6" s="26">
        <f>uurtarief20</f>
        <v>0</v>
      </c>
      <c r="P6" s="96" t="e">
        <f>IF(ISBLANK(M6),0,L6/ROUND(M6,4))</f>
        <v>#DIV/0!</v>
      </c>
      <c r="Q6" s="26" t="e">
        <f>ROUND(O6,2)*P6</f>
        <v>#DIV/0!</v>
      </c>
      <c r="R6" s="96" t="e">
        <f>P6*dagenperjaar1</f>
        <v>#DIV/0!</v>
      </c>
      <c r="S6" s="27" t="e">
        <f>R6*ROUND(O6,2)</f>
        <v>#DIV/0!</v>
      </c>
    </row>
    <row r="7" spans="1:19" x14ac:dyDescent="0.25">
      <c r="A7" s="93" t="s">
        <v>239</v>
      </c>
      <c r="B7" s="94" t="s">
        <v>240</v>
      </c>
      <c r="C7" s="94" t="s">
        <v>241</v>
      </c>
      <c r="D7" s="94" t="s">
        <v>246</v>
      </c>
      <c r="E7" s="95" t="s">
        <v>247</v>
      </c>
      <c r="F7" s="94" t="s">
        <v>244</v>
      </c>
      <c r="G7" s="94" t="s">
        <v>248</v>
      </c>
      <c r="H7" s="94"/>
      <c r="I7" s="94"/>
      <c r="J7" s="94"/>
      <c r="K7" s="96">
        <v>3.9899999999999998</v>
      </c>
      <c r="L7" s="96"/>
      <c r="M7" s="97"/>
      <c r="N7" s="94"/>
      <c r="O7" s="26"/>
      <c r="P7" s="96"/>
      <c r="Q7" s="26"/>
      <c r="R7" s="98"/>
      <c r="S7" s="27"/>
    </row>
    <row r="8" spans="1:19" ht="30" x14ac:dyDescent="0.25">
      <c r="A8" s="93" t="s">
        <v>239</v>
      </c>
      <c r="B8" s="94" t="s">
        <v>240</v>
      </c>
      <c r="C8" s="94" t="s">
        <v>241</v>
      </c>
      <c r="D8" s="94" t="s">
        <v>249</v>
      </c>
      <c r="E8" s="95" t="s">
        <v>250</v>
      </c>
      <c r="F8" s="94" t="s">
        <v>244</v>
      </c>
      <c r="G8" s="94" t="s">
        <v>191</v>
      </c>
      <c r="H8" s="94" t="s">
        <v>11</v>
      </c>
      <c r="I8" s="94" t="s">
        <v>189</v>
      </c>
      <c r="J8" s="95" t="s">
        <v>192</v>
      </c>
      <c r="K8" s="96">
        <v>24.53</v>
      </c>
      <c r="L8" s="96">
        <f>K8*VLOOKUP(H8,dagsoorttabel1,2,FALSE)</f>
        <v>18.869230769230771</v>
      </c>
      <c r="M8" s="97">
        <f>prodnorm3</f>
        <v>0</v>
      </c>
      <c r="N8" s="94" t="s">
        <v>103</v>
      </c>
      <c r="O8" s="26">
        <f>uurtarief3</f>
        <v>0</v>
      </c>
      <c r="P8" s="96" t="e">
        <f>IF(ISBLANK(M8),0,L8/ROUND(M8,4))</f>
        <v>#DIV/0!</v>
      </c>
      <c r="Q8" s="26" t="e">
        <f>ROUND(O8,2)*P8</f>
        <v>#DIV/0!</v>
      </c>
      <c r="R8" s="96" t="e">
        <f>P8*dagenperjaar1</f>
        <v>#DIV/0!</v>
      </c>
      <c r="S8" s="27" t="e">
        <f>R8*ROUND(O8,2)</f>
        <v>#DIV/0!</v>
      </c>
    </row>
    <row r="9" spans="1:19" x14ac:dyDescent="0.25">
      <c r="A9" s="93" t="s">
        <v>239</v>
      </c>
      <c r="B9" s="94" t="s">
        <v>240</v>
      </c>
      <c r="C9" s="94" t="s">
        <v>241</v>
      </c>
      <c r="D9" s="94" t="s">
        <v>251</v>
      </c>
      <c r="E9" s="95" t="s">
        <v>252</v>
      </c>
      <c r="F9" s="94" t="s">
        <v>244</v>
      </c>
      <c r="G9" s="94" t="s">
        <v>248</v>
      </c>
      <c r="H9" s="94"/>
      <c r="I9" s="94"/>
      <c r="J9" s="94"/>
      <c r="K9" s="96">
        <v>2.58</v>
      </c>
      <c r="L9" s="96"/>
      <c r="M9" s="97"/>
      <c r="N9" s="94"/>
      <c r="O9" s="26"/>
      <c r="P9" s="96"/>
      <c r="Q9" s="26"/>
      <c r="R9" s="98"/>
      <c r="S9" s="27"/>
    </row>
    <row r="10" spans="1:19" x14ac:dyDescent="0.25">
      <c r="A10" s="93" t="s">
        <v>239</v>
      </c>
      <c r="B10" s="94" t="s">
        <v>240</v>
      </c>
      <c r="C10" s="94" t="s">
        <v>241</v>
      </c>
      <c r="D10" s="94" t="s">
        <v>253</v>
      </c>
      <c r="E10" s="95" t="s">
        <v>254</v>
      </c>
      <c r="F10" s="94" t="s">
        <v>255</v>
      </c>
      <c r="G10" s="94" t="s">
        <v>221</v>
      </c>
      <c r="H10" s="94" t="s">
        <v>11</v>
      </c>
      <c r="I10" s="94" t="s">
        <v>189</v>
      </c>
      <c r="J10" s="95" t="s">
        <v>222</v>
      </c>
      <c r="K10" s="96">
        <v>1.33</v>
      </c>
      <c r="L10" s="96">
        <f>K10*VLOOKUP(H10,dagsoorttabel1,2,FALSE)</f>
        <v>1.0230769230769232</v>
      </c>
      <c r="M10" s="97">
        <f>prodnorm18</f>
        <v>0</v>
      </c>
      <c r="N10" s="94" t="s">
        <v>103</v>
      </c>
      <c r="O10" s="26">
        <f>uurtarief18</f>
        <v>0</v>
      </c>
      <c r="P10" s="96" t="e">
        <f>IF(ISBLANK(M10),0,L10/ROUND(M10,4))</f>
        <v>#DIV/0!</v>
      </c>
      <c r="Q10" s="26" t="e">
        <f>ROUND(O10,2)*P10</f>
        <v>#DIV/0!</v>
      </c>
      <c r="R10" s="96" t="e">
        <f>P10*dagenperjaar1</f>
        <v>#DIV/0!</v>
      </c>
      <c r="S10" s="27" t="e">
        <f>R10*ROUND(O10,2)</f>
        <v>#DIV/0!</v>
      </c>
    </row>
    <row r="11" spans="1:19" x14ac:dyDescent="0.25">
      <c r="A11" s="93" t="s">
        <v>239</v>
      </c>
      <c r="B11" s="94" t="s">
        <v>240</v>
      </c>
      <c r="C11" s="94" t="s">
        <v>241</v>
      </c>
      <c r="D11" s="94" t="s">
        <v>256</v>
      </c>
      <c r="E11" s="95" t="s">
        <v>254</v>
      </c>
      <c r="F11" s="94" t="s">
        <v>255</v>
      </c>
      <c r="G11" s="94" t="s">
        <v>221</v>
      </c>
      <c r="H11" s="94" t="s">
        <v>11</v>
      </c>
      <c r="I11" s="94" t="s">
        <v>189</v>
      </c>
      <c r="J11" s="95" t="s">
        <v>222</v>
      </c>
      <c r="K11" s="96">
        <v>1.3800000000000001</v>
      </c>
      <c r="L11" s="96">
        <f>K11*VLOOKUP(H11,dagsoorttabel1,2,FALSE)</f>
        <v>1.0615384615384618</v>
      </c>
      <c r="M11" s="97">
        <f>prodnorm18</f>
        <v>0</v>
      </c>
      <c r="N11" s="94" t="s">
        <v>103</v>
      </c>
      <c r="O11" s="26">
        <f>uurtarief18</f>
        <v>0</v>
      </c>
      <c r="P11" s="96" t="e">
        <f>IF(ISBLANK(M11),0,L11/ROUND(M11,4))</f>
        <v>#DIV/0!</v>
      </c>
      <c r="Q11" s="26" t="e">
        <f>ROUND(O11,2)*P11</f>
        <v>#DIV/0!</v>
      </c>
      <c r="R11" s="96" t="e">
        <f>P11*dagenperjaar1</f>
        <v>#DIV/0!</v>
      </c>
      <c r="S11" s="27" t="e">
        <f>R11*ROUND(O11,2)</f>
        <v>#DIV/0!</v>
      </c>
    </row>
    <row r="12" spans="1:19" x14ac:dyDescent="0.25">
      <c r="A12" s="93" t="s">
        <v>239</v>
      </c>
      <c r="B12" s="94" t="s">
        <v>240</v>
      </c>
      <c r="C12" s="94" t="s">
        <v>241</v>
      </c>
      <c r="D12" s="94" t="s">
        <v>257</v>
      </c>
      <c r="E12" s="95" t="s">
        <v>254</v>
      </c>
      <c r="F12" s="94" t="s">
        <v>255</v>
      </c>
      <c r="G12" s="94" t="s">
        <v>221</v>
      </c>
      <c r="H12" s="94" t="s">
        <v>11</v>
      </c>
      <c r="I12" s="94" t="s">
        <v>189</v>
      </c>
      <c r="J12" s="95" t="s">
        <v>222</v>
      </c>
      <c r="K12" s="96">
        <v>1.31</v>
      </c>
      <c r="L12" s="96">
        <f>K12*VLOOKUP(H12,dagsoorttabel1,2,FALSE)</f>
        <v>1.0076923076923079</v>
      </c>
      <c r="M12" s="97">
        <f>prodnorm18</f>
        <v>0</v>
      </c>
      <c r="N12" s="94" t="s">
        <v>103</v>
      </c>
      <c r="O12" s="26">
        <f>uurtarief18</f>
        <v>0</v>
      </c>
      <c r="P12" s="96" t="e">
        <f>IF(ISBLANK(M12),0,L12/ROUND(M12,4))</f>
        <v>#DIV/0!</v>
      </c>
      <c r="Q12" s="26" t="e">
        <f>ROUND(O12,2)*P12</f>
        <v>#DIV/0!</v>
      </c>
      <c r="R12" s="96" t="e">
        <f>P12*dagenperjaar1</f>
        <v>#DIV/0!</v>
      </c>
      <c r="S12" s="27" t="e">
        <f>R12*ROUND(O12,2)</f>
        <v>#DIV/0!</v>
      </c>
    </row>
    <row r="13" spans="1:19" ht="30" x14ac:dyDescent="0.25">
      <c r="A13" s="93" t="s">
        <v>239</v>
      </c>
      <c r="B13" s="94" t="s">
        <v>240</v>
      </c>
      <c r="C13" s="94" t="s">
        <v>241</v>
      </c>
      <c r="D13" s="94" t="s">
        <v>258</v>
      </c>
      <c r="E13" s="95" t="s">
        <v>259</v>
      </c>
      <c r="F13" s="94" t="s">
        <v>244</v>
      </c>
      <c r="G13" s="94" t="s">
        <v>191</v>
      </c>
      <c r="H13" s="94" t="s">
        <v>11</v>
      </c>
      <c r="I13" s="94" t="s">
        <v>189</v>
      </c>
      <c r="J13" s="95" t="s">
        <v>192</v>
      </c>
      <c r="K13" s="96">
        <v>67.52</v>
      </c>
      <c r="L13" s="96">
        <f>K13*VLOOKUP(H13,dagsoorttabel1,2,FALSE)</f>
        <v>51.938461538461539</v>
      </c>
      <c r="M13" s="97">
        <f>prodnorm3</f>
        <v>0</v>
      </c>
      <c r="N13" s="94" t="s">
        <v>103</v>
      </c>
      <c r="O13" s="26">
        <f>uurtarief3</f>
        <v>0</v>
      </c>
      <c r="P13" s="96" t="e">
        <f>IF(ISBLANK(M13),0,L13/ROUND(M13,4))</f>
        <v>#DIV/0!</v>
      </c>
      <c r="Q13" s="26" t="e">
        <f>ROUND(O13,2)*P13</f>
        <v>#DIV/0!</v>
      </c>
      <c r="R13" s="96" t="e">
        <f>P13*dagenperjaar1</f>
        <v>#DIV/0!</v>
      </c>
      <c r="S13" s="27" t="e">
        <f>R13*ROUND(O13,2)</f>
        <v>#DIV/0!</v>
      </c>
    </row>
    <row r="14" spans="1:19" x14ac:dyDescent="0.25">
      <c r="A14" s="93" t="s">
        <v>239</v>
      </c>
      <c r="B14" s="94" t="s">
        <v>240</v>
      </c>
      <c r="C14" s="94" t="s">
        <v>241</v>
      </c>
      <c r="D14" s="94" t="s">
        <v>260</v>
      </c>
      <c r="E14" s="95" t="s">
        <v>261</v>
      </c>
      <c r="F14" s="94" t="s">
        <v>244</v>
      </c>
      <c r="G14" s="94" t="s">
        <v>248</v>
      </c>
      <c r="H14" s="94"/>
      <c r="I14" s="94"/>
      <c r="J14" s="94"/>
      <c r="K14" s="96">
        <v>2.5299999999999998</v>
      </c>
      <c r="L14" s="96"/>
      <c r="M14" s="97"/>
      <c r="N14" s="94"/>
      <c r="O14" s="26"/>
      <c r="P14" s="96"/>
      <c r="Q14" s="26"/>
      <c r="R14" s="98"/>
      <c r="S14" s="27"/>
    </row>
    <row r="15" spans="1:19" x14ac:dyDescent="0.25">
      <c r="A15" s="93" t="s">
        <v>239</v>
      </c>
      <c r="B15" s="94" t="s">
        <v>240</v>
      </c>
      <c r="C15" s="94" t="s">
        <v>241</v>
      </c>
      <c r="D15" s="94" t="s">
        <v>262</v>
      </c>
      <c r="E15" s="95" t="s">
        <v>263</v>
      </c>
      <c r="F15" s="94" t="s">
        <v>244</v>
      </c>
      <c r="G15" s="94" t="s">
        <v>188</v>
      </c>
      <c r="H15" s="94" t="s">
        <v>11</v>
      </c>
      <c r="I15" s="94" t="s">
        <v>189</v>
      </c>
      <c r="J15" s="95" t="s">
        <v>190</v>
      </c>
      <c r="K15" s="96">
        <v>27</v>
      </c>
      <c r="L15" s="96">
        <f>K15*VLOOKUP(H15,dagsoorttabel1,2,FALSE)</f>
        <v>20.76923076923077</v>
      </c>
      <c r="M15" s="97">
        <f>prodnorm2</f>
        <v>0</v>
      </c>
      <c r="N15" s="94" t="s">
        <v>103</v>
      </c>
      <c r="O15" s="26">
        <f>uurtarief2</f>
        <v>0</v>
      </c>
      <c r="P15" s="96" t="e">
        <f>IF(ISBLANK(M15),0,L15/ROUND(M15,4))</f>
        <v>#DIV/0!</v>
      </c>
      <c r="Q15" s="26" t="e">
        <f>ROUND(O15,2)*P15</f>
        <v>#DIV/0!</v>
      </c>
      <c r="R15" s="96" t="e">
        <f>P15*dagenperjaar1</f>
        <v>#DIV/0!</v>
      </c>
      <c r="S15" s="27" t="e">
        <f>R15*ROUND(O15,2)</f>
        <v>#DIV/0!</v>
      </c>
    </row>
    <row r="16" spans="1:19" x14ac:dyDescent="0.25">
      <c r="A16" s="93" t="s">
        <v>239</v>
      </c>
      <c r="B16" s="94" t="s">
        <v>240</v>
      </c>
      <c r="C16" s="94" t="s">
        <v>241</v>
      </c>
      <c r="D16" s="94" t="s">
        <v>264</v>
      </c>
      <c r="E16" s="95" t="s">
        <v>265</v>
      </c>
      <c r="F16" s="94" t="s">
        <v>266</v>
      </c>
      <c r="G16" s="94" t="s">
        <v>223</v>
      </c>
      <c r="H16" s="94" t="s">
        <v>11</v>
      </c>
      <c r="I16" s="94" t="s">
        <v>189</v>
      </c>
      <c r="J16" s="95" t="s">
        <v>224</v>
      </c>
      <c r="K16" s="96">
        <v>20.84</v>
      </c>
      <c r="L16" s="96">
        <f>K16*VLOOKUP(H16,dagsoorttabel1,2,FALSE)</f>
        <v>16.030769230769231</v>
      </c>
      <c r="M16" s="97">
        <f>prodnorm19</f>
        <v>0</v>
      </c>
      <c r="N16" s="94" t="s">
        <v>103</v>
      </c>
      <c r="O16" s="26">
        <f>uurtarief19</f>
        <v>0</v>
      </c>
      <c r="P16" s="96" t="e">
        <f>IF(ISBLANK(M16),0,L16/ROUND(M16,4))</f>
        <v>#DIV/0!</v>
      </c>
      <c r="Q16" s="26" t="e">
        <f>ROUND(O16,2)*P16</f>
        <v>#DIV/0!</v>
      </c>
      <c r="R16" s="96" t="e">
        <f>P16*dagenperjaar1</f>
        <v>#DIV/0!</v>
      </c>
      <c r="S16" s="27" t="e">
        <f>R16*ROUND(O16,2)</f>
        <v>#DIV/0!</v>
      </c>
    </row>
    <row r="17" spans="1:19" x14ac:dyDescent="0.25">
      <c r="A17" s="93" t="s">
        <v>239</v>
      </c>
      <c r="B17" s="94" t="s">
        <v>240</v>
      </c>
      <c r="C17" s="94" t="s">
        <v>241</v>
      </c>
      <c r="D17" s="94" t="s">
        <v>267</v>
      </c>
      <c r="E17" s="95" t="s">
        <v>268</v>
      </c>
      <c r="F17" s="94" t="s">
        <v>269</v>
      </c>
      <c r="G17" s="94" t="s">
        <v>201</v>
      </c>
      <c r="H17" s="94" t="s">
        <v>11</v>
      </c>
      <c r="I17" s="94" t="s">
        <v>189</v>
      </c>
      <c r="J17" s="95" t="s">
        <v>202</v>
      </c>
      <c r="K17" s="96">
        <v>10</v>
      </c>
      <c r="L17" s="96">
        <f>K17*VLOOKUP(H17,dagsoorttabel1,2,FALSE)</f>
        <v>7.6923076923076925</v>
      </c>
      <c r="M17" s="97">
        <f>prodnorm8</f>
        <v>0</v>
      </c>
      <c r="N17" s="94" t="s">
        <v>103</v>
      </c>
      <c r="O17" s="26">
        <f>uurtarief8</f>
        <v>0</v>
      </c>
      <c r="P17" s="96" t="e">
        <f>IF(ISBLANK(M17),0,L17/ROUND(M17,4))</f>
        <v>#DIV/0!</v>
      </c>
      <c r="Q17" s="26" t="e">
        <f>ROUND(O17,2)*P17</f>
        <v>#DIV/0!</v>
      </c>
      <c r="R17" s="96" t="e">
        <f>P17*dagenperjaar1</f>
        <v>#DIV/0!</v>
      </c>
      <c r="S17" s="27" t="e">
        <f>R17*ROUND(O17,2)</f>
        <v>#DIV/0!</v>
      </c>
    </row>
    <row r="18" spans="1:19" x14ac:dyDescent="0.25">
      <c r="A18" s="93" t="s">
        <v>239</v>
      </c>
      <c r="B18" s="94" t="s">
        <v>240</v>
      </c>
      <c r="C18" s="94" t="s">
        <v>241</v>
      </c>
      <c r="D18" s="94" t="s">
        <v>270</v>
      </c>
      <c r="E18" s="95" t="s">
        <v>254</v>
      </c>
      <c r="F18" s="94" t="s">
        <v>255</v>
      </c>
      <c r="G18" s="94" t="s">
        <v>221</v>
      </c>
      <c r="H18" s="94" t="s">
        <v>11</v>
      </c>
      <c r="I18" s="94" t="s">
        <v>189</v>
      </c>
      <c r="J18" s="95" t="s">
        <v>222</v>
      </c>
      <c r="K18" s="96">
        <v>1.29</v>
      </c>
      <c r="L18" s="96">
        <f>K18*VLOOKUP(H18,dagsoorttabel1,2,FALSE)</f>
        <v>0.99230769230769234</v>
      </c>
      <c r="M18" s="97">
        <f>prodnorm18</f>
        <v>0</v>
      </c>
      <c r="N18" s="94" t="s">
        <v>103</v>
      </c>
      <c r="O18" s="26">
        <f>uurtarief18</f>
        <v>0</v>
      </c>
      <c r="P18" s="96" t="e">
        <f>IF(ISBLANK(M18),0,L18/ROUND(M18,4))</f>
        <v>#DIV/0!</v>
      </c>
      <c r="Q18" s="26" t="e">
        <f>ROUND(O18,2)*P18</f>
        <v>#DIV/0!</v>
      </c>
      <c r="R18" s="96" t="e">
        <f>P18*dagenperjaar1</f>
        <v>#DIV/0!</v>
      </c>
      <c r="S18" s="27" t="e">
        <f>R18*ROUND(O18,2)</f>
        <v>#DIV/0!</v>
      </c>
    </row>
    <row r="19" spans="1:19" x14ac:dyDescent="0.25">
      <c r="A19" s="93" t="s">
        <v>239</v>
      </c>
      <c r="B19" s="94" t="s">
        <v>240</v>
      </c>
      <c r="C19" s="94" t="s">
        <v>241</v>
      </c>
      <c r="D19" s="94" t="s">
        <v>271</v>
      </c>
      <c r="E19" s="95" t="s">
        <v>254</v>
      </c>
      <c r="F19" s="94" t="s">
        <v>255</v>
      </c>
      <c r="G19" s="94" t="s">
        <v>221</v>
      </c>
      <c r="H19" s="94" t="s">
        <v>11</v>
      </c>
      <c r="I19" s="94" t="s">
        <v>189</v>
      </c>
      <c r="J19" s="95" t="s">
        <v>222</v>
      </c>
      <c r="K19" s="96">
        <v>1.36</v>
      </c>
      <c r="L19" s="96">
        <f>K19*VLOOKUP(H19,dagsoorttabel1,2,FALSE)</f>
        <v>1.0461538461538462</v>
      </c>
      <c r="M19" s="97">
        <f>prodnorm18</f>
        <v>0</v>
      </c>
      <c r="N19" s="94" t="s">
        <v>103</v>
      </c>
      <c r="O19" s="26">
        <f>uurtarief18</f>
        <v>0</v>
      </c>
      <c r="P19" s="96" t="e">
        <f>IF(ISBLANK(M19),0,L19/ROUND(M19,4))</f>
        <v>#DIV/0!</v>
      </c>
      <c r="Q19" s="26" t="e">
        <f>ROUND(O19,2)*P19</f>
        <v>#DIV/0!</v>
      </c>
      <c r="R19" s="96" t="e">
        <f>P19*dagenperjaar1</f>
        <v>#DIV/0!</v>
      </c>
      <c r="S19" s="27" t="e">
        <f>R19*ROUND(O19,2)</f>
        <v>#DIV/0!</v>
      </c>
    </row>
    <row r="20" spans="1:19" x14ac:dyDescent="0.25">
      <c r="A20" s="93" t="s">
        <v>239</v>
      </c>
      <c r="B20" s="94" t="s">
        <v>240</v>
      </c>
      <c r="C20" s="94" t="s">
        <v>241</v>
      </c>
      <c r="D20" s="94" t="s">
        <v>272</v>
      </c>
      <c r="E20" s="95" t="s">
        <v>254</v>
      </c>
      <c r="F20" s="94" t="s">
        <v>255</v>
      </c>
      <c r="G20" s="94" t="s">
        <v>221</v>
      </c>
      <c r="H20" s="94" t="s">
        <v>11</v>
      </c>
      <c r="I20" s="94" t="s">
        <v>189</v>
      </c>
      <c r="J20" s="95" t="s">
        <v>222</v>
      </c>
      <c r="K20" s="96">
        <v>1.29</v>
      </c>
      <c r="L20" s="96">
        <f>K20*VLOOKUP(H20,dagsoorttabel1,2,FALSE)</f>
        <v>0.99230769230769234</v>
      </c>
      <c r="M20" s="97">
        <f>prodnorm18</f>
        <v>0</v>
      </c>
      <c r="N20" s="94" t="s">
        <v>103</v>
      </c>
      <c r="O20" s="26">
        <f>uurtarief18</f>
        <v>0</v>
      </c>
      <c r="P20" s="96" t="e">
        <f>IF(ISBLANK(M20),0,L20/ROUND(M20,4))</f>
        <v>#DIV/0!</v>
      </c>
      <c r="Q20" s="26" t="e">
        <f>ROUND(O20,2)*P20</f>
        <v>#DIV/0!</v>
      </c>
      <c r="R20" s="96" t="e">
        <f>P20*dagenperjaar1</f>
        <v>#DIV/0!</v>
      </c>
      <c r="S20" s="27" t="e">
        <f>R20*ROUND(O20,2)</f>
        <v>#DIV/0!</v>
      </c>
    </row>
    <row r="21" spans="1:19" ht="30" x14ac:dyDescent="0.25">
      <c r="A21" s="93" t="s">
        <v>239</v>
      </c>
      <c r="B21" s="94" t="s">
        <v>240</v>
      </c>
      <c r="C21" s="94" t="s">
        <v>241</v>
      </c>
      <c r="D21" s="94" t="s">
        <v>273</v>
      </c>
      <c r="E21" s="95" t="s">
        <v>274</v>
      </c>
      <c r="F21" s="94" t="s">
        <v>244</v>
      </c>
      <c r="G21" s="94" t="s">
        <v>191</v>
      </c>
      <c r="H21" s="94" t="s">
        <v>11</v>
      </c>
      <c r="I21" s="94" t="s">
        <v>189</v>
      </c>
      <c r="J21" s="95" t="s">
        <v>192</v>
      </c>
      <c r="K21" s="96">
        <v>23.24</v>
      </c>
      <c r="L21" s="96">
        <f>K21*VLOOKUP(H21,dagsoorttabel1,2,FALSE)</f>
        <v>17.876923076923077</v>
      </c>
      <c r="M21" s="97">
        <f>prodnorm3</f>
        <v>0</v>
      </c>
      <c r="N21" s="94" t="s">
        <v>103</v>
      </c>
      <c r="O21" s="26">
        <f>uurtarief3</f>
        <v>0</v>
      </c>
      <c r="P21" s="96" t="e">
        <f>IF(ISBLANK(M21),0,L21/ROUND(M21,4))</f>
        <v>#DIV/0!</v>
      </c>
      <c r="Q21" s="26" t="e">
        <f>ROUND(O21,2)*P21</f>
        <v>#DIV/0!</v>
      </c>
      <c r="R21" s="96" t="e">
        <f>P21*dagenperjaar1</f>
        <v>#DIV/0!</v>
      </c>
      <c r="S21" s="27" t="e">
        <f>R21*ROUND(O21,2)</f>
        <v>#DIV/0!</v>
      </c>
    </row>
    <row r="22" spans="1:19" x14ac:dyDescent="0.25">
      <c r="A22" s="93" t="s">
        <v>239</v>
      </c>
      <c r="B22" s="94" t="s">
        <v>240</v>
      </c>
      <c r="C22" s="94" t="s">
        <v>241</v>
      </c>
      <c r="D22" s="94" t="s">
        <v>275</v>
      </c>
      <c r="E22" s="95" t="s">
        <v>276</v>
      </c>
      <c r="F22" s="94" t="s">
        <v>244</v>
      </c>
      <c r="G22" s="94" t="s">
        <v>209</v>
      </c>
      <c r="H22" s="94" t="s">
        <v>11</v>
      </c>
      <c r="I22" s="94" t="s">
        <v>189</v>
      </c>
      <c r="J22" s="95" t="s">
        <v>210</v>
      </c>
      <c r="K22" s="96">
        <v>48.77</v>
      </c>
      <c r="L22" s="96">
        <f>K22*VLOOKUP(H22,dagsoorttabel1,2,FALSE)</f>
        <v>37.515384615384619</v>
      </c>
      <c r="M22" s="97">
        <f>prodnorm12</f>
        <v>0</v>
      </c>
      <c r="N22" s="94" t="s">
        <v>103</v>
      </c>
      <c r="O22" s="26">
        <f>uurtarief12</f>
        <v>0</v>
      </c>
      <c r="P22" s="96" t="e">
        <f>IF(ISBLANK(M22),0,L22/ROUND(M22,4))</f>
        <v>#DIV/0!</v>
      </c>
      <c r="Q22" s="26" t="e">
        <f>ROUND(O22,2)*P22</f>
        <v>#DIV/0!</v>
      </c>
      <c r="R22" s="96" t="e">
        <f>P22*dagenperjaar1</f>
        <v>#DIV/0!</v>
      </c>
      <c r="S22" s="27" t="e">
        <f>R22*ROUND(O22,2)</f>
        <v>#DIV/0!</v>
      </c>
    </row>
    <row r="23" spans="1:19" x14ac:dyDescent="0.25">
      <c r="A23" s="93" t="s">
        <v>239</v>
      </c>
      <c r="B23" s="94" t="s">
        <v>240</v>
      </c>
      <c r="C23" s="94" t="s">
        <v>241</v>
      </c>
      <c r="D23" s="94" t="s">
        <v>277</v>
      </c>
      <c r="E23" s="95" t="s">
        <v>278</v>
      </c>
      <c r="F23" s="94" t="s">
        <v>244</v>
      </c>
      <c r="G23" s="94" t="s">
        <v>209</v>
      </c>
      <c r="H23" s="94" t="s">
        <v>11</v>
      </c>
      <c r="I23" s="94" t="s">
        <v>189</v>
      </c>
      <c r="J23" s="95" t="s">
        <v>210</v>
      </c>
      <c r="K23" s="96">
        <v>49.52</v>
      </c>
      <c r="L23" s="96">
        <f>K23*VLOOKUP(H23,dagsoorttabel1,2,FALSE)</f>
        <v>38.092307692307699</v>
      </c>
      <c r="M23" s="97">
        <f>prodnorm12</f>
        <v>0</v>
      </c>
      <c r="N23" s="94" t="s">
        <v>103</v>
      </c>
      <c r="O23" s="26">
        <f>uurtarief12</f>
        <v>0</v>
      </c>
      <c r="P23" s="96" t="e">
        <f>IF(ISBLANK(M23),0,L23/ROUND(M23,4))</f>
        <v>#DIV/0!</v>
      </c>
      <c r="Q23" s="26" t="e">
        <f>ROUND(O23,2)*P23</f>
        <v>#DIV/0!</v>
      </c>
      <c r="R23" s="96" t="e">
        <f>P23*dagenperjaar1</f>
        <v>#DIV/0!</v>
      </c>
      <c r="S23" s="27" t="e">
        <f>R23*ROUND(O23,2)</f>
        <v>#DIV/0!</v>
      </c>
    </row>
    <row r="24" spans="1:19" x14ac:dyDescent="0.25">
      <c r="A24" s="93" t="s">
        <v>239</v>
      </c>
      <c r="B24" s="94" t="s">
        <v>240</v>
      </c>
      <c r="C24" s="94" t="s">
        <v>241</v>
      </c>
      <c r="D24" s="94" t="s">
        <v>279</v>
      </c>
      <c r="E24" s="95" t="s">
        <v>276</v>
      </c>
      <c r="F24" s="94" t="s">
        <v>244</v>
      </c>
      <c r="G24" s="94" t="s">
        <v>209</v>
      </c>
      <c r="H24" s="94" t="s">
        <v>11</v>
      </c>
      <c r="I24" s="94" t="s">
        <v>189</v>
      </c>
      <c r="J24" s="95" t="s">
        <v>210</v>
      </c>
      <c r="K24" s="96">
        <v>48.78</v>
      </c>
      <c r="L24" s="96">
        <f>K24*VLOOKUP(H24,dagsoorttabel1,2,FALSE)</f>
        <v>37.523076923076928</v>
      </c>
      <c r="M24" s="97">
        <f>prodnorm12</f>
        <v>0</v>
      </c>
      <c r="N24" s="94" t="s">
        <v>103</v>
      </c>
      <c r="O24" s="26">
        <f>uurtarief12</f>
        <v>0</v>
      </c>
      <c r="P24" s="96" t="e">
        <f>IF(ISBLANK(M24),0,L24/ROUND(M24,4))</f>
        <v>#DIV/0!</v>
      </c>
      <c r="Q24" s="26" t="e">
        <f>ROUND(O24,2)*P24</f>
        <v>#DIV/0!</v>
      </c>
      <c r="R24" s="96" t="e">
        <f>P24*dagenperjaar1</f>
        <v>#DIV/0!</v>
      </c>
      <c r="S24" s="27" t="e">
        <f>R24*ROUND(O24,2)</f>
        <v>#DIV/0!</v>
      </c>
    </row>
    <row r="25" spans="1:19" x14ac:dyDescent="0.25">
      <c r="A25" s="93" t="s">
        <v>239</v>
      </c>
      <c r="B25" s="94" t="s">
        <v>240</v>
      </c>
      <c r="C25" s="94" t="s">
        <v>241</v>
      </c>
      <c r="D25" s="94" t="s">
        <v>280</v>
      </c>
      <c r="E25" s="95" t="s">
        <v>276</v>
      </c>
      <c r="F25" s="94" t="s">
        <v>244</v>
      </c>
      <c r="G25" s="94" t="s">
        <v>209</v>
      </c>
      <c r="H25" s="94" t="s">
        <v>11</v>
      </c>
      <c r="I25" s="94" t="s">
        <v>189</v>
      </c>
      <c r="J25" s="95" t="s">
        <v>210</v>
      </c>
      <c r="K25" s="96">
        <v>48.74</v>
      </c>
      <c r="L25" s="96">
        <f>K25*VLOOKUP(H25,dagsoorttabel1,2,FALSE)</f>
        <v>37.492307692307698</v>
      </c>
      <c r="M25" s="97">
        <f>prodnorm12</f>
        <v>0</v>
      </c>
      <c r="N25" s="94" t="s">
        <v>103</v>
      </c>
      <c r="O25" s="26">
        <f>uurtarief12</f>
        <v>0</v>
      </c>
      <c r="P25" s="96" t="e">
        <f>IF(ISBLANK(M25),0,L25/ROUND(M25,4))</f>
        <v>#DIV/0!</v>
      </c>
      <c r="Q25" s="26" t="e">
        <f>ROUND(O25,2)*P25</f>
        <v>#DIV/0!</v>
      </c>
      <c r="R25" s="96" t="e">
        <f>P25*dagenperjaar1</f>
        <v>#DIV/0!</v>
      </c>
      <c r="S25" s="27" t="e">
        <f>R25*ROUND(O25,2)</f>
        <v>#DIV/0!</v>
      </c>
    </row>
    <row r="26" spans="1:19" x14ac:dyDescent="0.25">
      <c r="A26" s="93" t="s">
        <v>239</v>
      </c>
      <c r="B26" s="94" t="s">
        <v>240</v>
      </c>
      <c r="C26" s="94" t="s">
        <v>241</v>
      </c>
      <c r="D26" s="94" t="s">
        <v>281</v>
      </c>
      <c r="E26" s="95" t="s">
        <v>276</v>
      </c>
      <c r="F26" s="94" t="s">
        <v>244</v>
      </c>
      <c r="G26" s="94" t="s">
        <v>209</v>
      </c>
      <c r="H26" s="94" t="s">
        <v>11</v>
      </c>
      <c r="I26" s="94" t="s">
        <v>189</v>
      </c>
      <c r="J26" s="95" t="s">
        <v>210</v>
      </c>
      <c r="K26" s="96">
        <v>48.68</v>
      </c>
      <c r="L26" s="96">
        <f>K26*VLOOKUP(H26,dagsoorttabel1,2,FALSE)</f>
        <v>37.446153846153848</v>
      </c>
      <c r="M26" s="97">
        <f>prodnorm12</f>
        <v>0</v>
      </c>
      <c r="N26" s="94" t="s">
        <v>103</v>
      </c>
      <c r="O26" s="26">
        <f>uurtarief12</f>
        <v>0</v>
      </c>
      <c r="P26" s="96" t="e">
        <f>IF(ISBLANK(M26),0,L26/ROUND(M26,4))</f>
        <v>#DIV/0!</v>
      </c>
      <c r="Q26" s="26" t="e">
        <f>ROUND(O26,2)*P26</f>
        <v>#DIV/0!</v>
      </c>
      <c r="R26" s="96" t="e">
        <f>P26*dagenperjaar1</f>
        <v>#DIV/0!</v>
      </c>
      <c r="S26" s="27" t="e">
        <f>R26*ROUND(O26,2)</f>
        <v>#DIV/0!</v>
      </c>
    </row>
    <row r="27" spans="1:19" x14ac:dyDescent="0.25">
      <c r="A27" s="93" t="s">
        <v>239</v>
      </c>
      <c r="B27" s="94" t="s">
        <v>240</v>
      </c>
      <c r="C27" s="94" t="s">
        <v>241</v>
      </c>
      <c r="D27" s="94" t="s">
        <v>282</v>
      </c>
      <c r="E27" s="95" t="s">
        <v>276</v>
      </c>
      <c r="F27" s="94" t="s">
        <v>244</v>
      </c>
      <c r="G27" s="94" t="s">
        <v>209</v>
      </c>
      <c r="H27" s="94" t="s">
        <v>11</v>
      </c>
      <c r="I27" s="94" t="s">
        <v>189</v>
      </c>
      <c r="J27" s="95" t="s">
        <v>210</v>
      </c>
      <c r="K27" s="96">
        <v>50.6</v>
      </c>
      <c r="L27" s="96">
        <f>K27*VLOOKUP(H27,dagsoorttabel1,2,FALSE)</f>
        <v>38.923076923076927</v>
      </c>
      <c r="M27" s="97">
        <f>prodnorm12</f>
        <v>0</v>
      </c>
      <c r="N27" s="94" t="s">
        <v>103</v>
      </c>
      <c r="O27" s="26">
        <f>uurtarief12</f>
        <v>0</v>
      </c>
      <c r="P27" s="96" t="e">
        <f>IF(ISBLANK(M27),0,L27/ROUND(M27,4))</f>
        <v>#DIV/0!</v>
      </c>
      <c r="Q27" s="26" t="e">
        <f>ROUND(O27,2)*P27</f>
        <v>#DIV/0!</v>
      </c>
      <c r="R27" s="96" t="e">
        <f>P27*dagenperjaar1</f>
        <v>#DIV/0!</v>
      </c>
      <c r="S27" s="27" t="e">
        <f>R27*ROUND(O27,2)</f>
        <v>#DIV/0!</v>
      </c>
    </row>
    <row r="28" spans="1:19" x14ac:dyDescent="0.25">
      <c r="A28" s="93" t="s">
        <v>239</v>
      </c>
      <c r="B28" s="94" t="s">
        <v>240</v>
      </c>
      <c r="C28" s="94" t="s">
        <v>241</v>
      </c>
      <c r="D28" s="94" t="s">
        <v>283</v>
      </c>
      <c r="E28" s="95" t="s">
        <v>247</v>
      </c>
      <c r="F28" s="94" t="s">
        <v>244</v>
      </c>
      <c r="G28" s="94" t="s">
        <v>248</v>
      </c>
      <c r="H28" s="94"/>
      <c r="I28" s="94"/>
      <c r="J28" s="94"/>
      <c r="K28" s="96">
        <v>3.8699999999999997</v>
      </c>
      <c r="L28" s="96"/>
      <c r="M28" s="97"/>
      <c r="N28" s="94"/>
      <c r="O28" s="26"/>
      <c r="P28" s="96"/>
      <c r="Q28" s="26"/>
      <c r="R28" s="98"/>
      <c r="S28" s="27"/>
    </row>
    <row r="29" spans="1:19" ht="30" x14ac:dyDescent="0.25">
      <c r="A29" s="93" t="s">
        <v>239</v>
      </c>
      <c r="B29" s="94" t="s">
        <v>284</v>
      </c>
      <c r="C29" s="94" t="s">
        <v>285</v>
      </c>
      <c r="D29" s="94" t="s">
        <v>286</v>
      </c>
      <c r="E29" s="95" t="s">
        <v>243</v>
      </c>
      <c r="F29" s="94" t="s">
        <v>244</v>
      </c>
      <c r="G29" s="94" t="s">
        <v>225</v>
      </c>
      <c r="H29" s="94" t="s">
        <v>11</v>
      </c>
      <c r="I29" s="94" t="s">
        <v>189</v>
      </c>
      <c r="J29" s="95" t="s">
        <v>226</v>
      </c>
      <c r="K29" s="96">
        <v>113</v>
      </c>
      <c r="L29" s="96">
        <f>K29*VLOOKUP(H29,dagsoorttabel1,2,FALSE)</f>
        <v>86.923076923076934</v>
      </c>
      <c r="M29" s="97">
        <f>prodnorm20</f>
        <v>0</v>
      </c>
      <c r="N29" s="94" t="s">
        <v>103</v>
      </c>
      <c r="O29" s="26">
        <f>uurtarief20</f>
        <v>0</v>
      </c>
      <c r="P29" s="96" t="e">
        <f>IF(ISBLANK(M29),0,L29/ROUND(M29,4))</f>
        <v>#DIV/0!</v>
      </c>
      <c r="Q29" s="26" t="e">
        <f>ROUND(O29,2)*P29</f>
        <v>#DIV/0!</v>
      </c>
      <c r="R29" s="96" t="e">
        <f>P29*dagenperjaar1</f>
        <v>#DIV/0!</v>
      </c>
      <c r="S29" s="27" t="e">
        <f>R29*ROUND(O29,2)</f>
        <v>#DIV/0!</v>
      </c>
    </row>
    <row r="30" spans="1:19" x14ac:dyDescent="0.25">
      <c r="A30" s="93" t="s">
        <v>239</v>
      </c>
      <c r="B30" s="94" t="s">
        <v>284</v>
      </c>
      <c r="C30" s="94" t="s">
        <v>285</v>
      </c>
      <c r="D30" s="94" t="s">
        <v>287</v>
      </c>
      <c r="E30" s="95" t="s">
        <v>276</v>
      </c>
      <c r="F30" s="94" t="s">
        <v>244</v>
      </c>
      <c r="G30" s="94" t="s">
        <v>209</v>
      </c>
      <c r="H30" s="94" t="s">
        <v>11</v>
      </c>
      <c r="I30" s="94" t="s">
        <v>189</v>
      </c>
      <c r="J30" s="95" t="s">
        <v>210</v>
      </c>
      <c r="K30" s="96">
        <v>50.28</v>
      </c>
      <c r="L30" s="96">
        <f>K30*VLOOKUP(H30,dagsoorttabel1,2,FALSE)</f>
        <v>38.676923076923082</v>
      </c>
      <c r="M30" s="97">
        <f>prodnorm12</f>
        <v>0</v>
      </c>
      <c r="N30" s="94" t="s">
        <v>103</v>
      </c>
      <c r="O30" s="26">
        <f>uurtarief12</f>
        <v>0</v>
      </c>
      <c r="P30" s="96" t="e">
        <f>IF(ISBLANK(M30),0,L30/ROUND(M30,4))</f>
        <v>#DIV/0!</v>
      </c>
      <c r="Q30" s="26" t="e">
        <f>ROUND(O30,2)*P30</f>
        <v>#DIV/0!</v>
      </c>
      <c r="R30" s="96" t="e">
        <f>P30*dagenperjaar1</f>
        <v>#DIV/0!</v>
      </c>
      <c r="S30" s="27" t="e">
        <f>R30*ROUND(O30,2)</f>
        <v>#DIV/0!</v>
      </c>
    </row>
    <row r="31" spans="1:19" x14ac:dyDescent="0.25">
      <c r="A31" s="93" t="s">
        <v>239</v>
      </c>
      <c r="B31" s="94" t="s">
        <v>284</v>
      </c>
      <c r="C31" s="94" t="s">
        <v>285</v>
      </c>
      <c r="D31" s="94" t="s">
        <v>288</v>
      </c>
      <c r="E31" s="95" t="s">
        <v>276</v>
      </c>
      <c r="F31" s="94" t="s">
        <v>244</v>
      </c>
      <c r="G31" s="94" t="s">
        <v>209</v>
      </c>
      <c r="H31" s="94" t="s">
        <v>11</v>
      </c>
      <c r="I31" s="94" t="s">
        <v>189</v>
      </c>
      <c r="J31" s="95" t="s">
        <v>210</v>
      </c>
      <c r="K31" s="96">
        <v>49.11</v>
      </c>
      <c r="L31" s="96">
        <f>K31*VLOOKUP(H31,dagsoorttabel1,2,FALSE)</f>
        <v>37.776923076923076</v>
      </c>
      <c r="M31" s="97">
        <f>prodnorm12</f>
        <v>0</v>
      </c>
      <c r="N31" s="94" t="s">
        <v>103</v>
      </c>
      <c r="O31" s="26">
        <f>uurtarief12</f>
        <v>0</v>
      </c>
      <c r="P31" s="96" t="e">
        <f>IF(ISBLANK(M31),0,L31/ROUND(M31,4))</f>
        <v>#DIV/0!</v>
      </c>
      <c r="Q31" s="26" t="e">
        <f>ROUND(O31,2)*P31</f>
        <v>#DIV/0!</v>
      </c>
      <c r="R31" s="96" t="e">
        <f>P31*dagenperjaar1</f>
        <v>#DIV/0!</v>
      </c>
      <c r="S31" s="27" t="e">
        <f>R31*ROUND(O31,2)</f>
        <v>#DIV/0!</v>
      </c>
    </row>
    <row r="32" spans="1:19" x14ac:dyDescent="0.25">
      <c r="A32" s="93" t="s">
        <v>239</v>
      </c>
      <c r="B32" s="94" t="s">
        <v>284</v>
      </c>
      <c r="C32" s="94" t="s">
        <v>285</v>
      </c>
      <c r="D32" s="94" t="s">
        <v>289</v>
      </c>
      <c r="E32" s="95" t="s">
        <v>276</v>
      </c>
      <c r="F32" s="94" t="s">
        <v>244</v>
      </c>
      <c r="G32" s="94" t="s">
        <v>209</v>
      </c>
      <c r="H32" s="94" t="s">
        <v>11</v>
      </c>
      <c r="I32" s="94" t="s">
        <v>189</v>
      </c>
      <c r="J32" s="95" t="s">
        <v>210</v>
      </c>
      <c r="K32" s="96">
        <v>49.190000000000005</v>
      </c>
      <c r="L32" s="96">
        <f>K32*VLOOKUP(H32,dagsoorttabel1,2,FALSE)</f>
        <v>37.838461538461544</v>
      </c>
      <c r="M32" s="97">
        <f>prodnorm12</f>
        <v>0</v>
      </c>
      <c r="N32" s="94" t="s">
        <v>103</v>
      </c>
      <c r="O32" s="26">
        <f>uurtarief12</f>
        <v>0</v>
      </c>
      <c r="P32" s="96" t="e">
        <f>IF(ISBLANK(M32),0,L32/ROUND(M32,4))</f>
        <v>#DIV/0!</v>
      </c>
      <c r="Q32" s="26" t="e">
        <f>ROUND(O32,2)*P32</f>
        <v>#DIV/0!</v>
      </c>
      <c r="R32" s="96" t="e">
        <f>P32*dagenperjaar1</f>
        <v>#DIV/0!</v>
      </c>
      <c r="S32" s="27" t="e">
        <f>R32*ROUND(O32,2)</f>
        <v>#DIV/0!</v>
      </c>
    </row>
    <row r="33" spans="1:19" x14ac:dyDescent="0.25">
      <c r="A33" s="93" t="s">
        <v>239</v>
      </c>
      <c r="B33" s="94" t="s">
        <v>284</v>
      </c>
      <c r="C33" s="94" t="s">
        <v>285</v>
      </c>
      <c r="D33" s="94" t="s">
        <v>290</v>
      </c>
      <c r="E33" s="95" t="s">
        <v>276</v>
      </c>
      <c r="F33" s="94" t="s">
        <v>244</v>
      </c>
      <c r="G33" s="94" t="s">
        <v>209</v>
      </c>
      <c r="H33" s="94" t="s">
        <v>11</v>
      </c>
      <c r="I33" s="94" t="s">
        <v>189</v>
      </c>
      <c r="J33" s="95" t="s">
        <v>210</v>
      </c>
      <c r="K33" s="96">
        <v>48.849999999999994</v>
      </c>
      <c r="L33" s="96">
        <f>K33*VLOOKUP(H33,dagsoorttabel1,2,FALSE)</f>
        <v>37.576923076923073</v>
      </c>
      <c r="M33" s="97">
        <f>prodnorm12</f>
        <v>0</v>
      </c>
      <c r="N33" s="94" t="s">
        <v>103</v>
      </c>
      <c r="O33" s="26">
        <f>uurtarief12</f>
        <v>0</v>
      </c>
      <c r="P33" s="96" t="e">
        <f>IF(ISBLANK(M33),0,L33/ROUND(M33,4))</f>
        <v>#DIV/0!</v>
      </c>
      <c r="Q33" s="26" t="e">
        <f>ROUND(O33,2)*P33</f>
        <v>#DIV/0!</v>
      </c>
      <c r="R33" s="96" t="e">
        <f>P33*dagenperjaar1</f>
        <v>#DIV/0!</v>
      </c>
      <c r="S33" s="27" t="e">
        <f>R33*ROUND(O33,2)</f>
        <v>#DIV/0!</v>
      </c>
    </row>
    <row r="34" spans="1:19" x14ac:dyDescent="0.25">
      <c r="A34" s="93" t="s">
        <v>239</v>
      </c>
      <c r="B34" s="94" t="s">
        <v>284</v>
      </c>
      <c r="C34" s="94" t="s">
        <v>285</v>
      </c>
      <c r="D34" s="94" t="s">
        <v>291</v>
      </c>
      <c r="E34" s="95" t="s">
        <v>276</v>
      </c>
      <c r="F34" s="94" t="s">
        <v>244</v>
      </c>
      <c r="G34" s="94" t="s">
        <v>209</v>
      </c>
      <c r="H34" s="94" t="s">
        <v>11</v>
      </c>
      <c r="I34" s="94" t="s">
        <v>189</v>
      </c>
      <c r="J34" s="95" t="s">
        <v>210</v>
      </c>
      <c r="K34" s="96">
        <v>48.67</v>
      </c>
      <c r="L34" s="96">
        <f>K34*VLOOKUP(H34,dagsoorttabel1,2,FALSE)</f>
        <v>37.438461538461539</v>
      </c>
      <c r="M34" s="97">
        <f>prodnorm12</f>
        <v>0</v>
      </c>
      <c r="N34" s="94" t="s">
        <v>103</v>
      </c>
      <c r="O34" s="26">
        <f>uurtarief12</f>
        <v>0</v>
      </c>
      <c r="P34" s="96" t="e">
        <f>IF(ISBLANK(M34),0,L34/ROUND(M34,4))</f>
        <v>#DIV/0!</v>
      </c>
      <c r="Q34" s="26" t="e">
        <f>ROUND(O34,2)*P34</f>
        <v>#DIV/0!</v>
      </c>
      <c r="R34" s="96" t="e">
        <f>P34*dagenperjaar1</f>
        <v>#DIV/0!</v>
      </c>
      <c r="S34" s="27" t="e">
        <f>R34*ROUND(O34,2)</f>
        <v>#DIV/0!</v>
      </c>
    </row>
    <row r="35" spans="1:19" x14ac:dyDescent="0.25">
      <c r="A35" s="93" t="s">
        <v>239</v>
      </c>
      <c r="B35" s="94" t="s">
        <v>284</v>
      </c>
      <c r="C35" s="94" t="s">
        <v>285</v>
      </c>
      <c r="D35" s="94" t="s">
        <v>292</v>
      </c>
      <c r="E35" s="95" t="s">
        <v>276</v>
      </c>
      <c r="F35" s="94" t="s">
        <v>244</v>
      </c>
      <c r="G35" s="94" t="s">
        <v>209</v>
      </c>
      <c r="H35" s="94" t="s">
        <v>11</v>
      </c>
      <c r="I35" s="94" t="s">
        <v>189</v>
      </c>
      <c r="J35" s="95" t="s">
        <v>210</v>
      </c>
      <c r="K35" s="96">
        <v>50.190000000000005</v>
      </c>
      <c r="L35" s="96">
        <f>K35*VLOOKUP(H35,dagsoorttabel1,2,FALSE)</f>
        <v>38.607692307692311</v>
      </c>
      <c r="M35" s="97">
        <f>prodnorm12</f>
        <v>0</v>
      </c>
      <c r="N35" s="94" t="s">
        <v>103</v>
      </c>
      <c r="O35" s="26">
        <f>uurtarief12</f>
        <v>0</v>
      </c>
      <c r="P35" s="96" t="e">
        <f>IF(ISBLANK(M35),0,L35/ROUND(M35,4))</f>
        <v>#DIV/0!</v>
      </c>
      <c r="Q35" s="26" t="e">
        <f>ROUND(O35,2)*P35</f>
        <v>#DIV/0!</v>
      </c>
      <c r="R35" s="96" t="e">
        <f>P35*dagenperjaar1</f>
        <v>#DIV/0!</v>
      </c>
      <c r="S35" s="27" t="e">
        <f>R35*ROUND(O35,2)</f>
        <v>#DIV/0!</v>
      </c>
    </row>
    <row r="36" spans="1:19" ht="30" x14ac:dyDescent="0.25">
      <c r="A36" s="93" t="s">
        <v>239</v>
      </c>
      <c r="B36" s="94" t="s">
        <v>284</v>
      </c>
      <c r="C36" s="94" t="s">
        <v>285</v>
      </c>
      <c r="D36" s="94" t="s">
        <v>293</v>
      </c>
      <c r="E36" s="95" t="s">
        <v>294</v>
      </c>
      <c r="F36" s="94" t="s">
        <v>244</v>
      </c>
      <c r="G36" s="94" t="s">
        <v>193</v>
      </c>
      <c r="H36" s="94" t="s">
        <v>11</v>
      </c>
      <c r="I36" s="94" t="s">
        <v>189</v>
      </c>
      <c r="J36" s="95" t="s">
        <v>194</v>
      </c>
      <c r="K36" s="96">
        <v>21</v>
      </c>
      <c r="L36" s="96">
        <f>K36*VLOOKUP(H36,dagsoorttabel1,2,FALSE)</f>
        <v>16.153846153846153</v>
      </c>
      <c r="M36" s="97">
        <f>prodnorm4</f>
        <v>0</v>
      </c>
      <c r="N36" s="94" t="s">
        <v>103</v>
      </c>
      <c r="O36" s="26">
        <f>uurtarief4</f>
        <v>0</v>
      </c>
      <c r="P36" s="96" t="e">
        <f>IF(ISBLANK(M36),0,L36/ROUND(M36,4))</f>
        <v>#DIV/0!</v>
      </c>
      <c r="Q36" s="26" t="e">
        <f>ROUND(O36,2)*P36</f>
        <v>#DIV/0!</v>
      </c>
      <c r="R36" s="96" t="e">
        <f>P36*dagenperjaar1</f>
        <v>#DIV/0!</v>
      </c>
      <c r="S36" s="27" t="e">
        <f>R36*ROUND(O36,2)</f>
        <v>#DIV/0!</v>
      </c>
    </row>
    <row r="37" spans="1:19" x14ac:dyDescent="0.25">
      <c r="A37" s="93" t="s">
        <v>239</v>
      </c>
      <c r="B37" s="94" t="s">
        <v>284</v>
      </c>
      <c r="C37" s="94" t="s">
        <v>285</v>
      </c>
      <c r="D37" s="94" t="s">
        <v>295</v>
      </c>
      <c r="E37" s="95" t="s">
        <v>247</v>
      </c>
      <c r="F37" s="94" t="s">
        <v>244</v>
      </c>
      <c r="G37" s="94" t="s">
        <v>248</v>
      </c>
      <c r="H37" s="94"/>
      <c r="I37" s="94"/>
      <c r="J37" s="94"/>
      <c r="K37" s="96">
        <v>4.28</v>
      </c>
      <c r="L37" s="96"/>
      <c r="M37" s="97"/>
      <c r="N37" s="94"/>
      <c r="O37" s="26"/>
      <c r="P37" s="96"/>
      <c r="Q37" s="26"/>
      <c r="R37" s="98"/>
      <c r="S37" s="27"/>
    </row>
    <row r="38" spans="1:19" x14ac:dyDescent="0.25">
      <c r="A38" s="93" t="s">
        <v>239</v>
      </c>
      <c r="B38" s="94" t="s">
        <v>284</v>
      </c>
      <c r="C38" s="94" t="s">
        <v>285</v>
      </c>
      <c r="D38" s="94" t="s">
        <v>296</v>
      </c>
      <c r="E38" s="95" t="s">
        <v>254</v>
      </c>
      <c r="F38" s="94" t="s">
        <v>255</v>
      </c>
      <c r="G38" s="94" t="s">
        <v>221</v>
      </c>
      <c r="H38" s="94" t="s">
        <v>11</v>
      </c>
      <c r="I38" s="94" t="s">
        <v>189</v>
      </c>
      <c r="J38" s="95" t="s">
        <v>222</v>
      </c>
      <c r="K38" s="96">
        <v>1.27</v>
      </c>
      <c r="L38" s="96">
        <f>K38*VLOOKUP(H38,dagsoorttabel1,2,FALSE)</f>
        <v>0.97692307692307701</v>
      </c>
      <c r="M38" s="97">
        <f>prodnorm18</f>
        <v>0</v>
      </c>
      <c r="N38" s="94" t="s">
        <v>103</v>
      </c>
      <c r="O38" s="26">
        <f>uurtarief18</f>
        <v>0</v>
      </c>
      <c r="P38" s="96" t="e">
        <f>IF(ISBLANK(M38),0,L38/ROUND(M38,4))</f>
        <v>#DIV/0!</v>
      </c>
      <c r="Q38" s="26" t="e">
        <f>ROUND(O38,2)*P38</f>
        <v>#DIV/0!</v>
      </c>
      <c r="R38" s="96" t="e">
        <f>P38*dagenperjaar1</f>
        <v>#DIV/0!</v>
      </c>
      <c r="S38" s="27" t="e">
        <f>R38*ROUND(O38,2)</f>
        <v>#DIV/0!</v>
      </c>
    </row>
    <row r="39" spans="1:19" x14ac:dyDescent="0.25">
      <c r="A39" s="93" t="s">
        <v>239</v>
      </c>
      <c r="B39" s="94" t="s">
        <v>284</v>
      </c>
      <c r="C39" s="94" t="s">
        <v>285</v>
      </c>
      <c r="D39" s="94" t="s">
        <v>297</v>
      </c>
      <c r="E39" s="95" t="s">
        <v>254</v>
      </c>
      <c r="F39" s="94" t="s">
        <v>255</v>
      </c>
      <c r="G39" s="94" t="s">
        <v>221</v>
      </c>
      <c r="H39" s="94" t="s">
        <v>11</v>
      </c>
      <c r="I39" s="94" t="s">
        <v>189</v>
      </c>
      <c r="J39" s="95" t="s">
        <v>222</v>
      </c>
      <c r="K39" s="96">
        <v>1.35</v>
      </c>
      <c r="L39" s="96">
        <f>K39*VLOOKUP(H39,dagsoorttabel1,2,FALSE)</f>
        <v>1.0384615384615385</v>
      </c>
      <c r="M39" s="97">
        <f>prodnorm18</f>
        <v>0</v>
      </c>
      <c r="N39" s="94" t="s">
        <v>103</v>
      </c>
      <c r="O39" s="26">
        <f>uurtarief18</f>
        <v>0</v>
      </c>
      <c r="P39" s="96" t="e">
        <f>IF(ISBLANK(M39),0,L39/ROUND(M39,4))</f>
        <v>#DIV/0!</v>
      </c>
      <c r="Q39" s="26" t="e">
        <f>ROUND(O39,2)*P39</f>
        <v>#DIV/0!</v>
      </c>
      <c r="R39" s="96" t="e">
        <f>P39*dagenperjaar1</f>
        <v>#DIV/0!</v>
      </c>
      <c r="S39" s="27" t="e">
        <f>R39*ROUND(O39,2)</f>
        <v>#DIV/0!</v>
      </c>
    </row>
    <row r="40" spans="1:19" x14ac:dyDescent="0.25">
      <c r="A40" s="93" t="s">
        <v>239</v>
      </c>
      <c r="B40" s="94" t="s">
        <v>284</v>
      </c>
      <c r="C40" s="94" t="s">
        <v>285</v>
      </c>
      <c r="D40" s="94" t="s">
        <v>298</v>
      </c>
      <c r="E40" s="95" t="s">
        <v>254</v>
      </c>
      <c r="F40" s="94" t="s">
        <v>255</v>
      </c>
      <c r="G40" s="94" t="s">
        <v>221</v>
      </c>
      <c r="H40" s="94" t="s">
        <v>11</v>
      </c>
      <c r="I40" s="94" t="s">
        <v>189</v>
      </c>
      <c r="J40" s="95" t="s">
        <v>222</v>
      </c>
      <c r="K40" s="96">
        <v>1.28</v>
      </c>
      <c r="L40" s="96">
        <f>K40*VLOOKUP(H40,dagsoorttabel1,2,FALSE)</f>
        <v>0.98461538461538467</v>
      </c>
      <c r="M40" s="97">
        <f>prodnorm18</f>
        <v>0</v>
      </c>
      <c r="N40" s="94" t="s">
        <v>103</v>
      </c>
      <c r="O40" s="26">
        <f>uurtarief18</f>
        <v>0</v>
      </c>
      <c r="P40" s="96" t="e">
        <f>IF(ISBLANK(M40),0,L40/ROUND(M40,4))</f>
        <v>#DIV/0!</v>
      </c>
      <c r="Q40" s="26" t="e">
        <f>ROUND(O40,2)*P40</f>
        <v>#DIV/0!</v>
      </c>
      <c r="R40" s="96" t="e">
        <f>P40*dagenperjaar1</f>
        <v>#DIV/0!</v>
      </c>
      <c r="S40" s="27" t="e">
        <f>R40*ROUND(O40,2)</f>
        <v>#DIV/0!</v>
      </c>
    </row>
    <row r="41" spans="1:19" ht="30" x14ac:dyDescent="0.25">
      <c r="A41" s="93" t="s">
        <v>239</v>
      </c>
      <c r="B41" s="94" t="s">
        <v>284</v>
      </c>
      <c r="C41" s="94" t="s">
        <v>285</v>
      </c>
      <c r="D41" s="94" t="s">
        <v>299</v>
      </c>
      <c r="E41" s="95" t="s">
        <v>274</v>
      </c>
      <c r="F41" s="94" t="s">
        <v>244</v>
      </c>
      <c r="G41" s="94" t="s">
        <v>191</v>
      </c>
      <c r="H41" s="94" t="s">
        <v>11</v>
      </c>
      <c r="I41" s="94" t="s">
        <v>189</v>
      </c>
      <c r="J41" s="95" t="s">
        <v>192</v>
      </c>
      <c r="K41" s="96">
        <v>23.2</v>
      </c>
      <c r="L41" s="96">
        <f>K41*VLOOKUP(H41,dagsoorttabel1,2,FALSE)</f>
        <v>17.846153846153847</v>
      </c>
      <c r="M41" s="97">
        <f>prodnorm3</f>
        <v>0</v>
      </c>
      <c r="N41" s="94" t="s">
        <v>103</v>
      </c>
      <c r="O41" s="26">
        <f>uurtarief3</f>
        <v>0</v>
      </c>
      <c r="P41" s="96" t="e">
        <f>IF(ISBLANK(M41),0,L41/ROUND(M41,4))</f>
        <v>#DIV/0!</v>
      </c>
      <c r="Q41" s="26" t="e">
        <f>ROUND(O41,2)*P41</f>
        <v>#DIV/0!</v>
      </c>
      <c r="R41" s="96" t="e">
        <f>P41*dagenperjaar1</f>
        <v>#DIV/0!</v>
      </c>
      <c r="S41" s="27" t="e">
        <f>R41*ROUND(O41,2)</f>
        <v>#DIV/0!</v>
      </c>
    </row>
    <row r="42" spans="1:19" ht="30" x14ac:dyDescent="0.25">
      <c r="A42" s="93" t="s">
        <v>239</v>
      </c>
      <c r="B42" s="94" t="s">
        <v>284</v>
      </c>
      <c r="C42" s="94" t="s">
        <v>285</v>
      </c>
      <c r="D42" s="94" t="s">
        <v>300</v>
      </c>
      <c r="E42" s="95" t="s">
        <v>243</v>
      </c>
      <c r="F42" s="94" t="s">
        <v>244</v>
      </c>
      <c r="G42" s="94" t="s">
        <v>225</v>
      </c>
      <c r="H42" s="94" t="s">
        <v>11</v>
      </c>
      <c r="I42" s="94" t="s">
        <v>189</v>
      </c>
      <c r="J42" s="95" t="s">
        <v>226</v>
      </c>
      <c r="K42" s="96">
        <v>31.310000000000002</v>
      </c>
      <c r="L42" s="96">
        <f>K42*VLOOKUP(H42,dagsoorttabel1,2,FALSE)</f>
        <v>24.084615384615386</v>
      </c>
      <c r="M42" s="97">
        <f>prodnorm20</f>
        <v>0</v>
      </c>
      <c r="N42" s="94" t="s">
        <v>103</v>
      </c>
      <c r="O42" s="26">
        <f>uurtarief20</f>
        <v>0</v>
      </c>
      <c r="P42" s="96" t="e">
        <f>IF(ISBLANK(M42),0,L42/ROUND(M42,4))</f>
        <v>#DIV/0!</v>
      </c>
      <c r="Q42" s="26" t="e">
        <f>ROUND(O42,2)*P42</f>
        <v>#DIV/0!</v>
      </c>
      <c r="R42" s="96" t="e">
        <f>P42*dagenperjaar1</f>
        <v>#DIV/0!</v>
      </c>
      <c r="S42" s="27" t="e">
        <f>R42*ROUND(O42,2)</f>
        <v>#DIV/0!</v>
      </c>
    </row>
    <row r="43" spans="1:19" x14ac:dyDescent="0.25">
      <c r="A43" s="93" t="s">
        <v>239</v>
      </c>
      <c r="B43" s="94" t="s">
        <v>284</v>
      </c>
      <c r="C43" s="94" t="s">
        <v>285</v>
      </c>
      <c r="D43" s="94" t="s">
        <v>301</v>
      </c>
      <c r="E43" s="95" t="s">
        <v>247</v>
      </c>
      <c r="F43" s="94" t="s">
        <v>244</v>
      </c>
      <c r="G43" s="94" t="s">
        <v>248</v>
      </c>
      <c r="H43" s="94"/>
      <c r="I43" s="94"/>
      <c r="J43" s="94"/>
      <c r="K43" s="96">
        <v>3.2</v>
      </c>
      <c r="L43" s="96"/>
      <c r="M43" s="97"/>
      <c r="N43" s="94"/>
      <c r="O43" s="26"/>
      <c r="P43" s="96"/>
      <c r="Q43" s="26"/>
      <c r="R43" s="98"/>
      <c r="S43" s="27"/>
    </row>
    <row r="44" spans="1:19" x14ac:dyDescent="0.25">
      <c r="A44" s="93" t="s">
        <v>239</v>
      </c>
      <c r="B44" s="94" t="s">
        <v>284</v>
      </c>
      <c r="C44" s="94" t="s">
        <v>285</v>
      </c>
      <c r="D44" s="94" t="s">
        <v>302</v>
      </c>
      <c r="E44" s="95" t="s">
        <v>254</v>
      </c>
      <c r="F44" s="94" t="s">
        <v>255</v>
      </c>
      <c r="G44" s="94" t="s">
        <v>221</v>
      </c>
      <c r="H44" s="94" t="s">
        <v>11</v>
      </c>
      <c r="I44" s="94" t="s">
        <v>189</v>
      </c>
      <c r="J44" s="95" t="s">
        <v>222</v>
      </c>
      <c r="K44" s="96">
        <v>1.24</v>
      </c>
      <c r="L44" s="96">
        <f>K44*VLOOKUP(H44,dagsoorttabel1,2,FALSE)</f>
        <v>0.9538461538461539</v>
      </c>
      <c r="M44" s="97">
        <f>prodnorm18</f>
        <v>0</v>
      </c>
      <c r="N44" s="94" t="s">
        <v>103</v>
      </c>
      <c r="O44" s="26">
        <f>uurtarief18</f>
        <v>0</v>
      </c>
      <c r="P44" s="96" t="e">
        <f>IF(ISBLANK(M44),0,L44/ROUND(M44,4))</f>
        <v>#DIV/0!</v>
      </c>
      <c r="Q44" s="26" t="e">
        <f>ROUND(O44,2)*P44</f>
        <v>#DIV/0!</v>
      </c>
      <c r="R44" s="96" t="e">
        <f>P44*dagenperjaar1</f>
        <v>#DIV/0!</v>
      </c>
      <c r="S44" s="27" t="e">
        <f>R44*ROUND(O44,2)</f>
        <v>#DIV/0!</v>
      </c>
    </row>
    <row r="45" spans="1:19" x14ac:dyDescent="0.25">
      <c r="A45" s="93" t="s">
        <v>239</v>
      </c>
      <c r="B45" s="94" t="s">
        <v>284</v>
      </c>
      <c r="C45" s="94" t="s">
        <v>285</v>
      </c>
      <c r="D45" s="94" t="s">
        <v>303</v>
      </c>
      <c r="E45" s="95" t="s">
        <v>254</v>
      </c>
      <c r="F45" s="94" t="s">
        <v>255</v>
      </c>
      <c r="G45" s="94" t="s">
        <v>221</v>
      </c>
      <c r="H45" s="94" t="s">
        <v>11</v>
      </c>
      <c r="I45" s="94" t="s">
        <v>189</v>
      </c>
      <c r="J45" s="95" t="s">
        <v>222</v>
      </c>
      <c r="K45" s="96">
        <v>1.31</v>
      </c>
      <c r="L45" s="96">
        <f>K45*VLOOKUP(H45,dagsoorttabel1,2,FALSE)</f>
        <v>1.0076923076923079</v>
      </c>
      <c r="M45" s="97">
        <f>prodnorm18</f>
        <v>0</v>
      </c>
      <c r="N45" s="94" t="s">
        <v>103</v>
      </c>
      <c r="O45" s="26">
        <f>uurtarief18</f>
        <v>0</v>
      </c>
      <c r="P45" s="96" t="e">
        <f>IF(ISBLANK(M45),0,L45/ROUND(M45,4))</f>
        <v>#DIV/0!</v>
      </c>
      <c r="Q45" s="26" t="e">
        <f>ROUND(O45,2)*P45</f>
        <v>#DIV/0!</v>
      </c>
      <c r="R45" s="96" t="e">
        <f>P45*dagenperjaar1</f>
        <v>#DIV/0!</v>
      </c>
      <c r="S45" s="27" t="e">
        <f>R45*ROUND(O45,2)</f>
        <v>#DIV/0!</v>
      </c>
    </row>
    <row r="46" spans="1:19" x14ac:dyDescent="0.25">
      <c r="A46" s="93" t="s">
        <v>239</v>
      </c>
      <c r="B46" s="94" t="s">
        <v>284</v>
      </c>
      <c r="C46" s="94" t="s">
        <v>285</v>
      </c>
      <c r="D46" s="94" t="s">
        <v>304</v>
      </c>
      <c r="E46" s="95" t="s">
        <v>254</v>
      </c>
      <c r="F46" s="94" t="s">
        <v>255</v>
      </c>
      <c r="G46" s="94" t="s">
        <v>221</v>
      </c>
      <c r="H46" s="94" t="s">
        <v>11</v>
      </c>
      <c r="I46" s="94" t="s">
        <v>189</v>
      </c>
      <c r="J46" s="95" t="s">
        <v>222</v>
      </c>
      <c r="K46" s="96">
        <v>1.27</v>
      </c>
      <c r="L46" s="96">
        <f>K46*VLOOKUP(H46,dagsoorttabel1,2,FALSE)</f>
        <v>0.97692307692307701</v>
      </c>
      <c r="M46" s="97">
        <f>prodnorm18</f>
        <v>0</v>
      </c>
      <c r="N46" s="94" t="s">
        <v>103</v>
      </c>
      <c r="O46" s="26">
        <f>uurtarief18</f>
        <v>0</v>
      </c>
      <c r="P46" s="96" t="e">
        <f>IF(ISBLANK(M46),0,L46/ROUND(M46,4))</f>
        <v>#DIV/0!</v>
      </c>
      <c r="Q46" s="26" t="e">
        <f>ROUND(O46,2)*P46</f>
        <v>#DIV/0!</v>
      </c>
      <c r="R46" s="96" t="e">
        <f>P46*dagenperjaar1</f>
        <v>#DIV/0!</v>
      </c>
      <c r="S46" s="27" t="e">
        <f>R46*ROUND(O46,2)</f>
        <v>#DIV/0!</v>
      </c>
    </row>
    <row r="47" spans="1:19" ht="30" x14ac:dyDescent="0.25">
      <c r="A47" s="93" t="s">
        <v>239</v>
      </c>
      <c r="B47" s="94" t="s">
        <v>284</v>
      </c>
      <c r="C47" s="94" t="s">
        <v>285</v>
      </c>
      <c r="D47" s="94" t="s">
        <v>305</v>
      </c>
      <c r="E47" s="95" t="s">
        <v>274</v>
      </c>
      <c r="F47" s="94" t="s">
        <v>244</v>
      </c>
      <c r="G47" s="94" t="s">
        <v>191</v>
      </c>
      <c r="H47" s="94" t="s">
        <v>11</v>
      </c>
      <c r="I47" s="94" t="s">
        <v>189</v>
      </c>
      <c r="J47" s="95" t="s">
        <v>192</v>
      </c>
      <c r="K47" s="96">
        <v>28.4</v>
      </c>
      <c r="L47" s="96">
        <f>K47*VLOOKUP(H47,dagsoorttabel1,2,FALSE)</f>
        <v>21.846153846153847</v>
      </c>
      <c r="M47" s="97">
        <f>prodnorm3</f>
        <v>0</v>
      </c>
      <c r="N47" s="94" t="s">
        <v>103</v>
      </c>
      <c r="O47" s="26">
        <f>uurtarief3</f>
        <v>0</v>
      </c>
      <c r="P47" s="96" t="e">
        <f>IF(ISBLANK(M47),0,L47/ROUND(M47,4))</f>
        <v>#DIV/0!</v>
      </c>
      <c r="Q47" s="26" t="e">
        <f>ROUND(O47,2)*P47</f>
        <v>#DIV/0!</v>
      </c>
      <c r="R47" s="96" t="e">
        <f>P47*dagenperjaar1</f>
        <v>#DIV/0!</v>
      </c>
      <c r="S47" s="27" t="e">
        <f>R47*ROUND(O47,2)</f>
        <v>#DIV/0!</v>
      </c>
    </row>
    <row r="48" spans="1:19" ht="30" x14ac:dyDescent="0.25">
      <c r="A48" s="93" t="s">
        <v>239</v>
      </c>
      <c r="B48" s="94" t="s">
        <v>284</v>
      </c>
      <c r="C48" s="94" t="s">
        <v>285</v>
      </c>
      <c r="D48" s="94" t="s">
        <v>306</v>
      </c>
      <c r="E48" s="95" t="s">
        <v>307</v>
      </c>
      <c r="F48" s="94" t="s">
        <v>244</v>
      </c>
      <c r="G48" s="94" t="s">
        <v>191</v>
      </c>
      <c r="H48" s="94" t="s">
        <v>11</v>
      </c>
      <c r="I48" s="94" t="s">
        <v>189</v>
      </c>
      <c r="J48" s="95" t="s">
        <v>192</v>
      </c>
      <c r="K48" s="96">
        <v>13</v>
      </c>
      <c r="L48" s="96">
        <f>K48*VLOOKUP(H48,dagsoorttabel1,2,FALSE)</f>
        <v>10</v>
      </c>
      <c r="M48" s="97">
        <f>prodnorm3</f>
        <v>0</v>
      </c>
      <c r="N48" s="94" t="s">
        <v>103</v>
      </c>
      <c r="O48" s="26">
        <f>uurtarief3</f>
        <v>0</v>
      </c>
      <c r="P48" s="96" t="e">
        <f>IF(ISBLANK(M48),0,L48/ROUND(M48,4))</f>
        <v>#DIV/0!</v>
      </c>
      <c r="Q48" s="26" t="e">
        <f>ROUND(O48,2)*P48</f>
        <v>#DIV/0!</v>
      </c>
      <c r="R48" s="96" t="e">
        <f>P48*dagenperjaar1</f>
        <v>#DIV/0!</v>
      </c>
      <c r="S48" s="27" t="e">
        <f>R48*ROUND(O48,2)</f>
        <v>#DIV/0!</v>
      </c>
    </row>
    <row r="49" spans="1:19" ht="30" x14ac:dyDescent="0.25">
      <c r="A49" s="93" t="s">
        <v>239</v>
      </c>
      <c r="B49" s="94" t="s">
        <v>284</v>
      </c>
      <c r="C49" s="94" t="s">
        <v>285</v>
      </c>
      <c r="D49" s="94" t="s">
        <v>308</v>
      </c>
      <c r="E49" s="95" t="s">
        <v>274</v>
      </c>
      <c r="F49" s="94" t="s">
        <v>244</v>
      </c>
      <c r="G49" s="94" t="s">
        <v>191</v>
      </c>
      <c r="H49" s="94" t="s">
        <v>11</v>
      </c>
      <c r="I49" s="94" t="s">
        <v>189</v>
      </c>
      <c r="J49" s="95" t="s">
        <v>192</v>
      </c>
      <c r="K49" s="96">
        <v>10.47</v>
      </c>
      <c r="L49" s="96">
        <f>K49*VLOOKUP(H49,dagsoorttabel1,2,FALSE)</f>
        <v>8.0538461538461554</v>
      </c>
      <c r="M49" s="97">
        <f>prodnorm3</f>
        <v>0</v>
      </c>
      <c r="N49" s="94" t="s">
        <v>103</v>
      </c>
      <c r="O49" s="26">
        <f>uurtarief3</f>
        <v>0</v>
      </c>
      <c r="P49" s="96" t="e">
        <f>IF(ISBLANK(M49),0,L49/ROUND(M49,4))</f>
        <v>#DIV/0!</v>
      </c>
      <c r="Q49" s="26" t="e">
        <f>ROUND(O49,2)*P49</f>
        <v>#DIV/0!</v>
      </c>
      <c r="R49" s="96" t="e">
        <f>P49*dagenperjaar1</f>
        <v>#DIV/0!</v>
      </c>
      <c r="S49" s="27" t="e">
        <f>R49*ROUND(O49,2)</f>
        <v>#DIV/0!</v>
      </c>
    </row>
    <row r="50" spans="1:19" ht="30" x14ac:dyDescent="0.25">
      <c r="A50" s="93" t="s">
        <v>239</v>
      </c>
      <c r="B50" s="94" t="s">
        <v>284</v>
      </c>
      <c r="C50" s="94" t="s">
        <v>285</v>
      </c>
      <c r="D50" s="94" t="s">
        <v>309</v>
      </c>
      <c r="E50" s="95" t="s">
        <v>274</v>
      </c>
      <c r="F50" s="94" t="s">
        <v>244</v>
      </c>
      <c r="G50" s="94" t="s">
        <v>191</v>
      </c>
      <c r="H50" s="94" t="s">
        <v>11</v>
      </c>
      <c r="I50" s="94" t="s">
        <v>189</v>
      </c>
      <c r="J50" s="95" t="s">
        <v>192</v>
      </c>
      <c r="K50" s="96">
        <v>10.93</v>
      </c>
      <c r="L50" s="96">
        <f>K50*VLOOKUP(H50,dagsoorttabel1,2,FALSE)</f>
        <v>8.407692307692308</v>
      </c>
      <c r="M50" s="97">
        <f>prodnorm3</f>
        <v>0</v>
      </c>
      <c r="N50" s="94" t="s">
        <v>103</v>
      </c>
      <c r="O50" s="26">
        <f>uurtarief3</f>
        <v>0</v>
      </c>
      <c r="P50" s="96" t="e">
        <f>IF(ISBLANK(M50),0,L50/ROUND(M50,4))</f>
        <v>#DIV/0!</v>
      </c>
      <c r="Q50" s="26" t="e">
        <f>ROUND(O50,2)*P50</f>
        <v>#DIV/0!</v>
      </c>
      <c r="R50" s="96" t="e">
        <f>P50*dagenperjaar1</f>
        <v>#DIV/0!</v>
      </c>
      <c r="S50" s="27" t="e">
        <f>R50*ROUND(O50,2)</f>
        <v>#DIV/0!</v>
      </c>
    </row>
    <row r="51" spans="1:19" ht="30" x14ac:dyDescent="0.25">
      <c r="A51" s="93" t="s">
        <v>239</v>
      </c>
      <c r="B51" s="94" t="s">
        <v>284</v>
      </c>
      <c r="C51" s="94" t="s">
        <v>285</v>
      </c>
      <c r="D51" s="94" t="s">
        <v>310</v>
      </c>
      <c r="E51" s="95" t="s">
        <v>274</v>
      </c>
      <c r="F51" s="94" t="s">
        <v>244</v>
      </c>
      <c r="G51" s="94" t="s">
        <v>191</v>
      </c>
      <c r="H51" s="94" t="s">
        <v>11</v>
      </c>
      <c r="I51" s="94" t="s">
        <v>189</v>
      </c>
      <c r="J51" s="95" t="s">
        <v>192</v>
      </c>
      <c r="K51" s="96">
        <v>13.52</v>
      </c>
      <c r="L51" s="96">
        <f>K51*VLOOKUP(H51,dagsoorttabel1,2,FALSE)</f>
        <v>10.4</v>
      </c>
      <c r="M51" s="97">
        <f>prodnorm3</f>
        <v>0</v>
      </c>
      <c r="N51" s="94" t="s">
        <v>103</v>
      </c>
      <c r="O51" s="26">
        <f>uurtarief3</f>
        <v>0</v>
      </c>
      <c r="P51" s="96" t="e">
        <f>IF(ISBLANK(M51),0,L51/ROUND(M51,4))</f>
        <v>#DIV/0!</v>
      </c>
      <c r="Q51" s="26" t="e">
        <f>ROUND(O51,2)*P51</f>
        <v>#DIV/0!</v>
      </c>
      <c r="R51" s="96" t="e">
        <f>P51*dagenperjaar1</f>
        <v>#DIV/0!</v>
      </c>
      <c r="S51" s="27" t="e">
        <f>R51*ROUND(O51,2)</f>
        <v>#DIV/0!</v>
      </c>
    </row>
    <row r="52" spans="1:19" ht="30" x14ac:dyDescent="0.25">
      <c r="A52" s="93" t="s">
        <v>239</v>
      </c>
      <c r="B52" s="94" t="s">
        <v>284</v>
      </c>
      <c r="C52" s="94" t="s">
        <v>285</v>
      </c>
      <c r="D52" s="94" t="s">
        <v>311</v>
      </c>
      <c r="E52" s="95" t="s">
        <v>274</v>
      </c>
      <c r="F52" s="94" t="s">
        <v>244</v>
      </c>
      <c r="G52" s="94" t="s">
        <v>191</v>
      </c>
      <c r="H52" s="94" t="s">
        <v>11</v>
      </c>
      <c r="I52" s="94" t="s">
        <v>189</v>
      </c>
      <c r="J52" s="95" t="s">
        <v>192</v>
      </c>
      <c r="K52" s="96">
        <v>14.870000000000001</v>
      </c>
      <c r="L52" s="96">
        <f>K52*VLOOKUP(H52,dagsoorttabel1,2,FALSE)</f>
        <v>11.43846153846154</v>
      </c>
      <c r="M52" s="97">
        <f>prodnorm3</f>
        <v>0</v>
      </c>
      <c r="N52" s="94" t="s">
        <v>103</v>
      </c>
      <c r="O52" s="26">
        <f>uurtarief3</f>
        <v>0</v>
      </c>
      <c r="P52" s="96" t="e">
        <f>IF(ISBLANK(M52),0,L52/ROUND(M52,4))</f>
        <v>#DIV/0!</v>
      </c>
      <c r="Q52" s="26" t="e">
        <f>ROUND(O52,2)*P52</f>
        <v>#DIV/0!</v>
      </c>
      <c r="R52" s="96" t="e">
        <f>P52*dagenperjaar1</f>
        <v>#DIV/0!</v>
      </c>
      <c r="S52" s="27" t="e">
        <f>R52*ROUND(O52,2)</f>
        <v>#DIV/0!</v>
      </c>
    </row>
    <row r="53" spans="1:19" ht="30" x14ac:dyDescent="0.25">
      <c r="A53" s="93" t="s">
        <v>239</v>
      </c>
      <c r="B53" s="94" t="s">
        <v>284</v>
      </c>
      <c r="C53" s="94" t="s">
        <v>285</v>
      </c>
      <c r="D53" s="94" t="s">
        <v>312</v>
      </c>
      <c r="E53" s="95" t="s">
        <v>274</v>
      </c>
      <c r="F53" s="94" t="s">
        <v>244</v>
      </c>
      <c r="G53" s="94" t="s">
        <v>191</v>
      </c>
      <c r="H53" s="94" t="s">
        <v>11</v>
      </c>
      <c r="I53" s="94" t="s">
        <v>189</v>
      </c>
      <c r="J53" s="95" t="s">
        <v>192</v>
      </c>
      <c r="K53" s="96">
        <v>9.89</v>
      </c>
      <c r="L53" s="96">
        <f>K53*VLOOKUP(H53,dagsoorttabel1,2,FALSE)</f>
        <v>7.6076923076923082</v>
      </c>
      <c r="M53" s="97">
        <f>prodnorm3</f>
        <v>0</v>
      </c>
      <c r="N53" s="94" t="s">
        <v>103</v>
      </c>
      <c r="O53" s="26">
        <f>uurtarief3</f>
        <v>0</v>
      </c>
      <c r="P53" s="96" t="e">
        <f>IF(ISBLANK(M53),0,L53/ROUND(M53,4))</f>
        <v>#DIV/0!</v>
      </c>
      <c r="Q53" s="26" t="e">
        <f>ROUND(O53,2)*P53</f>
        <v>#DIV/0!</v>
      </c>
      <c r="R53" s="96" t="e">
        <f>P53*dagenperjaar1</f>
        <v>#DIV/0!</v>
      </c>
      <c r="S53" s="27" t="e">
        <f>R53*ROUND(O53,2)</f>
        <v>#DIV/0!</v>
      </c>
    </row>
    <row r="54" spans="1:19" ht="30" x14ac:dyDescent="0.25">
      <c r="A54" s="93" t="s">
        <v>239</v>
      </c>
      <c r="B54" s="94" t="s">
        <v>284</v>
      </c>
      <c r="C54" s="94" t="s">
        <v>285</v>
      </c>
      <c r="D54" s="94" t="s">
        <v>313</v>
      </c>
      <c r="E54" s="95" t="s">
        <v>294</v>
      </c>
      <c r="F54" s="94" t="s">
        <v>244</v>
      </c>
      <c r="G54" s="94" t="s">
        <v>191</v>
      </c>
      <c r="H54" s="94" t="s">
        <v>11</v>
      </c>
      <c r="I54" s="94" t="s">
        <v>189</v>
      </c>
      <c r="J54" s="95" t="s">
        <v>192</v>
      </c>
      <c r="K54" s="96">
        <v>10.27</v>
      </c>
      <c r="L54" s="96">
        <f>K54*VLOOKUP(H54,dagsoorttabel1,2,FALSE)</f>
        <v>7.9</v>
      </c>
      <c r="M54" s="97">
        <f>prodnorm3</f>
        <v>0</v>
      </c>
      <c r="N54" s="94" t="s">
        <v>103</v>
      </c>
      <c r="O54" s="26">
        <f>uurtarief3</f>
        <v>0</v>
      </c>
      <c r="P54" s="96" t="e">
        <f>IF(ISBLANK(M54),0,L54/ROUND(M54,4))</f>
        <v>#DIV/0!</v>
      </c>
      <c r="Q54" s="26" t="e">
        <f>ROUND(O54,2)*P54</f>
        <v>#DIV/0!</v>
      </c>
      <c r="R54" s="96" t="e">
        <f>P54*dagenperjaar1</f>
        <v>#DIV/0!</v>
      </c>
      <c r="S54" s="27" t="e">
        <f>R54*ROUND(O54,2)</f>
        <v>#DIV/0!</v>
      </c>
    </row>
    <row r="55" spans="1:19" ht="30" x14ac:dyDescent="0.25">
      <c r="A55" s="93" t="s">
        <v>239</v>
      </c>
      <c r="B55" s="94" t="s">
        <v>284</v>
      </c>
      <c r="C55" s="94" t="s">
        <v>285</v>
      </c>
      <c r="D55" s="94" t="s">
        <v>314</v>
      </c>
      <c r="E55" s="95" t="s">
        <v>294</v>
      </c>
      <c r="F55" s="94" t="s">
        <v>244</v>
      </c>
      <c r="G55" s="94" t="s">
        <v>191</v>
      </c>
      <c r="H55" s="94" t="s">
        <v>11</v>
      </c>
      <c r="I55" s="94" t="s">
        <v>189</v>
      </c>
      <c r="J55" s="95" t="s">
        <v>192</v>
      </c>
      <c r="K55" s="96">
        <v>5.24</v>
      </c>
      <c r="L55" s="96">
        <f>K55*VLOOKUP(H55,dagsoorttabel1,2,FALSE)</f>
        <v>4.0307692307692315</v>
      </c>
      <c r="M55" s="97">
        <f>prodnorm3</f>
        <v>0</v>
      </c>
      <c r="N55" s="94" t="s">
        <v>103</v>
      </c>
      <c r="O55" s="26">
        <f>uurtarief3</f>
        <v>0</v>
      </c>
      <c r="P55" s="96" t="e">
        <f>IF(ISBLANK(M55),0,L55/ROUND(M55,4))</f>
        <v>#DIV/0!</v>
      </c>
      <c r="Q55" s="26" t="e">
        <f>ROUND(O55,2)*P55</f>
        <v>#DIV/0!</v>
      </c>
      <c r="R55" s="96" t="e">
        <f>P55*dagenperjaar1</f>
        <v>#DIV/0!</v>
      </c>
      <c r="S55" s="27" t="e">
        <f>R55*ROUND(O55,2)</f>
        <v>#DIV/0!</v>
      </c>
    </row>
    <row r="56" spans="1:19" ht="30" x14ac:dyDescent="0.25">
      <c r="A56" s="93" t="s">
        <v>239</v>
      </c>
      <c r="B56" s="94" t="s">
        <v>284</v>
      </c>
      <c r="C56" s="94" t="s">
        <v>285</v>
      </c>
      <c r="D56" s="94" t="s">
        <v>315</v>
      </c>
      <c r="E56" s="95" t="s">
        <v>294</v>
      </c>
      <c r="F56" s="94" t="s">
        <v>244</v>
      </c>
      <c r="G56" s="94" t="s">
        <v>191</v>
      </c>
      <c r="H56" s="94" t="s">
        <v>11</v>
      </c>
      <c r="I56" s="94" t="s">
        <v>189</v>
      </c>
      <c r="J56" s="95" t="s">
        <v>192</v>
      </c>
      <c r="K56" s="96">
        <v>5.24</v>
      </c>
      <c r="L56" s="96">
        <f>K56*VLOOKUP(H56,dagsoorttabel1,2,FALSE)</f>
        <v>4.0307692307692315</v>
      </c>
      <c r="M56" s="97">
        <f>prodnorm3</f>
        <v>0</v>
      </c>
      <c r="N56" s="94" t="s">
        <v>103</v>
      </c>
      <c r="O56" s="26">
        <f>uurtarief3</f>
        <v>0</v>
      </c>
      <c r="P56" s="96" t="e">
        <f>IF(ISBLANK(M56),0,L56/ROUND(M56,4))</f>
        <v>#DIV/0!</v>
      </c>
      <c r="Q56" s="26" t="e">
        <f>ROUND(O56,2)*P56</f>
        <v>#DIV/0!</v>
      </c>
      <c r="R56" s="96" t="e">
        <f>P56*dagenperjaar1</f>
        <v>#DIV/0!</v>
      </c>
      <c r="S56" s="27" t="e">
        <f>R56*ROUND(O56,2)</f>
        <v>#DIV/0!</v>
      </c>
    </row>
    <row r="57" spans="1:19" x14ac:dyDescent="0.25">
      <c r="A57" s="93" t="s">
        <v>239</v>
      </c>
      <c r="B57" s="94" t="s">
        <v>316</v>
      </c>
      <c r="C57" s="94" t="s">
        <v>241</v>
      </c>
      <c r="D57" s="94" t="s">
        <v>317</v>
      </c>
      <c r="E57" s="95" t="s">
        <v>318</v>
      </c>
      <c r="F57" s="94" t="s">
        <v>244</v>
      </c>
      <c r="G57" s="94" t="s">
        <v>203</v>
      </c>
      <c r="H57" s="94" t="s">
        <v>11</v>
      </c>
      <c r="I57" s="94" t="s">
        <v>189</v>
      </c>
      <c r="J57" s="95" t="s">
        <v>204</v>
      </c>
      <c r="K57" s="96">
        <v>1.62</v>
      </c>
      <c r="L57" s="96">
        <f>K57*VLOOKUP(H57,dagsoorttabel1,2,FALSE)</f>
        <v>1.2461538461538464</v>
      </c>
      <c r="M57" s="97">
        <f>prodnorm9</f>
        <v>0</v>
      </c>
      <c r="N57" s="94" t="s">
        <v>103</v>
      </c>
      <c r="O57" s="26">
        <f>uurtarief9</f>
        <v>0</v>
      </c>
      <c r="P57" s="96" t="e">
        <f>IF(ISBLANK(M57),0,L57/ROUND(M57,4))</f>
        <v>#DIV/0!</v>
      </c>
      <c r="Q57" s="26" t="e">
        <f>ROUND(O57,2)*P57</f>
        <v>#DIV/0!</v>
      </c>
      <c r="R57" s="96" t="e">
        <f>P57*dagenperjaar1</f>
        <v>#DIV/0!</v>
      </c>
      <c r="S57" s="27" t="e">
        <f>R57*ROUND(O57,2)</f>
        <v>#DIV/0!</v>
      </c>
    </row>
    <row r="58" spans="1:19" x14ac:dyDescent="0.25">
      <c r="A58" s="93" t="s">
        <v>239</v>
      </c>
      <c r="B58" s="94" t="s">
        <v>316</v>
      </c>
      <c r="C58" s="94" t="s">
        <v>241</v>
      </c>
      <c r="D58" s="94" t="s">
        <v>319</v>
      </c>
      <c r="E58" s="95" t="s">
        <v>320</v>
      </c>
      <c r="F58" s="94" t="s">
        <v>255</v>
      </c>
      <c r="G58" s="94" t="s">
        <v>221</v>
      </c>
      <c r="H58" s="94" t="s">
        <v>11</v>
      </c>
      <c r="I58" s="94" t="s">
        <v>189</v>
      </c>
      <c r="J58" s="95" t="s">
        <v>222</v>
      </c>
      <c r="K58" s="96">
        <v>3.96</v>
      </c>
      <c r="L58" s="96">
        <f>K58*VLOOKUP(H58,dagsoorttabel1,2,FALSE)</f>
        <v>3.0461538461538464</v>
      </c>
      <c r="M58" s="97">
        <f>prodnorm18</f>
        <v>0</v>
      </c>
      <c r="N58" s="94" t="s">
        <v>103</v>
      </c>
      <c r="O58" s="26">
        <f>uurtarief18</f>
        <v>0</v>
      </c>
      <c r="P58" s="96" t="e">
        <f>IF(ISBLANK(M58),0,L58/ROUND(M58,4))</f>
        <v>#DIV/0!</v>
      </c>
      <c r="Q58" s="26" t="e">
        <f>ROUND(O58,2)*P58</f>
        <v>#DIV/0!</v>
      </c>
      <c r="R58" s="96" t="e">
        <f>P58*dagenperjaar1</f>
        <v>#DIV/0!</v>
      </c>
      <c r="S58" s="27" t="e">
        <f>R58*ROUND(O58,2)</f>
        <v>#DIV/0!</v>
      </c>
    </row>
    <row r="59" spans="1:19" x14ac:dyDescent="0.25">
      <c r="A59" s="93" t="s">
        <v>239</v>
      </c>
      <c r="B59" s="94" t="s">
        <v>316</v>
      </c>
      <c r="C59" s="94" t="s">
        <v>241</v>
      </c>
      <c r="D59" s="94" t="s">
        <v>321</v>
      </c>
      <c r="E59" s="95" t="s">
        <v>247</v>
      </c>
      <c r="F59" s="94" t="s">
        <v>244</v>
      </c>
      <c r="G59" s="94" t="s">
        <v>248</v>
      </c>
      <c r="H59" s="94"/>
      <c r="I59" s="94"/>
      <c r="J59" s="94"/>
      <c r="K59" s="96">
        <v>1.33</v>
      </c>
      <c r="L59" s="96"/>
      <c r="M59" s="97"/>
      <c r="N59" s="94"/>
      <c r="O59" s="26"/>
      <c r="P59" s="96"/>
      <c r="Q59" s="26"/>
      <c r="R59" s="98"/>
      <c r="S59" s="27"/>
    </row>
    <row r="60" spans="1:19" x14ac:dyDescent="0.25">
      <c r="A60" s="93" t="s">
        <v>239</v>
      </c>
      <c r="B60" s="94" t="s">
        <v>316</v>
      </c>
      <c r="C60" s="94" t="s">
        <v>241</v>
      </c>
      <c r="D60" s="94" t="s">
        <v>322</v>
      </c>
      <c r="E60" s="95" t="s">
        <v>254</v>
      </c>
      <c r="F60" s="94" t="s">
        <v>255</v>
      </c>
      <c r="G60" s="94" t="s">
        <v>221</v>
      </c>
      <c r="H60" s="94" t="s">
        <v>11</v>
      </c>
      <c r="I60" s="94" t="s">
        <v>189</v>
      </c>
      <c r="J60" s="95" t="s">
        <v>222</v>
      </c>
      <c r="K60" s="96">
        <v>1.29</v>
      </c>
      <c r="L60" s="96">
        <f>K60*VLOOKUP(H60,dagsoorttabel1,2,FALSE)</f>
        <v>0.99230769230769234</v>
      </c>
      <c r="M60" s="97">
        <f>prodnorm18</f>
        <v>0</v>
      </c>
      <c r="N60" s="94" t="s">
        <v>103</v>
      </c>
      <c r="O60" s="26">
        <f>uurtarief18</f>
        <v>0</v>
      </c>
      <c r="P60" s="96" t="e">
        <f>IF(ISBLANK(M60),0,L60/ROUND(M60,4))</f>
        <v>#DIV/0!</v>
      </c>
      <c r="Q60" s="26" t="e">
        <f>ROUND(O60,2)*P60</f>
        <v>#DIV/0!</v>
      </c>
      <c r="R60" s="96" t="e">
        <f>P60*dagenperjaar1</f>
        <v>#DIV/0!</v>
      </c>
      <c r="S60" s="27" t="e">
        <f>R60*ROUND(O60,2)</f>
        <v>#DIV/0!</v>
      </c>
    </row>
    <row r="61" spans="1:19" x14ac:dyDescent="0.25">
      <c r="A61" s="93" t="s">
        <v>239</v>
      </c>
      <c r="B61" s="94" t="s">
        <v>316</v>
      </c>
      <c r="C61" s="94" t="s">
        <v>241</v>
      </c>
      <c r="D61" s="94" t="s">
        <v>323</v>
      </c>
      <c r="E61" s="95" t="s">
        <v>254</v>
      </c>
      <c r="F61" s="94" t="s">
        <v>255</v>
      </c>
      <c r="G61" s="94" t="s">
        <v>221</v>
      </c>
      <c r="H61" s="94" t="s">
        <v>11</v>
      </c>
      <c r="I61" s="94" t="s">
        <v>189</v>
      </c>
      <c r="J61" s="95" t="s">
        <v>222</v>
      </c>
      <c r="K61" s="96">
        <v>1.28</v>
      </c>
      <c r="L61" s="96">
        <f>K61*VLOOKUP(H61,dagsoorttabel1,2,FALSE)</f>
        <v>0.98461538461538467</v>
      </c>
      <c r="M61" s="97">
        <f>prodnorm18</f>
        <v>0</v>
      </c>
      <c r="N61" s="94" t="s">
        <v>103</v>
      </c>
      <c r="O61" s="26">
        <f>uurtarief18</f>
        <v>0</v>
      </c>
      <c r="P61" s="96" t="e">
        <f>IF(ISBLANK(M61),0,L61/ROUND(M61,4))</f>
        <v>#DIV/0!</v>
      </c>
      <c r="Q61" s="26" t="e">
        <f>ROUND(O61,2)*P61</f>
        <v>#DIV/0!</v>
      </c>
      <c r="R61" s="96" t="e">
        <f>P61*dagenperjaar1</f>
        <v>#DIV/0!</v>
      </c>
      <c r="S61" s="27" t="e">
        <f>R61*ROUND(O61,2)</f>
        <v>#DIV/0!</v>
      </c>
    </row>
    <row r="62" spans="1:19" x14ac:dyDescent="0.25">
      <c r="A62" s="93" t="s">
        <v>239</v>
      </c>
      <c r="B62" s="94" t="s">
        <v>316</v>
      </c>
      <c r="C62" s="94" t="s">
        <v>241</v>
      </c>
      <c r="D62" s="94" t="s">
        <v>324</v>
      </c>
      <c r="E62" s="95" t="s">
        <v>254</v>
      </c>
      <c r="F62" s="94" t="s">
        <v>255</v>
      </c>
      <c r="G62" s="94" t="s">
        <v>221</v>
      </c>
      <c r="H62" s="94" t="s">
        <v>11</v>
      </c>
      <c r="I62" s="94" t="s">
        <v>189</v>
      </c>
      <c r="J62" s="95" t="s">
        <v>222</v>
      </c>
      <c r="K62" s="96">
        <v>1.28</v>
      </c>
      <c r="L62" s="96">
        <f>K62*VLOOKUP(H62,dagsoorttabel1,2,FALSE)</f>
        <v>0.98461538461538467</v>
      </c>
      <c r="M62" s="97">
        <f>prodnorm18</f>
        <v>0</v>
      </c>
      <c r="N62" s="94" t="s">
        <v>103</v>
      </c>
      <c r="O62" s="26">
        <f>uurtarief18</f>
        <v>0</v>
      </c>
      <c r="P62" s="96" t="e">
        <f>IF(ISBLANK(M62),0,L62/ROUND(M62,4))</f>
        <v>#DIV/0!</v>
      </c>
      <c r="Q62" s="26" t="e">
        <f>ROUND(O62,2)*P62</f>
        <v>#DIV/0!</v>
      </c>
      <c r="R62" s="96" t="e">
        <f>P62*dagenperjaar1</f>
        <v>#DIV/0!</v>
      </c>
      <c r="S62" s="27" t="e">
        <f>R62*ROUND(O62,2)</f>
        <v>#DIV/0!</v>
      </c>
    </row>
    <row r="63" spans="1:19" x14ac:dyDescent="0.25">
      <c r="A63" s="93" t="s">
        <v>239</v>
      </c>
      <c r="B63" s="94" t="s">
        <v>316</v>
      </c>
      <c r="C63" s="94" t="s">
        <v>241</v>
      </c>
      <c r="D63" s="94" t="s">
        <v>325</v>
      </c>
      <c r="E63" s="95" t="s">
        <v>326</v>
      </c>
      <c r="F63" s="94" t="s">
        <v>255</v>
      </c>
      <c r="G63" s="94" t="s">
        <v>248</v>
      </c>
      <c r="H63" s="94"/>
      <c r="I63" s="94"/>
      <c r="J63" s="94"/>
      <c r="K63" s="96">
        <v>1.1800000000000002</v>
      </c>
      <c r="L63" s="96"/>
      <c r="M63" s="97"/>
      <c r="N63" s="94"/>
      <c r="O63" s="26"/>
      <c r="P63" s="96"/>
      <c r="Q63" s="26"/>
      <c r="R63" s="98"/>
      <c r="S63" s="27"/>
    </row>
    <row r="64" spans="1:19" x14ac:dyDescent="0.25">
      <c r="A64" s="93" t="s">
        <v>239</v>
      </c>
      <c r="B64" s="94" t="s">
        <v>316</v>
      </c>
      <c r="C64" s="94" t="s">
        <v>241</v>
      </c>
      <c r="D64" s="94" t="s">
        <v>327</v>
      </c>
      <c r="E64" s="95" t="s">
        <v>328</v>
      </c>
      <c r="F64" s="94" t="s">
        <v>244</v>
      </c>
      <c r="G64" s="94" t="s">
        <v>248</v>
      </c>
      <c r="H64" s="94"/>
      <c r="I64" s="94"/>
      <c r="J64" s="94"/>
      <c r="K64" s="96">
        <v>14.46</v>
      </c>
      <c r="L64" s="96"/>
      <c r="M64" s="97"/>
      <c r="N64" s="94"/>
      <c r="O64" s="26"/>
      <c r="P64" s="96"/>
      <c r="Q64" s="26"/>
      <c r="R64" s="98"/>
      <c r="S64" s="27"/>
    </row>
    <row r="65" spans="1:19" ht="30" x14ac:dyDescent="0.25">
      <c r="A65" s="93" t="s">
        <v>239</v>
      </c>
      <c r="B65" s="94" t="s">
        <v>316</v>
      </c>
      <c r="C65" s="94" t="s">
        <v>241</v>
      </c>
      <c r="D65" s="94" t="s">
        <v>329</v>
      </c>
      <c r="E65" s="95" t="s">
        <v>274</v>
      </c>
      <c r="F65" s="94" t="s">
        <v>244</v>
      </c>
      <c r="G65" s="94" t="s">
        <v>191</v>
      </c>
      <c r="H65" s="94" t="s">
        <v>11</v>
      </c>
      <c r="I65" s="94" t="s">
        <v>189</v>
      </c>
      <c r="J65" s="95" t="s">
        <v>192</v>
      </c>
      <c r="K65" s="96">
        <v>22.35</v>
      </c>
      <c r="L65" s="96">
        <f>K65*VLOOKUP(H65,dagsoorttabel1,2,FALSE)</f>
        <v>17.192307692307693</v>
      </c>
      <c r="M65" s="97">
        <f>prodnorm3</f>
        <v>0</v>
      </c>
      <c r="N65" s="94" t="s">
        <v>103</v>
      </c>
      <c r="O65" s="26">
        <f>uurtarief3</f>
        <v>0</v>
      </c>
      <c r="P65" s="96" t="e">
        <f>IF(ISBLANK(M65),0,L65/ROUND(M65,4))</f>
        <v>#DIV/0!</v>
      </c>
      <c r="Q65" s="26" t="e">
        <f>ROUND(O65,2)*P65</f>
        <v>#DIV/0!</v>
      </c>
      <c r="R65" s="96" t="e">
        <f>P65*dagenperjaar1</f>
        <v>#DIV/0!</v>
      </c>
      <c r="S65" s="27" t="e">
        <f>R65*ROUND(O65,2)</f>
        <v>#DIV/0!</v>
      </c>
    </row>
    <row r="66" spans="1:19" x14ac:dyDescent="0.25">
      <c r="A66" s="93" t="s">
        <v>239</v>
      </c>
      <c r="B66" s="94" t="s">
        <v>316</v>
      </c>
      <c r="C66" s="94" t="s">
        <v>241</v>
      </c>
      <c r="D66" s="94" t="s">
        <v>330</v>
      </c>
      <c r="E66" s="95" t="s">
        <v>252</v>
      </c>
      <c r="F66" s="94" t="s">
        <v>244</v>
      </c>
      <c r="G66" s="94" t="s">
        <v>248</v>
      </c>
      <c r="H66" s="94"/>
      <c r="I66" s="94"/>
      <c r="J66" s="94"/>
      <c r="K66" s="96">
        <v>1.28</v>
      </c>
      <c r="L66" s="96"/>
      <c r="M66" s="97"/>
      <c r="N66" s="94"/>
      <c r="O66" s="26"/>
      <c r="P66" s="96"/>
      <c r="Q66" s="26"/>
      <c r="R66" s="98"/>
      <c r="S66" s="27"/>
    </row>
    <row r="67" spans="1:19" x14ac:dyDescent="0.25">
      <c r="A67" s="93" t="s">
        <v>239</v>
      </c>
      <c r="B67" s="94" t="s">
        <v>316</v>
      </c>
      <c r="C67" s="94" t="s">
        <v>241</v>
      </c>
      <c r="D67" s="94" t="s">
        <v>331</v>
      </c>
      <c r="E67" s="95" t="s">
        <v>332</v>
      </c>
      <c r="F67" s="94" t="s">
        <v>255</v>
      </c>
      <c r="G67" s="94" t="s">
        <v>197</v>
      </c>
      <c r="H67" s="94" t="s">
        <v>11</v>
      </c>
      <c r="I67" s="94" t="s">
        <v>189</v>
      </c>
      <c r="J67" s="95" t="s">
        <v>198</v>
      </c>
      <c r="K67" s="96">
        <v>3.34</v>
      </c>
      <c r="L67" s="96">
        <f>K67*VLOOKUP(H67,dagsoorttabel1,2,FALSE)</f>
        <v>2.5692307692307694</v>
      </c>
      <c r="M67" s="97">
        <f>prodnorm6</f>
        <v>0</v>
      </c>
      <c r="N67" s="94" t="s">
        <v>103</v>
      </c>
      <c r="O67" s="26">
        <f>uurtarief6</f>
        <v>0</v>
      </c>
      <c r="P67" s="96" t="e">
        <f>IF(ISBLANK(M67),0,L67/ROUND(M67,4))</f>
        <v>#DIV/0!</v>
      </c>
      <c r="Q67" s="26" t="e">
        <f>ROUND(O67,2)*P67</f>
        <v>#DIV/0!</v>
      </c>
      <c r="R67" s="96" t="e">
        <f>P67*dagenperjaar1</f>
        <v>#DIV/0!</v>
      </c>
      <c r="S67" s="27" t="e">
        <f>R67*ROUND(O67,2)</f>
        <v>#DIV/0!</v>
      </c>
    </row>
    <row r="68" spans="1:19" x14ac:dyDescent="0.25">
      <c r="A68" s="93" t="s">
        <v>239</v>
      </c>
      <c r="B68" s="94" t="s">
        <v>316</v>
      </c>
      <c r="C68" s="94" t="s">
        <v>241</v>
      </c>
      <c r="D68" s="94" t="s">
        <v>333</v>
      </c>
      <c r="E68" s="95" t="s">
        <v>254</v>
      </c>
      <c r="F68" s="94" t="s">
        <v>255</v>
      </c>
      <c r="G68" s="94" t="s">
        <v>221</v>
      </c>
      <c r="H68" s="94" t="s">
        <v>11</v>
      </c>
      <c r="I68" s="94" t="s">
        <v>189</v>
      </c>
      <c r="J68" s="95" t="s">
        <v>222</v>
      </c>
      <c r="K68" s="96">
        <v>0.95000000000000007</v>
      </c>
      <c r="L68" s="96">
        <f>K68*VLOOKUP(H68,dagsoorttabel1,2,FALSE)</f>
        <v>0.73076923076923084</v>
      </c>
      <c r="M68" s="97">
        <f>prodnorm18</f>
        <v>0</v>
      </c>
      <c r="N68" s="94" t="s">
        <v>103</v>
      </c>
      <c r="O68" s="26">
        <f>uurtarief18</f>
        <v>0</v>
      </c>
      <c r="P68" s="96" t="e">
        <f>IF(ISBLANK(M68),0,L68/ROUND(M68,4))</f>
        <v>#DIV/0!</v>
      </c>
      <c r="Q68" s="26" t="e">
        <f>ROUND(O68,2)*P68</f>
        <v>#DIV/0!</v>
      </c>
      <c r="R68" s="96" t="e">
        <f>P68*dagenperjaar1</f>
        <v>#DIV/0!</v>
      </c>
      <c r="S68" s="27" t="e">
        <f>R68*ROUND(O68,2)</f>
        <v>#DIV/0!</v>
      </c>
    </row>
    <row r="69" spans="1:19" x14ac:dyDescent="0.25">
      <c r="A69" s="93" t="s">
        <v>239</v>
      </c>
      <c r="B69" s="94" t="s">
        <v>316</v>
      </c>
      <c r="C69" s="94" t="s">
        <v>241</v>
      </c>
      <c r="D69" s="94" t="s">
        <v>334</v>
      </c>
      <c r="E69" s="95" t="s">
        <v>247</v>
      </c>
      <c r="F69" s="94" t="s">
        <v>244</v>
      </c>
      <c r="G69" s="94" t="s">
        <v>248</v>
      </c>
      <c r="H69" s="94"/>
      <c r="I69" s="94"/>
      <c r="J69" s="94"/>
      <c r="K69" s="96">
        <v>23</v>
      </c>
      <c r="L69" s="96"/>
      <c r="M69" s="97"/>
      <c r="N69" s="94"/>
      <c r="O69" s="26"/>
      <c r="P69" s="96"/>
      <c r="Q69" s="26"/>
      <c r="R69" s="98"/>
      <c r="S69" s="27"/>
    </row>
    <row r="70" spans="1:19" x14ac:dyDescent="0.25">
      <c r="A70" s="93" t="s">
        <v>239</v>
      </c>
      <c r="B70" s="94" t="s">
        <v>316</v>
      </c>
      <c r="C70" s="94" t="s">
        <v>241</v>
      </c>
      <c r="D70" s="94" t="s">
        <v>335</v>
      </c>
      <c r="E70" s="95" t="s">
        <v>247</v>
      </c>
      <c r="F70" s="94" t="s">
        <v>244</v>
      </c>
      <c r="G70" s="94" t="s">
        <v>248</v>
      </c>
      <c r="H70" s="94"/>
      <c r="I70" s="94"/>
      <c r="J70" s="94"/>
      <c r="K70" s="96">
        <v>33.700000000000003</v>
      </c>
      <c r="L70" s="96"/>
      <c r="M70" s="97"/>
      <c r="N70" s="94"/>
      <c r="O70" s="26"/>
      <c r="P70" s="96"/>
      <c r="Q70" s="26"/>
      <c r="R70" s="98"/>
      <c r="S70" s="27"/>
    </row>
    <row r="71" spans="1:19" ht="30" x14ac:dyDescent="0.25">
      <c r="A71" s="93" t="s">
        <v>239</v>
      </c>
      <c r="B71" s="94" t="s">
        <v>316</v>
      </c>
      <c r="C71" s="94" t="s">
        <v>241</v>
      </c>
      <c r="D71" s="94" t="s">
        <v>336</v>
      </c>
      <c r="E71" s="95" t="s">
        <v>337</v>
      </c>
      <c r="F71" s="94" t="s">
        <v>338</v>
      </c>
      <c r="G71" s="94" t="s">
        <v>205</v>
      </c>
      <c r="H71" s="94" t="s">
        <v>11</v>
      </c>
      <c r="I71" s="94" t="s">
        <v>189</v>
      </c>
      <c r="J71" s="95" t="s">
        <v>206</v>
      </c>
      <c r="K71" s="96">
        <v>251</v>
      </c>
      <c r="L71" s="96">
        <f>K71*VLOOKUP(H71,dagsoorttabel1,2,FALSE)</f>
        <v>193.07692307692309</v>
      </c>
      <c r="M71" s="97">
        <f>prodnorm10</f>
        <v>0</v>
      </c>
      <c r="N71" s="94" t="s">
        <v>103</v>
      </c>
      <c r="O71" s="26">
        <f>uurtarief10</f>
        <v>0</v>
      </c>
      <c r="P71" s="96" t="e">
        <f>IF(ISBLANK(M71),0,L71/ROUND(M71,4))</f>
        <v>#DIV/0!</v>
      </c>
      <c r="Q71" s="26" t="e">
        <f>ROUND(O71,2)*P71</f>
        <v>#DIV/0!</v>
      </c>
      <c r="R71" s="96" t="e">
        <f>P71*dagenperjaar1</f>
        <v>#DIV/0!</v>
      </c>
      <c r="S71" s="27" t="e">
        <f>R71*ROUND(O71,2)</f>
        <v>#DIV/0!</v>
      </c>
    </row>
    <row r="72" spans="1:19" ht="30" x14ac:dyDescent="0.25">
      <c r="A72" s="93" t="s">
        <v>239</v>
      </c>
      <c r="B72" s="94" t="s">
        <v>316</v>
      </c>
      <c r="C72" s="94" t="s">
        <v>241</v>
      </c>
      <c r="D72" s="94" t="s">
        <v>339</v>
      </c>
      <c r="E72" s="95" t="s">
        <v>337</v>
      </c>
      <c r="F72" s="94" t="s">
        <v>338</v>
      </c>
      <c r="G72" s="94" t="s">
        <v>205</v>
      </c>
      <c r="H72" s="94" t="s">
        <v>11</v>
      </c>
      <c r="I72" s="94" t="s">
        <v>189</v>
      </c>
      <c r="J72" s="95" t="s">
        <v>206</v>
      </c>
      <c r="K72" s="96">
        <v>249.08</v>
      </c>
      <c r="L72" s="96">
        <f>K72*VLOOKUP(H72,dagsoorttabel1,2,FALSE)</f>
        <v>191.60000000000002</v>
      </c>
      <c r="M72" s="97">
        <f>prodnorm10</f>
        <v>0</v>
      </c>
      <c r="N72" s="94" t="s">
        <v>103</v>
      </c>
      <c r="O72" s="26">
        <f>uurtarief10</f>
        <v>0</v>
      </c>
      <c r="P72" s="96" t="e">
        <f>IF(ISBLANK(M72),0,L72/ROUND(M72,4))</f>
        <v>#DIV/0!</v>
      </c>
      <c r="Q72" s="26" t="e">
        <f>ROUND(O72,2)*P72</f>
        <v>#DIV/0!</v>
      </c>
      <c r="R72" s="96" t="e">
        <f>P72*dagenperjaar1</f>
        <v>#DIV/0!</v>
      </c>
      <c r="S72" s="27" t="e">
        <f>R72*ROUND(O72,2)</f>
        <v>#DIV/0!</v>
      </c>
    </row>
    <row r="73" spans="1:19" x14ac:dyDescent="0.25">
      <c r="A73" s="93" t="s">
        <v>239</v>
      </c>
      <c r="B73" s="94" t="s">
        <v>316</v>
      </c>
      <c r="C73" s="94" t="s">
        <v>241</v>
      </c>
      <c r="D73" s="94" t="s">
        <v>340</v>
      </c>
      <c r="E73" s="95" t="s">
        <v>341</v>
      </c>
      <c r="F73" s="94" t="s">
        <v>244</v>
      </c>
      <c r="G73" s="94" t="s">
        <v>248</v>
      </c>
      <c r="H73" s="94"/>
      <c r="I73" s="94"/>
      <c r="J73" s="94"/>
      <c r="K73" s="96">
        <v>8.3800000000000008</v>
      </c>
      <c r="L73" s="96"/>
      <c r="M73" s="97"/>
      <c r="N73" s="94"/>
      <c r="O73" s="26"/>
      <c r="P73" s="96"/>
      <c r="Q73" s="26"/>
      <c r="R73" s="98"/>
      <c r="S73" s="27"/>
    </row>
    <row r="74" spans="1:19" x14ac:dyDescent="0.25">
      <c r="A74" s="93" t="s">
        <v>239</v>
      </c>
      <c r="B74" s="94" t="s">
        <v>316</v>
      </c>
      <c r="C74" s="94" t="s">
        <v>241</v>
      </c>
      <c r="D74" s="94" t="s">
        <v>342</v>
      </c>
      <c r="E74" s="95" t="s">
        <v>252</v>
      </c>
      <c r="F74" s="94" t="s">
        <v>244</v>
      </c>
      <c r="G74" s="94" t="s">
        <v>248</v>
      </c>
      <c r="H74" s="94"/>
      <c r="I74" s="94"/>
      <c r="J74" s="94"/>
      <c r="K74" s="96">
        <v>0.54</v>
      </c>
      <c r="L74" s="96"/>
      <c r="M74" s="97"/>
      <c r="N74" s="94"/>
      <c r="O74" s="26"/>
      <c r="P74" s="96"/>
      <c r="Q74" s="26"/>
      <c r="R74" s="98"/>
      <c r="S74" s="27"/>
    </row>
    <row r="75" spans="1:19" x14ac:dyDescent="0.25">
      <c r="A75" s="93" t="s">
        <v>239</v>
      </c>
      <c r="B75" s="94" t="s">
        <v>316</v>
      </c>
      <c r="C75" s="94" t="s">
        <v>241</v>
      </c>
      <c r="D75" s="94" t="s">
        <v>343</v>
      </c>
      <c r="E75" s="95" t="s">
        <v>268</v>
      </c>
      <c r="F75" s="94" t="s">
        <v>269</v>
      </c>
      <c r="G75" s="94" t="s">
        <v>201</v>
      </c>
      <c r="H75" s="94" t="s">
        <v>11</v>
      </c>
      <c r="I75" s="94" t="s">
        <v>189</v>
      </c>
      <c r="J75" s="95" t="s">
        <v>202</v>
      </c>
      <c r="K75" s="96">
        <v>23.7</v>
      </c>
      <c r="L75" s="96">
        <f>K75*VLOOKUP(H75,dagsoorttabel1,2,FALSE)</f>
        <v>18.23076923076923</v>
      </c>
      <c r="M75" s="97">
        <f>prodnorm8</f>
        <v>0</v>
      </c>
      <c r="N75" s="94" t="s">
        <v>103</v>
      </c>
      <c r="O75" s="26">
        <f>uurtarief8</f>
        <v>0</v>
      </c>
      <c r="P75" s="96" t="e">
        <f>IF(ISBLANK(M75),0,L75/ROUND(M75,4))</f>
        <v>#DIV/0!</v>
      </c>
      <c r="Q75" s="26" t="e">
        <f>ROUND(O75,2)*P75</f>
        <v>#DIV/0!</v>
      </c>
      <c r="R75" s="96" t="e">
        <f>P75*dagenperjaar1</f>
        <v>#DIV/0!</v>
      </c>
      <c r="S75" s="27" t="e">
        <f>R75*ROUND(O75,2)</f>
        <v>#DIV/0!</v>
      </c>
    </row>
    <row r="76" spans="1:19" x14ac:dyDescent="0.25">
      <c r="A76" s="93" t="s">
        <v>239</v>
      </c>
      <c r="B76" s="94" t="s">
        <v>316</v>
      </c>
      <c r="C76" s="94" t="s">
        <v>285</v>
      </c>
      <c r="D76" s="94" t="s">
        <v>344</v>
      </c>
      <c r="E76" s="95" t="s">
        <v>345</v>
      </c>
      <c r="F76" s="94" t="s">
        <v>255</v>
      </c>
      <c r="G76" s="94" t="s">
        <v>207</v>
      </c>
      <c r="H76" s="94" t="s">
        <v>11</v>
      </c>
      <c r="I76" s="94" t="s">
        <v>189</v>
      </c>
      <c r="J76" s="95" t="s">
        <v>208</v>
      </c>
      <c r="K76" s="96">
        <v>14.18</v>
      </c>
      <c r="L76" s="96">
        <f>K76*VLOOKUP(H76,dagsoorttabel1,2,FALSE)</f>
        <v>10.907692307692308</v>
      </c>
      <c r="M76" s="97">
        <f>prodnorm11</f>
        <v>0</v>
      </c>
      <c r="N76" s="94" t="s">
        <v>103</v>
      </c>
      <c r="O76" s="26">
        <f>uurtarief11</f>
        <v>0</v>
      </c>
      <c r="P76" s="96" t="e">
        <f>IF(ISBLANK(M76),0,L76/ROUND(M76,4))</f>
        <v>#DIV/0!</v>
      </c>
      <c r="Q76" s="26" t="e">
        <f>ROUND(O76,2)*P76</f>
        <v>#DIV/0!</v>
      </c>
      <c r="R76" s="96" t="e">
        <f>P76*dagenperjaar1</f>
        <v>#DIV/0!</v>
      </c>
      <c r="S76" s="27" t="e">
        <f>R76*ROUND(O76,2)</f>
        <v>#DIV/0!</v>
      </c>
    </row>
    <row r="77" spans="1:19" x14ac:dyDescent="0.25">
      <c r="A77" s="93" t="s">
        <v>239</v>
      </c>
      <c r="B77" s="94" t="s">
        <v>316</v>
      </c>
      <c r="C77" s="94" t="s">
        <v>285</v>
      </c>
      <c r="D77" s="94" t="s">
        <v>346</v>
      </c>
      <c r="E77" s="95" t="s">
        <v>347</v>
      </c>
      <c r="F77" s="94" t="s">
        <v>255</v>
      </c>
      <c r="G77" s="94" t="s">
        <v>197</v>
      </c>
      <c r="H77" s="94" t="s">
        <v>11</v>
      </c>
      <c r="I77" s="94" t="s">
        <v>189</v>
      </c>
      <c r="J77" s="95" t="s">
        <v>198</v>
      </c>
      <c r="K77" s="96">
        <v>8</v>
      </c>
      <c r="L77" s="96">
        <f>K77*VLOOKUP(H77,dagsoorttabel1,2,FALSE)</f>
        <v>6.1538461538461542</v>
      </c>
      <c r="M77" s="97">
        <f>prodnorm6</f>
        <v>0</v>
      </c>
      <c r="N77" s="94" t="s">
        <v>103</v>
      </c>
      <c r="O77" s="26">
        <f>uurtarief6</f>
        <v>0</v>
      </c>
      <c r="P77" s="96" t="e">
        <f>IF(ISBLANK(M77),0,L77/ROUND(M77,4))</f>
        <v>#DIV/0!</v>
      </c>
      <c r="Q77" s="26" t="e">
        <f>ROUND(O77,2)*P77</f>
        <v>#DIV/0!</v>
      </c>
      <c r="R77" s="96" t="e">
        <f>P77*dagenperjaar1</f>
        <v>#DIV/0!</v>
      </c>
      <c r="S77" s="27" t="e">
        <f>R77*ROUND(O77,2)</f>
        <v>#DIV/0!</v>
      </c>
    </row>
    <row r="78" spans="1:19" ht="30" x14ac:dyDescent="0.25">
      <c r="A78" s="93" t="s">
        <v>239</v>
      </c>
      <c r="B78" s="94" t="s">
        <v>316</v>
      </c>
      <c r="C78" s="94" t="s">
        <v>285</v>
      </c>
      <c r="D78" s="94" t="s">
        <v>348</v>
      </c>
      <c r="E78" s="95" t="s">
        <v>243</v>
      </c>
      <c r="F78" s="94" t="s">
        <v>244</v>
      </c>
      <c r="G78" s="94" t="s">
        <v>225</v>
      </c>
      <c r="H78" s="94" t="s">
        <v>11</v>
      </c>
      <c r="I78" s="94" t="s">
        <v>189</v>
      </c>
      <c r="J78" s="95" t="s">
        <v>226</v>
      </c>
      <c r="K78" s="96">
        <v>17.97</v>
      </c>
      <c r="L78" s="96">
        <f>K78*VLOOKUP(H78,dagsoorttabel1,2,FALSE)</f>
        <v>13.823076923076924</v>
      </c>
      <c r="M78" s="97">
        <f>prodnorm20</f>
        <v>0</v>
      </c>
      <c r="N78" s="94" t="s">
        <v>103</v>
      </c>
      <c r="O78" s="26">
        <f>uurtarief20</f>
        <v>0</v>
      </c>
      <c r="P78" s="96" t="e">
        <f>IF(ISBLANK(M78),0,L78/ROUND(M78,4))</f>
        <v>#DIV/0!</v>
      </c>
      <c r="Q78" s="26" t="e">
        <f>ROUND(O78,2)*P78</f>
        <v>#DIV/0!</v>
      </c>
      <c r="R78" s="96" t="e">
        <f>P78*dagenperjaar1</f>
        <v>#DIV/0!</v>
      </c>
      <c r="S78" s="27" t="e">
        <f>R78*ROUND(O78,2)</f>
        <v>#DIV/0!</v>
      </c>
    </row>
    <row r="79" spans="1:19" x14ac:dyDescent="0.25">
      <c r="A79" s="93" t="s">
        <v>239</v>
      </c>
      <c r="B79" s="94" t="s">
        <v>316</v>
      </c>
      <c r="C79" s="94" t="s">
        <v>285</v>
      </c>
      <c r="D79" s="94" t="s">
        <v>349</v>
      </c>
      <c r="E79" s="95" t="s">
        <v>345</v>
      </c>
      <c r="F79" s="94" t="s">
        <v>255</v>
      </c>
      <c r="G79" s="94" t="s">
        <v>207</v>
      </c>
      <c r="H79" s="94" t="s">
        <v>11</v>
      </c>
      <c r="I79" s="94" t="s">
        <v>189</v>
      </c>
      <c r="J79" s="95" t="s">
        <v>208</v>
      </c>
      <c r="K79" s="96">
        <v>13.6</v>
      </c>
      <c r="L79" s="96">
        <f>K79*VLOOKUP(H79,dagsoorttabel1,2,FALSE)</f>
        <v>10.461538461538462</v>
      </c>
      <c r="M79" s="97">
        <f>prodnorm11</f>
        <v>0</v>
      </c>
      <c r="N79" s="94" t="s">
        <v>103</v>
      </c>
      <c r="O79" s="26">
        <f>uurtarief11</f>
        <v>0</v>
      </c>
      <c r="P79" s="96" t="e">
        <f>IF(ISBLANK(M79),0,L79/ROUND(M79,4))</f>
        <v>#DIV/0!</v>
      </c>
      <c r="Q79" s="26" t="e">
        <f>ROUND(O79,2)*P79</f>
        <v>#DIV/0!</v>
      </c>
      <c r="R79" s="96" t="e">
        <f>P79*dagenperjaar1</f>
        <v>#DIV/0!</v>
      </c>
      <c r="S79" s="27" t="e">
        <f>R79*ROUND(O79,2)</f>
        <v>#DIV/0!</v>
      </c>
    </row>
    <row r="80" spans="1:19" x14ac:dyDescent="0.25">
      <c r="A80" s="93" t="s">
        <v>239</v>
      </c>
      <c r="B80" s="94" t="s">
        <v>316</v>
      </c>
      <c r="C80" s="94" t="s">
        <v>285</v>
      </c>
      <c r="D80" s="94" t="s">
        <v>350</v>
      </c>
      <c r="E80" s="95" t="s">
        <v>347</v>
      </c>
      <c r="F80" s="94" t="s">
        <v>255</v>
      </c>
      <c r="G80" s="94" t="s">
        <v>197</v>
      </c>
      <c r="H80" s="94" t="s">
        <v>11</v>
      </c>
      <c r="I80" s="94" t="s">
        <v>189</v>
      </c>
      <c r="J80" s="95" t="s">
        <v>198</v>
      </c>
      <c r="K80" s="96">
        <v>3.8</v>
      </c>
      <c r="L80" s="96">
        <f>K80*VLOOKUP(H80,dagsoorttabel1,2,FALSE)</f>
        <v>2.9230769230769229</v>
      </c>
      <c r="M80" s="97">
        <f>prodnorm6</f>
        <v>0</v>
      </c>
      <c r="N80" s="94" t="s">
        <v>103</v>
      </c>
      <c r="O80" s="26">
        <f>uurtarief6</f>
        <v>0</v>
      </c>
      <c r="P80" s="96" t="e">
        <f>IF(ISBLANK(M80),0,L80/ROUND(M80,4))</f>
        <v>#DIV/0!</v>
      </c>
      <c r="Q80" s="26" t="e">
        <f>ROUND(O80,2)*P80</f>
        <v>#DIV/0!</v>
      </c>
      <c r="R80" s="96" t="e">
        <f>P80*dagenperjaar1</f>
        <v>#DIV/0!</v>
      </c>
      <c r="S80" s="27" t="e">
        <f>R80*ROUND(O80,2)</f>
        <v>#DIV/0!</v>
      </c>
    </row>
    <row r="81" spans="1:19" x14ac:dyDescent="0.25">
      <c r="A81" s="93" t="s">
        <v>239</v>
      </c>
      <c r="B81" s="94" t="s">
        <v>316</v>
      </c>
      <c r="C81" s="94" t="s">
        <v>285</v>
      </c>
      <c r="D81" s="94" t="s">
        <v>351</v>
      </c>
      <c r="E81" s="95" t="s">
        <v>352</v>
      </c>
      <c r="F81" s="94" t="s">
        <v>255</v>
      </c>
      <c r="G81" s="94" t="s">
        <v>221</v>
      </c>
      <c r="H81" s="94" t="s">
        <v>11</v>
      </c>
      <c r="I81" s="94" t="s">
        <v>189</v>
      </c>
      <c r="J81" s="95" t="s">
        <v>222</v>
      </c>
      <c r="K81" s="96">
        <v>1</v>
      </c>
      <c r="L81" s="96">
        <f>K81*VLOOKUP(H81,dagsoorttabel1,2,FALSE)</f>
        <v>0.76923076923076927</v>
      </c>
      <c r="M81" s="97">
        <f>prodnorm18</f>
        <v>0</v>
      </c>
      <c r="N81" s="94" t="s">
        <v>103</v>
      </c>
      <c r="O81" s="26">
        <f>uurtarief18</f>
        <v>0</v>
      </c>
      <c r="P81" s="96" t="e">
        <f>IF(ISBLANK(M81),0,L81/ROUND(M81,4))</f>
        <v>#DIV/0!</v>
      </c>
      <c r="Q81" s="26" t="e">
        <f>ROUND(O81,2)*P81</f>
        <v>#DIV/0!</v>
      </c>
      <c r="R81" s="96" t="e">
        <f>P81*dagenperjaar1</f>
        <v>#DIV/0!</v>
      </c>
      <c r="S81" s="27" t="e">
        <f>R81*ROUND(O81,2)</f>
        <v>#DIV/0!</v>
      </c>
    </row>
    <row r="82" spans="1:19" ht="30" x14ac:dyDescent="0.25">
      <c r="A82" s="93" t="s">
        <v>239</v>
      </c>
      <c r="B82" s="94" t="s">
        <v>316</v>
      </c>
      <c r="C82" s="94" t="s">
        <v>285</v>
      </c>
      <c r="D82" s="94" t="s">
        <v>353</v>
      </c>
      <c r="E82" s="95" t="s">
        <v>243</v>
      </c>
      <c r="F82" s="94" t="s">
        <v>244</v>
      </c>
      <c r="G82" s="94" t="s">
        <v>225</v>
      </c>
      <c r="H82" s="94" t="s">
        <v>11</v>
      </c>
      <c r="I82" s="94" t="s">
        <v>189</v>
      </c>
      <c r="J82" s="95" t="s">
        <v>226</v>
      </c>
      <c r="K82" s="96">
        <v>10.82</v>
      </c>
      <c r="L82" s="96">
        <f>K82*VLOOKUP(H82,dagsoorttabel1,2,FALSE)</f>
        <v>8.3230769230769237</v>
      </c>
      <c r="M82" s="97">
        <f>prodnorm20</f>
        <v>0</v>
      </c>
      <c r="N82" s="94" t="s">
        <v>103</v>
      </c>
      <c r="O82" s="26">
        <f>uurtarief20</f>
        <v>0</v>
      </c>
      <c r="P82" s="96" t="e">
        <f>IF(ISBLANK(M82),0,L82/ROUND(M82,4))</f>
        <v>#DIV/0!</v>
      </c>
      <c r="Q82" s="26" t="e">
        <f>ROUND(O82,2)*P82</f>
        <v>#DIV/0!</v>
      </c>
      <c r="R82" s="96" t="e">
        <f>P82*dagenperjaar1</f>
        <v>#DIV/0!</v>
      </c>
      <c r="S82" s="27" t="e">
        <f>R82*ROUND(O82,2)</f>
        <v>#DIV/0!</v>
      </c>
    </row>
    <row r="83" spans="1:19" x14ac:dyDescent="0.25">
      <c r="A83" s="93" t="s">
        <v>239</v>
      </c>
      <c r="B83" s="94" t="s">
        <v>316</v>
      </c>
      <c r="C83" s="94" t="s">
        <v>285</v>
      </c>
      <c r="D83" s="94" t="s">
        <v>354</v>
      </c>
      <c r="E83" s="95" t="s">
        <v>345</v>
      </c>
      <c r="F83" s="94" t="s">
        <v>255</v>
      </c>
      <c r="G83" s="94" t="s">
        <v>207</v>
      </c>
      <c r="H83" s="94" t="s">
        <v>11</v>
      </c>
      <c r="I83" s="94" t="s">
        <v>189</v>
      </c>
      <c r="J83" s="95" t="s">
        <v>208</v>
      </c>
      <c r="K83" s="96">
        <v>15.4</v>
      </c>
      <c r="L83" s="96">
        <f>K83*VLOOKUP(H83,dagsoorttabel1,2,FALSE)</f>
        <v>11.846153846153847</v>
      </c>
      <c r="M83" s="97">
        <f>prodnorm11</f>
        <v>0</v>
      </c>
      <c r="N83" s="94" t="s">
        <v>103</v>
      </c>
      <c r="O83" s="26">
        <f>uurtarief11</f>
        <v>0</v>
      </c>
      <c r="P83" s="96" t="e">
        <f>IF(ISBLANK(M83),0,L83/ROUND(M83,4))</f>
        <v>#DIV/0!</v>
      </c>
      <c r="Q83" s="26" t="e">
        <f>ROUND(O83,2)*P83</f>
        <v>#DIV/0!</v>
      </c>
      <c r="R83" s="96" t="e">
        <f>P83*dagenperjaar1</f>
        <v>#DIV/0!</v>
      </c>
      <c r="S83" s="27" t="e">
        <f>R83*ROUND(O83,2)</f>
        <v>#DIV/0!</v>
      </c>
    </row>
    <row r="84" spans="1:19" x14ac:dyDescent="0.25">
      <c r="A84" s="93" t="s">
        <v>239</v>
      </c>
      <c r="B84" s="94" t="s">
        <v>316</v>
      </c>
      <c r="C84" s="94" t="s">
        <v>285</v>
      </c>
      <c r="D84" s="94" t="s">
        <v>355</v>
      </c>
      <c r="E84" s="95" t="s">
        <v>347</v>
      </c>
      <c r="F84" s="94" t="s">
        <v>255</v>
      </c>
      <c r="G84" s="94" t="s">
        <v>197</v>
      </c>
      <c r="H84" s="94" t="s">
        <v>11</v>
      </c>
      <c r="I84" s="94" t="s">
        <v>189</v>
      </c>
      <c r="J84" s="95" t="s">
        <v>198</v>
      </c>
      <c r="K84" s="96">
        <v>3.8</v>
      </c>
      <c r="L84" s="96">
        <f>K84*VLOOKUP(H84,dagsoorttabel1,2,FALSE)</f>
        <v>2.9230769230769229</v>
      </c>
      <c r="M84" s="97">
        <f>prodnorm6</f>
        <v>0</v>
      </c>
      <c r="N84" s="94" t="s">
        <v>103</v>
      </c>
      <c r="O84" s="26">
        <f>uurtarief6</f>
        <v>0</v>
      </c>
      <c r="P84" s="96" t="e">
        <f>IF(ISBLANK(M84),0,L84/ROUND(M84,4))</f>
        <v>#DIV/0!</v>
      </c>
      <c r="Q84" s="26" t="e">
        <f>ROUND(O84,2)*P84</f>
        <v>#DIV/0!</v>
      </c>
      <c r="R84" s="96" t="e">
        <f>P84*dagenperjaar1</f>
        <v>#DIV/0!</v>
      </c>
      <c r="S84" s="27" t="e">
        <f>R84*ROUND(O84,2)</f>
        <v>#DIV/0!</v>
      </c>
    </row>
    <row r="85" spans="1:19" x14ac:dyDescent="0.25">
      <c r="A85" s="93" t="s">
        <v>239</v>
      </c>
      <c r="B85" s="94" t="s">
        <v>316</v>
      </c>
      <c r="C85" s="94" t="s">
        <v>285</v>
      </c>
      <c r="D85" s="94" t="s">
        <v>356</v>
      </c>
      <c r="E85" s="95" t="s">
        <v>352</v>
      </c>
      <c r="F85" s="94" t="s">
        <v>255</v>
      </c>
      <c r="G85" s="94" t="s">
        <v>221</v>
      </c>
      <c r="H85" s="94" t="s">
        <v>11</v>
      </c>
      <c r="I85" s="94" t="s">
        <v>189</v>
      </c>
      <c r="J85" s="95" t="s">
        <v>222</v>
      </c>
      <c r="K85" s="96">
        <v>1</v>
      </c>
      <c r="L85" s="96">
        <f>K85*VLOOKUP(H85,dagsoorttabel1,2,FALSE)</f>
        <v>0.76923076923076927</v>
      </c>
      <c r="M85" s="97">
        <f>prodnorm18</f>
        <v>0</v>
      </c>
      <c r="N85" s="94" t="s">
        <v>103</v>
      </c>
      <c r="O85" s="26">
        <f>uurtarief18</f>
        <v>0</v>
      </c>
      <c r="P85" s="96" t="e">
        <f>IF(ISBLANK(M85),0,L85/ROUND(M85,4))</f>
        <v>#DIV/0!</v>
      </c>
      <c r="Q85" s="26" t="e">
        <f>ROUND(O85,2)*P85</f>
        <v>#DIV/0!</v>
      </c>
      <c r="R85" s="96" t="e">
        <f>P85*dagenperjaar1</f>
        <v>#DIV/0!</v>
      </c>
      <c r="S85" s="27" t="e">
        <f>R85*ROUND(O85,2)</f>
        <v>#DIV/0!</v>
      </c>
    </row>
    <row r="86" spans="1:19" x14ac:dyDescent="0.25">
      <c r="A86" s="93" t="s">
        <v>239</v>
      </c>
      <c r="B86" s="94" t="s">
        <v>316</v>
      </c>
      <c r="C86" s="94" t="s">
        <v>285</v>
      </c>
      <c r="D86" s="94" t="s">
        <v>357</v>
      </c>
      <c r="E86" s="95" t="s">
        <v>345</v>
      </c>
      <c r="F86" s="94" t="s">
        <v>255</v>
      </c>
      <c r="G86" s="94" t="s">
        <v>207</v>
      </c>
      <c r="H86" s="94" t="s">
        <v>11</v>
      </c>
      <c r="I86" s="94" t="s">
        <v>189</v>
      </c>
      <c r="J86" s="95" t="s">
        <v>208</v>
      </c>
      <c r="K86" s="96">
        <v>17</v>
      </c>
      <c r="L86" s="96">
        <f>K86*VLOOKUP(H86,dagsoorttabel1,2,FALSE)</f>
        <v>13.076923076923078</v>
      </c>
      <c r="M86" s="97">
        <f>prodnorm11</f>
        <v>0</v>
      </c>
      <c r="N86" s="94" t="s">
        <v>103</v>
      </c>
      <c r="O86" s="26">
        <f>uurtarief11</f>
        <v>0</v>
      </c>
      <c r="P86" s="96" t="e">
        <f>IF(ISBLANK(M86),0,L86/ROUND(M86,4))</f>
        <v>#DIV/0!</v>
      </c>
      <c r="Q86" s="26" t="e">
        <f>ROUND(O86,2)*P86</f>
        <v>#DIV/0!</v>
      </c>
      <c r="R86" s="96" t="e">
        <f>P86*dagenperjaar1</f>
        <v>#DIV/0!</v>
      </c>
      <c r="S86" s="27" t="e">
        <f>R86*ROUND(O86,2)</f>
        <v>#DIV/0!</v>
      </c>
    </row>
    <row r="87" spans="1:19" x14ac:dyDescent="0.25">
      <c r="A87" s="93" t="s">
        <v>239</v>
      </c>
      <c r="B87" s="94" t="s">
        <v>316</v>
      </c>
      <c r="C87" s="94" t="s">
        <v>285</v>
      </c>
      <c r="D87" s="94" t="s">
        <v>358</v>
      </c>
      <c r="E87" s="95" t="s">
        <v>347</v>
      </c>
      <c r="F87" s="94" t="s">
        <v>255</v>
      </c>
      <c r="G87" s="94" t="s">
        <v>197</v>
      </c>
      <c r="H87" s="94" t="s">
        <v>11</v>
      </c>
      <c r="I87" s="94" t="s">
        <v>189</v>
      </c>
      <c r="J87" s="95" t="s">
        <v>198</v>
      </c>
      <c r="K87" s="96">
        <v>3.8</v>
      </c>
      <c r="L87" s="96">
        <f>K87*VLOOKUP(H87,dagsoorttabel1,2,FALSE)</f>
        <v>2.9230769230769229</v>
      </c>
      <c r="M87" s="97">
        <f>prodnorm6</f>
        <v>0</v>
      </c>
      <c r="N87" s="94" t="s">
        <v>103</v>
      </c>
      <c r="O87" s="26">
        <f>uurtarief6</f>
        <v>0</v>
      </c>
      <c r="P87" s="96" t="e">
        <f>IF(ISBLANK(M87),0,L87/ROUND(M87,4))</f>
        <v>#DIV/0!</v>
      </c>
      <c r="Q87" s="26" t="e">
        <f>ROUND(O87,2)*P87</f>
        <v>#DIV/0!</v>
      </c>
      <c r="R87" s="96" t="e">
        <f>P87*dagenperjaar1</f>
        <v>#DIV/0!</v>
      </c>
      <c r="S87" s="27" t="e">
        <f>R87*ROUND(O87,2)</f>
        <v>#DIV/0!</v>
      </c>
    </row>
    <row r="88" spans="1:19" x14ac:dyDescent="0.25">
      <c r="A88" s="93" t="s">
        <v>239</v>
      </c>
      <c r="B88" s="94" t="s">
        <v>316</v>
      </c>
      <c r="C88" s="94" t="s">
        <v>285</v>
      </c>
      <c r="D88" s="94" t="s">
        <v>359</v>
      </c>
      <c r="E88" s="95" t="s">
        <v>352</v>
      </c>
      <c r="F88" s="94" t="s">
        <v>255</v>
      </c>
      <c r="G88" s="94" t="s">
        <v>221</v>
      </c>
      <c r="H88" s="94" t="s">
        <v>11</v>
      </c>
      <c r="I88" s="94" t="s">
        <v>189</v>
      </c>
      <c r="J88" s="95" t="s">
        <v>222</v>
      </c>
      <c r="K88" s="96">
        <v>1</v>
      </c>
      <c r="L88" s="96">
        <f>K88*VLOOKUP(H88,dagsoorttabel1,2,FALSE)</f>
        <v>0.76923076923076927</v>
      </c>
      <c r="M88" s="97">
        <f>prodnorm18</f>
        <v>0</v>
      </c>
      <c r="N88" s="94" t="s">
        <v>103</v>
      </c>
      <c r="O88" s="26">
        <f>uurtarief18</f>
        <v>0</v>
      </c>
      <c r="P88" s="96" t="e">
        <f>IF(ISBLANK(M88),0,L88/ROUND(M88,4))</f>
        <v>#DIV/0!</v>
      </c>
      <c r="Q88" s="26" t="e">
        <f>ROUND(O88,2)*P88</f>
        <v>#DIV/0!</v>
      </c>
      <c r="R88" s="96" t="e">
        <f>P88*dagenperjaar1</f>
        <v>#DIV/0!</v>
      </c>
      <c r="S88" s="27" t="e">
        <f>R88*ROUND(O88,2)</f>
        <v>#DIV/0!</v>
      </c>
    </row>
    <row r="89" spans="1:19" x14ac:dyDescent="0.25">
      <c r="A89" s="93" t="s">
        <v>239</v>
      </c>
      <c r="B89" s="94" t="s">
        <v>316</v>
      </c>
      <c r="C89" s="94" t="s">
        <v>285</v>
      </c>
      <c r="D89" s="94" t="s">
        <v>360</v>
      </c>
      <c r="E89" s="95" t="s">
        <v>326</v>
      </c>
      <c r="F89" s="94" t="s">
        <v>255</v>
      </c>
      <c r="G89" s="94" t="s">
        <v>248</v>
      </c>
      <c r="H89" s="94"/>
      <c r="I89" s="94"/>
      <c r="J89" s="94"/>
      <c r="K89" s="96">
        <v>1.2</v>
      </c>
      <c r="L89" s="96"/>
      <c r="M89" s="97"/>
      <c r="N89" s="94"/>
      <c r="O89" s="26"/>
      <c r="P89" s="96"/>
      <c r="Q89" s="26"/>
      <c r="R89" s="98"/>
      <c r="S89" s="27"/>
    </row>
    <row r="90" spans="1:19" ht="30" x14ac:dyDescent="0.25">
      <c r="A90" s="93" t="s">
        <v>239</v>
      </c>
      <c r="B90" s="94" t="s">
        <v>316</v>
      </c>
      <c r="C90" s="94" t="s">
        <v>285</v>
      </c>
      <c r="D90" s="94" t="s">
        <v>361</v>
      </c>
      <c r="E90" s="95" t="s">
        <v>243</v>
      </c>
      <c r="F90" s="94" t="s">
        <v>244</v>
      </c>
      <c r="G90" s="94" t="s">
        <v>225</v>
      </c>
      <c r="H90" s="94" t="s">
        <v>11</v>
      </c>
      <c r="I90" s="94" t="s">
        <v>189</v>
      </c>
      <c r="J90" s="95" t="s">
        <v>226</v>
      </c>
      <c r="K90" s="96">
        <v>37.74</v>
      </c>
      <c r="L90" s="96">
        <f>K90*VLOOKUP(H90,dagsoorttabel1,2,FALSE)</f>
        <v>29.030769230769234</v>
      </c>
      <c r="M90" s="97">
        <f>prodnorm20</f>
        <v>0</v>
      </c>
      <c r="N90" s="94" t="s">
        <v>103</v>
      </c>
      <c r="O90" s="26">
        <f>uurtarief20</f>
        <v>0</v>
      </c>
      <c r="P90" s="96" t="e">
        <f>IF(ISBLANK(M90),0,L90/ROUND(M90,4))</f>
        <v>#DIV/0!</v>
      </c>
      <c r="Q90" s="26" t="e">
        <f>ROUND(O90,2)*P90</f>
        <v>#DIV/0!</v>
      </c>
      <c r="R90" s="96" t="e">
        <f>P90*dagenperjaar1</f>
        <v>#DIV/0!</v>
      </c>
      <c r="S90" s="27" t="e">
        <f>R90*ROUND(O90,2)</f>
        <v>#DIV/0!</v>
      </c>
    </row>
    <row r="91" spans="1:19" x14ac:dyDescent="0.25">
      <c r="A91" s="93" t="s">
        <v>239</v>
      </c>
      <c r="B91" s="94" t="s">
        <v>316</v>
      </c>
      <c r="C91" s="94" t="s">
        <v>285</v>
      </c>
      <c r="D91" s="94" t="s">
        <v>362</v>
      </c>
      <c r="E91" s="95" t="s">
        <v>254</v>
      </c>
      <c r="F91" s="94" t="s">
        <v>255</v>
      </c>
      <c r="G91" s="94" t="s">
        <v>221</v>
      </c>
      <c r="H91" s="94" t="s">
        <v>11</v>
      </c>
      <c r="I91" s="94" t="s">
        <v>189</v>
      </c>
      <c r="J91" s="95" t="s">
        <v>222</v>
      </c>
      <c r="K91" s="96">
        <v>1.29</v>
      </c>
      <c r="L91" s="96">
        <f>K91*VLOOKUP(H91,dagsoorttabel1,2,FALSE)</f>
        <v>0.99230769230769234</v>
      </c>
      <c r="M91" s="97">
        <f>prodnorm18</f>
        <v>0</v>
      </c>
      <c r="N91" s="94" t="s">
        <v>103</v>
      </c>
      <c r="O91" s="26">
        <f>uurtarief18</f>
        <v>0</v>
      </c>
      <c r="P91" s="96" t="e">
        <f>IF(ISBLANK(M91),0,L91/ROUND(M91,4))</f>
        <v>#DIV/0!</v>
      </c>
      <c r="Q91" s="26" t="e">
        <f>ROUND(O91,2)*P91</f>
        <v>#DIV/0!</v>
      </c>
      <c r="R91" s="96" t="e">
        <f>P91*dagenperjaar1</f>
        <v>#DIV/0!</v>
      </c>
      <c r="S91" s="27" t="e">
        <f>R91*ROUND(O91,2)</f>
        <v>#DIV/0!</v>
      </c>
    </row>
    <row r="92" spans="1:19" x14ac:dyDescent="0.25">
      <c r="A92" s="93" t="s">
        <v>239</v>
      </c>
      <c r="B92" s="94" t="s">
        <v>316</v>
      </c>
      <c r="C92" s="94" t="s">
        <v>285</v>
      </c>
      <c r="D92" s="94" t="s">
        <v>363</v>
      </c>
      <c r="E92" s="95" t="s">
        <v>254</v>
      </c>
      <c r="F92" s="94" t="s">
        <v>255</v>
      </c>
      <c r="G92" s="94" t="s">
        <v>221</v>
      </c>
      <c r="H92" s="94" t="s">
        <v>11</v>
      </c>
      <c r="I92" s="94" t="s">
        <v>189</v>
      </c>
      <c r="J92" s="95" t="s">
        <v>222</v>
      </c>
      <c r="K92" s="96">
        <v>1.35</v>
      </c>
      <c r="L92" s="96">
        <f>K92*VLOOKUP(H92,dagsoorttabel1,2,FALSE)</f>
        <v>1.0384615384615385</v>
      </c>
      <c r="M92" s="97">
        <f>prodnorm18</f>
        <v>0</v>
      </c>
      <c r="N92" s="94" t="s">
        <v>103</v>
      </c>
      <c r="O92" s="26">
        <f>uurtarief18</f>
        <v>0</v>
      </c>
      <c r="P92" s="96" t="e">
        <f>IF(ISBLANK(M92),0,L92/ROUND(M92,4))</f>
        <v>#DIV/0!</v>
      </c>
      <c r="Q92" s="26" t="e">
        <f>ROUND(O92,2)*P92</f>
        <v>#DIV/0!</v>
      </c>
      <c r="R92" s="96" t="e">
        <f>P92*dagenperjaar1</f>
        <v>#DIV/0!</v>
      </c>
      <c r="S92" s="27" t="e">
        <f>R92*ROUND(O92,2)</f>
        <v>#DIV/0!</v>
      </c>
    </row>
    <row r="93" spans="1:19" x14ac:dyDescent="0.25">
      <c r="A93" s="93" t="s">
        <v>239</v>
      </c>
      <c r="B93" s="94" t="s">
        <v>316</v>
      </c>
      <c r="C93" s="94" t="s">
        <v>285</v>
      </c>
      <c r="D93" s="94" t="s">
        <v>364</v>
      </c>
      <c r="E93" s="95" t="s">
        <v>254</v>
      </c>
      <c r="F93" s="94" t="s">
        <v>255</v>
      </c>
      <c r="G93" s="94" t="s">
        <v>221</v>
      </c>
      <c r="H93" s="94" t="s">
        <v>11</v>
      </c>
      <c r="I93" s="94" t="s">
        <v>189</v>
      </c>
      <c r="J93" s="95" t="s">
        <v>222</v>
      </c>
      <c r="K93" s="96">
        <v>1.29</v>
      </c>
      <c r="L93" s="96">
        <f>K93*VLOOKUP(H93,dagsoorttabel1,2,FALSE)</f>
        <v>0.99230769230769234</v>
      </c>
      <c r="M93" s="97">
        <f>prodnorm18</f>
        <v>0</v>
      </c>
      <c r="N93" s="94" t="s">
        <v>103</v>
      </c>
      <c r="O93" s="26">
        <f>uurtarief18</f>
        <v>0</v>
      </c>
      <c r="P93" s="96" t="e">
        <f>IF(ISBLANK(M93),0,L93/ROUND(M93,4))</f>
        <v>#DIV/0!</v>
      </c>
      <c r="Q93" s="26" t="e">
        <f>ROUND(O93,2)*P93</f>
        <v>#DIV/0!</v>
      </c>
      <c r="R93" s="96" t="e">
        <f>P93*dagenperjaar1</f>
        <v>#DIV/0!</v>
      </c>
      <c r="S93" s="27" t="e">
        <f>R93*ROUND(O93,2)</f>
        <v>#DIV/0!</v>
      </c>
    </row>
    <row r="94" spans="1:19" x14ac:dyDescent="0.25">
      <c r="A94" s="93" t="s">
        <v>239</v>
      </c>
      <c r="B94" s="94" t="s">
        <v>316</v>
      </c>
      <c r="C94" s="94" t="s">
        <v>285</v>
      </c>
      <c r="D94" s="94" t="s">
        <v>365</v>
      </c>
      <c r="E94" s="95" t="s">
        <v>318</v>
      </c>
      <c r="F94" s="94" t="s">
        <v>366</v>
      </c>
      <c r="G94" s="94" t="s">
        <v>248</v>
      </c>
      <c r="H94" s="94"/>
      <c r="I94" s="94"/>
      <c r="J94" s="94"/>
      <c r="K94" s="96">
        <v>1.62</v>
      </c>
      <c r="L94" s="96"/>
      <c r="M94" s="97"/>
      <c r="N94" s="94"/>
      <c r="O94" s="26"/>
      <c r="P94" s="96"/>
      <c r="Q94" s="26"/>
      <c r="R94" s="98"/>
      <c r="S94" s="27"/>
    </row>
    <row r="95" spans="1:19" x14ac:dyDescent="0.25">
      <c r="A95" s="93" t="s">
        <v>239</v>
      </c>
      <c r="B95" s="94" t="s">
        <v>367</v>
      </c>
      <c r="C95" s="94" t="s">
        <v>368</v>
      </c>
      <c r="D95" s="94" t="s">
        <v>369</v>
      </c>
      <c r="E95" s="95" t="s">
        <v>247</v>
      </c>
      <c r="F95" s="94" t="s">
        <v>244</v>
      </c>
      <c r="G95" s="94" t="s">
        <v>248</v>
      </c>
      <c r="H95" s="94"/>
      <c r="I95" s="94"/>
      <c r="J95" s="94"/>
      <c r="K95" s="96">
        <v>16.73</v>
      </c>
      <c r="L95" s="96"/>
      <c r="M95" s="97"/>
      <c r="N95" s="94"/>
      <c r="O95" s="26"/>
      <c r="P95" s="96"/>
      <c r="Q95" s="26"/>
      <c r="R95" s="98"/>
      <c r="S95" s="27"/>
    </row>
    <row r="96" spans="1:19" x14ac:dyDescent="0.25">
      <c r="A96" s="93" t="s">
        <v>239</v>
      </c>
      <c r="B96" s="94" t="s">
        <v>367</v>
      </c>
      <c r="C96" s="94" t="s">
        <v>368</v>
      </c>
      <c r="D96" s="94" t="s">
        <v>370</v>
      </c>
      <c r="E96" s="95" t="s">
        <v>252</v>
      </c>
      <c r="F96" s="94" t="s">
        <v>244</v>
      </c>
      <c r="G96" s="94" t="s">
        <v>248</v>
      </c>
      <c r="H96" s="94"/>
      <c r="I96" s="94"/>
      <c r="J96" s="94"/>
      <c r="K96" s="96">
        <v>13.26</v>
      </c>
      <c r="L96" s="96"/>
      <c r="M96" s="97"/>
      <c r="N96" s="94"/>
      <c r="O96" s="26"/>
      <c r="P96" s="96"/>
      <c r="Q96" s="26"/>
      <c r="R96" s="98"/>
      <c r="S96" s="27"/>
    </row>
    <row r="97" spans="1:19" x14ac:dyDescent="0.25">
      <c r="A97" s="93" t="s">
        <v>239</v>
      </c>
      <c r="B97" s="94" t="s">
        <v>367</v>
      </c>
      <c r="C97" s="94" t="s">
        <v>368</v>
      </c>
      <c r="D97" s="94" t="s">
        <v>371</v>
      </c>
      <c r="E97" s="95" t="s">
        <v>252</v>
      </c>
      <c r="F97" s="94" t="s">
        <v>244</v>
      </c>
      <c r="G97" s="94" t="s">
        <v>248</v>
      </c>
      <c r="H97" s="94"/>
      <c r="I97" s="94"/>
      <c r="J97" s="94"/>
      <c r="K97" s="96">
        <v>8.3800000000000008</v>
      </c>
      <c r="L97" s="96"/>
      <c r="M97" s="97"/>
      <c r="N97" s="94"/>
      <c r="O97" s="26"/>
      <c r="P97" s="96"/>
      <c r="Q97" s="26"/>
      <c r="R97" s="98"/>
      <c r="S97" s="27"/>
    </row>
    <row r="98" spans="1:19" x14ac:dyDescent="0.25">
      <c r="A98" s="93" t="s">
        <v>239</v>
      </c>
      <c r="B98" s="94" t="s">
        <v>367</v>
      </c>
      <c r="C98" s="94" t="s">
        <v>241</v>
      </c>
      <c r="D98" s="94" t="s">
        <v>372</v>
      </c>
      <c r="E98" s="95" t="s">
        <v>247</v>
      </c>
      <c r="F98" s="94" t="s">
        <v>244</v>
      </c>
      <c r="G98" s="94" t="s">
        <v>248</v>
      </c>
      <c r="H98" s="94"/>
      <c r="I98" s="94"/>
      <c r="J98" s="94"/>
      <c r="K98" s="96">
        <v>11.46</v>
      </c>
      <c r="L98" s="96"/>
      <c r="M98" s="97"/>
      <c r="N98" s="94"/>
      <c r="O98" s="26"/>
      <c r="P98" s="96"/>
      <c r="Q98" s="26"/>
      <c r="R98" s="98"/>
      <c r="S98" s="27"/>
    </row>
    <row r="99" spans="1:19" ht="30" x14ac:dyDescent="0.25">
      <c r="A99" s="93" t="s">
        <v>239</v>
      </c>
      <c r="B99" s="94" t="s">
        <v>367</v>
      </c>
      <c r="C99" s="94" t="s">
        <v>241</v>
      </c>
      <c r="D99" s="94" t="s">
        <v>373</v>
      </c>
      <c r="E99" s="95" t="s">
        <v>274</v>
      </c>
      <c r="F99" s="94" t="s">
        <v>244</v>
      </c>
      <c r="G99" s="94" t="s">
        <v>191</v>
      </c>
      <c r="H99" s="94" t="s">
        <v>11</v>
      </c>
      <c r="I99" s="94" t="s">
        <v>189</v>
      </c>
      <c r="J99" s="95" t="s">
        <v>192</v>
      </c>
      <c r="K99" s="96">
        <v>27.24</v>
      </c>
      <c r="L99" s="96">
        <f>K99*VLOOKUP(H99,dagsoorttabel1,2,FALSE)</f>
        <v>20.953846153846154</v>
      </c>
      <c r="M99" s="97">
        <f>prodnorm3</f>
        <v>0</v>
      </c>
      <c r="N99" s="94" t="s">
        <v>103</v>
      </c>
      <c r="O99" s="26">
        <f>uurtarief3</f>
        <v>0</v>
      </c>
      <c r="P99" s="96" t="e">
        <f>IF(ISBLANK(M99),0,L99/ROUND(M99,4))</f>
        <v>#DIV/0!</v>
      </c>
      <c r="Q99" s="26" t="e">
        <f>ROUND(O99,2)*P99</f>
        <v>#DIV/0!</v>
      </c>
      <c r="R99" s="96" t="e">
        <f>P99*dagenperjaar1</f>
        <v>#DIV/0!</v>
      </c>
      <c r="S99" s="27" t="e">
        <f>R99*ROUND(O99,2)</f>
        <v>#DIV/0!</v>
      </c>
    </row>
    <row r="100" spans="1:19" ht="30" x14ac:dyDescent="0.25">
      <c r="A100" s="93" t="s">
        <v>239</v>
      </c>
      <c r="B100" s="94" t="s">
        <v>367</v>
      </c>
      <c r="C100" s="94" t="s">
        <v>241</v>
      </c>
      <c r="D100" s="94" t="s">
        <v>374</v>
      </c>
      <c r="E100" s="95" t="s">
        <v>375</v>
      </c>
      <c r="F100" s="94" t="s">
        <v>366</v>
      </c>
      <c r="G100" s="94" t="s">
        <v>217</v>
      </c>
      <c r="H100" s="94" t="s">
        <v>11</v>
      </c>
      <c r="I100" s="94" t="s">
        <v>189</v>
      </c>
      <c r="J100" s="95" t="s">
        <v>218</v>
      </c>
      <c r="K100" s="96">
        <v>86.45</v>
      </c>
      <c r="L100" s="96">
        <f>K100*VLOOKUP(H100,dagsoorttabel1,2,FALSE)</f>
        <v>66.5</v>
      </c>
      <c r="M100" s="97">
        <f>prodnorm16</f>
        <v>0</v>
      </c>
      <c r="N100" s="94" t="s">
        <v>103</v>
      </c>
      <c r="O100" s="26">
        <f>uurtarief16</f>
        <v>0</v>
      </c>
      <c r="P100" s="96" t="e">
        <f>IF(ISBLANK(M100),0,L100/ROUND(M100,4))</f>
        <v>#DIV/0!</v>
      </c>
      <c r="Q100" s="26" t="e">
        <f>ROUND(O100,2)*P100</f>
        <v>#DIV/0!</v>
      </c>
      <c r="R100" s="96" t="e">
        <f>P100*dagenperjaar1</f>
        <v>#DIV/0!</v>
      </c>
      <c r="S100" s="27" t="e">
        <f>R100*ROUND(O100,2)</f>
        <v>#DIV/0!</v>
      </c>
    </row>
    <row r="101" spans="1:19" ht="30" x14ac:dyDescent="0.25">
      <c r="A101" s="93" t="s">
        <v>239</v>
      </c>
      <c r="B101" s="94" t="s">
        <v>367</v>
      </c>
      <c r="C101" s="94" t="s">
        <v>241</v>
      </c>
      <c r="D101" s="94" t="s">
        <v>376</v>
      </c>
      <c r="E101" s="95" t="s">
        <v>377</v>
      </c>
      <c r="F101" s="94" t="s">
        <v>366</v>
      </c>
      <c r="G101" s="94" t="s">
        <v>191</v>
      </c>
      <c r="H101" s="94" t="s">
        <v>11</v>
      </c>
      <c r="I101" s="94" t="s">
        <v>189</v>
      </c>
      <c r="J101" s="95" t="s">
        <v>192</v>
      </c>
      <c r="K101" s="96">
        <v>13.7</v>
      </c>
      <c r="L101" s="96">
        <f>K101*VLOOKUP(H101,dagsoorttabel1,2,FALSE)</f>
        <v>10.538461538461538</v>
      </c>
      <c r="M101" s="97">
        <f>prodnorm3</f>
        <v>0</v>
      </c>
      <c r="N101" s="94" t="s">
        <v>103</v>
      </c>
      <c r="O101" s="26">
        <f>uurtarief3</f>
        <v>0</v>
      </c>
      <c r="P101" s="96" t="e">
        <f>IF(ISBLANK(M101),0,L101/ROUND(M101,4))</f>
        <v>#DIV/0!</v>
      </c>
      <c r="Q101" s="26" t="e">
        <f>ROUND(O101,2)*P101</f>
        <v>#DIV/0!</v>
      </c>
      <c r="R101" s="96" t="e">
        <f>P101*dagenperjaar1</f>
        <v>#DIV/0!</v>
      </c>
      <c r="S101" s="27" t="e">
        <f>R101*ROUND(O101,2)</f>
        <v>#DIV/0!</v>
      </c>
    </row>
    <row r="102" spans="1:19" x14ac:dyDescent="0.25">
      <c r="A102" s="93" t="s">
        <v>239</v>
      </c>
      <c r="B102" s="94" t="s">
        <v>367</v>
      </c>
      <c r="C102" s="94" t="s">
        <v>241</v>
      </c>
      <c r="D102" s="94" t="s">
        <v>378</v>
      </c>
      <c r="E102" s="95" t="s">
        <v>379</v>
      </c>
      <c r="F102" s="94" t="s">
        <v>366</v>
      </c>
      <c r="G102" s="94" t="s">
        <v>219</v>
      </c>
      <c r="H102" s="94" t="s">
        <v>11</v>
      </c>
      <c r="I102" s="94" t="s">
        <v>189</v>
      </c>
      <c r="J102" s="95" t="s">
        <v>220</v>
      </c>
      <c r="K102" s="96">
        <v>49.59</v>
      </c>
      <c r="L102" s="96">
        <f>K102*VLOOKUP(H102,dagsoorttabel1,2,FALSE)</f>
        <v>38.146153846153851</v>
      </c>
      <c r="M102" s="97">
        <f>prodnorm17</f>
        <v>0</v>
      </c>
      <c r="N102" s="94" t="s">
        <v>103</v>
      </c>
      <c r="O102" s="26">
        <f>uurtarief17</f>
        <v>0</v>
      </c>
      <c r="P102" s="96" t="e">
        <f>IF(ISBLANK(M102),0,L102/ROUND(M102,4))</f>
        <v>#DIV/0!</v>
      </c>
      <c r="Q102" s="26" t="e">
        <f>ROUND(O102,2)*P102</f>
        <v>#DIV/0!</v>
      </c>
      <c r="R102" s="96" t="e">
        <f>P102*dagenperjaar1</f>
        <v>#DIV/0!</v>
      </c>
      <c r="S102" s="27" t="e">
        <f>R102*ROUND(O102,2)</f>
        <v>#DIV/0!</v>
      </c>
    </row>
    <row r="103" spans="1:19" ht="30" x14ac:dyDescent="0.25">
      <c r="A103" s="93" t="s">
        <v>239</v>
      </c>
      <c r="B103" s="94" t="s">
        <v>367</v>
      </c>
      <c r="C103" s="94" t="s">
        <v>241</v>
      </c>
      <c r="D103" s="94" t="s">
        <v>380</v>
      </c>
      <c r="E103" s="95" t="s">
        <v>243</v>
      </c>
      <c r="F103" s="94" t="s">
        <v>381</v>
      </c>
      <c r="G103" s="94" t="s">
        <v>225</v>
      </c>
      <c r="H103" s="94" t="s">
        <v>11</v>
      </c>
      <c r="I103" s="94" t="s">
        <v>189</v>
      </c>
      <c r="J103" s="95" t="s">
        <v>226</v>
      </c>
      <c r="K103" s="96">
        <v>16.59</v>
      </c>
      <c r="L103" s="96">
        <f>K103*VLOOKUP(H103,dagsoorttabel1,2,FALSE)</f>
        <v>12.761538461538462</v>
      </c>
      <c r="M103" s="97">
        <f>prodnorm20</f>
        <v>0</v>
      </c>
      <c r="N103" s="94" t="s">
        <v>103</v>
      </c>
      <c r="O103" s="26">
        <f>uurtarief20</f>
        <v>0</v>
      </c>
      <c r="P103" s="96" t="e">
        <f>IF(ISBLANK(M103),0,L103/ROUND(M103,4))</f>
        <v>#DIV/0!</v>
      </c>
      <c r="Q103" s="26" t="e">
        <f>ROUND(O103,2)*P103</f>
        <v>#DIV/0!</v>
      </c>
      <c r="R103" s="96" t="e">
        <f>P103*dagenperjaar1</f>
        <v>#DIV/0!</v>
      </c>
      <c r="S103" s="27" t="e">
        <f>R103*ROUND(O103,2)</f>
        <v>#DIV/0!</v>
      </c>
    </row>
    <row r="104" spans="1:19" x14ac:dyDescent="0.25">
      <c r="A104" s="93" t="s">
        <v>239</v>
      </c>
      <c r="B104" s="94" t="s">
        <v>367</v>
      </c>
      <c r="C104" s="94" t="s">
        <v>241</v>
      </c>
      <c r="D104" s="94" t="s">
        <v>382</v>
      </c>
      <c r="E104" s="95" t="s">
        <v>268</v>
      </c>
      <c r="F104" s="94" t="s">
        <v>269</v>
      </c>
      <c r="G104" s="94" t="s">
        <v>201</v>
      </c>
      <c r="H104" s="94" t="s">
        <v>11</v>
      </c>
      <c r="I104" s="94" t="s">
        <v>189</v>
      </c>
      <c r="J104" s="95" t="s">
        <v>202</v>
      </c>
      <c r="K104" s="96">
        <v>8.3000000000000007</v>
      </c>
      <c r="L104" s="96">
        <f>K104*VLOOKUP(H104,dagsoorttabel1,2,FALSE)</f>
        <v>6.3846153846153859</v>
      </c>
      <c r="M104" s="97">
        <f>prodnorm8</f>
        <v>0</v>
      </c>
      <c r="N104" s="94" t="s">
        <v>103</v>
      </c>
      <c r="O104" s="26">
        <f>uurtarief8</f>
        <v>0</v>
      </c>
      <c r="P104" s="96" t="e">
        <f>IF(ISBLANK(M104),0,L104/ROUND(M104,4))</f>
        <v>#DIV/0!</v>
      </c>
      <c r="Q104" s="26" t="e">
        <f>ROUND(O104,2)*P104</f>
        <v>#DIV/0!</v>
      </c>
      <c r="R104" s="96" t="e">
        <f>P104*dagenperjaar1</f>
        <v>#DIV/0!</v>
      </c>
      <c r="S104" s="27" t="e">
        <f>R104*ROUND(O104,2)</f>
        <v>#DIV/0!</v>
      </c>
    </row>
    <row r="105" spans="1:19" x14ac:dyDescent="0.25">
      <c r="A105" s="93" t="s">
        <v>239</v>
      </c>
      <c r="B105" s="94" t="s">
        <v>367</v>
      </c>
      <c r="C105" s="94" t="s">
        <v>241</v>
      </c>
      <c r="D105" s="94" t="s">
        <v>383</v>
      </c>
      <c r="E105" s="95" t="s">
        <v>247</v>
      </c>
      <c r="F105" s="94" t="s">
        <v>384</v>
      </c>
      <c r="G105" s="94" t="s">
        <v>248</v>
      </c>
      <c r="H105" s="94"/>
      <c r="I105" s="94"/>
      <c r="J105" s="94"/>
      <c r="K105" s="96">
        <v>4.79</v>
      </c>
      <c r="L105" s="96"/>
      <c r="M105" s="97"/>
      <c r="N105" s="94"/>
      <c r="O105" s="26"/>
      <c r="P105" s="96"/>
      <c r="Q105" s="26"/>
      <c r="R105" s="98"/>
      <c r="S105" s="27"/>
    </row>
    <row r="106" spans="1:19" ht="30" x14ac:dyDescent="0.25">
      <c r="A106" s="93" t="s">
        <v>239</v>
      </c>
      <c r="B106" s="94" t="s">
        <v>367</v>
      </c>
      <c r="C106" s="94" t="s">
        <v>241</v>
      </c>
      <c r="D106" s="94" t="s">
        <v>385</v>
      </c>
      <c r="E106" s="95" t="s">
        <v>265</v>
      </c>
      <c r="F106" s="94" t="s">
        <v>381</v>
      </c>
      <c r="G106" s="94" t="s">
        <v>225</v>
      </c>
      <c r="H106" s="94" t="s">
        <v>11</v>
      </c>
      <c r="I106" s="94" t="s">
        <v>189</v>
      </c>
      <c r="J106" s="95" t="s">
        <v>226</v>
      </c>
      <c r="K106" s="96">
        <v>10.3</v>
      </c>
      <c r="L106" s="96">
        <f>K106*VLOOKUP(H106,dagsoorttabel1,2,FALSE)</f>
        <v>7.9230769230769242</v>
      </c>
      <c r="M106" s="97">
        <f>prodnorm20</f>
        <v>0</v>
      </c>
      <c r="N106" s="94" t="s">
        <v>103</v>
      </c>
      <c r="O106" s="26">
        <f>uurtarief20</f>
        <v>0</v>
      </c>
      <c r="P106" s="96" t="e">
        <f>IF(ISBLANK(M106),0,L106/ROUND(M106,4))</f>
        <v>#DIV/0!</v>
      </c>
      <c r="Q106" s="26" t="e">
        <f>ROUND(O106,2)*P106</f>
        <v>#DIV/0!</v>
      </c>
      <c r="R106" s="96" t="e">
        <f>P106*dagenperjaar1</f>
        <v>#DIV/0!</v>
      </c>
      <c r="S106" s="27" t="e">
        <f>R106*ROUND(O106,2)</f>
        <v>#DIV/0!</v>
      </c>
    </row>
    <row r="107" spans="1:19" x14ac:dyDescent="0.25">
      <c r="A107" s="93" t="s">
        <v>239</v>
      </c>
      <c r="B107" s="94" t="s">
        <v>367</v>
      </c>
      <c r="C107" s="94" t="s">
        <v>241</v>
      </c>
      <c r="D107" s="94" t="s">
        <v>386</v>
      </c>
      <c r="E107" s="95" t="s">
        <v>387</v>
      </c>
      <c r="F107" s="94" t="s">
        <v>269</v>
      </c>
      <c r="G107" s="94" t="s">
        <v>201</v>
      </c>
      <c r="H107" s="94" t="s">
        <v>11</v>
      </c>
      <c r="I107" s="94" t="s">
        <v>189</v>
      </c>
      <c r="J107" s="95" t="s">
        <v>202</v>
      </c>
      <c r="K107" s="96">
        <v>7.18</v>
      </c>
      <c r="L107" s="96">
        <f>K107*VLOOKUP(H107,dagsoorttabel1,2,FALSE)</f>
        <v>5.523076923076923</v>
      </c>
      <c r="M107" s="97">
        <f>prodnorm8</f>
        <v>0</v>
      </c>
      <c r="N107" s="94" t="s">
        <v>103</v>
      </c>
      <c r="O107" s="26">
        <f>uurtarief8</f>
        <v>0</v>
      </c>
      <c r="P107" s="96" t="e">
        <f>IF(ISBLANK(M107),0,L107/ROUND(M107,4))</f>
        <v>#DIV/0!</v>
      </c>
      <c r="Q107" s="26" t="e">
        <f>ROUND(O107,2)*P107</f>
        <v>#DIV/0!</v>
      </c>
      <c r="R107" s="96" t="e">
        <f>P107*dagenperjaar1</f>
        <v>#DIV/0!</v>
      </c>
      <c r="S107" s="27" t="e">
        <f>R107*ROUND(O107,2)</f>
        <v>#DIV/0!</v>
      </c>
    </row>
    <row r="108" spans="1:19" x14ac:dyDescent="0.25">
      <c r="A108" s="93" t="s">
        <v>239</v>
      </c>
      <c r="B108" s="94" t="s">
        <v>367</v>
      </c>
      <c r="C108" s="94" t="s">
        <v>241</v>
      </c>
      <c r="D108" s="94" t="s">
        <v>388</v>
      </c>
      <c r="E108" s="95" t="s">
        <v>247</v>
      </c>
      <c r="F108" s="94" t="s">
        <v>381</v>
      </c>
      <c r="G108" s="94" t="s">
        <v>248</v>
      </c>
      <c r="H108" s="94"/>
      <c r="I108" s="94"/>
      <c r="J108" s="94"/>
      <c r="K108" s="96">
        <v>2.8299999999999996</v>
      </c>
      <c r="L108" s="96"/>
      <c r="M108" s="97"/>
      <c r="N108" s="94"/>
      <c r="O108" s="26"/>
      <c r="P108" s="96"/>
      <c r="Q108" s="26"/>
      <c r="R108" s="98"/>
      <c r="S108" s="27"/>
    </row>
    <row r="109" spans="1:19" ht="30" x14ac:dyDescent="0.25">
      <c r="A109" s="93" t="s">
        <v>239</v>
      </c>
      <c r="B109" s="94" t="s">
        <v>367</v>
      </c>
      <c r="C109" s="94" t="s">
        <v>241</v>
      </c>
      <c r="D109" s="94" t="s">
        <v>389</v>
      </c>
      <c r="E109" s="95" t="s">
        <v>243</v>
      </c>
      <c r="F109" s="94" t="s">
        <v>384</v>
      </c>
      <c r="G109" s="94" t="s">
        <v>225</v>
      </c>
      <c r="H109" s="94" t="s">
        <v>11</v>
      </c>
      <c r="I109" s="94" t="s">
        <v>189</v>
      </c>
      <c r="J109" s="95" t="s">
        <v>226</v>
      </c>
      <c r="K109" s="96">
        <v>19</v>
      </c>
      <c r="L109" s="96">
        <f>K109*VLOOKUP(H109,dagsoorttabel1,2,FALSE)</f>
        <v>14.615384615384617</v>
      </c>
      <c r="M109" s="97">
        <f>prodnorm20</f>
        <v>0</v>
      </c>
      <c r="N109" s="94" t="s">
        <v>103</v>
      </c>
      <c r="O109" s="26">
        <f>uurtarief20</f>
        <v>0</v>
      </c>
      <c r="P109" s="96" t="e">
        <f>IF(ISBLANK(M109),0,L109/ROUND(M109,4))</f>
        <v>#DIV/0!</v>
      </c>
      <c r="Q109" s="26" t="e">
        <f>ROUND(O109,2)*P109</f>
        <v>#DIV/0!</v>
      </c>
      <c r="R109" s="96" t="e">
        <f>P109*dagenperjaar1</f>
        <v>#DIV/0!</v>
      </c>
      <c r="S109" s="27" t="e">
        <f>R109*ROUND(O109,2)</f>
        <v>#DIV/0!</v>
      </c>
    </row>
    <row r="110" spans="1:19" ht="30" x14ac:dyDescent="0.25">
      <c r="A110" s="93" t="s">
        <v>239</v>
      </c>
      <c r="B110" s="94" t="s">
        <v>367</v>
      </c>
      <c r="C110" s="94" t="s">
        <v>241</v>
      </c>
      <c r="D110" s="94" t="s">
        <v>390</v>
      </c>
      <c r="E110" s="95" t="s">
        <v>391</v>
      </c>
      <c r="F110" s="94" t="s">
        <v>392</v>
      </c>
      <c r="G110" s="94" t="s">
        <v>225</v>
      </c>
      <c r="H110" s="94" t="s">
        <v>11</v>
      </c>
      <c r="I110" s="94" t="s">
        <v>189</v>
      </c>
      <c r="J110" s="95" t="s">
        <v>226</v>
      </c>
      <c r="K110" s="96">
        <v>40</v>
      </c>
      <c r="L110" s="96">
        <f>K110*VLOOKUP(H110,dagsoorttabel1,2,FALSE)</f>
        <v>30.76923076923077</v>
      </c>
      <c r="M110" s="97">
        <f>prodnorm20</f>
        <v>0</v>
      </c>
      <c r="N110" s="94" t="s">
        <v>103</v>
      </c>
      <c r="O110" s="26">
        <f>uurtarief20</f>
        <v>0</v>
      </c>
      <c r="P110" s="96" t="e">
        <f>IF(ISBLANK(M110),0,L110/ROUND(M110,4))</f>
        <v>#DIV/0!</v>
      </c>
      <c r="Q110" s="26" t="e">
        <f>ROUND(O110,2)*P110</f>
        <v>#DIV/0!</v>
      </c>
      <c r="R110" s="96" t="e">
        <f>P110*dagenperjaar1</f>
        <v>#DIV/0!</v>
      </c>
      <c r="S110" s="27" t="e">
        <f>R110*ROUND(O110,2)</f>
        <v>#DIV/0!</v>
      </c>
    </row>
    <row r="111" spans="1:19" x14ac:dyDescent="0.25">
      <c r="A111" s="93" t="s">
        <v>239</v>
      </c>
      <c r="B111" s="94" t="s">
        <v>367</v>
      </c>
      <c r="C111" s="94" t="s">
        <v>241</v>
      </c>
      <c r="D111" s="94" t="s">
        <v>393</v>
      </c>
      <c r="E111" s="95" t="s">
        <v>265</v>
      </c>
      <c r="F111" s="94" t="s">
        <v>392</v>
      </c>
      <c r="G111" s="94" t="s">
        <v>223</v>
      </c>
      <c r="H111" s="94" t="s">
        <v>11</v>
      </c>
      <c r="I111" s="94" t="s">
        <v>189</v>
      </c>
      <c r="J111" s="95" t="s">
        <v>224</v>
      </c>
      <c r="K111" s="96">
        <v>12</v>
      </c>
      <c r="L111" s="96">
        <f>K111*VLOOKUP(H111,dagsoorttabel1,2,FALSE)</f>
        <v>9.2307692307692317</v>
      </c>
      <c r="M111" s="97">
        <f>prodnorm19</f>
        <v>0</v>
      </c>
      <c r="N111" s="94" t="s">
        <v>103</v>
      </c>
      <c r="O111" s="26">
        <f>uurtarief19</f>
        <v>0</v>
      </c>
      <c r="P111" s="96" t="e">
        <f>IF(ISBLANK(M111),0,L111/ROUND(M111,4))</f>
        <v>#DIV/0!</v>
      </c>
      <c r="Q111" s="26" t="e">
        <f>ROUND(O111,2)*P111</f>
        <v>#DIV/0!</v>
      </c>
      <c r="R111" s="96" t="e">
        <f>P111*dagenperjaar1</f>
        <v>#DIV/0!</v>
      </c>
      <c r="S111" s="27" t="e">
        <f>R111*ROUND(O111,2)</f>
        <v>#DIV/0!</v>
      </c>
    </row>
    <row r="112" spans="1:19" x14ac:dyDescent="0.25">
      <c r="A112" s="93" t="s">
        <v>239</v>
      </c>
      <c r="B112" s="94" t="s">
        <v>367</v>
      </c>
      <c r="C112" s="94" t="s">
        <v>241</v>
      </c>
      <c r="D112" s="94" t="s">
        <v>394</v>
      </c>
      <c r="E112" s="95" t="s">
        <v>268</v>
      </c>
      <c r="F112" s="94" t="s">
        <v>269</v>
      </c>
      <c r="G112" s="94" t="s">
        <v>201</v>
      </c>
      <c r="H112" s="94" t="s">
        <v>11</v>
      </c>
      <c r="I112" s="94" t="s">
        <v>189</v>
      </c>
      <c r="J112" s="95" t="s">
        <v>202</v>
      </c>
      <c r="K112" s="96">
        <v>8.75</v>
      </c>
      <c r="L112" s="96">
        <f>K112*VLOOKUP(H112,dagsoorttabel1,2,FALSE)</f>
        <v>6.7307692307692308</v>
      </c>
      <c r="M112" s="97">
        <f>prodnorm8</f>
        <v>0</v>
      </c>
      <c r="N112" s="94" t="s">
        <v>103</v>
      </c>
      <c r="O112" s="26">
        <f>uurtarief8</f>
        <v>0</v>
      </c>
      <c r="P112" s="96" t="e">
        <f>IF(ISBLANK(M112),0,L112/ROUND(M112,4))</f>
        <v>#DIV/0!</v>
      </c>
      <c r="Q112" s="26" t="e">
        <f>ROUND(O112,2)*P112</f>
        <v>#DIV/0!</v>
      </c>
      <c r="R112" s="96" t="e">
        <f>P112*dagenperjaar1</f>
        <v>#DIV/0!</v>
      </c>
      <c r="S112" s="27" t="e">
        <f>R112*ROUND(O112,2)</f>
        <v>#DIV/0!</v>
      </c>
    </row>
    <row r="113" spans="1:19" ht="30" x14ac:dyDescent="0.25">
      <c r="A113" s="93" t="s">
        <v>239</v>
      </c>
      <c r="B113" s="94" t="s">
        <v>367</v>
      </c>
      <c r="C113" s="94" t="s">
        <v>241</v>
      </c>
      <c r="D113" s="94" t="s">
        <v>395</v>
      </c>
      <c r="E113" s="95" t="s">
        <v>274</v>
      </c>
      <c r="F113" s="94" t="s">
        <v>384</v>
      </c>
      <c r="G113" s="94" t="s">
        <v>193</v>
      </c>
      <c r="H113" s="94" t="s">
        <v>11</v>
      </c>
      <c r="I113" s="94" t="s">
        <v>189</v>
      </c>
      <c r="J113" s="95" t="s">
        <v>194</v>
      </c>
      <c r="K113" s="96">
        <v>17.259999999999998</v>
      </c>
      <c r="L113" s="96">
        <f>K113*VLOOKUP(H113,dagsoorttabel1,2,FALSE)</f>
        <v>13.276923076923076</v>
      </c>
      <c r="M113" s="97">
        <f>prodnorm4</f>
        <v>0</v>
      </c>
      <c r="N113" s="94" t="s">
        <v>103</v>
      </c>
      <c r="O113" s="26">
        <f>uurtarief4</f>
        <v>0</v>
      </c>
      <c r="P113" s="96" t="e">
        <f>IF(ISBLANK(M113),0,L113/ROUND(M113,4))</f>
        <v>#DIV/0!</v>
      </c>
      <c r="Q113" s="26" t="e">
        <f>ROUND(O113,2)*P113</f>
        <v>#DIV/0!</v>
      </c>
      <c r="R113" s="96" t="e">
        <f>P113*dagenperjaar1</f>
        <v>#DIV/0!</v>
      </c>
      <c r="S113" s="27" t="e">
        <f>R113*ROUND(O113,2)</f>
        <v>#DIV/0!</v>
      </c>
    </row>
    <row r="114" spans="1:19" ht="30" x14ac:dyDescent="0.25">
      <c r="A114" s="93" t="s">
        <v>239</v>
      </c>
      <c r="B114" s="94" t="s">
        <v>367</v>
      </c>
      <c r="C114" s="94" t="s">
        <v>241</v>
      </c>
      <c r="D114" s="94" t="s">
        <v>396</v>
      </c>
      <c r="E114" s="95" t="s">
        <v>377</v>
      </c>
      <c r="F114" s="94" t="s">
        <v>244</v>
      </c>
      <c r="G114" s="94" t="s">
        <v>191</v>
      </c>
      <c r="H114" s="94" t="s">
        <v>11</v>
      </c>
      <c r="I114" s="94" t="s">
        <v>189</v>
      </c>
      <c r="J114" s="95" t="s">
        <v>192</v>
      </c>
      <c r="K114" s="96">
        <v>22.6</v>
      </c>
      <c r="L114" s="96">
        <f>K114*VLOOKUP(H114,dagsoorttabel1,2,FALSE)</f>
        <v>17.384615384615387</v>
      </c>
      <c r="M114" s="97">
        <f>prodnorm3</f>
        <v>0</v>
      </c>
      <c r="N114" s="94" t="s">
        <v>103</v>
      </c>
      <c r="O114" s="26">
        <f>uurtarief3</f>
        <v>0</v>
      </c>
      <c r="P114" s="96" t="e">
        <f>IF(ISBLANK(M114),0,L114/ROUND(M114,4))</f>
        <v>#DIV/0!</v>
      </c>
      <c r="Q114" s="26" t="e">
        <f>ROUND(O114,2)*P114</f>
        <v>#DIV/0!</v>
      </c>
      <c r="R114" s="96" t="e">
        <f>P114*dagenperjaar1</f>
        <v>#DIV/0!</v>
      </c>
      <c r="S114" s="27" t="e">
        <f>R114*ROUND(O114,2)</f>
        <v>#DIV/0!</v>
      </c>
    </row>
    <row r="115" spans="1:19" ht="30" x14ac:dyDescent="0.25">
      <c r="A115" s="93" t="s">
        <v>239</v>
      </c>
      <c r="B115" s="94" t="s">
        <v>367</v>
      </c>
      <c r="C115" s="94" t="s">
        <v>241</v>
      </c>
      <c r="D115" s="94" t="s">
        <v>397</v>
      </c>
      <c r="E115" s="95" t="s">
        <v>274</v>
      </c>
      <c r="F115" s="94" t="s">
        <v>244</v>
      </c>
      <c r="G115" s="94" t="s">
        <v>191</v>
      </c>
      <c r="H115" s="94" t="s">
        <v>11</v>
      </c>
      <c r="I115" s="94" t="s">
        <v>189</v>
      </c>
      <c r="J115" s="95" t="s">
        <v>192</v>
      </c>
      <c r="K115" s="96">
        <v>14.9</v>
      </c>
      <c r="L115" s="96">
        <f>K115*VLOOKUP(H115,dagsoorttabel1,2,FALSE)</f>
        <v>11.461538461538462</v>
      </c>
      <c r="M115" s="97">
        <f>prodnorm3</f>
        <v>0</v>
      </c>
      <c r="N115" s="94" t="s">
        <v>103</v>
      </c>
      <c r="O115" s="26">
        <f>uurtarief3</f>
        <v>0</v>
      </c>
      <c r="P115" s="96" t="e">
        <f>IF(ISBLANK(M115),0,L115/ROUND(M115,4))</f>
        <v>#DIV/0!</v>
      </c>
      <c r="Q115" s="26" t="e">
        <f>ROUND(O115,2)*P115</f>
        <v>#DIV/0!</v>
      </c>
      <c r="R115" s="96" t="e">
        <f>P115*dagenperjaar1</f>
        <v>#DIV/0!</v>
      </c>
      <c r="S115" s="27" t="e">
        <f>R115*ROUND(O115,2)</f>
        <v>#DIV/0!</v>
      </c>
    </row>
    <row r="116" spans="1:19" x14ac:dyDescent="0.25">
      <c r="A116" s="93" t="s">
        <v>239</v>
      </c>
      <c r="B116" s="94" t="s">
        <v>367</v>
      </c>
      <c r="C116" s="94" t="s">
        <v>241</v>
      </c>
      <c r="D116" s="94" t="s">
        <v>398</v>
      </c>
      <c r="E116" s="95" t="s">
        <v>276</v>
      </c>
      <c r="F116" s="94" t="s">
        <v>244</v>
      </c>
      <c r="G116" s="94" t="s">
        <v>209</v>
      </c>
      <c r="H116" s="94" t="s">
        <v>11</v>
      </c>
      <c r="I116" s="94" t="s">
        <v>189</v>
      </c>
      <c r="J116" s="95" t="s">
        <v>210</v>
      </c>
      <c r="K116" s="96">
        <v>78.910000000000011</v>
      </c>
      <c r="L116" s="96">
        <f>K116*VLOOKUP(H116,dagsoorttabel1,2,FALSE)</f>
        <v>60.70000000000001</v>
      </c>
      <c r="M116" s="97">
        <f>prodnorm12</f>
        <v>0</v>
      </c>
      <c r="N116" s="94" t="s">
        <v>103</v>
      </c>
      <c r="O116" s="26">
        <f>uurtarief12</f>
        <v>0</v>
      </c>
      <c r="P116" s="96" t="e">
        <f>IF(ISBLANK(M116),0,L116/ROUND(M116,4))</f>
        <v>#DIV/0!</v>
      </c>
      <c r="Q116" s="26" t="e">
        <f>ROUND(O116,2)*P116</f>
        <v>#DIV/0!</v>
      </c>
      <c r="R116" s="96" t="e">
        <f>P116*dagenperjaar1</f>
        <v>#DIV/0!</v>
      </c>
      <c r="S116" s="27" t="e">
        <f>R116*ROUND(O116,2)</f>
        <v>#DIV/0!</v>
      </c>
    </row>
    <row r="117" spans="1:19" x14ac:dyDescent="0.25">
      <c r="A117" s="93" t="s">
        <v>239</v>
      </c>
      <c r="B117" s="94" t="s">
        <v>367</v>
      </c>
      <c r="C117" s="94" t="s">
        <v>241</v>
      </c>
      <c r="D117" s="94" t="s">
        <v>399</v>
      </c>
      <c r="E117" s="95" t="s">
        <v>400</v>
      </c>
      <c r="F117" s="94" t="s">
        <v>244</v>
      </c>
      <c r="G117" s="94" t="s">
        <v>209</v>
      </c>
      <c r="H117" s="94" t="s">
        <v>11</v>
      </c>
      <c r="I117" s="94" t="s">
        <v>189</v>
      </c>
      <c r="J117" s="95" t="s">
        <v>210</v>
      </c>
      <c r="K117" s="96">
        <v>47.160000000000004</v>
      </c>
      <c r="L117" s="96">
        <f>K117*VLOOKUP(H117,dagsoorttabel1,2,FALSE)</f>
        <v>36.276923076923083</v>
      </c>
      <c r="M117" s="97">
        <f>prodnorm12</f>
        <v>0</v>
      </c>
      <c r="N117" s="94" t="s">
        <v>103</v>
      </c>
      <c r="O117" s="26">
        <f>uurtarief12</f>
        <v>0</v>
      </c>
      <c r="P117" s="96" t="e">
        <f>IF(ISBLANK(M117),0,L117/ROUND(M117,4))</f>
        <v>#DIV/0!</v>
      </c>
      <c r="Q117" s="26" t="e">
        <f>ROUND(O117,2)*P117</f>
        <v>#DIV/0!</v>
      </c>
      <c r="R117" s="96" t="e">
        <f>P117*dagenperjaar1</f>
        <v>#DIV/0!</v>
      </c>
      <c r="S117" s="27" t="e">
        <f>R117*ROUND(O117,2)</f>
        <v>#DIV/0!</v>
      </c>
    </row>
    <row r="118" spans="1:19" x14ac:dyDescent="0.25">
      <c r="A118" s="93" t="s">
        <v>239</v>
      </c>
      <c r="B118" s="94" t="s">
        <v>367</v>
      </c>
      <c r="C118" s="94" t="s">
        <v>241</v>
      </c>
      <c r="D118" s="94" t="s">
        <v>401</v>
      </c>
      <c r="E118" s="95" t="s">
        <v>379</v>
      </c>
      <c r="F118" s="94" t="s">
        <v>244</v>
      </c>
      <c r="G118" s="94" t="s">
        <v>219</v>
      </c>
      <c r="H118" s="94" t="s">
        <v>11</v>
      </c>
      <c r="I118" s="94" t="s">
        <v>189</v>
      </c>
      <c r="J118" s="95" t="s">
        <v>220</v>
      </c>
      <c r="K118" s="96">
        <v>48.6</v>
      </c>
      <c r="L118" s="96">
        <f>K118*VLOOKUP(H118,dagsoorttabel1,2,FALSE)</f>
        <v>37.384615384615387</v>
      </c>
      <c r="M118" s="97">
        <f>prodnorm17</f>
        <v>0</v>
      </c>
      <c r="N118" s="94" t="s">
        <v>103</v>
      </c>
      <c r="O118" s="26">
        <f>uurtarief17</f>
        <v>0</v>
      </c>
      <c r="P118" s="96" t="e">
        <f>IF(ISBLANK(M118),0,L118/ROUND(M118,4))</f>
        <v>#DIV/0!</v>
      </c>
      <c r="Q118" s="26" t="e">
        <f>ROUND(O118,2)*P118</f>
        <v>#DIV/0!</v>
      </c>
      <c r="R118" s="96" t="e">
        <f>P118*dagenperjaar1</f>
        <v>#DIV/0!</v>
      </c>
      <c r="S118" s="27" t="e">
        <f>R118*ROUND(O118,2)</f>
        <v>#DIV/0!</v>
      </c>
    </row>
    <row r="119" spans="1:19" ht="30" x14ac:dyDescent="0.25">
      <c r="A119" s="93" t="s">
        <v>239</v>
      </c>
      <c r="B119" s="94" t="s">
        <v>367</v>
      </c>
      <c r="C119" s="94" t="s">
        <v>285</v>
      </c>
      <c r="D119" s="94" t="s">
        <v>402</v>
      </c>
      <c r="E119" s="95" t="s">
        <v>243</v>
      </c>
      <c r="F119" s="94" t="s">
        <v>381</v>
      </c>
      <c r="G119" s="94" t="s">
        <v>191</v>
      </c>
      <c r="H119" s="94" t="s">
        <v>11</v>
      </c>
      <c r="I119" s="94" t="s">
        <v>189</v>
      </c>
      <c r="J119" s="95" t="s">
        <v>192</v>
      </c>
      <c r="K119" s="96">
        <v>6.4</v>
      </c>
      <c r="L119" s="96">
        <f>K119*VLOOKUP(H119,dagsoorttabel1,2,FALSE)</f>
        <v>4.9230769230769234</v>
      </c>
      <c r="M119" s="97">
        <f>prodnorm3</f>
        <v>0</v>
      </c>
      <c r="N119" s="94" t="s">
        <v>103</v>
      </c>
      <c r="O119" s="26">
        <f>uurtarief3</f>
        <v>0</v>
      </c>
      <c r="P119" s="96" t="e">
        <f>IF(ISBLANK(M119),0,L119/ROUND(M119,4))</f>
        <v>#DIV/0!</v>
      </c>
      <c r="Q119" s="26" t="e">
        <f>ROUND(O119,2)*P119</f>
        <v>#DIV/0!</v>
      </c>
      <c r="R119" s="96" t="e">
        <f>P119*dagenperjaar1</f>
        <v>#DIV/0!</v>
      </c>
      <c r="S119" s="27" t="e">
        <f>R119*ROUND(O119,2)</f>
        <v>#DIV/0!</v>
      </c>
    </row>
    <row r="120" spans="1:19" ht="30" x14ac:dyDescent="0.25">
      <c r="A120" s="93" t="s">
        <v>239</v>
      </c>
      <c r="B120" s="94" t="s">
        <v>367</v>
      </c>
      <c r="C120" s="94" t="s">
        <v>285</v>
      </c>
      <c r="D120" s="94" t="s">
        <v>403</v>
      </c>
      <c r="E120" s="95" t="s">
        <v>243</v>
      </c>
      <c r="F120" s="94" t="s">
        <v>244</v>
      </c>
      <c r="G120" s="94" t="s">
        <v>191</v>
      </c>
      <c r="H120" s="94" t="s">
        <v>11</v>
      </c>
      <c r="I120" s="94" t="s">
        <v>189</v>
      </c>
      <c r="J120" s="95" t="s">
        <v>192</v>
      </c>
      <c r="K120" s="96">
        <v>36.67</v>
      </c>
      <c r="L120" s="96">
        <f>K120*VLOOKUP(H120,dagsoorttabel1,2,FALSE)</f>
        <v>28.207692307692312</v>
      </c>
      <c r="M120" s="97">
        <f>prodnorm3</f>
        <v>0</v>
      </c>
      <c r="N120" s="94" t="s">
        <v>103</v>
      </c>
      <c r="O120" s="26">
        <f>uurtarief3</f>
        <v>0</v>
      </c>
      <c r="P120" s="96" t="e">
        <f>IF(ISBLANK(M120),0,L120/ROUND(M120,4))</f>
        <v>#DIV/0!</v>
      </c>
      <c r="Q120" s="26" t="e">
        <f>ROUND(O120,2)*P120</f>
        <v>#DIV/0!</v>
      </c>
      <c r="R120" s="96" t="e">
        <f>P120*dagenperjaar1</f>
        <v>#DIV/0!</v>
      </c>
      <c r="S120" s="27" t="e">
        <f>R120*ROUND(O120,2)</f>
        <v>#DIV/0!</v>
      </c>
    </row>
    <row r="121" spans="1:19" ht="30" x14ac:dyDescent="0.25">
      <c r="A121" s="93" t="s">
        <v>239</v>
      </c>
      <c r="B121" s="94" t="s">
        <v>367</v>
      </c>
      <c r="C121" s="94" t="s">
        <v>285</v>
      </c>
      <c r="D121" s="94" t="s">
        <v>404</v>
      </c>
      <c r="E121" s="95" t="s">
        <v>274</v>
      </c>
      <c r="F121" s="94" t="s">
        <v>244</v>
      </c>
      <c r="G121" s="94" t="s">
        <v>191</v>
      </c>
      <c r="H121" s="94" t="s">
        <v>11</v>
      </c>
      <c r="I121" s="94" t="s">
        <v>189</v>
      </c>
      <c r="J121" s="95" t="s">
        <v>192</v>
      </c>
      <c r="K121" s="96">
        <v>14.229999999999999</v>
      </c>
      <c r="L121" s="96">
        <f>K121*VLOOKUP(H121,dagsoorttabel1,2,FALSE)</f>
        <v>10.946153846153846</v>
      </c>
      <c r="M121" s="97">
        <f>prodnorm3</f>
        <v>0</v>
      </c>
      <c r="N121" s="94" t="s">
        <v>103</v>
      </c>
      <c r="O121" s="26">
        <f>uurtarief3</f>
        <v>0</v>
      </c>
      <c r="P121" s="96" t="e">
        <f>IF(ISBLANK(M121),0,L121/ROUND(M121,4))</f>
        <v>#DIV/0!</v>
      </c>
      <c r="Q121" s="26" t="e">
        <f>ROUND(O121,2)*P121</f>
        <v>#DIV/0!</v>
      </c>
      <c r="R121" s="96" t="e">
        <f>P121*dagenperjaar1</f>
        <v>#DIV/0!</v>
      </c>
      <c r="S121" s="27" t="e">
        <f>R121*ROUND(O121,2)</f>
        <v>#DIV/0!</v>
      </c>
    </row>
    <row r="122" spans="1:19" x14ac:dyDescent="0.25">
      <c r="A122" s="93" t="s">
        <v>239</v>
      </c>
      <c r="B122" s="94" t="s">
        <v>367</v>
      </c>
      <c r="C122" s="94" t="s">
        <v>285</v>
      </c>
      <c r="D122" s="94" t="s">
        <v>405</v>
      </c>
      <c r="E122" s="95" t="s">
        <v>326</v>
      </c>
      <c r="F122" s="94" t="s">
        <v>255</v>
      </c>
      <c r="G122" s="94" t="s">
        <v>248</v>
      </c>
      <c r="H122" s="94"/>
      <c r="I122" s="94"/>
      <c r="J122" s="94"/>
      <c r="K122" s="96">
        <v>5.94</v>
      </c>
      <c r="L122" s="96"/>
      <c r="M122" s="97"/>
      <c r="N122" s="94"/>
      <c r="O122" s="26"/>
      <c r="P122" s="96"/>
      <c r="Q122" s="26"/>
      <c r="R122" s="98"/>
      <c r="S122" s="27"/>
    </row>
    <row r="123" spans="1:19" ht="30" x14ac:dyDescent="0.25">
      <c r="A123" s="93" t="s">
        <v>239</v>
      </c>
      <c r="B123" s="94" t="s">
        <v>367</v>
      </c>
      <c r="C123" s="94" t="s">
        <v>285</v>
      </c>
      <c r="D123" s="94" t="s">
        <v>406</v>
      </c>
      <c r="E123" s="95" t="s">
        <v>407</v>
      </c>
      <c r="F123" s="94" t="s">
        <v>244</v>
      </c>
      <c r="G123" s="94" t="s">
        <v>225</v>
      </c>
      <c r="H123" s="94" t="s">
        <v>11</v>
      </c>
      <c r="I123" s="94" t="s">
        <v>189</v>
      </c>
      <c r="J123" s="95" t="s">
        <v>226</v>
      </c>
      <c r="K123" s="96">
        <v>7.31</v>
      </c>
      <c r="L123" s="96">
        <f>K123*VLOOKUP(H123,dagsoorttabel1,2,FALSE)</f>
        <v>5.6230769230769235</v>
      </c>
      <c r="M123" s="97">
        <f>prodnorm20</f>
        <v>0</v>
      </c>
      <c r="N123" s="94" t="s">
        <v>103</v>
      </c>
      <c r="O123" s="26">
        <f>uurtarief20</f>
        <v>0</v>
      </c>
      <c r="P123" s="96" t="e">
        <f>IF(ISBLANK(M123),0,L123/ROUND(M123,4))</f>
        <v>#DIV/0!</v>
      </c>
      <c r="Q123" s="26" t="e">
        <f>ROUND(O123,2)*P123</f>
        <v>#DIV/0!</v>
      </c>
      <c r="R123" s="96" t="e">
        <f>P123*dagenperjaar1</f>
        <v>#DIV/0!</v>
      </c>
      <c r="S123" s="27" t="e">
        <f>R123*ROUND(O123,2)</f>
        <v>#DIV/0!</v>
      </c>
    </row>
    <row r="124" spans="1:19" x14ac:dyDescent="0.25">
      <c r="A124" s="93" t="s">
        <v>239</v>
      </c>
      <c r="B124" s="94" t="s">
        <v>367</v>
      </c>
      <c r="C124" s="94" t="s">
        <v>285</v>
      </c>
      <c r="D124" s="94" t="s">
        <v>408</v>
      </c>
      <c r="E124" s="95" t="s">
        <v>276</v>
      </c>
      <c r="F124" s="94" t="s">
        <v>244</v>
      </c>
      <c r="G124" s="94" t="s">
        <v>209</v>
      </c>
      <c r="H124" s="94" t="s">
        <v>11</v>
      </c>
      <c r="I124" s="94" t="s">
        <v>189</v>
      </c>
      <c r="J124" s="95" t="s">
        <v>210</v>
      </c>
      <c r="K124" s="96">
        <v>54.790000000000006</v>
      </c>
      <c r="L124" s="96">
        <f>K124*VLOOKUP(H124,dagsoorttabel1,2,FALSE)</f>
        <v>42.146153846153851</v>
      </c>
      <c r="M124" s="97">
        <f>prodnorm12</f>
        <v>0</v>
      </c>
      <c r="N124" s="94" t="s">
        <v>103</v>
      </c>
      <c r="O124" s="26">
        <f>uurtarief12</f>
        <v>0</v>
      </c>
      <c r="P124" s="96" t="e">
        <f>IF(ISBLANK(M124),0,L124/ROUND(M124,4))</f>
        <v>#DIV/0!</v>
      </c>
      <c r="Q124" s="26" t="e">
        <f>ROUND(O124,2)*P124</f>
        <v>#DIV/0!</v>
      </c>
      <c r="R124" s="96" t="e">
        <f>P124*dagenperjaar1</f>
        <v>#DIV/0!</v>
      </c>
      <c r="S124" s="27" t="e">
        <f>R124*ROUND(O124,2)</f>
        <v>#DIV/0!</v>
      </c>
    </row>
    <row r="125" spans="1:19" x14ac:dyDescent="0.25">
      <c r="A125" s="93" t="s">
        <v>239</v>
      </c>
      <c r="B125" s="94" t="s">
        <v>367</v>
      </c>
      <c r="C125" s="94" t="s">
        <v>285</v>
      </c>
      <c r="D125" s="94" t="s">
        <v>409</v>
      </c>
      <c r="E125" s="95" t="s">
        <v>276</v>
      </c>
      <c r="F125" s="94" t="s">
        <v>244</v>
      </c>
      <c r="G125" s="94" t="s">
        <v>209</v>
      </c>
      <c r="H125" s="94" t="s">
        <v>11</v>
      </c>
      <c r="I125" s="94" t="s">
        <v>189</v>
      </c>
      <c r="J125" s="95" t="s">
        <v>210</v>
      </c>
      <c r="K125" s="96">
        <v>47.03</v>
      </c>
      <c r="L125" s="96">
        <f>K125*VLOOKUP(H125,dagsoorttabel1,2,FALSE)</f>
        <v>36.176923076923082</v>
      </c>
      <c r="M125" s="97">
        <f>prodnorm12</f>
        <v>0</v>
      </c>
      <c r="N125" s="94" t="s">
        <v>103</v>
      </c>
      <c r="O125" s="26">
        <f>uurtarief12</f>
        <v>0</v>
      </c>
      <c r="P125" s="96" t="e">
        <f>IF(ISBLANK(M125),0,L125/ROUND(M125,4))</f>
        <v>#DIV/0!</v>
      </c>
      <c r="Q125" s="26" t="e">
        <f>ROUND(O125,2)*P125</f>
        <v>#DIV/0!</v>
      </c>
      <c r="R125" s="96" t="e">
        <f>P125*dagenperjaar1</f>
        <v>#DIV/0!</v>
      </c>
      <c r="S125" s="27" t="e">
        <f>R125*ROUND(O125,2)</f>
        <v>#DIV/0!</v>
      </c>
    </row>
    <row r="126" spans="1:19" ht="30" x14ac:dyDescent="0.25">
      <c r="A126" s="93" t="s">
        <v>239</v>
      </c>
      <c r="B126" s="94" t="s">
        <v>367</v>
      </c>
      <c r="C126" s="94" t="s">
        <v>285</v>
      </c>
      <c r="D126" s="94" t="s">
        <v>410</v>
      </c>
      <c r="E126" s="95" t="s">
        <v>259</v>
      </c>
      <c r="F126" s="94" t="s">
        <v>244</v>
      </c>
      <c r="G126" s="94" t="s">
        <v>191</v>
      </c>
      <c r="H126" s="94" t="s">
        <v>11</v>
      </c>
      <c r="I126" s="94" t="s">
        <v>189</v>
      </c>
      <c r="J126" s="95" t="s">
        <v>192</v>
      </c>
      <c r="K126" s="96">
        <v>20.54</v>
      </c>
      <c r="L126" s="96">
        <f>K126*VLOOKUP(H126,dagsoorttabel1,2,FALSE)</f>
        <v>15.8</v>
      </c>
      <c r="M126" s="97">
        <f>prodnorm3</f>
        <v>0</v>
      </c>
      <c r="N126" s="94" t="s">
        <v>103</v>
      </c>
      <c r="O126" s="26">
        <f>uurtarief3</f>
        <v>0</v>
      </c>
      <c r="P126" s="96" t="e">
        <f>IF(ISBLANK(M126),0,L126/ROUND(M126,4))</f>
        <v>#DIV/0!</v>
      </c>
      <c r="Q126" s="26" t="e">
        <f>ROUND(O126,2)*P126</f>
        <v>#DIV/0!</v>
      </c>
      <c r="R126" s="96" t="e">
        <f>P126*dagenperjaar1</f>
        <v>#DIV/0!</v>
      </c>
      <c r="S126" s="27" t="e">
        <f>R126*ROUND(O126,2)</f>
        <v>#DIV/0!</v>
      </c>
    </row>
    <row r="127" spans="1:19" ht="30" x14ac:dyDescent="0.25">
      <c r="A127" s="93" t="s">
        <v>239</v>
      </c>
      <c r="B127" s="94" t="s">
        <v>367</v>
      </c>
      <c r="C127" s="94" t="s">
        <v>285</v>
      </c>
      <c r="D127" s="94" t="s">
        <v>411</v>
      </c>
      <c r="E127" s="95" t="s">
        <v>274</v>
      </c>
      <c r="F127" s="94" t="s">
        <v>244</v>
      </c>
      <c r="G127" s="94" t="s">
        <v>191</v>
      </c>
      <c r="H127" s="94" t="s">
        <v>11</v>
      </c>
      <c r="I127" s="94" t="s">
        <v>189</v>
      </c>
      <c r="J127" s="95" t="s">
        <v>192</v>
      </c>
      <c r="K127" s="96">
        <v>23.5</v>
      </c>
      <c r="L127" s="96">
        <f>K127*VLOOKUP(H127,dagsoorttabel1,2,FALSE)</f>
        <v>18.076923076923077</v>
      </c>
      <c r="M127" s="97">
        <f>prodnorm3</f>
        <v>0</v>
      </c>
      <c r="N127" s="94" t="s">
        <v>103</v>
      </c>
      <c r="O127" s="26">
        <f>uurtarief3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ht="30" x14ac:dyDescent="0.25">
      <c r="A128" s="93" t="s">
        <v>239</v>
      </c>
      <c r="B128" s="94" t="s">
        <v>367</v>
      </c>
      <c r="C128" s="94" t="s">
        <v>285</v>
      </c>
      <c r="D128" s="94" t="s">
        <v>412</v>
      </c>
      <c r="E128" s="95" t="s">
        <v>243</v>
      </c>
      <c r="F128" s="94" t="s">
        <v>244</v>
      </c>
      <c r="G128" s="94" t="s">
        <v>225</v>
      </c>
      <c r="H128" s="94" t="s">
        <v>11</v>
      </c>
      <c r="I128" s="94" t="s">
        <v>189</v>
      </c>
      <c r="J128" s="95" t="s">
        <v>226</v>
      </c>
      <c r="K128" s="96">
        <v>58.190000000000005</v>
      </c>
      <c r="L128" s="96">
        <f>K128*VLOOKUP(H128,dagsoorttabel1,2,FALSE)</f>
        <v>44.761538461538471</v>
      </c>
      <c r="M128" s="97">
        <f>prodnorm20</f>
        <v>0</v>
      </c>
      <c r="N128" s="94" t="s">
        <v>103</v>
      </c>
      <c r="O128" s="26">
        <f>uurtarief20</f>
        <v>0</v>
      </c>
      <c r="P128" s="96" t="e">
        <f>IF(ISBLANK(M128),0,L128/ROUND(M128,4))</f>
        <v>#DIV/0!</v>
      </c>
      <c r="Q128" s="26" t="e">
        <f>ROUND(O128,2)*P128</f>
        <v>#DIV/0!</v>
      </c>
      <c r="R128" s="96" t="e">
        <f>P128*dagenperjaar1</f>
        <v>#DIV/0!</v>
      </c>
      <c r="S128" s="27" t="e">
        <f>R128*ROUND(O128,2)</f>
        <v>#DIV/0!</v>
      </c>
    </row>
    <row r="129" spans="1:19" x14ac:dyDescent="0.25">
      <c r="A129" s="93" t="s">
        <v>239</v>
      </c>
      <c r="B129" s="94" t="s">
        <v>367</v>
      </c>
      <c r="C129" s="94" t="s">
        <v>285</v>
      </c>
      <c r="D129" s="94" t="s">
        <v>413</v>
      </c>
      <c r="E129" s="95" t="s">
        <v>261</v>
      </c>
      <c r="F129" s="94" t="s">
        <v>244</v>
      </c>
      <c r="G129" s="94" t="s">
        <v>248</v>
      </c>
      <c r="H129" s="94"/>
      <c r="I129" s="94"/>
      <c r="J129" s="94"/>
      <c r="K129" s="96">
        <v>10.47</v>
      </c>
      <c r="L129" s="96"/>
      <c r="M129" s="97"/>
      <c r="N129" s="94"/>
      <c r="O129" s="26"/>
      <c r="P129" s="96"/>
      <c r="Q129" s="26"/>
      <c r="R129" s="98"/>
      <c r="S129" s="27"/>
    </row>
    <row r="130" spans="1:19" x14ac:dyDescent="0.25">
      <c r="A130" s="93" t="s">
        <v>239</v>
      </c>
      <c r="B130" s="94" t="s">
        <v>367</v>
      </c>
      <c r="C130" s="94" t="s">
        <v>285</v>
      </c>
      <c r="D130" s="94" t="s">
        <v>414</v>
      </c>
      <c r="E130" s="95" t="s">
        <v>276</v>
      </c>
      <c r="F130" s="94" t="s">
        <v>244</v>
      </c>
      <c r="G130" s="94" t="s">
        <v>209</v>
      </c>
      <c r="H130" s="94" t="s">
        <v>11</v>
      </c>
      <c r="I130" s="94" t="s">
        <v>189</v>
      </c>
      <c r="J130" s="95" t="s">
        <v>210</v>
      </c>
      <c r="K130" s="96">
        <v>44.42</v>
      </c>
      <c r="L130" s="96">
        <f>K130*VLOOKUP(H130,dagsoorttabel1,2,FALSE)</f>
        <v>34.169230769230772</v>
      </c>
      <c r="M130" s="97">
        <f>prodnorm12</f>
        <v>0</v>
      </c>
      <c r="N130" s="94" t="s">
        <v>103</v>
      </c>
      <c r="O130" s="26">
        <f>uurtarief12</f>
        <v>0</v>
      </c>
      <c r="P130" s="96" t="e">
        <f>IF(ISBLANK(M130),0,L130/ROUND(M130,4))</f>
        <v>#DIV/0!</v>
      </c>
      <c r="Q130" s="26" t="e">
        <f>ROUND(O130,2)*P130</f>
        <v>#DIV/0!</v>
      </c>
      <c r="R130" s="96" t="e">
        <f>P130*dagenperjaar1</f>
        <v>#DIV/0!</v>
      </c>
      <c r="S130" s="27" t="e">
        <f>R130*ROUND(O130,2)</f>
        <v>#DIV/0!</v>
      </c>
    </row>
    <row r="131" spans="1:19" x14ac:dyDescent="0.25">
      <c r="A131" s="93" t="s">
        <v>239</v>
      </c>
      <c r="B131" s="94" t="s">
        <v>367</v>
      </c>
      <c r="C131" s="94" t="s">
        <v>285</v>
      </c>
      <c r="D131" s="94" t="s">
        <v>415</v>
      </c>
      <c r="E131" s="95" t="s">
        <v>247</v>
      </c>
      <c r="F131" s="94" t="s">
        <v>244</v>
      </c>
      <c r="G131" s="94" t="s">
        <v>248</v>
      </c>
      <c r="H131" s="94"/>
      <c r="I131" s="94"/>
      <c r="J131" s="94"/>
      <c r="K131" s="96">
        <v>5.3599999999999994</v>
      </c>
      <c r="L131" s="96"/>
      <c r="M131" s="97"/>
      <c r="N131" s="94"/>
      <c r="O131" s="26"/>
      <c r="P131" s="96"/>
      <c r="Q131" s="26"/>
      <c r="R131" s="98"/>
      <c r="S131" s="27"/>
    </row>
    <row r="132" spans="1:19" x14ac:dyDescent="0.25">
      <c r="A132" s="93" t="s">
        <v>239</v>
      </c>
      <c r="B132" s="94" t="s">
        <v>367</v>
      </c>
      <c r="C132" s="94" t="s">
        <v>285</v>
      </c>
      <c r="D132" s="94" t="s">
        <v>416</v>
      </c>
      <c r="E132" s="95" t="s">
        <v>252</v>
      </c>
      <c r="F132" s="94" t="s">
        <v>244</v>
      </c>
      <c r="G132" s="94" t="s">
        <v>248</v>
      </c>
      <c r="H132" s="94"/>
      <c r="I132" s="94"/>
      <c r="J132" s="94"/>
      <c r="K132" s="96">
        <v>25.979999999999997</v>
      </c>
      <c r="L132" s="96"/>
      <c r="M132" s="97"/>
      <c r="N132" s="94"/>
      <c r="O132" s="26"/>
      <c r="P132" s="96"/>
      <c r="Q132" s="26"/>
      <c r="R132" s="98"/>
      <c r="S132" s="27"/>
    </row>
    <row r="133" spans="1:19" x14ac:dyDescent="0.25">
      <c r="A133" s="93" t="s">
        <v>239</v>
      </c>
      <c r="B133" s="94" t="s">
        <v>367</v>
      </c>
      <c r="C133" s="94" t="s">
        <v>285</v>
      </c>
      <c r="D133" s="94" t="s">
        <v>417</v>
      </c>
      <c r="E133" s="95" t="s">
        <v>247</v>
      </c>
      <c r="F133" s="94" t="s">
        <v>244</v>
      </c>
      <c r="G133" s="94" t="s">
        <v>248</v>
      </c>
      <c r="H133" s="94"/>
      <c r="I133" s="94"/>
      <c r="J133" s="94"/>
      <c r="K133" s="96">
        <v>71.56</v>
      </c>
      <c r="L133" s="96"/>
      <c r="M133" s="97"/>
      <c r="N133" s="94"/>
      <c r="O133" s="26"/>
      <c r="P133" s="96"/>
      <c r="Q133" s="26"/>
      <c r="R133" s="98"/>
      <c r="S133" s="27"/>
    </row>
    <row r="134" spans="1:19" x14ac:dyDescent="0.25">
      <c r="A134" s="93" t="s">
        <v>239</v>
      </c>
      <c r="B134" s="94" t="s">
        <v>367</v>
      </c>
      <c r="C134" s="94" t="s">
        <v>285</v>
      </c>
      <c r="D134" s="94" t="s">
        <v>418</v>
      </c>
      <c r="E134" s="95" t="s">
        <v>252</v>
      </c>
      <c r="F134" s="94" t="s">
        <v>244</v>
      </c>
      <c r="G134" s="94" t="s">
        <v>248</v>
      </c>
      <c r="H134" s="94"/>
      <c r="I134" s="94"/>
      <c r="J134" s="94"/>
      <c r="K134" s="96">
        <v>22.35</v>
      </c>
      <c r="L134" s="96"/>
      <c r="M134" s="97"/>
      <c r="N134" s="94"/>
      <c r="O134" s="26"/>
      <c r="P134" s="96"/>
      <c r="Q134" s="26"/>
      <c r="R134" s="98"/>
      <c r="S134" s="27"/>
    </row>
    <row r="135" spans="1:19" x14ac:dyDescent="0.25">
      <c r="A135" s="93" t="s">
        <v>239</v>
      </c>
      <c r="B135" s="94" t="s">
        <v>419</v>
      </c>
      <c r="C135" s="94" t="s">
        <v>241</v>
      </c>
      <c r="D135" s="94" t="s">
        <v>420</v>
      </c>
      <c r="E135" s="95" t="s">
        <v>276</v>
      </c>
      <c r="F135" s="94" t="s">
        <v>244</v>
      </c>
      <c r="G135" s="94" t="s">
        <v>209</v>
      </c>
      <c r="H135" s="94" t="s">
        <v>11</v>
      </c>
      <c r="I135" s="94" t="s">
        <v>189</v>
      </c>
      <c r="J135" s="95" t="s">
        <v>210</v>
      </c>
      <c r="K135" s="96">
        <v>37</v>
      </c>
      <c r="L135" s="96">
        <f>K135*VLOOKUP(H135,dagsoorttabel1,2,FALSE)</f>
        <v>28.461538461538463</v>
      </c>
      <c r="M135" s="97">
        <f>prodnorm12</f>
        <v>0</v>
      </c>
      <c r="N135" s="94" t="s">
        <v>103</v>
      </c>
      <c r="O135" s="26">
        <f>uurtarief12</f>
        <v>0</v>
      </c>
      <c r="P135" s="96" t="e">
        <f>IF(ISBLANK(M135),0,L135/ROUND(M135,4))</f>
        <v>#DIV/0!</v>
      </c>
      <c r="Q135" s="26" t="e">
        <f>ROUND(O135,2)*P135</f>
        <v>#DIV/0!</v>
      </c>
      <c r="R135" s="96" t="e">
        <f>P135*dagenperjaar1</f>
        <v>#DIV/0!</v>
      </c>
      <c r="S135" s="27" t="e">
        <f>R135*ROUND(O135,2)</f>
        <v>#DIV/0!</v>
      </c>
    </row>
    <row r="136" spans="1:19" x14ac:dyDescent="0.25">
      <c r="A136" s="93" t="s">
        <v>239</v>
      </c>
      <c r="B136" s="94" t="s">
        <v>419</v>
      </c>
      <c r="C136" s="94" t="s">
        <v>241</v>
      </c>
      <c r="D136" s="94" t="s">
        <v>421</v>
      </c>
      <c r="E136" s="95" t="s">
        <v>276</v>
      </c>
      <c r="F136" s="94" t="s">
        <v>244</v>
      </c>
      <c r="G136" s="94" t="s">
        <v>209</v>
      </c>
      <c r="H136" s="94" t="s">
        <v>11</v>
      </c>
      <c r="I136" s="94" t="s">
        <v>189</v>
      </c>
      <c r="J136" s="95" t="s">
        <v>210</v>
      </c>
      <c r="K136" s="96">
        <v>57.08</v>
      </c>
      <c r="L136" s="96">
        <f>K136*VLOOKUP(H136,dagsoorttabel1,2,FALSE)</f>
        <v>43.907692307692308</v>
      </c>
      <c r="M136" s="97">
        <f>prodnorm12</f>
        <v>0</v>
      </c>
      <c r="N136" s="94" t="s">
        <v>103</v>
      </c>
      <c r="O136" s="26">
        <f>uurtarief12</f>
        <v>0</v>
      </c>
      <c r="P136" s="96" t="e">
        <f>IF(ISBLANK(M136),0,L136/ROUND(M136,4))</f>
        <v>#DIV/0!</v>
      </c>
      <c r="Q136" s="26" t="e">
        <f>ROUND(O136,2)*P136</f>
        <v>#DIV/0!</v>
      </c>
      <c r="R136" s="96" t="e">
        <f>P136*dagenperjaar1</f>
        <v>#DIV/0!</v>
      </c>
      <c r="S136" s="27" t="e">
        <f>R136*ROUND(O136,2)</f>
        <v>#DIV/0!</v>
      </c>
    </row>
    <row r="137" spans="1:19" x14ac:dyDescent="0.25">
      <c r="A137" s="93" t="s">
        <v>239</v>
      </c>
      <c r="B137" s="94" t="s">
        <v>419</v>
      </c>
      <c r="C137" s="94" t="s">
        <v>241</v>
      </c>
      <c r="D137" s="94" t="s">
        <v>422</v>
      </c>
      <c r="E137" s="95" t="s">
        <v>276</v>
      </c>
      <c r="F137" s="94" t="s">
        <v>244</v>
      </c>
      <c r="G137" s="94" t="s">
        <v>209</v>
      </c>
      <c r="H137" s="94" t="s">
        <v>11</v>
      </c>
      <c r="I137" s="94" t="s">
        <v>189</v>
      </c>
      <c r="J137" s="95" t="s">
        <v>210</v>
      </c>
      <c r="K137" s="96">
        <v>43</v>
      </c>
      <c r="L137" s="96">
        <f>K137*VLOOKUP(H137,dagsoorttabel1,2,FALSE)</f>
        <v>33.07692307692308</v>
      </c>
      <c r="M137" s="97">
        <f>prodnorm12</f>
        <v>0</v>
      </c>
      <c r="N137" s="94" t="s">
        <v>103</v>
      </c>
      <c r="O137" s="26">
        <f>uurtarief12</f>
        <v>0</v>
      </c>
      <c r="P137" s="96" t="e">
        <f>IF(ISBLANK(M137),0,L137/ROUND(M137,4))</f>
        <v>#DIV/0!</v>
      </c>
      <c r="Q137" s="26" t="e">
        <f>ROUND(O137,2)*P137</f>
        <v>#DIV/0!</v>
      </c>
      <c r="R137" s="96" t="e">
        <f>P137*dagenperjaar1</f>
        <v>#DIV/0!</v>
      </c>
      <c r="S137" s="27" t="e">
        <f>R137*ROUND(O137,2)</f>
        <v>#DIV/0!</v>
      </c>
    </row>
    <row r="138" spans="1:19" x14ac:dyDescent="0.25">
      <c r="A138" s="93" t="s">
        <v>239</v>
      </c>
      <c r="B138" s="94" t="s">
        <v>419</v>
      </c>
      <c r="C138" s="94" t="s">
        <v>241</v>
      </c>
      <c r="D138" s="94" t="s">
        <v>423</v>
      </c>
      <c r="E138" s="95" t="s">
        <v>276</v>
      </c>
      <c r="F138" s="94" t="s">
        <v>244</v>
      </c>
      <c r="G138" s="94" t="s">
        <v>209</v>
      </c>
      <c r="H138" s="94" t="s">
        <v>11</v>
      </c>
      <c r="I138" s="94" t="s">
        <v>189</v>
      </c>
      <c r="J138" s="95" t="s">
        <v>210</v>
      </c>
      <c r="K138" s="96">
        <v>43.05</v>
      </c>
      <c r="L138" s="96">
        <f>K138*VLOOKUP(H138,dagsoorttabel1,2,FALSE)</f>
        <v>33.115384615384613</v>
      </c>
      <c r="M138" s="97">
        <f>prodnorm12</f>
        <v>0</v>
      </c>
      <c r="N138" s="94" t="s">
        <v>103</v>
      </c>
      <c r="O138" s="26">
        <f>uurtarief12</f>
        <v>0</v>
      </c>
      <c r="P138" s="96" t="e">
        <f>IF(ISBLANK(M138),0,L138/ROUND(M138,4))</f>
        <v>#DIV/0!</v>
      </c>
      <c r="Q138" s="26" t="e">
        <f>ROUND(O138,2)*P138</f>
        <v>#DIV/0!</v>
      </c>
      <c r="R138" s="96" t="e">
        <f>P138*dagenperjaar1</f>
        <v>#DIV/0!</v>
      </c>
      <c r="S138" s="27" t="e">
        <f>R138*ROUND(O138,2)</f>
        <v>#DIV/0!</v>
      </c>
    </row>
    <row r="139" spans="1:19" x14ac:dyDescent="0.25">
      <c r="A139" s="93" t="s">
        <v>239</v>
      </c>
      <c r="B139" s="94" t="s">
        <v>419</v>
      </c>
      <c r="C139" s="94" t="s">
        <v>241</v>
      </c>
      <c r="D139" s="94" t="s">
        <v>424</v>
      </c>
      <c r="E139" s="95" t="s">
        <v>276</v>
      </c>
      <c r="F139" s="94" t="s">
        <v>366</v>
      </c>
      <c r="G139" s="94" t="s">
        <v>209</v>
      </c>
      <c r="H139" s="94" t="s">
        <v>11</v>
      </c>
      <c r="I139" s="94" t="s">
        <v>189</v>
      </c>
      <c r="J139" s="95" t="s">
        <v>210</v>
      </c>
      <c r="K139" s="96">
        <v>69.7</v>
      </c>
      <c r="L139" s="96">
        <f>K139*VLOOKUP(H139,dagsoorttabel1,2,FALSE)</f>
        <v>53.61538461538462</v>
      </c>
      <c r="M139" s="97">
        <f>prodnorm12</f>
        <v>0</v>
      </c>
      <c r="N139" s="94" t="s">
        <v>103</v>
      </c>
      <c r="O139" s="26">
        <f>uurtarief12</f>
        <v>0</v>
      </c>
      <c r="P139" s="96" t="e">
        <f>IF(ISBLANK(M139),0,L139/ROUND(M139,4))</f>
        <v>#DIV/0!</v>
      </c>
      <c r="Q139" s="26" t="e">
        <f>ROUND(O139,2)*P139</f>
        <v>#DIV/0!</v>
      </c>
      <c r="R139" s="96" t="e">
        <f>P139*dagenperjaar1</f>
        <v>#DIV/0!</v>
      </c>
      <c r="S139" s="27" t="e">
        <f>R139*ROUND(O139,2)</f>
        <v>#DIV/0!</v>
      </c>
    </row>
    <row r="140" spans="1:19" x14ac:dyDescent="0.25">
      <c r="A140" s="93" t="s">
        <v>239</v>
      </c>
      <c r="B140" s="94" t="s">
        <v>419</v>
      </c>
      <c r="C140" s="94" t="s">
        <v>241</v>
      </c>
      <c r="D140" s="94" t="s">
        <v>425</v>
      </c>
      <c r="E140" s="95" t="s">
        <v>426</v>
      </c>
      <c r="F140" s="94" t="s">
        <v>381</v>
      </c>
      <c r="G140" s="94" t="s">
        <v>199</v>
      </c>
      <c r="H140" s="94" t="s">
        <v>11</v>
      </c>
      <c r="I140" s="94" t="s">
        <v>189</v>
      </c>
      <c r="J140" s="95" t="s">
        <v>200</v>
      </c>
      <c r="K140" s="96">
        <v>6.28</v>
      </c>
      <c r="L140" s="96">
        <f>K140*VLOOKUP(H140,dagsoorttabel1,2,FALSE)</f>
        <v>4.8307692307692314</v>
      </c>
      <c r="M140" s="97">
        <f>prodnorm7</f>
        <v>0</v>
      </c>
      <c r="N140" s="94" t="s">
        <v>103</v>
      </c>
      <c r="O140" s="26">
        <f>uurtarief7</f>
        <v>0</v>
      </c>
      <c r="P140" s="96" t="e">
        <f>IF(ISBLANK(M140),0,L140/ROUND(M140,4))</f>
        <v>#DIV/0!</v>
      </c>
      <c r="Q140" s="26" t="e">
        <f>ROUND(O140,2)*P140</f>
        <v>#DIV/0!</v>
      </c>
      <c r="R140" s="96" t="e">
        <f>P140*dagenperjaar1</f>
        <v>#DIV/0!</v>
      </c>
      <c r="S140" s="27" t="e">
        <f>R140*ROUND(O140,2)</f>
        <v>#DIV/0!</v>
      </c>
    </row>
    <row r="141" spans="1:19" x14ac:dyDescent="0.25">
      <c r="A141" s="93" t="s">
        <v>239</v>
      </c>
      <c r="B141" s="94" t="s">
        <v>419</v>
      </c>
      <c r="C141" s="94" t="s">
        <v>241</v>
      </c>
      <c r="D141" s="94" t="s">
        <v>427</v>
      </c>
      <c r="E141" s="95" t="s">
        <v>265</v>
      </c>
      <c r="F141" s="94" t="s">
        <v>392</v>
      </c>
      <c r="G141" s="94" t="s">
        <v>223</v>
      </c>
      <c r="H141" s="94" t="s">
        <v>11</v>
      </c>
      <c r="I141" s="94" t="s">
        <v>189</v>
      </c>
      <c r="J141" s="95" t="s">
        <v>224</v>
      </c>
      <c r="K141" s="96">
        <v>7.7</v>
      </c>
      <c r="L141" s="96">
        <f>K141*VLOOKUP(H141,dagsoorttabel1,2,FALSE)</f>
        <v>5.9230769230769234</v>
      </c>
      <c r="M141" s="97">
        <f>prodnorm19</f>
        <v>0</v>
      </c>
      <c r="N141" s="94" t="s">
        <v>103</v>
      </c>
      <c r="O141" s="26">
        <f>uurtarief19</f>
        <v>0</v>
      </c>
      <c r="P141" s="96" t="e">
        <f>IF(ISBLANK(M141),0,L141/ROUND(M141,4))</f>
        <v>#DIV/0!</v>
      </c>
      <c r="Q141" s="26" t="e">
        <f>ROUND(O141,2)*P141</f>
        <v>#DIV/0!</v>
      </c>
      <c r="R141" s="96" t="e">
        <f>P141*dagenperjaar1</f>
        <v>#DIV/0!</v>
      </c>
      <c r="S141" s="27" t="e">
        <f>R141*ROUND(O141,2)</f>
        <v>#DIV/0!</v>
      </c>
    </row>
    <row r="142" spans="1:19" x14ac:dyDescent="0.25">
      <c r="A142" s="93" t="s">
        <v>239</v>
      </c>
      <c r="B142" s="94" t="s">
        <v>419</v>
      </c>
      <c r="C142" s="94" t="s">
        <v>241</v>
      </c>
      <c r="D142" s="94" t="s">
        <v>428</v>
      </c>
      <c r="E142" s="95" t="s">
        <v>326</v>
      </c>
      <c r="F142" s="94" t="s">
        <v>392</v>
      </c>
      <c r="G142" s="94" t="s">
        <v>248</v>
      </c>
      <c r="H142" s="94"/>
      <c r="I142" s="94"/>
      <c r="J142" s="94"/>
      <c r="K142" s="96">
        <v>2.23</v>
      </c>
      <c r="L142" s="96"/>
      <c r="M142" s="97"/>
      <c r="N142" s="94"/>
      <c r="O142" s="26"/>
      <c r="P142" s="96"/>
      <c r="Q142" s="26"/>
      <c r="R142" s="98"/>
      <c r="S142" s="27"/>
    </row>
    <row r="143" spans="1:19" x14ac:dyDescent="0.25">
      <c r="A143" s="93" t="s">
        <v>239</v>
      </c>
      <c r="B143" s="94" t="s">
        <v>419</v>
      </c>
      <c r="C143" s="94" t="s">
        <v>241</v>
      </c>
      <c r="D143" s="94" t="s">
        <v>429</v>
      </c>
      <c r="E143" s="95" t="s">
        <v>254</v>
      </c>
      <c r="F143" s="94" t="s">
        <v>255</v>
      </c>
      <c r="G143" s="94" t="s">
        <v>221</v>
      </c>
      <c r="H143" s="94" t="s">
        <v>11</v>
      </c>
      <c r="I143" s="94" t="s">
        <v>189</v>
      </c>
      <c r="J143" s="95" t="s">
        <v>222</v>
      </c>
      <c r="K143" s="96">
        <v>1.52</v>
      </c>
      <c r="L143" s="96">
        <f>K143*VLOOKUP(H143,dagsoorttabel1,2,FALSE)</f>
        <v>1.1692307692307693</v>
      </c>
      <c r="M143" s="97">
        <f>prodnorm18</f>
        <v>0</v>
      </c>
      <c r="N143" s="94" t="s">
        <v>103</v>
      </c>
      <c r="O143" s="26">
        <f>uurtarief18</f>
        <v>0</v>
      </c>
      <c r="P143" s="96" t="e">
        <f>IF(ISBLANK(M143),0,L143/ROUND(M143,4))</f>
        <v>#DIV/0!</v>
      </c>
      <c r="Q143" s="26" t="e">
        <f>ROUND(O143,2)*P143</f>
        <v>#DIV/0!</v>
      </c>
      <c r="R143" s="96" t="e">
        <f>P143*dagenperjaar1</f>
        <v>#DIV/0!</v>
      </c>
      <c r="S143" s="27" t="e">
        <f>R143*ROUND(O143,2)</f>
        <v>#DIV/0!</v>
      </c>
    </row>
    <row r="144" spans="1:19" x14ac:dyDescent="0.25">
      <c r="A144" s="93" t="s">
        <v>239</v>
      </c>
      <c r="B144" s="94" t="s">
        <v>419</v>
      </c>
      <c r="C144" s="94" t="s">
        <v>241</v>
      </c>
      <c r="D144" s="94" t="s">
        <v>430</v>
      </c>
      <c r="E144" s="95" t="s">
        <v>254</v>
      </c>
      <c r="F144" s="94" t="s">
        <v>255</v>
      </c>
      <c r="G144" s="94" t="s">
        <v>221</v>
      </c>
      <c r="H144" s="94" t="s">
        <v>11</v>
      </c>
      <c r="I144" s="94" t="s">
        <v>189</v>
      </c>
      <c r="J144" s="95" t="s">
        <v>222</v>
      </c>
      <c r="K144" s="96">
        <v>1.1100000000000001</v>
      </c>
      <c r="L144" s="96">
        <f>K144*VLOOKUP(H144,dagsoorttabel1,2,FALSE)</f>
        <v>0.85384615384615392</v>
      </c>
      <c r="M144" s="97">
        <f>prodnorm18</f>
        <v>0</v>
      </c>
      <c r="N144" s="94" t="s">
        <v>103</v>
      </c>
      <c r="O144" s="26">
        <f>uurtarief18</f>
        <v>0</v>
      </c>
      <c r="P144" s="96" t="e">
        <f>IF(ISBLANK(M144),0,L144/ROUND(M144,4))</f>
        <v>#DIV/0!</v>
      </c>
      <c r="Q144" s="26" t="e">
        <f>ROUND(O144,2)*P144</f>
        <v>#DIV/0!</v>
      </c>
      <c r="R144" s="96" t="e">
        <f>P144*dagenperjaar1</f>
        <v>#DIV/0!</v>
      </c>
      <c r="S144" s="27" t="e">
        <f>R144*ROUND(O144,2)</f>
        <v>#DIV/0!</v>
      </c>
    </row>
    <row r="145" spans="1:19" x14ac:dyDescent="0.25">
      <c r="A145" s="93" t="s">
        <v>239</v>
      </c>
      <c r="B145" s="94" t="s">
        <v>419</v>
      </c>
      <c r="C145" s="94" t="s">
        <v>241</v>
      </c>
      <c r="D145" s="94" t="s">
        <v>431</v>
      </c>
      <c r="E145" s="95" t="s">
        <v>254</v>
      </c>
      <c r="F145" s="94" t="s">
        <v>255</v>
      </c>
      <c r="G145" s="94" t="s">
        <v>221</v>
      </c>
      <c r="H145" s="94" t="s">
        <v>11</v>
      </c>
      <c r="I145" s="94" t="s">
        <v>189</v>
      </c>
      <c r="J145" s="95" t="s">
        <v>222</v>
      </c>
      <c r="K145" s="96">
        <v>1.1300000000000001</v>
      </c>
      <c r="L145" s="96">
        <f>K145*VLOOKUP(H145,dagsoorttabel1,2,FALSE)</f>
        <v>0.86923076923076936</v>
      </c>
      <c r="M145" s="97">
        <f>prodnorm18</f>
        <v>0</v>
      </c>
      <c r="N145" s="94" t="s">
        <v>103</v>
      </c>
      <c r="O145" s="26">
        <f>uurtarief18</f>
        <v>0</v>
      </c>
      <c r="P145" s="96" t="e">
        <f>IF(ISBLANK(M145),0,L145/ROUND(M145,4))</f>
        <v>#DIV/0!</v>
      </c>
      <c r="Q145" s="26" t="e">
        <f>ROUND(O145,2)*P145</f>
        <v>#DIV/0!</v>
      </c>
      <c r="R145" s="96" t="e">
        <f>P145*dagenperjaar1</f>
        <v>#DIV/0!</v>
      </c>
      <c r="S145" s="27" t="e">
        <f>R145*ROUND(O145,2)</f>
        <v>#DIV/0!</v>
      </c>
    </row>
    <row r="146" spans="1:19" x14ac:dyDescent="0.25">
      <c r="A146" s="93" t="s">
        <v>239</v>
      </c>
      <c r="B146" s="94" t="s">
        <v>419</v>
      </c>
      <c r="C146" s="94" t="s">
        <v>241</v>
      </c>
      <c r="D146" s="94" t="s">
        <v>432</v>
      </c>
      <c r="E146" s="95" t="s">
        <v>254</v>
      </c>
      <c r="F146" s="94" t="s">
        <v>255</v>
      </c>
      <c r="G146" s="94" t="s">
        <v>221</v>
      </c>
      <c r="H146" s="94" t="s">
        <v>11</v>
      </c>
      <c r="I146" s="94" t="s">
        <v>189</v>
      </c>
      <c r="J146" s="95" t="s">
        <v>222</v>
      </c>
      <c r="K146" s="96">
        <v>1.1400000000000001</v>
      </c>
      <c r="L146" s="96">
        <f>K146*VLOOKUP(H146,dagsoorttabel1,2,FALSE)</f>
        <v>0.87692307692307703</v>
      </c>
      <c r="M146" s="97">
        <f>prodnorm18</f>
        <v>0</v>
      </c>
      <c r="N146" s="94" t="s">
        <v>103</v>
      </c>
      <c r="O146" s="26">
        <f>uurtarief18</f>
        <v>0</v>
      </c>
      <c r="P146" s="96" t="e">
        <f>IF(ISBLANK(M146),0,L146/ROUND(M146,4))</f>
        <v>#DIV/0!</v>
      </c>
      <c r="Q146" s="26" t="e">
        <f>ROUND(O146,2)*P146</f>
        <v>#DIV/0!</v>
      </c>
      <c r="R146" s="96" t="e">
        <f>P146*dagenperjaar1</f>
        <v>#DIV/0!</v>
      </c>
      <c r="S146" s="27" t="e">
        <f>R146*ROUND(O146,2)</f>
        <v>#DIV/0!</v>
      </c>
    </row>
    <row r="147" spans="1:19" x14ac:dyDescent="0.25">
      <c r="A147" s="93" t="s">
        <v>239</v>
      </c>
      <c r="B147" s="94" t="s">
        <v>419</v>
      </c>
      <c r="C147" s="94" t="s">
        <v>241</v>
      </c>
      <c r="D147" s="94" t="s">
        <v>433</v>
      </c>
      <c r="E147" s="95" t="s">
        <v>254</v>
      </c>
      <c r="F147" s="94" t="s">
        <v>255</v>
      </c>
      <c r="G147" s="94" t="s">
        <v>221</v>
      </c>
      <c r="H147" s="94" t="s">
        <v>11</v>
      </c>
      <c r="I147" s="94" t="s">
        <v>189</v>
      </c>
      <c r="J147" s="95" t="s">
        <v>222</v>
      </c>
      <c r="K147" s="96">
        <v>1.1300000000000001</v>
      </c>
      <c r="L147" s="96">
        <f>K147*VLOOKUP(H147,dagsoorttabel1,2,FALSE)</f>
        <v>0.86923076923076936</v>
      </c>
      <c r="M147" s="97">
        <f>prodnorm18</f>
        <v>0</v>
      </c>
      <c r="N147" s="94" t="s">
        <v>103</v>
      </c>
      <c r="O147" s="26">
        <f>uurtarief18</f>
        <v>0</v>
      </c>
      <c r="P147" s="96" t="e">
        <f>IF(ISBLANK(M147),0,L147/ROUND(M147,4))</f>
        <v>#DIV/0!</v>
      </c>
      <c r="Q147" s="26" t="e">
        <f>ROUND(O147,2)*P147</f>
        <v>#DIV/0!</v>
      </c>
      <c r="R147" s="96" t="e">
        <f>P147*dagenperjaar1</f>
        <v>#DIV/0!</v>
      </c>
      <c r="S147" s="27" t="e">
        <f>R147*ROUND(O147,2)</f>
        <v>#DIV/0!</v>
      </c>
    </row>
    <row r="148" spans="1:19" x14ac:dyDescent="0.25">
      <c r="A148" s="93" t="s">
        <v>239</v>
      </c>
      <c r="B148" s="94" t="s">
        <v>419</v>
      </c>
      <c r="C148" s="94" t="s">
        <v>241</v>
      </c>
      <c r="D148" s="94" t="s">
        <v>434</v>
      </c>
      <c r="E148" s="95" t="s">
        <v>254</v>
      </c>
      <c r="F148" s="94" t="s">
        <v>255</v>
      </c>
      <c r="G148" s="94" t="s">
        <v>221</v>
      </c>
      <c r="H148" s="94" t="s">
        <v>11</v>
      </c>
      <c r="I148" s="94" t="s">
        <v>189</v>
      </c>
      <c r="J148" s="95" t="s">
        <v>222</v>
      </c>
      <c r="K148" s="96">
        <v>1.41</v>
      </c>
      <c r="L148" s="96">
        <f>K148*VLOOKUP(H148,dagsoorttabel1,2,FALSE)</f>
        <v>1.0846153846153845</v>
      </c>
      <c r="M148" s="97">
        <f>prodnorm18</f>
        <v>0</v>
      </c>
      <c r="N148" s="94" t="s">
        <v>103</v>
      </c>
      <c r="O148" s="26">
        <f>uurtarief18</f>
        <v>0</v>
      </c>
      <c r="P148" s="96" t="e">
        <f>IF(ISBLANK(M148),0,L148/ROUND(M148,4))</f>
        <v>#DIV/0!</v>
      </c>
      <c r="Q148" s="26" t="e">
        <f>ROUND(O148,2)*P148</f>
        <v>#DIV/0!</v>
      </c>
      <c r="R148" s="96" t="e">
        <f>P148*dagenperjaar1</f>
        <v>#DIV/0!</v>
      </c>
      <c r="S148" s="27" t="e">
        <f>R148*ROUND(O148,2)</f>
        <v>#DIV/0!</v>
      </c>
    </row>
    <row r="149" spans="1:19" ht="30" x14ac:dyDescent="0.25">
      <c r="A149" s="93" t="s">
        <v>239</v>
      </c>
      <c r="B149" s="94" t="s">
        <v>419</v>
      </c>
      <c r="C149" s="94" t="s">
        <v>241</v>
      </c>
      <c r="D149" s="94" t="s">
        <v>435</v>
      </c>
      <c r="E149" s="95" t="s">
        <v>436</v>
      </c>
      <c r="F149" s="94" t="s">
        <v>244</v>
      </c>
      <c r="G149" s="94" t="s">
        <v>225</v>
      </c>
      <c r="H149" s="94" t="s">
        <v>11</v>
      </c>
      <c r="I149" s="94" t="s">
        <v>189</v>
      </c>
      <c r="J149" s="95" t="s">
        <v>226</v>
      </c>
      <c r="K149" s="96">
        <v>17.330000000000002</v>
      </c>
      <c r="L149" s="96">
        <f>K149*VLOOKUP(H149,dagsoorttabel1,2,FALSE)</f>
        <v>13.330769230769233</v>
      </c>
      <c r="M149" s="97">
        <f>prodnorm20</f>
        <v>0</v>
      </c>
      <c r="N149" s="94" t="s">
        <v>103</v>
      </c>
      <c r="O149" s="26">
        <f>uurtarief20</f>
        <v>0</v>
      </c>
      <c r="P149" s="96" t="e">
        <f>IF(ISBLANK(M149),0,L149/ROUND(M149,4))</f>
        <v>#DIV/0!</v>
      </c>
      <c r="Q149" s="26" t="e">
        <f>ROUND(O149,2)*P149</f>
        <v>#DIV/0!</v>
      </c>
      <c r="R149" s="96" t="e">
        <f>P149*dagenperjaar1</f>
        <v>#DIV/0!</v>
      </c>
      <c r="S149" s="27" t="e">
        <f>R149*ROUND(O149,2)</f>
        <v>#DIV/0!</v>
      </c>
    </row>
    <row r="150" spans="1:19" x14ac:dyDescent="0.25">
      <c r="A150" s="93" t="s">
        <v>239</v>
      </c>
      <c r="B150" s="94" t="s">
        <v>419</v>
      </c>
      <c r="C150" s="94" t="s">
        <v>285</v>
      </c>
      <c r="D150" s="94" t="s">
        <v>437</v>
      </c>
      <c r="E150" s="95" t="s">
        <v>254</v>
      </c>
      <c r="F150" s="94" t="s">
        <v>255</v>
      </c>
      <c r="G150" s="94" t="s">
        <v>221</v>
      </c>
      <c r="H150" s="94" t="s">
        <v>11</v>
      </c>
      <c r="I150" s="94" t="s">
        <v>189</v>
      </c>
      <c r="J150" s="95" t="s">
        <v>222</v>
      </c>
      <c r="K150" s="96">
        <v>1.41</v>
      </c>
      <c r="L150" s="96">
        <f>K150*VLOOKUP(H150,dagsoorttabel1,2,FALSE)</f>
        <v>1.0846153846153845</v>
      </c>
      <c r="M150" s="97">
        <f>prodnorm18</f>
        <v>0</v>
      </c>
      <c r="N150" s="94" t="s">
        <v>103</v>
      </c>
      <c r="O150" s="26">
        <f>uurtarief18</f>
        <v>0</v>
      </c>
      <c r="P150" s="96" t="e">
        <f>IF(ISBLANK(M150),0,L150/ROUND(M150,4))</f>
        <v>#DIV/0!</v>
      </c>
      <c r="Q150" s="26" t="e">
        <f>ROUND(O150,2)*P150</f>
        <v>#DIV/0!</v>
      </c>
      <c r="R150" s="96" t="e">
        <f>P150*dagenperjaar1</f>
        <v>#DIV/0!</v>
      </c>
      <c r="S150" s="27" t="e">
        <f>R150*ROUND(O150,2)</f>
        <v>#DIV/0!</v>
      </c>
    </row>
    <row r="151" spans="1:19" x14ac:dyDescent="0.25">
      <c r="A151" s="93" t="s">
        <v>239</v>
      </c>
      <c r="B151" s="94" t="s">
        <v>419</v>
      </c>
      <c r="C151" s="94" t="s">
        <v>285</v>
      </c>
      <c r="D151" s="94" t="s">
        <v>438</v>
      </c>
      <c r="E151" s="95" t="s">
        <v>254</v>
      </c>
      <c r="F151" s="94" t="s">
        <v>255</v>
      </c>
      <c r="G151" s="94" t="s">
        <v>221</v>
      </c>
      <c r="H151" s="94" t="s">
        <v>11</v>
      </c>
      <c r="I151" s="94" t="s">
        <v>189</v>
      </c>
      <c r="J151" s="95" t="s">
        <v>222</v>
      </c>
      <c r="K151" s="96">
        <v>1.1300000000000001</v>
      </c>
      <c r="L151" s="96">
        <f>K151*VLOOKUP(H151,dagsoorttabel1,2,FALSE)</f>
        <v>0.86923076923076936</v>
      </c>
      <c r="M151" s="97">
        <f>prodnorm18</f>
        <v>0</v>
      </c>
      <c r="N151" s="94" t="s">
        <v>103</v>
      </c>
      <c r="O151" s="26">
        <f>uurtarief18</f>
        <v>0</v>
      </c>
      <c r="P151" s="96" t="e">
        <f>IF(ISBLANK(M151),0,L151/ROUND(M151,4))</f>
        <v>#DIV/0!</v>
      </c>
      <c r="Q151" s="26" t="e">
        <f>ROUND(O151,2)*P151</f>
        <v>#DIV/0!</v>
      </c>
      <c r="R151" s="96" t="e">
        <f>P151*dagenperjaar1</f>
        <v>#DIV/0!</v>
      </c>
      <c r="S151" s="27" t="e">
        <f>R151*ROUND(O151,2)</f>
        <v>#DIV/0!</v>
      </c>
    </row>
    <row r="152" spans="1:19" x14ac:dyDescent="0.25">
      <c r="A152" s="93" t="s">
        <v>239</v>
      </c>
      <c r="B152" s="94" t="s">
        <v>419</v>
      </c>
      <c r="C152" s="94" t="s">
        <v>285</v>
      </c>
      <c r="D152" s="94" t="s">
        <v>439</v>
      </c>
      <c r="E152" s="95" t="s">
        <v>254</v>
      </c>
      <c r="F152" s="94" t="s">
        <v>255</v>
      </c>
      <c r="G152" s="94" t="s">
        <v>221</v>
      </c>
      <c r="H152" s="94" t="s">
        <v>11</v>
      </c>
      <c r="I152" s="94" t="s">
        <v>189</v>
      </c>
      <c r="J152" s="95" t="s">
        <v>222</v>
      </c>
      <c r="K152" s="96">
        <v>1.1300000000000001</v>
      </c>
      <c r="L152" s="96">
        <f>K152*VLOOKUP(H152,dagsoorttabel1,2,FALSE)</f>
        <v>0.86923076923076936</v>
      </c>
      <c r="M152" s="97">
        <f>prodnorm18</f>
        <v>0</v>
      </c>
      <c r="N152" s="94" t="s">
        <v>103</v>
      </c>
      <c r="O152" s="26">
        <f>uurtarief18</f>
        <v>0</v>
      </c>
      <c r="P152" s="96" t="e">
        <f>IF(ISBLANK(M152),0,L152/ROUND(M152,4))</f>
        <v>#DIV/0!</v>
      </c>
      <c r="Q152" s="26" t="e">
        <f>ROUND(O152,2)*P152</f>
        <v>#DIV/0!</v>
      </c>
      <c r="R152" s="96" t="e">
        <f>P152*dagenperjaar1</f>
        <v>#DIV/0!</v>
      </c>
      <c r="S152" s="27" t="e">
        <f>R152*ROUND(O152,2)</f>
        <v>#DIV/0!</v>
      </c>
    </row>
    <row r="153" spans="1:19" x14ac:dyDescent="0.25">
      <c r="A153" s="93" t="s">
        <v>239</v>
      </c>
      <c r="B153" s="94" t="s">
        <v>419</v>
      </c>
      <c r="C153" s="94" t="s">
        <v>285</v>
      </c>
      <c r="D153" s="94" t="s">
        <v>440</v>
      </c>
      <c r="E153" s="95" t="s">
        <v>254</v>
      </c>
      <c r="F153" s="94" t="s">
        <v>255</v>
      </c>
      <c r="G153" s="94" t="s">
        <v>221</v>
      </c>
      <c r="H153" s="94" t="s">
        <v>11</v>
      </c>
      <c r="I153" s="94" t="s">
        <v>189</v>
      </c>
      <c r="J153" s="95" t="s">
        <v>222</v>
      </c>
      <c r="K153" s="96">
        <v>1.1400000000000001</v>
      </c>
      <c r="L153" s="96">
        <f>K153*VLOOKUP(H153,dagsoorttabel1,2,FALSE)</f>
        <v>0.87692307692307703</v>
      </c>
      <c r="M153" s="97">
        <f>prodnorm18</f>
        <v>0</v>
      </c>
      <c r="N153" s="94" t="s">
        <v>103</v>
      </c>
      <c r="O153" s="26">
        <f>uurtarief18</f>
        <v>0</v>
      </c>
      <c r="P153" s="96" t="e">
        <f>IF(ISBLANK(M153),0,L153/ROUND(M153,4))</f>
        <v>#DIV/0!</v>
      </c>
      <c r="Q153" s="26" t="e">
        <f>ROUND(O153,2)*P153</f>
        <v>#DIV/0!</v>
      </c>
      <c r="R153" s="96" t="e">
        <f>P153*dagenperjaar1</f>
        <v>#DIV/0!</v>
      </c>
      <c r="S153" s="27" t="e">
        <f>R153*ROUND(O153,2)</f>
        <v>#DIV/0!</v>
      </c>
    </row>
    <row r="154" spans="1:19" x14ac:dyDescent="0.25">
      <c r="A154" s="93" t="s">
        <v>239</v>
      </c>
      <c r="B154" s="94" t="s">
        <v>419</v>
      </c>
      <c r="C154" s="94" t="s">
        <v>285</v>
      </c>
      <c r="D154" s="94" t="s">
        <v>441</v>
      </c>
      <c r="E154" s="95" t="s">
        <v>254</v>
      </c>
      <c r="F154" s="94" t="s">
        <v>255</v>
      </c>
      <c r="G154" s="94" t="s">
        <v>221</v>
      </c>
      <c r="H154" s="94" t="s">
        <v>11</v>
      </c>
      <c r="I154" s="94" t="s">
        <v>189</v>
      </c>
      <c r="J154" s="95" t="s">
        <v>222</v>
      </c>
      <c r="K154" s="96">
        <v>1.1400000000000001</v>
      </c>
      <c r="L154" s="96">
        <f>K154*VLOOKUP(H154,dagsoorttabel1,2,FALSE)</f>
        <v>0.87692307692307703</v>
      </c>
      <c r="M154" s="97">
        <f>prodnorm18</f>
        <v>0</v>
      </c>
      <c r="N154" s="94" t="s">
        <v>103</v>
      </c>
      <c r="O154" s="26">
        <f>uurtarief18</f>
        <v>0</v>
      </c>
      <c r="P154" s="96" t="e">
        <f>IF(ISBLANK(M154),0,L154/ROUND(M154,4))</f>
        <v>#DIV/0!</v>
      </c>
      <c r="Q154" s="26" t="e">
        <f>ROUND(O154,2)*P154</f>
        <v>#DIV/0!</v>
      </c>
      <c r="R154" s="96" t="e">
        <f>P154*dagenperjaar1</f>
        <v>#DIV/0!</v>
      </c>
      <c r="S154" s="27" t="e">
        <f>R154*ROUND(O154,2)</f>
        <v>#DIV/0!</v>
      </c>
    </row>
    <row r="155" spans="1:19" x14ac:dyDescent="0.25">
      <c r="A155" s="93" t="s">
        <v>239</v>
      </c>
      <c r="B155" s="94" t="s">
        <v>419</v>
      </c>
      <c r="C155" s="94" t="s">
        <v>285</v>
      </c>
      <c r="D155" s="94" t="s">
        <v>442</v>
      </c>
      <c r="E155" s="95" t="s">
        <v>254</v>
      </c>
      <c r="F155" s="94" t="s">
        <v>255</v>
      </c>
      <c r="G155" s="94" t="s">
        <v>221</v>
      </c>
      <c r="H155" s="94" t="s">
        <v>11</v>
      </c>
      <c r="I155" s="94" t="s">
        <v>189</v>
      </c>
      <c r="J155" s="95" t="s">
        <v>222</v>
      </c>
      <c r="K155" s="96">
        <v>1.57</v>
      </c>
      <c r="L155" s="96">
        <f>K155*VLOOKUP(H155,dagsoorttabel1,2,FALSE)</f>
        <v>1.2076923076923078</v>
      </c>
      <c r="M155" s="97">
        <f>prodnorm18</f>
        <v>0</v>
      </c>
      <c r="N155" s="94" t="s">
        <v>103</v>
      </c>
      <c r="O155" s="26">
        <f>uurtarief18</f>
        <v>0</v>
      </c>
      <c r="P155" s="96" t="e">
        <f>IF(ISBLANK(M155),0,L155/ROUND(M155,4))</f>
        <v>#DIV/0!</v>
      </c>
      <c r="Q155" s="26" t="e">
        <f>ROUND(O155,2)*P155</f>
        <v>#DIV/0!</v>
      </c>
      <c r="R155" s="96" t="e">
        <f>P155*dagenperjaar1</f>
        <v>#DIV/0!</v>
      </c>
      <c r="S155" s="27" t="e">
        <f>R155*ROUND(O155,2)</f>
        <v>#DIV/0!</v>
      </c>
    </row>
    <row r="156" spans="1:19" ht="30" x14ac:dyDescent="0.25">
      <c r="A156" s="93" t="s">
        <v>239</v>
      </c>
      <c r="B156" s="94" t="s">
        <v>419</v>
      </c>
      <c r="C156" s="94" t="s">
        <v>285</v>
      </c>
      <c r="D156" s="94" t="s">
        <v>443</v>
      </c>
      <c r="E156" s="95" t="s">
        <v>436</v>
      </c>
      <c r="F156" s="94" t="s">
        <v>381</v>
      </c>
      <c r="G156" s="94" t="s">
        <v>225</v>
      </c>
      <c r="H156" s="94" t="s">
        <v>11</v>
      </c>
      <c r="I156" s="94" t="s">
        <v>189</v>
      </c>
      <c r="J156" s="95" t="s">
        <v>226</v>
      </c>
      <c r="K156" s="96">
        <v>68.649999999999991</v>
      </c>
      <c r="L156" s="96">
        <f>K156*VLOOKUP(H156,dagsoorttabel1,2,FALSE)</f>
        <v>52.807692307692307</v>
      </c>
      <c r="M156" s="97">
        <f>prodnorm20</f>
        <v>0</v>
      </c>
      <c r="N156" s="94" t="s">
        <v>103</v>
      </c>
      <c r="O156" s="26">
        <f>uurtarief20</f>
        <v>0</v>
      </c>
      <c r="P156" s="96" t="e">
        <f>IF(ISBLANK(M156),0,L156/ROUND(M156,4))</f>
        <v>#DIV/0!</v>
      </c>
      <c r="Q156" s="26" t="e">
        <f>ROUND(O156,2)*P156</f>
        <v>#DIV/0!</v>
      </c>
      <c r="R156" s="96" t="e">
        <f>P156*dagenperjaar1</f>
        <v>#DIV/0!</v>
      </c>
      <c r="S156" s="27" t="e">
        <f>R156*ROUND(O156,2)</f>
        <v>#DIV/0!</v>
      </c>
    </row>
    <row r="157" spans="1:19" x14ac:dyDescent="0.25">
      <c r="A157" s="93" t="s">
        <v>239</v>
      </c>
      <c r="B157" s="94" t="s">
        <v>419</v>
      </c>
      <c r="C157" s="94" t="s">
        <v>285</v>
      </c>
      <c r="D157" s="94" t="s">
        <v>444</v>
      </c>
      <c r="E157" s="95" t="s">
        <v>341</v>
      </c>
      <c r="F157" s="94" t="s">
        <v>381</v>
      </c>
      <c r="G157" s="94" t="s">
        <v>248</v>
      </c>
      <c r="H157" s="94"/>
      <c r="I157" s="94"/>
      <c r="J157" s="94"/>
      <c r="K157" s="96">
        <v>6.4</v>
      </c>
      <c r="L157" s="96"/>
      <c r="M157" s="97"/>
      <c r="N157" s="94"/>
      <c r="O157" s="26"/>
      <c r="P157" s="96"/>
      <c r="Q157" s="26"/>
      <c r="R157" s="98"/>
      <c r="S157" s="27"/>
    </row>
    <row r="158" spans="1:19" x14ac:dyDescent="0.25">
      <c r="A158" s="93" t="s">
        <v>239</v>
      </c>
      <c r="B158" s="94" t="s">
        <v>419</v>
      </c>
      <c r="C158" s="94" t="s">
        <v>285</v>
      </c>
      <c r="D158" s="94" t="s">
        <v>445</v>
      </c>
      <c r="E158" s="95" t="s">
        <v>276</v>
      </c>
      <c r="F158" s="94" t="s">
        <v>244</v>
      </c>
      <c r="G158" s="94" t="s">
        <v>209</v>
      </c>
      <c r="H158" s="94" t="s">
        <v>11</v>
      </c>
      <c r="I158" s="94" t="s">
        <v>189</v>
      </c>
      <c r="J158" s="95" t="s">
        <v>210</v>
      </c>
      <c r="K158" s="96">
        <v>69.61999999999999</v>
      </c>
      <c r="L158" s="96">
        <f>K158*VLOOKUP(H158,dagsoorttabel1,2,FALSE)</f>
        <v>53.553846153846152</v>
      </c>
      <c r="M158" s="97">
        <f>prodnorm12</f>
        <v>0</v>
      </c>
      <c r="N158" s="94" t="s">
        <v>103</v>
      </c>
      <c r="O158" s="26">
        <f>uurtarief12</f>
        <v>0</v>
      </c>
      <c r="P158" s="96" t="e">
        <f>IF(ISBLANK(M158),0,L158/ROUND(M158,4))</f>
        <v>#DIV/0!</v>
      </c>
      <c r="Q158" s="26" t="e">
        <f>ROUND(O158,2)*P158</f>
        <v>#DIV/0!</v>
      </c>
      <c r="R158" s="96" t="e">
        <f>P158*dagenperjaar1</f>
        <v>#DIV/0!</v>
      </c>
      <c r="S158" s="27" t="e">
        <f>R158*ROUND(O158,2)</f>
        <v>#DIV/0!</v>
      </c>
    </row>
    <row r="159" spans="1:19" x14ac:dyDescent="0.25">
      <c r="A159" s="93" t="s">
        <v>239</v>
      </c>
      <c r="B159" s="94" t="s">
        <v>419</v>
      </c>
      <c r="C159" s="94" t="s">
        <v>285</v>
      </c>
      <c r="D159" s="94" t="s">
        <v>446</v>
      </c>
      <c r="E159" s="95" t="s">
        <v>276</v>
      </c>
      <c r="F159" s="94" t="s">
        <v>244</v>
      </c>
      <c r="G159" s="94" t="s">
        <v>209</v>
      </c>
      <c r="H159" s="94" t="s">
        <v>11</v>
      </c>
      <c r="I159" s="94" t="s">
        <v>189</v>
      </c>
      <c r="J159" s="95" t="s">
        <v>210</v>
      </c>
      <c r="K159" s="96">
        <v>43.02</v>
      </c>
      <c r="L159" s="96">
        <f>K159*VLOOKUP(H159,dagsoorttabel1,2,FALSE)</f>
        <v>33.092307692307699</v>
      </c>
      <c r="M159" s="97">
        <f>prodnorm12</f>
        <v>0</v>
      </c>
      <c r="N159" s="94" t="s">
        <v>103</v>
      </c>
      <c r="O159" s="26">
        <f>uurtarief12</f>
        <v>0</v>
      </c>
      <c r="P159" s="96" t="e">
        <f>IF(ISBLANK(M159),0,L159/ROUND(M159,4))</f>
        <v>#DIV/0!</v>
      </c>
      <c r="Q159" s="26" t="e">
        <f>ROUND(O159,2)*P159</f>
        <v>#DIV/0!</v>
      </c>
      <c r="R159" s="96" t="e">
        <f>P159*dagenperjaar1</f>
        <v>#DIV/0!</v>
      </c>
      <c r="S159" s="27" t="e">
        <f>R159*ROUND(O159,2)</f>
        <v>#DIV/0!</v>
      </c>
    </row>
    <row r="160" spans="1:19" x14ac:dyDescent="0.25">
      <c r="A160" s="93" t="s">
        <v>239</v>
      </c>
      <c r="B160" s="94" t="s">
        <v>419</v>
      </c>
      <c r="C160" s="94" t="s">
        <v>285</v>
      </c>
      <c r="D160" s="94" t="s">
        <v>447</v>
      </c>
      <c r="E160" s="95" t="s">
        <v>276</v>
      </c>
      <c r="F160" s="94" t="s">
        <v>244</v>
      </c>
      <c r="G160" s="94" t="s">
        <v>209</v>
      </c>
      <c r="H160" s="94" t="s">
        <v>11</v>
      </c>
      <c r="I160" s="94" t="s">
        <v>189</v>
      </c>
      <c r="J160" s="95" t="s">
        <v>210</v>
      </c>
      <c r="K160" s="96">
        <v>42.809999999999995</v>
      </c>
      <c r="L160" s="96">
        <f>K160*VLOOKUP(H160,dagsoorttabel1,2,FALSE)</f>
        <v>32.930769230769229</v>
      </c>
      <c r="M160" s="97">
        <f>prodnorm12</f>
        <v>0</v>
      </c>
      <c r="N160" s="94" t="s">
        <v>103</v>
      </c>
      <c r="O160" s="26">
        <f>uurtarief12</f>
        <v>0</v>
      </c>
      <c r="P160" s="96" t="e">
        <f>IF(ISBLANK(M160),0,L160/ROUND(M160,4))</f>
        <v>#DIV/0!</v>
      </c>
      <c r="Q160" s="26" t="e">
        <f>ROUND(O160,2)*P160</f>
        <v>#DIV/0!</v>
      </c>
      <c r="R160" s="96" t="e">
        <f>P160*dagenperjaar1</f>
        <v>#DIV/0!</v>
      </c>
      <c r="S160" s="27" t="e">
        <f>R160*ROUND(O160,2)</f>
        <v>#DIV/0!</v>
      </c>
    </row>
    <row r="161" spans="1:19" x14ac:dyDescent="0.25">
      <c r="A161" s="93" t="s">
        <v>239</v>
      </c>
      <c r="B161" s="94" t="s">
        <v>419</v>
      </c>
      <c r="C161" s="94" t="s">
        <v>285</v>
      </c>
      <c r="D161" s="94" t="s">
        <v>448</v>
      </c>
      <c r="E161" s="95" t="s">
        <v>276</v>
      </c>
      <c r="F161" s="94" t="s">
        <v>244</v>
      </c>
      <c r="G161" s="94" t="s">
        <v>209</v>
      </c>
      <c r="H161" s="94" t="s">
        <v>11</v>
      </c>
      <c r="I161" s="94" t="s">
        <v>189</v>
      </c>
      <c r="J161" s="95" t="s">
        <v>210</v>
      </c>
      <c r="K161" s="96">
        <v>43</v>
      </c>
      <c r="L161" s="96">
        <f>K161*VLOOKUP(H161,dagsoorttabel1,2,FALSE)</f>
        <v>33.07692307692308</v>
      </c>
      <c r="M161" s="97">
        <f>prodnorm12</f>
        <v>0</v>
      </c>
      <c r="N161" s="94" t="s">
        <v>103</v>
      </c>
      <c r="O161" s="26">
        <f>uurtarief12</f>
        <v>0</v>
      </c>
      <c r="P161" s="96" t="e">
        <f>IF(ISBLANK(M161),0,L161/ROUND(M161,4))</f>
        <v>#DIV/0!</v>
      </c>
      <c r="Q161" s="26" t="e">
        <f>ROUND(O161,2)*P161</f>
        <v>#DIV/0!</v>
      </c>
      <c r="R161" s="96" t="e">
        <f>P161*dagenperjaar1</f>
        <v>#DIV/0!</v>
      </c>
      <c r="S161" s="27" t="e">
        <f>R161*ROUND(O161,2)</f>
        <v>#DIV/0!</v>
      </c>
    </row>
    <row r="162" spans="1:19" x14ac:dyDescent="0.25">
      <c r="A162" s="93" t="s">
        <v>239</v>
      </c>
      <c r="B162" s="94" t="s">
        <v>419</v>
      </c>
      <c r="C162" s="94" t="s">
        <v>285</v>
      </c>
      <c r="D162" s="94" t="s">
        <v>449</v>
      </c>
      <c r="E162" s="95" t="s">
        <v>247</v>
      </c>
      <c r="F162" s="94" t="s">
        <v>381</v>
      </c>
      <c r="G162" s="94" t="s">
        <v>248</v>
      </c>
      <c r="H162" s="94"/>
      <c r="I162" s="94"/>
      <c r="J162" s="94"/>
      <c r="K162" s="96">
        <v>4.3899999999999997</v>
      </c>
      <c r="L162" s="96"/>
      <c r="M162" s="97"/>
      <c r="N162" s="94"/>
      <c r="O162" s="26"/>
      <c r="P162" s="96"/>
      <c r="Q162" s="26"/>
      <c r="R162" s="98"/>
      <c r="S162" s="27"/>
    </row>
    <row r="163" spans="1:19" x14ac:dyDescent="0.25">
      <c r="A163" s="93" t="s">
        <v>239</v>
      </c>
      <c r="B163" s="94" t="s">
        <v>419</v>
      </c>
      <c r="C163" s="94" t="s">
        <v>285</v>
      </c>
      <c r="D163" s="94" t="s">
        <v>450</v>
      </c>
      <c r="E163" s="95" t="s">
        <v>247</v>
      </c>
      <c r="F163" s="94" t="s">
        <v>381</v>
      </c>
      <c r="G163" s="94" t="s">
        <v>248</v>
      </c>
      <c r="H163" s="94"/>
      <c r="I163" s="94"/>
      <c r="J163" s="94"/>
      <c r="K163" s="96">
        <v>7.76</v>
      </c>
      <c r="L163" s="96"/>
      <c r="M163" s="97"/>
      <c r="N163" s="94"/>
      <c r="O163" s="26"/>
      <c r="P163" s="96"/>
      <c r="Q163" s="26"/>
      <c r="R163" s="98"/>
      <c r="S163" s="27"/>
    </row>
    <row r="164" spans="1:19" x14ac:dyDescent="0.25">
      <c r="A164" s="93" t="s">
        <v>239</v>
      </c>
      <c r="B164" s="94" t="s">
        <v>451</v>
      </c>
      <c r="C164" s="94" t="s">
        <v>241</v>
      </c>
      <c r="D164" s="94" t="s">
        <v>452</v>
      </c>
      <c r="E164" s="95" t="s">
        <v>276</v>
      </c>
      <c r="F164" s="94" t="s">
        <v>244</v>
      </c>
      <c r="G164" s="94" t="s">
        <v>209</v>
      </c>
      <c r="H164" s="94" t="s">
        <v>11</v>
      </c>
      <c r="I164" s="94" t="s">
        <v>189</v>
      </c>
      <c r="J164" s="95" t="s">
        <v>210</v>
      </c>
      <c r="K164" s="96">
        <v>33.1</v>
      </c>
      <c r="L164" s="96">
        <f>K164*VLOOKUP(H164,dagsoorttabel1,2,FALSE)</f>
        <v>25.461538461538463</v>
      </c>
      <c r="M164" s="97">
        <f>prodnorm12</f>
        <v>0</v>
      </c>
      <c r="N164" s="94" t="s">
        <v>103</v>
      </c>
      <c r="O164" s="26">
        <f>uurtarief12</f>
        <v>0</v>
      </c>
      <c r="P164" s="96" t="e">
        <f>IF(ISBLANK(M164),0,L164/ROUND(M164,4))</f>
        <v>#DIV/0!</v>
      </c>
      <c r="Q164" s="26" t="e">
        <f>ROUND(O164,2)*P164</f>
        <v>#DIV/0!</v>
      </c>
      <c r="R164" s="96" t="e">
        <f>P164*dagenperjaar1</f>
        <v>#DIV/0!</v>
      </c>
      <c r="S164" s="27" t="e">
        <f>R164*ROUND(O164,2)</f>
        <v>#DIV/0!</v>
      </c>
    </row>
    <row r="165" spans="1:19" ht="30" x14ac:dyDescent="0.25">
      <c r="A165" s="93" t="s">
        <v>239</v>
      </c>
      <c r="B165" s="94" t="s">
        <v>451</v>
      </c>
      <c r="C165" s="94" t="s">
        <v>241</v>
      </c>
      <c r="D165" s="94" t="s">
        <v>453</v>
      </c>
      <c r="E165" s="95" t="s">
        <v>265</v>
      </c>
      <c r="F165" s="94" t="s">
        <v>244</v>
      </c>
      <c r="G165" s="94" t="s">
        <v>225</v>
      </c>
      <c r="H165" s="94" t="s">
        <v>11</v>
      </c>
      <c r="I165" s="94" t="s">
        <v>189</v>
      </c>
      <c r="J165" s="95" t="s">
        <v>226</v>
      </c>
      <c r="K165" s="96">
        <v>26.2</v>
      </c>
      <c r="L165" s="96">
        <f>K165*VLOOKUP(H165,dagsoorttabel1,2,FALSE)</f>
        <v>20.153846153846153</v>
      </c>
      <c r="M165" s="97">
        <f>prodnorm20</f>
        <v>0</v>
      </c>
      <c r="N165" s="94" t="s">
        <v>103</v>
      </c>
      <c r="O165" s="26">
        <f>uurtarief20</f>
        <v>0</v>
      </c>
      <c r="P165" s="96" t="e">
        <f>IF(ISBLANK(M165),0,L165/ROUND(M165,4))</f>
        <v>#DIV/0!</v>
      </c>
      <c r="Q165" s="26" t="e">
        <f>ROUND(O165,2)*P165</f>
        <v>#DIV/0!</v>
      </c>
      <c r="R165" s="96" t="e">
        <f>P165*dagenperjaar1</f>
        <v>#DIV/0!</v>
      </c>
      <c r="S165" s="27" t="e">
        <f>R165*ROUND(O165,2)</f>
        <v>#DIV/0!</v>
      </c>
    </row>
    <row r="166" spans="1:19" ht="30" x14ac:dyDescent="0.25">
      <c r="A166" s="93" t="s">
        <v>239</v>
      </c>
      <c r="B166" s="94" t="s">
        <v>451</v>
      </c>
      <c r="C166" s="94" t="s">
        <v>241</v>
      </c>
      <c r="D166" s="94" t="s">
        <v>454</v>
      </c>
      <c r="E166" s="95" t="s">
        <v>391</v>
      </c>
      <c r="F166" s="94" t="s">
        <v>244</v>
      </c>
      <c r="G166" s="94" t="s">
        <v>225</v>
      </c>
      <c r="H166" s="94" t="s">
        <v>11</v>
      </c>
      <c r="I166" s="94" t="s">
        <v>189</v>
      </c>
      <c r="J166" s="95" t="s">
        <v>226</v>
      </c>
      <c r="K166" s="96">
        <v>4.5</v>
      </c>
      <c r="L166" s="96">
        <f>K166*VLOOKUP(H166,dagsoorttabel1,2,FALSE)</f>
        <v>3.4615384615384617</v>
      </c>
      <c r="M166" s="97">
        <f>prodnorm20</f>
        <v>0</v>
      </c>
      <c r="N166" s="94" t="s">
        <v>103</v>
      </c>
      <c r="O166" s="26">
        <f>uurtarief20</f>
        <v>0</v>
      </c>
      <c r="P166" s="96" t="e">
        <f>IF(ISBLANK(M166),0,L166/ROUND(M166,4))</f>
        <v>#DIV/0!</v>
      </c>
      <c r="Q166" s="26" t="e">
        <f>ROUND(O166,2)*P166</f>
        <v>#DIV/0!</v>
      </c>
      <c r="R166" s="96" t="e">
        <f>P166*dagenperjaar1</f>
        <v>#DIV/0!</v>
      </c>
      <c r="S166" s="27" t="e">
        <f>R166*ROUND(O166,2)</f>
        <v>#DIV/0!</v>
      </c>
    </row>
    <row r="167" spans="1:19" x14ac:dyDescent="0.25">
      <c r="A167" s="93" t="s">
        <v>239</v>
      </c>
      <c r="B167" s="94" t="s">
        <v>451</v>
      </c>
      <c r="C167" s="94" t="s">
        <v>241</v>
      </c>
      <c r="D167" s="94" t="s">
        <v>455</v>
      </c>
      <c r="E167" s="95" t="s">
        <v>254</v>
      </c>
      <c r="F167" s="94" t="s">
        <v>244</v>
      </c>
      <c r="G167" s="94" t="s">
        <v>221</v>
      </c>
      <c r="H167" s="94" t="s">
        <v>11</v>
      </c>
      <c r="I167" s="94" t="s">
        <v>189</v>
      </c>
      <c r="J167" s="95" t="s">
        <v>222</v>
      </c>
      <c r="K167" s="96">
        <v>10.9</v>
      </c>
      <c r="L167" s="96">
        <f>K167*VLOOKUP(H167,dagsoorttabel1,2,FALSE)</f>
        <v>8.384615384615385</v>
      </c>
      <c r="M167" s="97">
        <f>prodnorm18</f>
        <v>0</v>
      </c>
      <c r="N167" s="94" t="s">
        <v>103</v>
      </c>
      <c r="O167" s="26">
        <f>uurtarief18</f>
        <v>0</v>
      </c>
      <c r="P167" s="96" t="e">
        <f>IF(ISBLANK(M167),0,L167/ROUND(M167,4))</f>
        <v>#DIV/0!</v>
      </c>
      <c r="Q167" s="26" t="e">
        <f>ROUND(O167,2)*P167</f>
        <v>#DIV/0!</v>
      </c>
      <c r="R167" s="96" t="e">
        <f>P167*dagenperjaar1</f>
        <v>#DIV/0!</v>
      </c>
      <c r="S167" s="27" t="e">
        <f>R167*ROUND(O167,2)</f>
        <v>#DIV/0!</v>
      </c>
    </row>
    <row r="168" spans="1:19" x14ac:dyDescent="0.25">
      <c r="A168" s="93" t="s">
        <v>239</v>
      </c>
      <c r="B168" s="94" t="s">
        <v>451</v>
      </c>
      <c r="C168" s="94" t="s">
        <v>241</v>
      </c>
      <c r="D168" s="94" t="s">
        <v>456</v>
      </c>
      <c r="E168" s="95" t="s">
        <v>457</v>
      </c>
      <c r="F168" s="94" t="s">
        <v>244</v>
      </c>
      <c r="G168" s="94" t="s">
        <v>209</v>
      </c>
      <c r="H168" s="94" t="s">
        <v>11</v>
      </c>
      <c r="I168" s="94" t="s">
        <v>189</v>
      </c>
      <c r="J168" s="95" t="s">
        <v>210</v>
      </c>
      <c r="K168" s="96">
        <v>12.2</v>
      </c>
      <c r="L168" s="96">
        <f>K168*VLOOKUP(H168,dagsoorttabel1,2,FALSE)</f>
        <v>9.384615384615385</v>
      </c>
      <c r="M168" s="97">
        <f>prodnorm12</f>
        <v>0</v>
      </c>
      <c r="N168" s="94" t="s">
        <v>103</v>
      </c>
      <c r="O168" s="26">
        <f>uurtarief12</f>
        <v>0</v>
      </c>
      <c r="P168" s="96" t="e">
        <f>IF(ISBLANK(M168),0,L168/ROUND(M168,4))</f>
        <v>#DIV/0!</v>
      </c>
      <c r="Q168" s="26" t="e">
        <f>ROUND(O168,2)*P168</f>
        <v>#DIV/0!</v>
      </c>
      <c r="R168" s="96" t="e">
        <f>P168*dagenperjaar1</f>
        <v>#DIV/0!</v>
      </c>
      <c r="S168" s="27" t="e">
        <f>R168*ROUND(O168,2)</f>
        <v>#DIV/0!</v>
      </c>
    </row>
    <row r="169" spans="1:19" x14ac:dyDescent="0.25">
      <c r="A169" s="93" t="s">
        <v>239</v>
      </c>
      <c r="B169" s="94" t="s">
        <v>451</v>
      </c>
      <c r="C169" s="94" t="s">
        <v>241</v>
      </c>
      <c r="D169" s="94" t="s">
        <v>458</v>
      </c>
      <c r="E169" s="95" t="s">
        <v>459</v>
      </c>
      <c r="F169" s="94" t="s">
        <v>244</v>
      </c>
      <c r="G169" s="94" t="s">
        <v>209</v>
      </c>
      <c r="H169" s="94" t="s">
        <v>11</v>
      </c>
      <c r="I169" s="94" t="s">
        <v>189</v>
      </c>
      <c r="J169" s="95" t="s">
        <v>210</v>
      </c>
      <c r="K169" s="96">
        <v>33.1</v>
      </c>
      <c r="L169" s="96">
        <f>K169*VLOOKUP(H169,dagsoorttabel1,2,FALSE)</f>
        <v>25.461538461538463</v>
      </c>
      <c r="M169" s="97">
        <f>prodnorm12</f>
        <v>0</v>
      </c>
      <c r="N169" s="94" t="s">
        <v>103</v>
      </c>
      <c r="O169" s="26">
        <f>uurtarief12</f>
        <v>0</v>
      </c>
      <c r="P169" s="96" t="e">
        <f>IF(ISBLANK(M169),0,L169/ROUND(M169,4))</f>
        <v>#DIV/0!</v>
      </c>
      <c r="Q169" s="26" t="e">
        <f>ROUND(O169,2)*P169</f>
        <v>#DIV/0!</v>
      </c>
      <c r="R169" s="96" t="e">
        <f>P169*dagenperjaar1</f>
        <v>#DIV/0!</v>
      </c>
      <c r="S169" s="27" t="e">
        <f>R169*ROUND(O169,2)</f>
        <v>#DIV/0!</v>
      </c>
    </row>
    <row r="170" spans="1:19" ht="30" x14ac:dyDescent="0.25">
      <c r="A170" s="93" t="s">
        <v>239</v>
      </c>
      <c r="B170" s="94" t="s">
        <v>451</v>
      </c>
      <c r="C170" s="94" t="s">
        <v>241</v>
      </c>
      <c r="D170" s="94" t="s">
        <v>460</v>
      </c>
      <c r="E170" s="95" t="s">
        <v>243</v>
      </c>
      <c r="F170" s="94" t="s">
        <v>244</v>
      </c>
      <c r="G170" s="94" t="s">
        <v>225</v>
      </c>
      <c r="H170" s="94" t="s">
        <v>11</v>
      </c>
      <c r="I170" s="94" t="s">
        <v>189</v>
      </c>
      <c r="J170" s="95" t="s">
        <v>226</v>
      </c>
      <c r="K170" s="96">
        <v>20.2</v>
      </c>
      <c r="L170" s="96">
        <f>K170*VLOOKUP(H170,dagsoorttabel1,2,FALSE)</f>
        <v>15.538461538461538</v>
      </c>
      <c r="M170" s="97">
        <f>prodnorm20</f>
        <v>0</v>
      </c>
      <c r="N170" s="94" t="s">
        <v>103</v>
      </c>
      <c r="O170" s="26">
        <f>uurtarief20</f>
        <v>0</v>
      </c>
      <c r="P170" s="96" t="e">
        <f>IF(ISBLANK(M170),0,L170/ROUND(M170,4))</f>
        <v>#DIV/0!</v>
      </c>
      <c r="Q170" s="26" t="e">
        <f>ROUND(O170,2)*P170</f>
        <v>#DIV/0!</v>
      </c>
      <c r="R170" s="96" t="e">
        <f>P170*dagenperjaar1</f>
        <v>#DIV/0!</v>
      </c>
      <c r="S170" s="27" t="e">
        <f>R170*ROUND(O170,2)</f>
        <v>#DIV/0!</v>
      </c>
    </row>
    <row r="171" spans="1:19" x14ac:dyDescent="0.25">
      <c r="A171" s="93" t="s">
        <v>239</v>
      </c>
      <c r="B171" s="94" t="s">
        <v>451</v>
      </c>
      <c r="C171" s="94" t="s">
        <v>241</v>
      </c>
      <c r="D171" s="94" t="s">
        <v>461</v>
      </c>
      <c r="E171" s="95" t="s">
        <v>341</v>
      </c>
      <c r="F171" s="94" t="s">
        <v>244</v>
      </c>
      <c r="G171" s="94" t="s">
        <v>248</v>
      </c>
      <c r="H171" s="94"/>
      <c r="I171" s="94"/>
      <c r="J171" s="94"/>
      <c r="K171" s="96">
        <v>3.1</v>
      </c>
      <c r="L171" s="96"/>
      <c r="M171" s="97"/>
      <c r="N171" s="94"/>
      <c r="O171" s="26"/>
      <c r="P171" s="96"/>
      <c r="Q171" s="26"/>
      <c r="R171" s="98"/>
      <c r="S171" s="27"/>
    </row>
    <row r="172" spans="1:19" x14ac:dyDescent="0.25">
      <c r="A172" s="93" t="s">
        <v>239</v>
      </c>
      <c r="B172" s="94" t="s">
        <v>451</v>
      </c>
      <c r="C172" s="94" t="s">
        <v>241</v>
      </c>
      <c r="D172" s="94" t="s">
        <v>461</v>
      </c>
      <c r="E172" s="95" t="s">
        <v>268</v>
      </c>
      <c r="F172" s="94" t="s">
        <v>269</v>
      </c>
      <c r="G172" s="94" t="s">
        <v>201</v>
      </c>
      <c r="H172" s="94" t="s">
        <v>11</v>
      </c>
      <c r="I172" s="94" t="s">
        <v>189</v>
      </c>
      <c r="J172" s="95" t="s">
        <v>202</v>
      </c>
      <c r="K172" s="96">
        <v>3.36</v>
      </c>
      <c r="L172" s="96">
        <f>K172*VLOOKUP(H172,dagsoorttabel1,2,FALSE)</f>
        <v>2.5846153846153848</v>
      </c>
      <c r="M172" s="97">
        <f>prodnorm8</f>
        <v>0</v>
      </c>
      <c r="N172" s="94" t="s">
        <v>103</v>
      </c>
      <c r="O172" s="26">
        <f>uurtarief8</f>
        <v>0</v>
      </c>
      <c r="P172" s="96" t="e">
        <f>IF(ISBLANK(M172),0,L172/ROUND(M172,4))</f>
        <v>#DIV/0!</v>
      </c>
      <c r="Q172" s="26" t="e">
        <f>ROUND(O172,2)*P172</f>
        <v>#DIV/0!</v>
      </c>
      <c r="R172" s="96" t="e">
        <f>P172*dagenperjaar1</f>
        <v>#DIV/0!</v>
      </c>
      <c r="S172" s="27" t="e">
        <f>R172*ROUND(O172,2)</f>
        <v>#DIV/0!</v>
      </c>
    </row>
    <row r="173" spans="1:19" x14ac:dyDescent="0.25">
      <c r="A173" s="93" t="s">
        <v>239</v>
      </c>
      <c r="B173" s="94" t="s">
        <v>451</v>
      </c>
      <c r="C173" s="94" t="s">
        <v>241</v>
      </c>
      <c r="D173" s="94" t="s">
        <v>462</v>
      </c>
      <c r="E173" s="95" t="s">
        <v>459</v>
      </c>
      <c r="F173" s="94" t="s">
        <v>244</v>
      </c>
      <c r="G173" s="94" t="s">
        <v>209</v>
      </c>
      <c r="H173" s="94" t="s">
        <v>11</v>
      </c>
      <c r="I173" s="94" t="s">
        <v>189</v>
      </c>
      <c r="J173" s="95" t="s">
        <v>210</v>
      </c>
      <c r="K173" s="96">
        <v>33.1</v>
      </c>
      <c r="L173" s="96">
        <f>K173*VLOOKUP(H173,dagsoorttabel1,2,FALSE)</f>
        <v>25.461538461538463</v>
      </c>
      <c r="M173" s="97">
        <f>prodnorm12</f>
        <v>0</v>
      </c>
      <c r="N173" s="94" t="s">
        <v>103</v>
      </c>
      <c r="O173" s="26">
        <f>uurtarief12</f>
        <v>0</v>
      </c>
      <c r="P173" s="96" t="e">
        <f>IF(ISBLANK(M173),0,L173/ROUND(M173,4))</f>
        <v>#DIV/0!</v>
      </c>
      <c r="Q173" s="26" t="e">
        <f>ROUND(O173,2)*P173</f>
        <v>#DIV/0!</v>
      </c>
      <c r="R173" s="96" t="e">
        <f>P173*dagenperjaar1</f>
        <v>#DIV/0!</v>
      </c>
      <c r="S173" s="27" t="e">
        <f>R173*ROUND(O173,2)</f>
        <v>#DIV/0!</v>
      </c>
    </row>
    <row r="174" spans="1:19" x14ac:dyDescent="0.25">
      <c r="A174" s="93" t="s">
        <v>239</v>
      </c>
      <c r="B174" s="94" t="s">
        <v>451</v>
      </c>
      <c r="C174" s="94" t="s">
        <v>241</v>
      </c>
      <c r="D174" s="94" t="s">
        <v>463</v>
      </c>
      <c r="E174" s="95" t="s">
        <v>459</v>
      </c>
      <c r="F174" s="94" t="s">
        <v>244</v>
      </c>
      <c r="G174" s="94" t="s">
        <v>209</v>
      </c>
      <c r="H174" s="94" t="s">
        <v>11</v>
      </c>
      <c r="I174" s="94" t="s">
        <v>189</v>
      </c>
      <c r="J174" s="95" t="s">
        <v>210</v>
      </c>
      <c r="K174" s="96">
        <v>35.549999999999997</v>
      </c>
      <c r="L174" s="96">
        <f>K174*VLOOKUP(H174,dagsoorttabel1,2,FALSE)</f>
        <v>27.346153846153847</v>
      </c>
      <c r="M174" s="97">
        <f>prodnorm12</f>
        <v>0</v>
      </c>
      <c r="N174" s="94" t="s">
        <v>103</v>
      </c>
      <c r="O174" s="26">
        <f>uurtarief12</f>
        <v>0</v>
      </c>
      <c r="P174" s="96" t="e">
        <f>IF(ISBLANK(M174),0,L174/ROUND(M174,4))</f>
        <v>#DIV/0!</v>
      </c>
      <c r="Q174" s="26" t="e">
        <f>ROUND(O174,2)*P174</f>
        <v>#DIV/0!</v>
      </c>
      <c r="R174" s="96" t="e">
        <f>P174*dagenperjaar1</f>
        <v>#DIV/0!</v>
      </c>
      <c r="S174" s="27" t="e">
        <f>R174*ROUND(O174,2)</f>
        <v>#DIV/0!</v>
      </c>
    </row>
    <row r="175" spans="1:19" ht="30" x14ac:dyDescent="0.25">
      <c r="A175" s="93" t="s">
        <v>239</v>
      </c>
      <c r="B175" s="94" t="s">
        <v>451</v>
      </c>
      <c r="C175" s="94" t="s">
        <v>241</v>
      </c>
      <c r="D175" s="94" t="s">
        <v>464</v>
      </c>
      <c r="E175" s="95" t="s">
        <v>243</v>
      </c>
      <c r="F175" s="94" t="s">
        <v>244</v>
      </c>
      <c r="G175" s="94" t="s">
        <v>225</v>
      </c>
      <c r="H175" s="94" t="s">
        <v>11</v>
      </c>
      <c r="I175" s="94" t="s">
        <v>189</v>
      </c>
      <c r="J175" s="95" t="s">
        <v>226</v>
      </c>
      <c r="K175" s="96">
        <v>9.75</v>
      </c>
      <c r="L175" s="96">
        <f>K175*VLOOKUP(H175,dagsoorttabel1,2,FALSE)</f>
        <v>7.5</v>
      </c>
      <c r="M175" s="97">
        <f>prodnorm20</f>
        <v>0</v>
      </c>
      <c r="N175" s="94" t="s">
        <v>103</v>
      </c>
      <c r="O175" s="26">
        <f>uurtarief20</f>
        <v>0</v>
      </c>
      <c r="P175" s="96" t="e">
        <f>IF(ISBLANK(M175),0,L175/ROUND(M175,4))</f>
        <v>#DIV/0!</v>
      </c>
      <c r="Q175" s="26" t="e">
        <f>ROUND(O175,2)*P175</f>
        <v>#DIV/0!</v>
      </c>
      <c r="R175" s="96" t="e">
        <f>P175*dagenperjaar1</f>
        <v>#DIV/0!</v>
      </c>
      <c r="S175" s="27" t="e">
        <f>R175*ROUND(O175,2)</f>
        <v>#DIV/0!</v>
      </c>
    </row>
    <row r="176" spans="1:19" x14ac:dyDescent="0.25">
      <c r="A176" s="93" t="s">
        <v>239</v>
      </c>
      <c r="B176" s="94" t="s">
        <v>451</v>
      </c>
      <c r="C176" s="94" t="s">
        <v>241</v>
      </c>
      <c r="D176" s="94" t="s">
        <v>465</v>
      </c>
      <c r="E176" s="95" t="s">
        <v>466</v>
      </c>
      <c r="F176" s="94" t="s">
        <v>244</v>
      </c>
      <c r="G176" s="94" t="s">
        <v>248</v>
      </c>
      <c r="H176" s="94"/>
      <c r="I176" s="94"/>
      <c r="J176" s="94"/>
      <c r="K176" s="96">
        <v>7.1899999999999995</v>
      </c>
      <c r="L176" s="96"/>
      <c r="M176" s="97"/>
      <c r="N176" s="94"/>
      <c r="O176" s="26"/>
      <c r="P176" s="96"/>
      <c r="Q176" s="26"/>
      <c r="R176" s="98"/>
      <c r="S176" s="27"/>
    </row>
    <row r="177" spans="1:19" x14ac:dyDescent="0.25">
      <c r="A177" s="93" t="s">
        <v>239</v>
      </c>
      <c r="B177" s="94" t="s">
        <v>451</v>
      </c>
      <c r="C177" s="94" t="s">
        <v>241</v>
      </c>
      <c r="D177" s="94" t="s">
        <v>467</v>
      </c>
      <c r="E177" s="95" t="s">
        <v>459</v>
      </c>
      <c r="F177" s="94" t="s">
        <v>244</v>
      </c>
      <c r="G177" s="94" t="s">
        <v>209</v>
      </c>
      <c r="H177" s="94" t="s">
        <v>11</v>
      </c>
      <c r="I177" s="94" t="s">
        <v>189</v>
      </c>
      <c r="J177" s="95" t="s">
        <v>210</v>
      </c>
      <c r="K177" s="96">
        <v>35.549999999999997</v>
      </c>
      <c r="L177" s="96">
        <f>K177*VLOOKUP(H177,dagsoorttabel1,2,FALSE)</f>
        <v>27.346153846153847</v>
      </c>
      <c r="M177" s="97">
        <f>prodnorm12</f>
        <v>0</v>
      </c>
      <c r="N177" s="94" t="s">
        <v>103</v>
      </c>
      <c r="O177" s="26">
        <f>uurtarief12</f>
        <v>0</v>
      </c>
      <c r="P177" s="96" t="e">
        <f>IF(ISBLANK(M177),0,L177/ROUND(M177,4))</f>
        <v>#DIV/0!</v>
      </c>
      <c r="Q177" s="26" t="e">
        <f>ROUND(O177,2)*P177</f>
        <v>#DIV/0!</v>
      </c>
      <c r="R177" s="96" t="e">
        <f>P177*dagenperjaar1</f>
        <v>#DIV/0!</v>
      </c>
      <c r="S177" s="27" t="e">
        <f>R177*ROUND(O177,2)</f>
        <v>#DIV/0!</v>
      </c>
    </row>
    <row r="178" spans="1:19" x14ac:dyDescent="0.25">
      <c r="A178" s="93" t="s">
        <v>239</v>
      </c>
      <c r="B178" s="94" t="s">
        <v>451</v>
      </c>
      <c r="C178" s="94" t="s">
        <v>241</v>
      </c>
      <c r="D178" s="94" t="s">
        <v>468</v>
      </c>
      <c r="E178" s="95" t="s">
        <v>276</v>
      </c>
      <c r="F178" s="94" t="s">
        <v>244</v>
      </c>
      <c r="G178" s="94" t="s">
        <v>209</v>
      </c>
      <c r="H178" s="94" t="s">
        <v>11</v>
      </c>
      <c r="I178" s="94" t="s">
        <v>189</v>
      </c>
      <c r="J178" s="95" t="s">
        <v>210</v>
      </c>
      <c r="K178" s="96">
        <v>35.549999999999997</v>
      </c>
      <c r="L178" s="96">
        <f>K178*VLOOKUP(H178,dagsoorttabel1,2,FALSE)</f>
        <v>27.346153846153847</v>
      </c>
      <c r="M178" s="97">
        <f>prodnorm12</f>
        <v>0</v>
      </c>
      <c r="N178" s="94" t="s">
        <v>103</v>
      </c>
      <c r="O178" s="26">
        <f>uurtarief12</f>
        <v>0</v>
      </c>
      <c r="P178" s="96" t="e">
        <f>IF(ISBLANK(M178),0,L178/ROUND(M178,4))</f>
        <v>#DIV/0!</v>
      </c>
      <c r="Q178" s="26" t="e">
        <f>ROUND(O178,2)*P178</f>
        <v>#DIV/0!</v>
      </c>
      <c r="R178" s="96" t="e">
        <f>P178*dagenperjaar1</f>
        <v>#DIV/0!</v>
      </c>
      <c r="S178" s="27" t="e">
        <f>R178*ROUND(O178,2)</f>
        <v>#DIV/0!</v>
      </c>
    </row>
    <row r="179" spans="1:19" ht="30" x14ac:dyDescent="0.25">
      <c r="A179" s="93" t="s">
        <v>239</v>
      </c>
      <c r="B179" s="94" t="s">
        <v>451</v>
      </c>
      <c r="C179" s="94" t="s">
        <v>241</v>
      </c>
      <c r="D179" s="94" t="s">
        <v>469</v>
      </c>
      <c r="E179" s="95" t="s">
        <v>243</v>
      </c>
      <c r="F179" s="94" t="s">
        <v>244</v>
      </c>
      <c r="G179" s="94" t="s">
        <v>225</v>
      </c>
      <c r="H179" s="94" t="s">
        <v>11</v>
      </c>
      <c r="I179" s="94" t="s">
        <v>189</v>
      </c>
      <c r="J179" s="95" t="s">
        <v>226</v>
      </c>
      <c r="K179" s="96">
        <v>9.75</v>
      </c>
      <c r="L179" s="96">
        <f>K179*VLOOKUP(H179,dagsoorttabel1,2,FALSE)</f>
        <v>7.5</v>
      </c>
      <c r="M179" s="97">
        <f>prodnorm20</f>
        <v>0</v>
      </c>
      <c r="N179" s="94" t="s">
        <v>103</v>
      </c>
      <c r="O179" s="26">
        <f>uurtarief20</f>
        <v>0</v>
      </c>
      <c r="P179" s="96" t="e">
        <f>IF(ISBLANK(M179),0,L179/ROUND(M179,4))</f>
        <v>#DIV/0!</v>
      </c>
      <c r="Q179" s="26" t="e">
        <f>ROUND(O179,2)*P179</f>
        <v>#DIV/0!</v>
      </c>
      <c r="R179" s="96" t="e">
        <f>P179*dagenperjaar1</f>
        <v>#DIV/0!</v>
      </c>
      <c r="S179" s="27" t="e">
        <f>R179*ROUND(O179,2)</f>
        <v>#DIV/0!</v>
      </c>
    </row>
    <row r="180" spans="1:19" x14ac:dyDescent="0.25">
      <c r="A180" s="93" t="s">
        <v>239</v>
      </c>
      <c r="B180" s="94" t="s">
        <v>451</v>
      </c>
      <c r="C180" s="94" t="s">
        <v>241</v>
      </c>
      <c r="D180" s="94" t="s">
        <v>470</v>
      </c>
      <c r="E180" s="95" t="s">
        <v>471</v>
      </c>
      <c r="F180" s="94" t="s">
        <v>244</v>
      </c>
      <c r="G180" s="94" t="s">
        <v>248</v>
      </c>
      <c r="H180" s="94"/>
      <c r="I180" s="94"/>
      <c r="J180" s="94"/>
      <c r="K180" s="96">
        <v>7.1899999999999995</v>
      </c>
      <c r="L180" s="96"/>
      <c r="M180" s="97"/>
      <c r="N180" s="94"/>
      <c r="O180" s="26"/>
      <c r="P180" s="96"/>
      <c r="Q180" s="26"/>
      <c r="R180" s="98"/>
      <c r="S180" s="27"/>
    </row>
    <row r="181" spans="1:19" x14ac:dyDescent="0.25">
      <c r="A181" s="93" t="s">
        <v>239</v>
      </c>
      <c r="B181" s="94" t="s">
        <v>451</v>
      </c>
      <c r="C181" s="94" t="s">
        <v>241</v>
      </c>
      <c r="D181" s="94" t="s">
        <v>472</v>
      </c>
      <c r="E181" s="95" t="s">
        <v>459</v>
      </c>
      <c r="F181" s="94" t="s">
        <v>244</v>
      </c>
      <c r="G181" s="94" t="s">
        <v>209</v>
      </c>
      <c r="H181" s="94" t="s">
        <v>11</v>
      </c>
      <c r="I181" s="94" t="s">
        <v>189</v>
      </c>
      <c r="J181" s="95" t="s">
        <v>210</v>
      </c>
      <c r="K181" s="96">
        <v>35.549999999999997</v>
      </c>
      <c r="L181" s="96">
        <f>K181*VLOOKUP(H181,dagsoorttabel1,2,FALSE)</f>
        <v>27.346153846153847</v>
      </c>
      <c r="M181" s="97">
        <f>prodnorm12</f>
        <v>0</v>
      </c>
      <c r="N181" s="94" t="s">
        <v>103</v>
      </c>
      <c r="O181" s="26">
        <f>uurtarief12</f>
        <v>0</v>
      </c>
      <c r="P181" s="96" t="e">
        <f>IF(ISBLANK(M181),0,L181/ROUND(M181,4))</f>
        <v>#DIV/0!</v>
      </c>
      <c r="Q181" s="26" t="e">
        <f>ROUND(O181,2)*P181</f>
        <v>#DIV/0!</v>
      </c>
      <c r="R181" s="96" t="e">
        <f>P181*dagenperjaar1</f>
        <v>#DIV/0!</v>
      </c>
      <c r="S181" s="27" t="e">
        <f>R181*ROUND(O181,2)</f>
        <v>#DIV/0!</v>
      </c>
    </row>
    <row r="182" spans="1:19" x14ac:dyDescent="0.25">
      <c r="A182" s="93" t="s">
        <v>239</v>
      </c>
      <c r="B182" s="94" t="s">
        <v>451</v>
      </c>
      <c r="C182" s="94" t="s">
        <v>285</v>
      </c>
      <c r="D182" s="94" t="s">
        <v>473</v>
      </c>
      <c r="E182" s="95" t="s">
        <v>459</v>
      </c>
      <c r="F182" s="94" t="s">
        <v>244</v>
      </c>
      <c r="G182" s="94" t="s">
        <v>209</v>
      </c>
      <c r="H182" s="94" t="s">
        <v>11</v>
      </c>
      <c r="I182" s="94" t="s">
        <v>189</v>
      </c>
      <c r="J182" s="95" t="s">
        <v>210</v>
      </c>
      <c r="K182" s="96">
        <v>33.1</v>
      </c>
      <c r="L182" s="96">
        <f>K182*VLOOKUP(H182,dagsoorttabel1,2,FALSE)</f>
        <v>25.461538461538463</v>
      </c>
      <c r="M182" s="97">
        <f>prodnorm12</f>
        <v>0</v>
      </c>
      <c r="N182" s="94" t="s">
        <v>103</v>
      </c>
      <c r="O182" s="26">
        <f>uurtarief12</f>
        <v>0</v>
      </c>
      <c r="P182" s="96" t="e">
        <f>IF(ISBLANK(M182),0,L182/ROUND(M182,4))</f>
        <v>#DIV/0!</v>
      </c>
      <c r="Q182" s="26" t="e">
        <f>ROUND(O182,2)*P182</f>
        <v>#DIV/0!</v>
      </c>
      <c r="R182" s="96" t="e">
        <f>P182*dagenperjaar1</f>
        <v>#DIV/0!</v>
      </c>
      <c r="S182" s="27" t="e">
        <f>R182*ROUND(O182,2)</f>
        <v>#DIV/0!</v>
      </c>
    </row>
    <row r="183" spans="1:19" ht="30" x14ac:dyDescent="0.25">
      <c r="A183" s="93" t="s">
        <v>239</v>
      </c>
      <c r="B183" s="94" t="s">
        <v>451</v>
      </c>
      <c r="C183" s="94" t="s">
        <v>285</v>
      </c>
      <c r="D183" s="94" t="s">
        <v>474</v>
      </c>
      <c r="E183" s="95" t="s">
        <v>243</v>
      </c>
      <c r="F183" s="94" t="s">
        <v>244</v>
      </c>
      <c r="G183" s="94" t="s">
        <v>225</v>
      </c>
      <c r="H183" s="94" t="s">
        <v>11</v>
      </c>
      <c r="I183" s="94" t="s">
        <v>189</v>
      </c>
      <c r="J183" s="95" t="s">
        <v>226</v>
      </c>
      <c r="K183" s="96">
        <v>26.2</v>
      </c>
      <c r="L183" s="96">
        <f>K183*VLOOKUP(H183,dagsoorttabel1,2,FALSE)</f>
        <v>20.153846153846153</v>
      </c>
      <c r="M183" s="97">
        <f>prodnorm20</f>
        <v>0</v>
      </c>
      <c r="N183" s="94" t="s">
        <v>103</v>
      </c>
      <c r="O183" s="26">
        <f>uurtarief20</f>
        <v>0</v>
      </c>
      <c r="P183" s="96" t="e">
        <f>IF(ISBLANK(M183),0,L183/ROUND(M183,4))</f>
        <v>#DIV/0!</v>
      </c>
      <c r="Q183" s="26" t="e">
        <f>ROUND(O183,2)*P183</f>
        <v>#DIV/0!</v>
      </c>
      <c r="R183" s="96" t="e">
        <f>P183*dagenperjaar1</f>
        <v>#DIV/0!</v>
      </c>
      <c r="S183" s="27" t="e">
        <f>R183*ROUND(O183,2)</f>
        <v>#DIV/0!</v>
      </c>
    </row>
    <row r="184" spans="1:19" x14ac:dyDescent="0.25">
      <c r="A184" s="93" t="s">
        <v>239</v>
      </c>
      <c r="B184" s="94" t="s">
        <v>451</v>
      </c>
      <c r="C184" s="94" t="s">
        <v>285</v>
      </c>
      <c r="D184" s="94" t="s">
        <v>475</v>
      </c>
      <c r="E184" s="95" t="s">
        <v>254</v>
      </c>
      <c r="F184" s="94" t="s">
        <v>244</v>
      </c>
      <c r="G184" s="94" t="s">
        <v>221</v>
      </c>
      <c r="H184" s="94" t="s">
        <v>11</v>
      </c>
      <c r="I184" s="94" t="s">
        <v>189</v>
      </c>
      <c r="J184" s="95" t="s">
        <v>222</v>
      </c>
      <c r="K184" s="96">
        <v>10.9</v>
      </c>
      <c r="L184" s="96">
        <f>K184*VLOOKUP(H184,dagsoorttabel1,2,FALSE)</f>
        <v>8.384615384615385</v>
      </c>
      <c r="M184" s="97">
        <f>prodnorm18</f>
        <v>0</v>
      </c>
      <c r="N184" s="94" t="s">
        <v>103</v>
      </c>
      <c r="O184" s="26">
        <f>uurtarief18</f>
        <v>0</v>
      </c>
      <c r="P184" s="96" t="e">
        <f>IF(ISBLANK(M184),0,L184/ROUND(M184,4))</f>
        <v>#DIV/0!</v>
      </c>
      <c r="Q184" s="26" t="e">
        <f>ROUND(O184,2)*P184</f>
        <v>#DIV/0!</v>
      </c>
      <c r="R184" s="96" t="e">
        <f>P184*dagenperjaar1</f>
        <v>#DIV/0!</v>
      </c>
      <c r="S184" s="27" t="e">
        <f>R184*ROUND(O184,2)</f>
        <v>#DIV/0!</v>
      </c>
    </row>
    <row r="185" spans="1:19" ht="30" x14ac:dyDescent="0.25">
      <c r="A185" s="93" t="s">
        <v>239</v>
      </c>
      <c r="B185" s="94" t="s">
        <v>451</v>
      </c>
      <c r="C185" s="94" t="s">
        <v>285</v>
      </c>
      <c r="D185" s="94" t="s">
        <v>476</v>
      </c>
      <c r="E185" s="95" t="s">
        <v>274</v>
      </c>
      <c r="F185" s="94" t="s">
        <v>244</v>
      </c>
      <c r="G185" s="94" t="s">
        <v>191</v>
      </c>
      <c r="H185" s="94" t="s">
        <v>11</v>
      </c>
      <c r="I185" s="94" t="s">
        <v>189</v>
      </c>
      <c r="J185" s="95" t="s">
        <v>192</v>
      </c>
      <c r="K185" s="96">
        <v>12.2</v>
      </c>
      <c r="L185" s="96">
        <f>K185*VLOOKUP(H185,dagsoorttabel1,2,FALSE)</f>
        <v>9.384615384615385</v>
      </c>
      <c r="M185" s="97">
        <f>prodnorm3</f>
        <v>0</v>
      </c>
      <c r="N185" s="94" t="s">
        <v>103</v>
      </c>
      <c r="O185" s="26">
        <f>uurtarief3</f>
        <v>0</v>
      </c>
      <c r="P185" s="96" t="e">
        <f>IF(ISBLANK(M185),0,L185/ROUND(M185,4))</f>
        <v>#DIV/0!</v>
      </c>
      <c r="Q185" s="26" t="e">
        <f>ROUND(O185,2)*P185</f>
        <v>#DIV/0!</v>
      </c>
      <c r="R185" s="96" t="e">
        <f>P185*dagenperjaar1</f>
        <v>#DIV/0!</v>
      </c>
      <c r="S185" s="27" t="e">
        <f>R185*ROUND(O185,2)</f>
        <v>#DIV/0!</v>
      </c>
    </row>
    <row r="186" spans="1:19" ht="30" x14ac:dyDescent="0.25">
      <c r="A186" s="93" t="s">
        <v>239</v>
      </c>
      <c r="B186" s="94" t="s">
        <v>451</v>
      </c>
      <c r="C186" s="94" t="s">
        <v>285</v>
      </c>
      <c r="D186" s="94" t="s">
        <v>477</v>
      </c>
      <c r="E186" s="95" t="s">
        <v>478</v>
      </c>
      <c r="F186" s="94" t="s">
        <v>244</v>
      </c>
      <c r="G186" s="94" t="s">
        <v>225</v>
      </c>
      <c r="H186" s="94" t="s">
        <v>11</v>
      </c>
      <c r="I186" s="94" t="s">
        <v>189</v>
      </c>
      <c r="J186" s="95" t="s">
        <v>226</v>
      </c>
      <c r="K186" s="96">
        <v>33.1</v>
      </c>
      <c r="L186" s="96">
        <f>K186*VLOOKUP(H186,dagsoorttabel1,2,FALSE)</f>
        <v>25.461538461538463</v>
      </c>
      <c r="M186" s="97">
        <f>prodnorm20</f>
        <v>0</v>
      </c>
      <c r="N186" s="94" t="s">
        <v>103</v>
      </c>
      <c r="O186" s="26">
        <f>uurtarief20</f>
        <v>0</v>
      </c>
      <c r="P186" s="96" t="e">
        <f>IF(ISBLANK(M186),0,L186/ROUND(M186,4))</f>
        <v>#DIV/0!</v>
      </c>
      <c r="Q186" s="26" t="e">
        <f>ROUND(O186,2)*P186</f>
        <v>#DIV/0!</v>
      </c>
      <c r="R186" s="96" t="e">
        <f>P186*dagenperjaar1</f>
        <v>#DIV/0!</v>
      </c>
      <c r="S186" s="27" t="e">
        <f>R186*ROUND(O186,2)</f>
        <v>#DIV/0!</v>
      </c>
    </row>
    <row r="187" spans="1:19" ht="30" x14ac:dyDescent="0.25">
      <c r="A187" s="93" t="s">
        <v>239</v>
      </c>
      <c r="B187" s="94" t="s">
        <v>451</v>
      </c>
      <c r="C187" s="94" t="s">
        <v>285</v>
      </c>
      <c r="D187" s="94" t="s">
        <v>479</v>
      </c>
      <c r="E187" s="95" t="s">
        <v>391</v>
      </c>
      <c r="F187" s="94" t="s">
        <v>244</v>
      </c>
      <c r="G187" s="94" t="s">
        <v>225</v>
      </c>
      <c r="H187" s="94" t="s">
        <v>11</v>
      </c>
      <c r="I187" s="94" t="s">
        <v>189</v>
      </c>
      <c r="J187" s="95" t="s">
        <v>226</v>
      </c>
      <c r="K187" s="96">
        <v>4.5</v>
      </c>
      <c r="L187" s="96">
        <f>K187*VLOOKUP(H187,dagsoorttabel1,2,FALSE)</f>
        <v>3.4615384615384617</v>
      </c>
      <c r="M187" s="97">
        <f>prodnorm20</f>
        <v>0</v>
      </c>
      <c r="N187" s="94" t="s">
        <v>103</v>
      </c>
      <c r="O187" s="26">
        <f>uurtarief20</f>
        <v>0</v>
      </c>
      <c r="P187" s="96" t="e">
        <f>IF(ISBLANK(M187),0,L187/ROUND(M187,4))</f>
        <v>#DIV/0!</v>
      </c>
      <c r="Q187" s="26" t="e">
        <f>ROUND(O187,2)*P187</f>
        <v>#DIV/0!</v>
      </c>
      <c r="R187" s="96" t="e">
        <f>P187*dagenperjaar1</f>
        <v>#DIV/0!</v>
      </c>
      <c r="S187" s="27" t="e">
        <f>R187*ROUND(O187,2)</f>
        <v>#DIV/0!</v>
      </c>
    </row>
    <row r="188" spans="1:19" ht="30" x14ac:dyDescent="0.25">
      <c r="A188" s="93" t="s">
        <v>239</v>
      </c>
      <c r="B188" s="94" t="s">
        <v>451</v>
      </c>
      <c r="C188" s="94" t="s">
        <v>285</v>
      </c>
      <c r="D188" s="94" t="s">
        <v>480</v>
      </c>
      <c r="E188" s="95" t="s">
        <v>274</v>
      </c>
      <c r="F188" s="94" t="s">
        <v>244</v>
      </c>
      <c r="G188" s="94" t="s">
        <v>191</v>
      </c>
      <c r="H188" s="94" t="s">
        <v>11</v>
      </c>
      <c r="I188" s="94" t="s">
        <v>189</v>
      </c>
      <c r="J188" s="95" t="s">
        <v>192</v>
      </c>
      <c r="K188" s="96">
        <v>12.2</v>
      </c>
      <c r="L188" s="96">
        <f>K188*VLOOKUP(H188,dagsoorttabel1,2,FALSE)</f>
        <v>9.384615384615385</v>
      </c>
      <c r="M188" s="97">
        <f>prodnorm3</f>
        <v>0</v>
      </c>
      <c r="N188" s="94" t="s">
        <v>103</v>
      </c>
      <c r="O188" s="26">
        <f>uurtarief3</f>
        <v>0</v>
      </c>
      <c r="P188" s="96" t="e">
        <f>IF(ISBLANK(M188),0,L188/ROUND(M188,4))</f>
        <v>#DIV/0!</v>
      </c>
      <c r="Q188" s="26" t="e">
        <f>ROUND(O188,2)*P188</f>
        <v>#DIV/0!</v>
      </c>
      <c r="R188" s="96" t="e">
        <f>P188*dagenperjaar1</f>
        <v>#DIV/0!</v>
      </c>
      <c r="S188" s="27" t="e">
        <f>R188*ROUND(O188,2)</f>
        <v>#DIV/0!</v>
      </c>
    </row>
    <row r="189" spans="1:19" x14ac:dyDescent="0.25">
      <c r="A189" s="93" t="s">
        <v>239</v>
      </c>
      <c r="B189" s="94" t="s">
        <v>451</v>
      </c>
      <c r="C189" s="94" t="s">
        <v>285</v>
      </c>
      <c r="D189" s="94" t="s">
        <v>481</v>
      </c>
      <c r="E189" s="95" t="s">
        <v>459</v>
      </c>
      <c r="F189" s="94" t="s">
        <v>244</v>
      </c>
      <c r="G189" s="94" t="s">
        <v>209</v>
      </c>
      <c r="H189" s="94" t="s">
        <v>11</v>
      </c>
      <c r="I189" s="94" t="s">
        <v>189</v>
      </c>
      <c r="J189" s="95" t="s">
        <v>210</v>
      </c>
      <c r="K189" s="96">
        <v>33.1</v>
      </c>
      <c r="L189" s="96">
        <f>K189*VLOOKUP(H189,dagsoorttabel1,2,FALSE)</f>
        <v>25.461538461538463</v>
      </c>
      <c r="M189" s="97">
        <f>prodnorm12</f>
        <v>0</v>
      </c>
      <c r="N189" s="94" t="s">
        <v>103</v>
      </c>
      <c r="O189" s="26">
        <f>uurtarief12</f>
        <v>0</v>
      </c>
      <c r="P189" s="96" t="e">
        <f>IF(ISBLANK(M189),0,L189/ROUND(M189,4))</f>
        <v>#DIV/0!</v>
      </c>
      <c r="Q189" s="26" t="e">
        <f>ROUND(O189,2)*P189</f>
        <v>#DIV/0!</v>
      </c>
      <c r="R189" s="96" t="e">
        <f>P189*dagenperjaar1</f>
        <v>#DIV/0!</v>
      </c>
      <c r="S189" s="27" t="e">
        <f>R189*ROUND(O189,2)</f>
        <v>#DIV/0!</v>
      </c>
    </row>
    <row r="190" spans="1:19" ht="30" x14ac:dyDescent="0.25">
      <c r="A190" s="93" t="s">
        <v>239</v>
      </c>
      <c r="B190" s="94" t="s">
        <v>451</v>
      </c>
      <c r="C190" s="94" t="s">
        <v>285</v>
      </c>
      <c r="D190" s="94" t="s">
        <v>482</v>
      </c>
      <c r="E190" s="95" t="s">
        <v>436</v>
      </c>
      <c r="F190" s="94" t="s">
        <v>244</v>
      </c>
      <c r="G190" s="94" t="s">
        <v>225</v>
      </c>
      <c r="H190" s="94" t="s">
        <v>11</v>
      </c>
      <c r="I190" s="94" t="s">
        <v>189</v>
      </c>
      <c r="J190" s="95" t="s">
        <v>226</v>
      </c>
      <c r="K190" s="96">
        <v>7.4</v>
      </c>
      <c r="L190" s="96">
        <f>K190*VLOOKUP(H190,dagsoorttabel1,2,FALSE)</f>
        <v>5.6923076923076925</v>
      </c>
      <c r="M190" s="97">
        <f>prodnorm20</f>
        <v>0</v>
      </c>
      <c r="N190" s="94" t="s">
        <v>103</v>
      </c>
      <c r="O190" s="26">
        <f>uurtarief20</f>
        <v>0</v>
      </c>
      <c r="P190" s="96" t="e">
        <f>IF(ISBLANK(M190),0,L190/ROUND(M190,4))</f>
        <v>#DIV/0!</v>
      </c>
      <c r="Q190" s="26" t="e">
        <f>ROUND(O190,2)*P190</f>
        <v>#DIV/0!</v>
      </c>
      <c r="R190" s="96" t="e">
        <f>P190*dagenperjaar1</f>
        <v>#DIV/0!</v>
      </c>
      <c r="S190" s="27" t="e">
        <f>R190*ROUND(O190,2)</f>
        <v>#DIV/0!</v>
      </c>
    </row>
    <row r="191" spans="1:19" ht="30" x14ac:dyDescent="0.25">
      <c r="A191" s="93" t="s">
        <v>239</v>
      </c>
      <c r="B191" s="94" t="s">
        <v>451</v>
      </c>
      <c r="C191" s="94" t="s">
        <v>285</v>
      </c>
      <c r="D191" s="94" t="s">
        <v>483</v>
      </c>
      <c r="E191" s="95" t="s">
        <v>436</v>
      </c>
      <c r="F191" s="94" t="s">
        <v>244</v>
      </c>
      <c r="G191" s="94" t="s">
        <v>225</v>
      </c>
      <c r="H191" s="94" t="s">
        <v>11</v>
      </c>
      <c r="I191" s="94" t="s">
        <v>189</v>
      </c>
      <c r="J191" s="95" t="s">
        <v>226</v>
      </c>
      <c r="K191" s="96">
        <v>12.8</v>
      </c>
      <c r="L191" s="96">
        <f>K191*VLOOKUP(H191,dagsoorttabel1,2,FALSE)</f>
        <v>9.8461538461538467</v>
      </c>
      <c r="M191" s="97">
        <f>prodnorm20</f>
        <v>0</v>
      </c>
      <c r="N191" s="94" t="s">
        <v>103</v>
      </c>
      <c r="O191" s="26">
        <f>uurtarief20</f>
        <v>0</v>
      </c>
      <c r="P191" s="96" t="e">
        <f>IF(ISBLANK(M191),0,L191/ROUND(M191,4))</f>
        <v>#DIV/0!</v>
      </c>
      <c r="Q191" s="26" t="e">
        <f>ROUND(O191,2)*P191</f>
        <v>#DIV/0!</v>
      </c>
      <c r="R191" s="96" t="e">
        <f>P191*dagenperjaar1</f>
        <v>#DIV/0!</v>
      </c>
      <c r="S191" s="27" t="e">
        <f>R191*ROUND(O191,2)</f>
        <v>#DIV/0!</v>
      </c>
    </row>
    <row r="192" spans="1:19" ht="30" x14ac:dyDescent="0.25">
      <c r="A192" s="93" t="s">
        <v>239</v>
      </c>
      <c r="B192" s="94" t="s">
        <v>451</v>
      </c>
      <c r="C192" s="94" t="s">
        <v>285</v>
      </c>
      <c r="D192" s="94" t="s">
        <v>484</v>
      </c>
      <c r="E192" s="95" t="s">
        <v>436</v>
      </c>
      <c r="F192" s="94" t="s">
        <v>244</v>
      </c>
      <c r="G192" s="94" t="s">
        <v>225</v>
      </c>
      <c r="H192" s="94" t="s">
        <v>11</v>
      </c>
      <c r="I192" s="94" t="s">
        <v>189</v>
      </c>
      <c r="J192" s="95" t="s">
        <v>226</v>
      </c>
      <c r="K192" s="96">
        <v>7.4</v>
      </c>
      <c r="L192" s="96">
        <f>K192*VLOOKUP(H192,dagsoorttabel1,2,FALSE)</f>
        <v>5.6923076923076925</v>
      </c>
      <c r="M192" s="97">
        <f>prodnorm20</f>
        <v>0</v>
      </c>
      <c r="N192" s="94" t="s">
        <v>103</v>
      </c>
      <c r="O192" s="26">
        <f>uurtarief20</f>
        <v>0</v>
      </c>
      <c r="P192" s="96" t="e">
        <f>IF(ISBLANK(M192),0,L192/ROUND(M192,4))</f>
        <v>#DIV/0!</v>
      </c>
      <c r="Q192" s="26" t="e">
        <f>ROUND(O192,2)*P192</f>
        <v>#DIV/0!</v>
      </c>
      <c r="R192" s="96" t="e">
        <f>P192*dagenperjaar1</f>
        <v>#DIV/0!</v>
      </c>
      <c r="S192" s="27" t="e">
        <f>R192*ROUND(O192,2)</f>
        <v>#DIV/0!</v>
      </c>
    </row>
    <row r="193" spans="1:19" ht="30" x14ac:dyDescent="0.25">
      <c r="A193" s="93" t="s">
        <v>239</v>
      </c>
      <c r="B193" s="94" t="s">
        <v>451</v>
      </c>
      <c r="C193" s="94" t="s">
        <v>285</v>
      </c>
      <c r="D193" s="94" t="s">
        <v>485</v>
      </c>
      <c r="E193" s="95" t="s">
        <v>436</v>
      </c>
      <c r="F193" s="94" t="s">
        <v>244</v>
      </c>
      <c r="G193" s="94" t="s">
        <v>225</v>
      </c>
      <c r="H193" s="94" t="s">
        <v>11</v>
      </c>
      <c r="I193" s="94" t="s">
        <v>189</v>
      </c>
      <c r="J193" s="95" t="s">
        <v>226</v>
      </c>
      <c r="K193" s="96">
        <v>7.4</v>
      </c>
      <c r="L193" s="96">
        <f>K193*VLOOKUP(H193,dagsoorttabel1,2,FALSE)</f>
        <v>5.6923076923076925</v>
      </c>
      <c r="M193" s="97">
        <f>prodnorm20</f>
        <v>0</v>
      </c>
      <c r="N193" s="94" t="s">
        <v>103</v>
      </c>
      <c r="O193" s="26">
        <f>uurtarief20</f>
        <v>0</v>
      </c>
      <c r="P193" s="96" t="e">
        <f>IF(ISBLANK(M193),0,L193/ROUND(M193,4))</f>
        <v>#DIV/0!</v>
      </c>
      <c r="Q193" s="26" t="e">
        <f>ROUND(O193,2)*P193</f>
        <v>#DIV/0!</v>
      </c>
      <c r="R193" s="96" t="e">
        <f>P193*dagenperjaar1</f>
        <v>#DIV/0!</v>
      </c>
      <c r="S193" s="27" t="e">
        <f>R193*ROUND(O193,2)</f>
        <v>#DIV/0!</v>
      </c>
    </row>
    <row r="194" spans="1:19" ht="30" x14ac:dyDescent="0.25">
      <c r="A194" s="99" t="s">
        <v>239</v>
      </c>
      <c r="B194" s="100" t="s">
        <v>451</v>
      </c>
      <c r="C194" s="100" t="s">
        <v>285</v>
      </c>
      <c r="D194" s="100" t="s">
        <v>486</v>
      </c>
      <c r="E194" s="101" t="s">
        <v>436</v>
      </c>
      <c r="F194" s="100" t="s">
        <v>244</v>
      </c>
      <c r="G194" s="100" t="s">
        <v>225</v>
      </c>
      <c r="H194" s="100" t="s">
        <v>11</v>
      </c>
      <c r="I194" s="100" t="s">
        <v>189</v>
      </c>
      <c r="J194" s="101" t="s">
        <v>226</v>
      </c>
      <c r="K194" s="102">
        <v>7.4</v>
      </c>
      <c r="L194" s="102">
        <f>K194*VLOOKUP(H194,dagsoorttabel1,2,FALSE)</f>
        <v>5.6923076923076925</v>
      </c>
      <c r="M194" s="103">
        <f>prodnorm20</f>
        <v>0</v>
      </c>
      <c r="N194" s="100" t="s">
        <v>103</v>
      </c>
      <c r="O194" s="36">
        <f>uurtarief20</f>
        <v>0</v>
      </c>
      <c r="P194" s="102" t="e">
        <f>IF(ISBLANK(M194),0,L194/ROUND(M194,4))</f>
        <v>#DIV/0!</v>
      </c>
      <c r="Q194" s="36" t="e">
        <f>ROUND(O194,2)*P194</f>
        <v>#DIV/0!</v>
      </c>
      <c r="R194" s="102" t="e">
        <f>P194*dagenperjaar1</f>
        <v>#DIV/0!</v>
      </c>
      <c r="S194" s="37" t="e">
        <f>R194*ROUND(O194,2)</f>
        <v>#DIV/0!</v>
      </c>
    </row>
    <row r="195" spans="1:19" x14ac:dyDescent="0.25">
      <c r="A195" s="104" t="s">
        <v>487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9" t="e">
        <f>IF(_xlfn.SINGLE(object1_urenjaar1)&gt;0,_xlfn.SINGLE(object1_prijsjaar1)/_xlfn.SINGLE(object1_urenjaar1),0)</f>
        <v>#DIV/0!</v>
      </c>
      <c r="P195" s="78" t="e">
        <f>SUM(P5:P194)</f>
        <v>#DIV/0!</v>
      </c>
      <c r="Q195" s="79" t="e">
        <f>SUM(Q5:Q194)</f>
        <v>#DIV/0!</v>
      </c>
      <c r="R195" s="78" t="e">
        <f>SUM(R5:R194)</f>
        <v>#DIV/0!</v>
      </c>
      <c r="S195" s="80" t="e">
        <f>SUM(S5:S194)</f>
        <v>#DIV/0!</v>
      </c>
    </row>
    <row r="196" spans="1:19" x14ac:dyDescent="0.25">
      <c r="A196" s="85" t="s">
        <v>488</v>
      </c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75"/>
    </row>
    <row r="197" spans="1:19" x14ac:dyDescent="0.25">
      <c r="A197" s="86" t="s">
        <v>489</v>
      </c>
      <c r="B197" s="87" t="s">
        <v>240</v>
      </c>
      <c r="C197" s="87" t="s">
        <v>241</v>
      </c>
      <c r="D197" s="87" t="s">
        <v>372</v>
      </c>
      <c r="E197" s="88" t="s">
        <v>387</v>
      </c>
      <c r="F197" s="87" t="s">
        <v>269</v>
      </c>
      <c r="G197" s="87" t="s">
        <v>201</v>
      </c>
      <c r="H197" s="87" t="s">
        <v>11</v>
      </c>
      <c r="I197" s="87" t="s">
        <v>189</v>
      </c>
      <c r="J197" s="88" t="s">
        <v>202</v>
      </c>
      <c r="K197" s="89">
        <v>15.55</v>
      </c>
      <c r="L197" s="89">
        <f>K197*VLOOKUP(H197,dagsoorttabel1,2,FALSE)</f>
        <v>11.961538461538463</v>
      </c>
      <c r="M197" s="90">
        <f>prodnorm8</f>
        <v>0</v>
      </c>
      <c r="N197" s="87" t="s">
        <v>103</v>
      </c>
      <c r="O197" s="91">
        <f>uurtarief8</f>
        <v>0</v>
      </c>
      <c r="P197" s="89" t="e">
        <f>IF(ISBLANK(M197),0,L197/ROUND(M197,4))</f>
        <v>#DIV/0!</v>
      </c>
      <c r="Q197" s="91" t="e">
        <f>ROUND(O197,2)*P197</f>
        <v>#DIV/0!</v>
      </c>
      <c r="R197" s="89" t="e">
        <f>P197*dagenperjaar1</f>
        <v>#DIV/0!</v>
      </c>
      <c r="S197" s="92" t="e">
        <f>R197*ROUND(O197,2)</f>
        <v>#DIV/0!</v>
      </c>
    </row>
    <row r="198" spans="1:19" ht="30" x14ac:dyDescent="0.25">
      <c r="A198" s="93" t="s">
        <v>489</v>
      </c>
      <c r="B198" s="94" t="s">
        <v>240</v>
      </c>
      <c r="C198" s="94" t="s">
        <v>241</v>
      </c>
      <c r="D198" s="94" t="s">
        <v>373</v>
      </c>
      <c r="E198" s="95" t="s">
        <v>274</v>
      </c>
      <c r="F198" s="94" t="s">
        <v>244</v>
      </c>
      <c r="G198" s="94" t="s">
        <v>191</v>
      </c>
      <c r="H198" s="94" t="s">
        <v>11</v>
      </c>
      <c r="I198" s="94" t="s">
        <v>189</v>
      </c>
      <c r="J198" s="95" t="s">
        <v>192</v>
      </c>
      <c r="K198" s="96">
        <v>58.7</v>
      </c>
      <c r="L198" s="96">
        <f>K198*VLOOKUP(H198,dagsoorttabel1,2,FALSE)</f>
        <v>45.15384615384616</v>
      </c>
      <c r="M198" s="97">
        <f>prodnorm3</f>
        <v>0</v>
      </c>
      <c r="N198" s="94" t="s">
        <v>103</v>
      </c>
      <c r="O198" s="26">
        <f>uurtarief3</f>
        <v>0</v>
      </c>
      <c r="P198" s="96" t="e">
        <f>IF(ISBLANK(M198),0,L198/ROUND(M198,4))</f>
        <v>#DIV/0!</v>
      </c>
      <c r="Q198" s="26" t="e">
        <f>ROUND(O198,2)*P198</f>
        <v>#DIV/0!</v>
      </c>
      <c r="R198" s="96" t="e">
        <f>P198*dagenperjaar1</f>
        <v>#DIV/0!</v>
      </c>
      <c r="S198" s="27" t="e">
        <f>R198*ROUND(O198,2)</f>
        <v>#DIV/0!</v>
      </c>
    </row>
    <row r="199" spans="1:19" x14ac:dyDescent="0.25">
      <c r="A199" s="93" t="s">
        <v>489</v>
      </c>
      <c r="B199" s="94" t="s">
        <v>240</v>
      </c>
      <c r="C199" s="94" t="s">
        <v>241</v>
      </c>
      <c r="D199" s="94" t="s">
        <v>374</v>
      </c>
      <c r="E199" s="95" t="s">
        <v>247</v>
      </c>
      <c r="F199" s="94" t="s">
        <v>244</v>
      </c>
      <c r="G199" s="94" t="s">
        <v>248</v>
      </c>
      <c r="H199" s="94"/>
      <c r="I199" s="94"/>
      <c r="J199" s="94"/>
      <c r="K199" s="96">
        <v>3.84</v>
      </c>
      <c r="L199" s="96"/>
      <c r="M199" s="97"/>
      <c r="N199" s="94"/>
      <c r="O199" s="26"/>
      <c r="P199" s="96"/>
      <c r="Q199" s="26"/>
      <c r="R199" s="98"/>
      <c r="S199" s="27"/>
    </row>
    <row r="200" spans="1:19" ht="30" x14ac:dyDescent="0.25">
      <c r="A200" s="93" t="s">
        <v>489</v>
      </c>
      <c r="B200" s="94" t="s">
        <v>240</v>
      </c>
      <c r="C200" s="94" t="s">
        <v>241</v>
      </c>
      <c r="D200" s="94" t="s">
        <v>380</v>
      </c>
      <c r="E200" s="95" t="s">
        <v>307</v>
      </c>
      <c r="F200" s="94" t="s">
        <v>244</v>
      </c>
      <c r="G200" s="94" t="s">
        <v>191</v>
      </c>
      <c r="H200" s="94" t="s">
        <v>11</v>
      </c>
      <c r="I200" s="94" t="s">
        <v>189</v>
      </c>
      <c r="J200" s="95" t="s">
        <v>192</v>
      </c>
      <c r="K200" s="96">
        <v>10.77</v>
      </c>
      <c r="L200" s="96">
        <f>K200*VLOOKUP(H200,dagsoorttabel1,2,FALSE)</f>
        <v>8.2846153846153854</v>
      </c>
      <c r="M200" s="97">
        <f>prodnorm3</f>
        <v>0</v>
      </c>
      <c r="N200" s="94" t="s">
        <v>103</v>
      </c>
      <c r="O200" s="26">
        <f>uurtarief3</f>
        <v>0</v>
      </c>
      <c r="P200" s="96" t="e">
        <f>IF(ISBLANK(M200),0,L200/ROUND(M200,4))</f>
        <v>#DIV/0!</v>
      </c>
      <c r="Q200" s="26" t="e">
        <f>ROUND(O200,2)*P200</f>
        <v>#DIV/0!</v>
      </c>
      <c r="R200" s="96" t="e">
        <f>P200*dagenperjaar1</f>
        <v>#DIV/0!</v>
      </c>
      <c r="S200" s="27" t="e">
        <f>R200*ROUND(O200,2)</f>
        <v>#DIV/0!</v>
      </c>
    </row>
    <row r="201" spans="1:19" ht="30" x14ac:dyDescent="0.25">
      <c r="A201" s="93" t="s">
        <v>489</v>
      </c>
      <c r="B201" s="94" t="s">
        <v>240</v>
      </c>
      <c r="C201" s="94" t="s">
        <v>241</v>
      </c>
      <c r="D201" s="94" t="s">
        <v>429</v>
      </c>
      <c r="E201" s="95" t="s">
        <v>243</v>
      </c>
      <c r="F201" s="94" t="s">
        <v>244</v>
      </c>
      <c r="G201" s="94" t="s">
        <v>225</v>
      </c>
      <c r="H201" s="94" t="s">
        <v>11</v>
      </c>
      <c r="I201" s="94" t="s">
        <v>189</v>
      </c>
      <c r="J201" s="95" t="s">
        <v>226</v>
      </c>
      <c r="K201" s="96">
        <v>37.83</v>
      </c>
      <c r="L201" s="96">
        <f>K201*VLOOKUP(H201,dagsoorttabel1,2,FALSE)</f>
        <v>29.1</v>
      </c>
      <c r="M201" s="97">
        <f>prodnorm20</f>
        <v>0</v>
      </c>
      <c r="N201" s="94" t="s">
        <v>103</v>
      </c>
      <c r="O201" s="26">
        <f>uurtarief20</f>
        <v>0</v>
      </c>
      <c r="P201" s="96" t="e">
        <f>IF(ISBLANK(M201),0,L201/ROUND(M201,4))</f>
        <v>#DIV/0!</v>
      </c>
      <c r="Q201" s="26" t="e">
        <f>ROUND(O201,2)*P201</f>
        <v>#DIV/0!</v>
      </c>
      <c r="R201" s="96" t="e">
        <f>P201*dagenperjaar1</f>
        <v>#DIV/0!</v>
      </c>
      <c r="S201" s="27" t="e">
        <f>R201*ROUND(O201,2)</f>
        <v>#DIV/0!</v>
      </c>
    </row>
    <row r="202" spans="1:19" ht="30" x14ac:dyDescent="0.25">
      <c r="A202" s="93" t="s">
        <v>489</v>
      </c>
      <c r="B202" s="94" t="s">
        <v>240</v>
      </c>
      <c r="C202" s="94" t="s">
        <v>241</v>
      </c>
      <c r="D202" s="94" t="s">
        <v>490</v>
      </c>
      <c r="E202" s="95" t="s">
        <v>436</v>
      </c>
      <c r="F202" s="94" t="s">
        <v>384</v>
      </c>
      <c r="G202" s="94" t="s">
        <v>225</v>
      </c>
      <c r="H202" s="94" t="s">
        <v>11</v>
      </c>
      <c r="I202" s="94" t="s">
        <v>189</v>
      </c>
      <c r="J202" s="95" t="s">
        <v>226</v>
      </c>
      <c r="K202" s="96">
        <v>11.2</v>
      </c>
      <c r="L202" s="96">
        <f>K202*VLOOKUP(H202,dagsoorttabel1,2,FALSE)</f>
        <v>8.615384615384615</v>
      </c>
      <c r="M202" s="97">
        <f>prodnorm20</f>
        <v>0</v>
      </c>
      <c r="N202" s="94" t="s">
        <v>103</v>
      </c>
      <c r="O202" s="26">
        <f>uurtarief20</f>
        <v>0</v>
      </c>
      <c r="P202" s="96" t="e">
        <f>IF(ISBLANK(M202),0,L202/ROUND(M202,4))</f>
        <v>#DIV/0!</v>
      </c>
      <c r="Q202" s="26" t="e">
        <f>ROUND(O202,2)*P202</f>
        <v>#DIV/0!</v>
      </c>
      <c r="R202" s="96" t="e">
        <f>P202*dagenperjaar1</f>
        <v>#DIV/0!</v>
      </c>
      <c r="S202" s="27" t="e">
        <f>R202*ROUND(O202,2)</f>
        <v>#DIV/0!</v>
      </c>
    </row>
    <row r="203" spans="1:19" ht="30" x14ac:dyDescent="0.25">
      <c r="A203" s="93" t="s">
        <v>489</v>
      </c>
      <c r="B203" s="94" t="s">
        <v>240</v>
      </c>
      <c r="C203" s="94" t="s">
        <v>241</v>
      </c>
      <c r="D203" s="94" t="s">
        <v>430</v>
      </c>
      <c r="E203" s="95" t="s">
        <v>274</v>
      </c>
      <c r="F203" s="94" t="s">
        <v>384</v>
      </c>
      <c r="G203" s="94" t="s">
        <v>193</v>
      </c>
      <c r="H203" s="94" t="s">
        <v>11</v>
      </c>
      <c r="I203" s="94" t="s">
        <v>189</v>
      </c>
      <c r="J203" s="95" t="s">
        <v>194</v>
      </c>
      <c r="K203" s="96">
        <v>16.899999999999999</v>
      </c>
      <c r="L203" s="96">
        <f>K203*VLOOKUP(H203,dagsoorttabel1,2,FALSE)</f>
        <v>13</v>
      </c>
      <c r="M203" s="97">
        <f>prodnorm4</f>
        <v>0</v>
      </c>
      <c r="N203" s="94" t="s">
        <v>103</v>
      </c>
      <c r="O203" s="26">
        <f>uurtarief4</f>
        <v>0</v>
      </c>
      <c r="P203" s="96" t="e">
        <f>IF(ISBLANK(M203),0,L203/ROUND(M203,4))</f>
        <v>#DIV/0!</v>
      </c>
      <c r="Q203" s="26" t="e">
        <f>ROUND(O203,2)*P203</f>
        <v>#DIV/0!</v>
      </c>
      <c r="R203" s="96" t="e">
        <f>P203*dagenperjaar1</f>
        <v>#DIV/0!</v>
      </c>
      <c r="S203" s="27" t="e">
        <f>R203*ROUND(O203,2)</f>
        <v>#DIV/0!</v>
      </c>
    </row>
    <row r="204" spans="1:19" ht="30" x14ac:dyDescent="0.25">
      <c r="A204" s="93" t="s">
        <v>489</v>
      </c>
      <c r="B204" s="94" t="s">
        <v>240</v>
      </c>
      <c r="C204" s="94" t="s">
        <v>241</v>
      </c>
      <c r="D204" s="94" t="s">
        <v>431</v>
      </c>
      <c r="E204" s="95" t="s">
        <v>491</v>
      </c>
      <c r="F204" s="94" t="s">
        <v>384</v>
      </c>
      <c r="G204" s="94" t="s">
        <v>193</v>
      </c>
      <c r="H204" s="94" t="s">
        <v>11</v>
      </c>
      <c r="I204" s="94" t="s">
        <v>189</v>
      </c>
      <c r="J204" s="95" t="s">
        <v>194</v>
      </c>
      <c r="K204" s="96">
        <v>15.32</v>
      </c>
      <c r="L204" s="96">
        <f>K204*VLOOKUP(H204,dagsoorttabel1,2,FALSE)</f>
        <v>11.784615384615385</v>
      </c>
      <c r="M204" s="97">
        <f>prodnorm4</f>
        <v>0</v>
      </c>
      <c r="N204" s="94" t="s">
        <v>103</v>
      </c>
      <c r="O204" s="26">
        <f>uurtarief4</f>
        <v>0</v>
      </c>
      <c r="P204" s="96" t="e">
        <f>IF(ISBLANK(M204),0,L204/ROUND(M204,4))</f>
        <v>#DIV/0!</v>
      </c>
      <c r="Q204" s="26" t="e">
        <f>ROUND(O204,2)*P204</f>
        <v>#DIV/0!</v>
      </c>
      <c r="R204" s="96" t="e">
        <f>P204*dagenperjaar1</f>
        <v>#DIV/0!</v>
      </c>
      <c r="S204" s="27" t="e">
        <f>R204*ROUND(O204,2)</f>
        <v>#DIV/0!</v>
      </c>
    </row>
    <row r="205" spans="1:19" ht="30" x14ac:dyDescent="0.25">
      <c r="A205" s="93" t="s">
        <v>489</v>
      </c>
      <c r="B205" s="94" t="s">
        <v>240</v>
      </c>
      <c r="C205" s="94" t="s">
        <v>241</v>
      </c>
      <c r="D205" s="94" t="s">
        <v>432</v>
      </c>
      <c r="E205" s="95" t="s">
        <v>491</v>
      </c>
      <c r="F205" s="94" t="s">
        <v>384</v>
      </c>
      <c r="G205" s="94" t="s">
        <v>193</v>
      </c>
      <c r="H205" s="94" t="s">
        <v>11</v>
      </c>
      <c r="I205" s="94" t="s">
        <v>189</v>
      </c>
      <c r="J205" s="95" t="s">
        <v>194</v>
      </c>
      <c r="K205" s="96">
        <v>6.8599999999999994</v>
      </c>
      <c r="L205" s="96">
        <f>K205*VLOOKUP(H205,dagsoorttabel1,2,FALSE)</f>
        <v>5.2769230769230768</v>
      </c>
      <c r="M205" s="97">
        <f>prodnorm4</f>
        <v>0</v>
      </c>
      <c r="N205" s="94" t="s">
        <v>103</v>
      </c>
      <c r="O205" s="26">
        <f>uurtarief4</f>
        <v>0</v>
      </c>
      <c r="P205" s="96" t="e">
        <f>IF(ISBLANK(M205),0,L205/ROUND(M205,4))</f>
        <v>#DIV/0!</v>
      </c>
      <c r="Q205" s="26" t="e">
        <f>ROUND(O205,2)*P205</f>
        <v>#DIV/0!</v>
      </c>
      <c r="R205" s="96" t="e">
        <f>P205*dagenperjaar1</f>
        <v>#DIV/0!</v>
      </c>
      <c r="S205" s="27" t="e">
        <f>R205*ROUND(O205,2)</f>
        <v>#DIV/0!</v>
      </c>
    </row>
    <row r="206" spans="1:19" x14ac:dyDescent="0.25">
      <c r="A206" s="93" t="s">
        <v>489</v>
      </c>
      <c r="B206" s="94" t="s">
        <v>240</v>
      </c>
      <c r="C206" s="94" t="s">
        <v>241</v>
      </c>
      <c r="D206" s="94" t="s">
        <v>433</v>
      </c>
      <c r="E206" s="95" t="s">
        <v>254</v>
      </c>
      <c r="F206" s="94" t="s">
        <v>255</v>
      </c>
      <c r="G206" s="94" t="s">
        <v>221</v>
      </c>
      <c r="H206" s="94" t="s">
        <v>11</v>
      </c>
      <c r="I206" s="94" t="s">
        <v>189</v>
      </c>
      <c r="J206" s="95" t="s">
        <v>222</v>
      </c>
      <c r="K206" s="96">
        <v>6.29</v>
      </c>
      <c r="L206" s="96">
        <f>K206*VLOOKUP(H206,dagsoorttabel1,2,FALSE)</f>
        <v>4.838461538461539</v>
      </c>
      <c r="M206" s="97">
        <f>prodnorm18</f>
        <v>0</v>
      </c>
      <c r="N206" s="94" t="s">
        <v>103</v>
      </c>
      <c r="O206" s="26">
        <f>uurtarief18</f>
        <v>0</v>
      </c>
      <c r="P206" s="96" t="e">
        <f>IF(ISBLANK(M206),0,L206/ROUND(M206,4))</f>
        <v>#DIV/0!</v>
      </c>
      <c r="Q206" s="26" t="e">
        <f>ROUND(O206,2)*P206</f>
        <v>#DIV/0!</v>
      </c>
      <c r="R206" s="96" t="e">
        <f>P206*dagenperjaar1</f>
        <v>#DIV/0!</v>
      </c>
      <c r="S206" s="27" t="e">
        <f>R206*ROUND(O206,2)</f>
        <v>#DIV/0!</v>
      </c>
    </row>
    <row r="207" spans="1:19" x14ac:dyDescent="0.25">
      <c r="A207" s="93" t="s">
        <v>489</v>
      </c>
      <c r="B207" s="94" t="s">
        <v>240</v>
      </c>
      <c r="C207" s="94" t="s">
        <v>241</v>
      </c>
      <c r="D207" s="94" t="s">
        <v>434</v>
      </c>
      <c r="E207" s="95" t="s">
        <v>254</v>
      </c>
      <c r="F207" s="94" t="s">
        <v>255</v>
      </c>
      <c r="G207" s="94" t="s">
        <v>221</v>
      </c>
      <c r="H207" s="94" t="s">
        <v>11</v>
      </c>
      <c r="I207" s="94" t="s">
        <v>189</v>
      </c>
      <c r="J207" s="95" t="s">
        <v>222</v>
      </c>
      <c r="K207" s="96">
        <v>1.25</v>
      </c>
      <c r="L207" s="96">
        <f>K207*VLOOKUP(H207,dagsoorttabel1,2,FALSE)</f>
        <v>0.96153846153846156</v>
      </c>
      <c r="M207" s="97">
        <f>prodnorm18</f>
        <v>0</v>
      </c>
      <c r="N207" s="94" t="s">
        <v>103</v>
      </c>
      <c r="O207" s="26">
        <f>uurtarief18</f>
        <v>0</v>
      </c>
      <c r="P207" s="96" t="e">
        <f>IF(ISBLANK(M207),0,L207/ROUND(M207,4))</f>
        <v>#DIV/0!</v>
      </c>
      <c r="Q207" s="26" t="e">
        <f>ROUND(O207,2)*P207</f>
        <v>#DIV/0!</v>
      </c>
      <c r="R207" s="96" t="e">
        <f>P207*dagenperjaar1</f>
        <v>#DIV/0!</v>
      </c>
      <c r="S207" s="27" t="e">
        <f>R207*ROUND(O207,2)</f>
        <v>#DIV/0!</v>
      </c>
    </row>
    <row r="208" spans="1:19" x14ac:dyDescent="0.25">
      <c r="A208" s="93" t="s">
        <v>489</v>
      </c>
      <c r="B208" s="94" t="s">
        <v>240</v>
      </c>
      <c r="C208" s="94" t="s">
        <v>241</v>
      </c>
      <c r="D208" s="94" t="s">
        <v>396</v>
      </c>
      <c r="E208" s="95" t="s">
        <v>492</v>
      </c>
      <c r="F208" s="94" t="s">
        <v>255</v>
      </c>
      <c r="G208" s="94" t="s">
        <v>209</v>
      </c>
      <c r="H208" s="94" t="s">
        <v>11</v>
      </c>
      <c r="I208" s="94" t="s">
        <v>189</v>
      </c>
      <c r="J208" s="95" t="s">
        <v>210</v>
      </c>
      <c r="K208" s="96">
        <v>1.58</v>
      </c>
      <c r="L208" s="96">
        <f>K208*VLOOKUP(H208,dagsoorttabel1,2,FALSE)</f>
        <v>1.2153846153846155</v>
      </c>
      <c r="M208" s="97">
        <f>prodnorm12</f>
        <v>0</v>
      </c>
      <c r="N208" s="94" t="s">
        <v>103</v>
      </c>
      <c r="O208" s="26">
        <f>uurtarief12</f>
        <v>0</v>
      </c>
      <c r="P208" s="96" t="e">
        <f>IF(ISBLANK(M208),0,L208/ROUND(M208,4))</f>
        <v>#DIV/0!</v>
      </c>
      <c r="Q208" s="26" t="e">
        <f>ROUND(O208,2)*P208</f>
        <v>#DIV/0!</v>
      </c>
      <c r="R208" s="96" t="e">
        <f>P208*dagenperjaar1</f>
        <v>#DIV/0!</v>
      </c>
      <c r="S208" s="27" t="e">
        <f>R208*ROUND(O208,2)</f>
        <v>#DIV/0!</v>
      </c>
    </row>
    <row r="209" spans="1:19" ht="30" x14ac:dyDescent="0.25">
      <c r="A209" s="93" t="s">
        <v>489</v>
      </c>
      <c r="B209" s="94" t="s">
        <v>240</v>
      </c>
      <c r="C209" s="94" t="s">
        <v>241</v>
      </c>
      <c r="D209" s="94" t="s">
        <v>493</v>
      </c>
      <c r="E209" s="95" t="s">
        <v>491</v>
      </c>
      <c r="F209" s="94" t="s">
        <v>244</v>
      </c>
      <c r="G209" s="94" t="s">
        <v>191</v>
      </c>
      <c r="H209" s="94" t="s">
        <v>11</v>
      </c>
      <c r="I209" s="94" t="s">
        <v>189</v>
      </c>
      <c r="J209" s="95" t="s">
        <v>192</v>
      </c>
      <c r="K209" s="96">
        <v>9.3800000000000008</v>
      </c>
      <c r="L209" s="96">
        <f>K209*VLOOKUP(H209,dagsoorttabel1,2,FALSE)</f>
        <v>7.2153846153846164</v>
      </c>
      <c r="M209" s="97">
        <f>prodnorm3</f>
        <v>0</v>
      </c>
      <c r="N209" s="94" t="s">
        <v>103</v>
      </c>
      <c r="O209" s="26">
        <f>uurtarief3</f>
        <v>0</v>
      </c>
      <c r="P209" s="96" t="e">
        <f>IF(ISBLANK(M209),0,L209/ROUND(M209,4))</f>
        <v>#DIV/0!</v>
      </c>
      <c r="Q209" s="26" t="e">
        <f>ROUND(O209,2)*P209</f>
        <v>#DIV/0!</v>
      </c>
      <c r="R209" s="96" t="e">
        <f>P209*dagenperjaar1</f>
        <v>#DIV/0!</v>
      </c>
      <c r="S209" s="27" t="e">
        <f>R209*ROUND(O209,2)</f>
        <v>#DIV/0!</v>
      </c>
    </row>
    <row r="210" spans="1:19" ht="30" x14ac:dyDescent="0.25">
      <c r="A210" s="93" t="s">
        <v>489</v>
      </c>
      <c r="B210" s="94" t="s">
        <v>240</v>
      </c>
      <c r="C210" s="94" t="s">
        <v>241</v>
      </c>
      <c r="D210" s="94" t="s">
        <v>494</v>
      </c>
      <c r="E210" s="95" t="s">
        <v>491</v>
      </c>
      <c r="F210" s="94" t="s">
        <v>244</v>
      </c>
      <c r="G210" s="94" t="s">
        <v>191</v>
      </c>
      <c r="H210" s="94" t="s">
        <v>11</v>
      </c>
      <c r="I210" s="94" t="s">
        <v>189</v>
      </c>
      <c r="J210" s="95" t="s">
        <v>192</v>
      </c>
      <c r="K210" s="96">
        <v>5.6099999999999994</v>
      </c>
      <c r="L210" s="96">
        <f>K210*VLOOKUP(H210,dagsoorttabel1,2,FALSE)</f>
        <v>4.3153846153846152</v>
      </c>
      <c r="M210" s="97">
        <f>prodnorm3</f>
        <v>0</v>
      </c>
      <c r="N210" s="94" t="s">
        <v>103</v>
      </c>
      <c r="O210" s="26">
        <f>uurtarief3</f>
        <v>0</v>
      </c>
      <c r="P210" s="96" t="e">
        <f>IF(ISBLANK(M210),0,L210/ROUND(M210,4))</f>
        <v>#DIV/0!</v>
      </c>
      <c r="Q210" s="26" t="e">
        <f>ROUND(O210,2)*P210</f>
        <v>#DIV/0!</v>
      </c>
      <c r="R210" s="96" t="e">
        <f>P210*dagenperjaar1</f>
        <v>#DIV/0!</v>
      </c>
      <c r="S210" s="27" t="e">
        <f>R210*ROUND(O210,2)</f>
        <v>#DIV/0!</v>
      </c>
    </row>
    <row r="211" spans="1:19" x14ac:dyDescent="0.25">
      <c r="A211" s="93" t="s">
        <v>489</v>
      </c>
      <c r="B211" s="94" t="s">
        <v>240</v>
      </c>
      <c r="C211" s="94" t="s">
        <v>241</v>
      </c>
      <c r="D211" s="94" t="s">
        <v>495</v>
      </c>
      <c r="E211" s="95" t="s">
        <v>276</v>
      </c>
      <c r="F211" s="94" t="s">
        <v>244</v>
      </c>
      <c r="G211" s="94" t="s">
        <v>209</v>
      </c>
      <c r="H211" s="94" t="s">
        <v>11</v>
      </c>
      <c r="I211" s="94" t="s">
        <v>189</v>
      </c>
      <c r="J211" s="95" t="s">
        <v>210</v>
      </c>
      <c r="K211" s="96">
        <v>35.090000000000003</v>
      </c>
      <c r="L211" s="96">
        <f>K211*VLOOKUP(H211,dagsoorttabel1,2,FALSE)</f>
        <v>26.992307692307698</v>
      </c>
      <c r="M211" s="97">
        <f>prodnorm12</f>
        <v>0</v>
      </c>
      <c r="N211" s="94" t="s">
        <v>103</v>
      </c>
      <c r="O211" s="26">
        <f>uurtarief12</f>
        <v>0</v>
      </c>
      <c r="P211" s="96" t="e">
        <f>IF(ISBLANK(M211),0,L211/ROUND(M211,4))</f>
        <v>#DIV/0!</v>
      </c>
      <c r="Q211" s="26" t="e">
        <f>ROUND(O211,2)*P211</f>
        <v>#DIV/0!</v>
      </c>
      <c r="R211" s="96" t="e">
        <f>P211*dagenperjaar1</f>
        <v>#DIV/0!</v>
      </c>
      <c r="S211" s="27" t="e">
        <f>R211*ROUND(O211,2)</f>
        <v>#DIV/0!</v>
      </c>
    </row>
    <row r="212" spans="1:19" ht="30" x14ac:dyDescent="0.25">
      <c r="A212" s="93" t="s">
        <v>489</v>
      </c>
      <c r="B212" s="94" t="s">
        <v>240</v>
      </c>
      <c r="C212" s="94" t="s">
        <v>241</v>
      </c>
      <c r="D212" s="94" t="s">
        <v>496</v>
      </c>
      <c r="E212" s="95" t="s">
        <v>243</v>
      </c>
      <c r="F212" s="94" t="s">
        <v>244</v>
      </c>
      <c r="G212" s="94" t="s">
        <v>225</v>
      </c>
      <c r="H212" s="94" t="s">
        <v>11</v>
      </c>
      <c r="I212" s="94" t="s">
        <v>189</v>
      </c>
      <c r="J212" s="95" t="s">
        <v>226</v>
      </c>
      <c r="K212" s="96">
        <v>61.98</v>
      </c>
      <c r="L212" s="96">
        <f>K212*VLOOKUP(H212,dagsoorttabel1,2,FALSE)</f>
        <v>47.676923076923075</v>
      </c>
      <c r="M212" s="97">
        <f>prodnorm20</f>
        <v>0</v>
      </c>
      <c r="N212" s="94" t="s">
        <v>103</v>
      </c>
      <c r="O212" s="26">
        <f>uurtarief20</f>
        <v>0</v>
      </c>
      <c r="P212" s="96" t="e">
        <f>IF(ISBLANK(M212),0,L212/ROUND(M212,4))</f>
        <v>#DIV/0!</v>
      </c>
      <c r="Q212" s="26" t="e">
        <f>ROUND(O212,2)*P212</f>
        <v>#DIV/0!</v>
      </c>
      <c r="R212" s="96" t="e">
        <f>P212*dagenperjaar1</f>
        <v>#DIV/0!</v>
      </c>
      <c r="S212" s="27" t="e">
        <f>R212*ROUND(O212,2)</f>
        <v>#DIV/0!</v>
      </c>
    </row>
    <row r="213" spans="1:19" x14ac:dyDescent="0.25">
      <c r="A213" s="93" t="s">
        <v>489</v>
      </c>
      <c r="B213" s="94" t="s">
        <v>240</v>
      </c>
      <c r="C213" s="94" t="s">
        <v>241</v>
      </c>
      <c r="D213" s="94" t="s">
        <v>497</v>
      </c>
      <c r="E213" s="95" t="s">
        <v>276</v>
      </c>
      <c r="F213" s="94" t="s">
        <v>244</v>
      </c>
      <c r="G213" s="94" t="s">
        <v>209</v>
      </c>
      <c r="H213" s="94" t="s">
        <v>11</v>
      </c>
      <c r="I213" s="94" t="s">
        <v>189</v>
      </c>
      <c r="J213" s="95" t="s">
        <v>210</v>
      </c>
      <c r="K213" s="96">
        <v>74.400000000000006</v>
      </c>
      <c r="L213" s="96">
        <f>K213*VLOOKUP(H213,dagsoorttabel1,2,FALSE)</f>
        <v>57.230769230769241</v>
      </c>
      <c r="M213" s="97">
        <f>prodnorm12</f>
        <v>0</v>
      </c>
      <c r="N213" s="94" t="s">
        <v>103</v>
      </c>
      <c r="O213" s="26">
        <f>uurtarief12</f>
        <v>0</v>
      </c>
      <c r="P213" s="96" t="e">
        <f>IF(ISBLANK(M213),0,L213/ROUND(M213,4))</f>
        <v>#DIV/0!</v>
      </c>
      <c r="Q213" s="26" t="e">
        <f>ROUND(O213,2)*P213</f>
        <v>#DIV/0!</v>
      </c>
      <c r="R213" s="96" t="e">
        <f>P213*dagenperjaar1</f>
        <v>#DIV/0!</v>
      </c>
      <c r="S213" s="27" t="e">
        <f>R213*ROUND(O213,2)</f>
        <v>#DIV/0!</v>
      </c>
    </row>
    <row r="214" spans="1:19" ht="30" x14ac:dyDescent="0.25">
      <c r="A214" s="93" t="s">
        <v>489</v>
      </c>
      <c r="B214" s="94" t="s">
        <v>240</v>
      </c>
      <c r="C214" s="94" t="s">
        <v>241</v>
      </c>
      <c r="D214" s="94" t="s">
        <v>498</v>
      </c>
      <c r="E214" s="95" t="s">
        <v>307</v>
      </c>
      <c r="F214" s="94" t="s">
        <v>244</v>
      </c>
      <c r="G214" s="94" t="s">
        <v>191</v>
      </c>
      <c r="H214" s="94" t="s">
        <v>11</v>
      </c>
      <c r="I214" s="94" t="s">
        <v>189</v>
      </c>
      <c r="J214" s="95" t="s">
        <v>192</v>
      </c>
      <c r="K214" s="96">
        <v>2.8299999999999996</v>
      </c>
      <c r="L214" s="96">
        <f>K214*VLOOKUP(H214,dagsoorttabel1,2,FALSE)</f>
        <v>2.1769230769230767</v>
      </c>
      <c r="M214" s="97">
        <f>prodnorm3</f>
        <v>0</v>
      </c>
      <c r="N214" s="94" t="s">
        <v>103</v>
      </c>
      <c r="O214" s="26">
        <f>uurtarief3</f>
        <v>0</v>
      </c>
      <c r="P214" s="96" t="e">
        <f>IF(ISBLANK(M214),0,L214/ROUND(M214,4))</f>
        <v>#DIV/0!</v>
      </c>
      <c r="Q214" s="26" t="e">
        <f>ROUND(O214,2)*P214</f>
        <v>#DIV/0!</v>
      </c>
      <c r="R214" s="96" t="e">
        <f>P214*dagenperjaar1</f>
        <v>#DIV/0!</v>
      </c>
      <c r="S214" s="27" t="e">
        <f>R214*ROUND(O214,2)</f>
        <v>#DIV/0!</v>
      </c>
    </row>
    <row r="215" spans="1:19" ht="30" x14ac:dyDescent="0.25">
      <c r="A215" s="93" t="s">
        <v>489</v>
      </c>
      <c r="B215" s="94" t="s">
        <v>240</v>
      </c>
      <c r="C215" s="94" t="s">
        <v>241</v>
      </c>
      <c r="D215" s="94" t="s">
        <v>499</v>
      </c>
      <c r="E215" s="95" t="s">
        <v>307</v>
      </c>
      <c r="F215" s="94" t="s">
        <v>244</v>
      </c>
      <c r="G215" s="94" t="s">
        <v>191</v>
      </c>
      <c r="H215" s="94" t="s">
        <v>11</v>
      </c>
      <c r="I215" s="94" t="s">
        <v>189</v>
      </c>
      <c r="J215" s="95" t="s">
        <v>192</v>
      </c>
      <c r="K215" s="96">
        <v>21.3</v>
      </c>
      <c r="L215" s="96">
        <f>K215*VLOOKUP(H215,dagsoorttabel1,2,FALSE)</f>
        <v>16.384615384615387</v>
      </c>
      <c r="M215" s="97">
        <f>prodnorm3</f>
        <v>0</v>
      </c>
      <c r="N215" s="94" t="s">
        <v>103</v>
      </c>
      <c r="O215" s="26">
        <f>uurtarief3</f>
        <v>0</v>
      </c>
      <c r="P215" s="96" t="e">
        <f>IF(ISBLANK(M215),0,L215/ROUND(M215,4))</f>
        <v>#DIV/0!</v>
      </c>
      <c r="Q215" s="26" t="e">
        <f>ROUND(O215,2)*P215</f>
        <v>#DIV/0!</v>
      </c>
      <c r="R215" s="96" t="e">
        <f>P215*dagenperjaar1</f>
        <v>#DIV/0!</v>
      </c>
      <c r="S215" s="27" t="e">
        <f>R215*ROUND(O215,2)</f>
        <v>#DIV/0!</v>
      </c>
    </row>
    <row r="216" spans="1:19" ht="30" x14ac:dyDescent="0.25">
      <c r="A216" s="93" t="s">
        <v>489</v>
      </c>
      <c r="B216" s="94" t="s">
        <v>240</v>
      </c>
      <c r="C216" s="94" t="s">
        <v>241</v>
      </c>
      <c r="D216" s="94" t="s">
        <v>397</v>
      </c>
      <c r="E216" s="95" t="s">
        <v>243</v>
      </c>
      <c r="F216" s="94" t="s">
        <v>244</v>
      </c>
      <c r="G216" s="94" t="s">
        <v>225</v>
      </c>
      <c r="H216" s="94" t="s">
        <v>11</v>
      </c>
      <c r="I216" s="94" t="s">
        <v>189</v>
      </c>
      <c r="J216" s="95" t="s">
        <v>226</v>
      </c>
      <c r="K216" s="96">
        <v>25.77</v>
      </c>
      <c r="L216" s="96">
        <f>K216*VLOOKUP(H216,dagsoorttabel1,2,FALSE)</f>
        <v>19.823076923076925</v>
      </c>
      <c r="M216" s="97">
        <f>prodnorm20</f>
        <v>0</v>
      </c>
      <c r="N216" s="94" t="s">
        <v>103</v>
      </c>
      <c r="O216" s="26">
        <f>uurtarief20</f>
        <v>0</v>
      </c>
      <c r="P216" s="96" t="e">
        <f>IF(ISBLANK(M216),0,L216/ROUND(M216,4))</f>
        <v>#DIV/0!</v>
      </c>
      <c r="Q216" s="26" t="e">
        <f>ROUND(O216,2)*P216</f>
        <v>#DIV/0!</v>
      </c>
      <c r="R216" s="96" t="e">
        <f>P216*dagenperjaar1</f>
        <v>#DIV/0!</v>
      </c>
      <c r="S216" s="27" t="e">
        <f>R216*ROUND(O216,2)</f>
        <v>#DIV/0!</v>
      </c>
    </row>
    <row r="217" spans="1:19" x14ac:dyDescent="0.25">
      <c r="A217" s="93" t="s">
        <v>489</v>
      </c>
      <c r="B217" s="94" t="s">
        <v>240</v>
      </c>
      <c r="C217" s="94" t="s">
        <v>241</v>
      </c>
      <c r="D217" s="94" t="s">
        <v>500</v>
      </c>
      <c r="E217" s="95" t="s">
        <v>265</v>
      </c>
      <c r="F217" s="94" t="s">
        <v>501</v>
      </c>
      <c r="G217" s="94" t="s">
        <v>223</v>
      </c>
      <c r="H217" s="94" t="s">
        <v>11</v>
      </c>
      <c r="I217" s="94" t="s">
        <v>189</v>
      </c>
      <c r="J217" s="95" t="s">
        <v>224</v>
      </c>
      <c r="K217" s="96">
        <v>10</v>
      </c>
      <c r="L217" s="96">
        <f>K217*VLOOKUP(H217,dagsoorttabel1,2,FALSE)</f>
        <v>7.6923076923076925</v>
      </c>
      <c r="M217" s="97">
        <f>prodnorm19</f>
        <v>0</v>
      </c>
      <c r="N217" s="94" t="s">
        <v>103</v>
      </c>
      <c r="O217" s="26">
        <f>uurtarief19</f>
        <v>0</v>
      </c>
      <c r="P217" s="96" t="e">
        <f>IF(ISBLANK(M217),0,L217/ROUND(M217,4))</f>
        <v>#DIV/0!</v>
      </c>
      <c r="Q217" s="26" t="e">
        <f>ROUND(O217,2)*P217</f>
        <v>#DIV/0!</v>
      </c>
      <c r="R217" s="96" t="e">
        <f>P217*dagenperjaar1</f>
        <v>#DIV/0!</v>
      </c>
      <c r="S217" s="27" t="e">
        <f>R217*ROUND(O217,2)</f>
        <v>#DIV/0!</v>
      </c>
    </row>
    <row r="218" spans="1:19" ht="30" x14ac:dyDescent="0.25">
      <c r="A218" s="93" t="s">
        <v>489</v>
      </c>
      <c r="B218" s="94" t="s">
        <v>240</v>
      </c>
      <c r="C218" s="94" t="s">
        <v>241</v>
      </c>
      <c r="D218" s="94" t="s">
        <v>502</v>
      </c>
      <c r="E218" s="95" t="s">
        <v>503</v>
      </c>
      <c r="F218" s="94" t="s">
        <v>255</v>
      </c>
      <c r="G218" s="94" t="s">
        <v>215</v>
      </c>
      <c r="H218" s="94" t="s">
        <v>11</v>
      </c>
      <c r="I218" s="94" t="s">
        <v>189</v>
      </c>
      <c r="J218" s="95" t="s">
        <v>216</v>
      </c>
      <c r="K218" s="96">
        <v>21</v>
      </c>
      <c r="L218" s="96">
        <f>K218*VLOOKUP(H218,dagsoorttabel1,2,FALSE)</f>
        <v>16.153846153846153</v>
      </c>
      <c r="M218" s="97">
        <f>prodnorm15</f>
        <v>0</v>
      </c>
      <c r="N218" s="94" t="s">
        <v>103</v>
      </c>
      <c r="O218" s="26">
        <f>uurtarief15</f>
        <v>0</v>
      </c>
      <c r="P218" s="96" t="e">
        <f>IF(ISBLANK(M218),0,L218/ROUND(M218,4))</f>
        <v>#DIV/0!</v>
      </c>
      <c r="Q218" s="26" t="e">
        <f>ROUND(O218,2)*P218</f>
        <v>#DIV/0!</v>
      </c>
      <c r="R218" s="96" t="e">
        <f>P218*dagenperjaar1</f>
        <v>#DIV/0!</v>
      </c>
      <c r="S218" s="27" t="e">
        <f>R218*ROUND(O218,2)</f>
        <v>#DIV/0!</v>
      </c>
    </row>
    <row r="219" spans="1:19" x14ac:dyDescent="0.25">
      <c r="A219" s="93" t="s">
        <v>489</v>
      </c>
      <c r="B219" s="94" t="s">
        <v>240</v>
      </c>
      <c r="C219" s="94" t="s">
        <v>241</v>
      </c>
      <c r="D219" s="94" t="s">
        <v>504</v>
      </c>
      <c r="E219" s="95" t="s">
        <v>254</v>
      </c>
      <c r="F219" s="94" t="s">
        <v>255</v>
      </c>
      <c r="G219" s="94" t="s">
        <v>221</v>
      </c>
      <c r="H219" s="94" t="s">
        <v>11</v>
      </c>
      <c r="I219" s="94" t="s">
        <v>189</v>
      </c>
      <c r="J219" s="95" t="s">
        <v>222</v>
      </c>
      <c r="K219" s="96">
        <v>8.5299999999999994</v>
      </c>
      <c r="L219" s="96">
        <f>K219*VLOOKUP(H219,dagsoorttabel1,2,FALSE)</f>
        <v>6.5615384615384613</v>
      </c>
      <c r="M219" s="97">
        <f>prodnorm18</f>
        <v>0</v>
      </c>
      <c r="N219" s="94" t="s">
        <v>103</v>
      </c>
      <c r="O219" s="26">
        <f>uurtarief18</f>
        <v>0</v>
      </c>
      <c r="P219" s="96" t="e">
        <f>IF(ISBLANK(M219),0,L219/ROUND(M219,4))</f>
        <v>#DIV/0!</v>
      </c>
      <c r="Q219" s="26" t="e">
        <f>ROUND(O219,2)*P219</f>
        <v>#DIV/0!</v>
      </c>
      <c r="R219" s="96" t="e">
        <f>P219*dagenperjaar1</f>
        <v>#DIV/0!</v>
      </c>
      <c r="S219" s="27" t="e">
        <f>R219*ROUND(O219,2)</f>
        <v>#DIV/0!</v>
      </c>
    </row>
    <row r="220" spans="1:19" x14ac:dyDescent="0.25">
      <c r="A220" s="93" t="s">
        <v>489</v>
      </c>
      <c r="B220" s="94" t="s">
        <v>240</v>
      </c>
      <c r="C220" s="94" t="s">
        <v>241</v>
      </c>
      <c r="D220" s="94" t="s">
        <v>505</v>
      </c>
      <c r="E220" s="95" t="s">
        <v>254</v>
      </c>
      <c r="F220" s="94" t="s">
        <v>255</v>
      </c>
      <c r="G220" s="94" t="s">
        <v>221</v>
      </c>
      <c r="H220" s="94" t="s">
        <v>11</v>
      </c>
      <c r="I220" s="94" t="s">
        <v>189</v>
      </c>
      <c r="J220" s="95" t="s">
        <v>222</v>
      </c>
      <c r="K220" s="96">
        <v>1.1000000000000001</v>
      </c>
      <c r="L220" s="96">
        <f>K220*VLOOKUP(H220,dagsoorttabel1,2,FALSE)</f>
        <v>0.84615384615384626</v>
      </c>
      <c r="M220" s="97">
        <f>prodnorm18</f>
        <v>0</v>
      </c>
      <c r="N220" s="94" t="s">
        <v>103</v>
      </c>
      <c r="O220" s="26">
        <f>uurtarief18</f>
        <v>0</v>
      </c>
      <c r="P220" s="96" t="e">
        <f>IF(ISBLANK(M220),0,L220/ROUND(M220,4))</f>
        <v>#DIV/0!</v>
      </c>
      <c r="Q220" s="26" t="e">
        <f>ROUND(O220,2)*P220</f>
        <v>#DIV/0!</v>
      </c>
      <c r="R220" s="96" t="e">
        <f>P220*dagenperjaar1</f>
        <v>#DIV/0!</v>
      </c>
      <c r="S220" s="27" t="e">
        <f>R220*ROUND(O220,2)</f>
        <v>#DIV/0!</v>
      </c>
    </row>
    <row r="221" spans="1:19" x14ac:dyDescent="0.25">
      <c r="A221" s="93" t="s">
        <v>489</v>
      </c>
      <c r="B221" s="94" t="s">
        <v>240</v>
      </c>
      <c r="C221" s="94" t="s">
        <v>241</v>
      </c>
      <c r="D221" s="94" t="s">
        <v>506</v>
      </c>
      <c r="E221" s="95" t="s">
        <v>254</v>
      </c>
      <c r="F221" s="94" t="s">
        <v>255</v>
      </c>
      <c r="G221" s="94" t="s">
        <v>221</v>
      </c>
      <c r="H221" s="94" t="s">
        <v>11</v>
      </c>
      <c r="I221" s="94" t="s">
        <v>189</v>
      </c>
      <c r="J221" s="95" t="s">
        <v>222</v>
      </c>
      <c r="K221" s="96">
        <v>1.05</v>
      </c>
      <c r="L221" s="96">
        <f>K221*VLOOKUP(H221,dagsoorttabel1,2,FALSE)</f>
        <v>0.80769230769230782</v>
      </c>
      <c r="M221" s="97">
        <f>prodnorm18</f>
        <v>0</v>
      </c>
      <c r="N221" s="94" t="s">
        <v>103</v>
      </c>
      <c r="O221" s="26">
        <f>uurtarief18</f>
        <v>0</v>
      </c>
      <c r="P221" s="96" t="e">
        <f>IF(ISBLANK(M221),0,L221/ROUND(M221,4))</f>
        <v>#DIV/0!</v>
      </c>
      <c r="Q221" s="26" t="e">
        <f>ROUND(O221,2)*P221</f>
        <v>#DIV/0!</v>
      </c>
      <c r="R221" s="96" t="e">
        <f>P221*dagenperjaar1</f>
        <v>#DIV/0!</v>
      </c>
      <c r="S221" s="27" t="e">
        <f>R221*ROUND(O221,2)</f>
        <v>#DIV/0!</v>
      </c>
    </row>
    <row r="222" spans="1:19" x14ac:dyDescent="0.25">
      <c r="A222" s="93" t="s">
        <v>489</v>
      </c>
      <c r="B222" s="94" t="s">
        <v>240</v>
      </c>
      <c r="C222" s="94" t="s">
        <v>241</v>
      </c>
      <c r="D222" s="94" t="s">
        <v>507</v>
      </c>
      <c r="E222" s="95" t="s">
        <v>254</v>
      </c>
      <c r="F222" s="94" t="s">
        <v>255</v>
      </c>
      <c r="G222" s="94" t="s">
        <v>221</v>
      </c>
      <c r="H222" s="94" t="s">
        <v>11</v>
      </c>
      <c r="I222" s="94" t="s">
        <v>189</v>
      </c>
      <c r="J222" s="95" t="s">
        <v>222</v>
      </c>
      <c r="K222" s="96">
        <v>7.04</v>
      </c>
      <c r="L222" s="96">
        <f>K222*VLOOKUP(H222,dagsoorttabel1,2,FALSE)</f>
        <v>5.4153846153846157</v>
      </c>
      <c r="M222" s="97">
        <f>prodnorm18</f>
        <v>0</v>
      </c>
      <c r="N222" s="94" t="s">
        <v>103</v>
      </c>
      <c r="O222" s="26">
        <f>uurtarief18</f>
        <v>0</v>
      </c>
      <c r="P222" s="96" t="e">
        <f>IF(ISBLANK(M222),0,L222/ROUND(M222,4))</f>
        <v>#DIV/0!</v>
      </c>
      <c r="Q222" s="26" t="e">
        <f>ROUND(O222,2)*P222</f>
        <v>#DIV/0!</v>
      </c>
      <c r="R222" s="96" t="e">
        <f>P222*dagenperjaar1</f>
        <v>#DIV/0!</v>
      </c>
      <c r="S222" s="27" t="e">
        <f>R222*ROUND(O222,2)</f>
        <v>#DIV/0!</v>
      </c>
    </row>
    <row r="223" spans="1:19" x14ac:dyDescent="0.25">
      <c r="A223" s="93" t="s">
        <v>489</v>
      </c>
      <c r="B223" s="94" t="s">
        <v>240</v>
      </c>
      <c r="C223" s="94" t="s">
        <v>241</v>
      </c>
      <c r="D223" s="94" t="s">
        <v>508</v>
      </c>
      <c r="E223" s="95" t="s">
        <v>254</v>
      </c>
      <c r="F223" s="94" t="s">
        <v>255</v>
      </c>
      <c r="G223" s="94" t="s">
        <v>221</v>
      </c>
      <c r="H223" s="94" t="s">
        <v>11</v>
      </c>
      <c r="I223" s="94" t="s">
        <v>189</v>
      </c>
      <c r="J223" s="95" t="s">
        <v>222</v>
      </c>
      <c r="K223" s="96">
        <v>0.96000000000000008</v>
      </c>
      <c r="L223" s="96">
        <f>K223*VLOOKUP(H223,dagsoorttabel1,2,FALSE)</f>
        <v>0.73846153846153861</v>
      </c>
      <c r="M223" s="97">
        <f>prodnorm18</f>
        <v>0</v>
      </c>
      <c r="N223" s="94" t="s">
        <v>103</v>
      </c>
      <c r="O223" s="26">
        <f>uurtarief18</f>
        <v>0</v>
      </c>
      <c r="P223" s="96" t="e">
        <f>IF(ISBLANK(M223),0,L223/ROUND(M223,4))</f>
        <v>#DIV/0!</v>
      </c>
      <c r="Q223" s="26" t="e">
        <f>ROUND(O223,2)*P223</f>
        <v>#DIV/0!</v>
      </c>
      <c r="R223" s="96" t="e">
        <f>P223*dagenperjaar1</f>
        <v>#DIV/0!</v>
      </c>
      <c r="S223" s="27" t="e">
        <f>R223*ROUND(O223,2)</f>
        <v>#DIV/0!</v>
      </c>
    </row>
    <row r="224" spans="1:19" ht="30" x14ac:dyDescent="0.25">
      <c r="A224" s="93" t="s">
        <v>489</v>
      </c>
      <c r="B224" s="94" t="s">
        <v>240</v>
      </c>
      <c r="C224" s="94" t="s">
        <v>241</v>
      </c>
      <c r="D224" s="94" t="s">
        <v>398</v>
      </c>
      <c r="E224" s="95" t="s">
        <v>274</v>
      </c>
      <c r="F224" s="94" t="s">
        <v>384</v>
      </c>
      <c r="G224" s="94" t="s">
        <v>193</v>
      </c>
      <c r="H224" s="94" t="s">
        <v>11</v>
      </c>
      <c r="I224" s="94" t="s">
        <v>189</v>
      </c>
      <c r="J224" s="95" t="s">
        <v>194</v>
      </c>
      <c r="K224" s="96">
        <v>35.449999999999996</v>
      </c>
      <c r="L224" s="96">
        <f>K224*VLOOKUP(H224,dagsoorttabel1,2,FALSE)</f>
        <v>27.269230769230766</v>
      </c>
      <c r="M224" s="97">
        <f>prodnorm4</f>
        <v>0</v>
      </c>
      <c r="N224" s="94" t="s">
        <v>103</v>
      </c>
      <c r="O224" s="26">
        <f>uurtarief4</f>
        <v>0</v>
      </c>
      <c r="P224" s="96" t="e">
        <f>IF(ISBLANK(M224),0,L224/ROUND(M224,4))</f>
        <v>#DIV/0!</v>
      </c>
      <c r="Q224" s="26" t="e">
        <f>ROUND(O224,2)*P224</f>
        <v>#DIV/0!</v>
      </c>
      <c r="R224" s="96" t="e">
        <f>P224*dagenperjaar1</f>
        <v>#DIV/0!</v>
      </c>
      <c r="S224" s="27" t="e">
        <f>R224*ROUND(O224,2)</f>
        <v>#DIV/0!</v>
      </c>
    </row>
    <row r="225" spans="1:19" ht="30" x14ac:dyDescent="0.25">
      <c r="A225" s="93" t="s">
        <v>489</v>
      </c>
      <c r="B225" s="94" t="s">
        <v>240</v>
      </c>
      <c r="C225" s="94" t="s">
        <v>241</v>
      </c>
      <c r="D225" s="94" t="s">
        <v>275</v>
      </c>
      <c r="E225" s="95" t="s">
        <v>274</v>
      </c>
      <c r="F225" s="94" t="s">
        <v>244</v>
      </c>
      <c r="G225" s="94" t="s">
        <v>191</v>
      </c>
      <c r="H225" s="94" t="s">
        <v>11</v>
      </c>
      <c r="I225" s="94" t="s">
        <v>189</v>
      </c>
      <c r="J225" s="95" t="s">
        <v>192</v>
      </c>
      <c r="K225" s="96">
        <v>24.12</v>
      </c>
      <c r="L225" s="96">
        <f>K225*VLOOKUP(H225,dagsoorttabel1,2,FALSE)</f>
        <v>18.553846153846155</v>
      </c>
      <c r="M225" s="97">
        <f>prodnorm3</f>
        <v>0</v>
      </c>
      <c r="N225" s="94" t="s">
        <v>103</v>
      </c>
      <c r="O225" s="26">
        <f>uurtarief3</f>
        <v>0</v>
      </c>
      <c r="P225" s="96" t="e">
        <f>IF(ISBLANK(M225),0,L225/ROUND(M225,4))</f>
        <v>#DIV/0!</v>
      </c>
      <c r="Q225" s="26" t="e">
        <f>ROUND(O225,2)*P225</f>
        <v>#DIV/0!</v>
      </c>
      <c r="R225" s="96" t="e">
        <f>P225*dagenperjaar1</f>
        <v>#DIV/0!</v>
      </c>
      <c r="S225" s="27" t="e">
        <f>R225*ROUND(O225,2)</f>
        <v>#DIV/0!</v>
      </c>
    </row>
    <row r="226" spans="1:19" x14ac:dyDescent="0.25">
      <c r="A226" s="93" t="s">
        <v>489</v>
      </c>
      <c r="B226" s="94" t="s">
        <v>240</v>
      </c>
      <c r="C226" s="94" t="s">
        <v>241</v>
      </c>
      <c r="D226" s="94" t="s">
        <v>279</v>
      </c>
      <c r="E226" s="95" t="s">
        <v>509</v>
      </c>
      <c r="F226" s="94" t="s">
        <v>244</v>
      </c>
      <c r="G226" s="94" t="s">
        <v>188</v>
      </c>
      <c r="H226" s="94" t="s">
        <v>11</v>
      </c>
      <c r="I226" s="94" t="s">
        <v>189</v>
      </c>
      <c r="J226" s="95" t="s">
        <v>190</v>
      </c>
      <c r="K226" s="96">
        <v>132.98000000000002</v>
      </c>
      <c r="L226" s="96">
        <f>K226*VLOOKUP(H226,dagsoorttabel1,2,FALSE)</f>
        <v>102.29230769230772</v>
      </c>
      <c r="M226" s="97">
        <f>prodnorm2</f>
        <v>0</v>
      </c>
      <c r="N226" s="94" t="s">
        <v>103</v>
      </c>
      <c r="O226" s="26">
        <f>uurtarief2</f>
        <v>0</v>
      </c>
      <c r="P226" s="96" t="e">
        <f>IF(ISBLANK(M226),0,L226/ROUND(M226,4))</f>
        <v>#DIV/0!</v>
      </c>
      <c r="Q226" s="26" t="e">
        <f>ROUND(O226,2)*P226</f>
        <v>#DIV/0!</v>
      </c>
      <c r="R226" s="96" t="e">
        <f>P226*dagenperjaar1</f>
        <v>#DIV/0!</v>
      </c>
      <c r="S226" s="27" t="e">
        <f>R226*ROUND(O226,2)</f>
        <v>#DIV/0!</v>
      </c>
    </row>
    <row r="227" spans="1:19" x14ac:dyDescent="0.25">
      <c r="A227" s="93" t="s">
        <v>489</v>
      </c>
      <c r="B227" s="94" t="s">
        <v>240</v>
      </c>
      <c r="C227" s="94" t="s">
        <v>241</v>
      </c>
      <c r="D227" s="94" t="s">
        <v>510</v>
      </c>
      <c r="E227" s="95" t="s">
        <v>265</v>
      </c>
      <c r="F227" s="94" t="s">
        <v>501</v>
      </c>
      <c r="G227" s="94" t="s">
        <v>223</v>
      </c>
      <c r="H227" s="94" t="s">
        <v>11</v>
      </c>
      <c r="I227" s="94" t="s">
        <v>189</v>
      </c>
      <c r="J227" s="95" t="s">
        <v>224</v>
      </c>
      <c r="K227" s="96">
        <v>10</v>
      </c>
      <c r="L227" s="96">
        <f>K227*VLOOKUP(H227,dagsoorttabel1,2,FALSE)</f>
        <v>7.6923076923076925</v>
      </c>
      <c r="M227" s="97">
        <f>prodnorm19</f>
        <v>0</v>
      </c>
      <c r="N227" s="94" t="s">
        <v>103</v>
      </c>
      <c r="O227" s="26">
        <f>uurtarief19</f>
        <v>0</v>
      </c>
      <c r="P227" s="96" t="e">
        <f>IF(ISBLANK(M227),0,L227/ROUND(M227,4))</f>
        <v>#DIV/0!</v>
      </c>
      <c r="Q227" s="26" t="e">
        <f>ROUND(O227,2)*P227</f>
        <v>#DIV/0!</v>
      </c>
      <c r="R227" s="96" t="e">
        <f>P227*dagenperjaar1</f>
        <v>#DIV/0!</v>
      </c>
      <c r="S227" s="27" t="e">
        <f>R227*ROUND(O227,2)</f>
        <v>#DIV/0!</v>
      </c>
    </row>
    <row r="228" spans="1:19" x14ac:dyDescent="0.25">
      <c r="A228" s="93" t="s">
        <v>489</v>
      </c>
      <c r="B228" s="94" t="s">
        <v>284</v>
      </c>
      <c r="C228" s="94" t="s">
        <v>241</v>
      </c>
      <c r="D228" s="94" t="s">
        <v>382</v>
      </c>
      <c r="E228" s="95" t="s">
        <v>276</v>
      </c>
      <c r="F228" s="94" t="s">
        <v>244</v>
      </c>
      <c r="G228" s="94" t="s">
        <v>209</v>
      </c>
      <c r="H228" s="94" t="s">
        <v>11</v>
      </c>
      <c r="I228" s="94" t="s">
        <v>189</v>
      </c>
      <c r="J228" s="95" t="s">
        <v>210</v>
      </c>
      <c r="K228" s="96">
        <v>61.71</v>
      </c>
      <c r="L228" s="96">
        <f>K228*VLOOKUP(H228,dagsoorttabel1,2,FALSE)</f>
        <v>47.469230769230769</v>
      </c>
      <c r="M228" s="97">
        <f>prodnorm12</f>
        <v>0</v>
      </c>
      <c r="N228" s="94" t="s">
        <v>103</v>
      </c>
      <c r="O228" s="26">
        <f>uurtarief12</f>
        <v>0</v>
      </c>
      <c r="P228" s="96" t="e">
        <f>IF(ISBLANK(M228),0,L228/ROUND(M228,4))</f>
        <v>#DIV/0!</v>
      </c>
      <c r="Q228" s="26" t="e">
        <f>ROUND(O228,2)*P228</f>
        <v>#DIV/0!</v>
      </c>
      <c r="R228" s="96" t="e">
        <f>P228*dagenperjaar1</f>
        <v>#DIV/0!</v>
      </c>
      <c r="S228" s="27" t="e">
        <f>R228*ROUND(O228,2)</f>
        <v>#DIV/0!</v>
      </c>
    </row>
    <row r="229" spans="1:19" x14ac:dyDescent="0.25">
      <c r="A229" s="93" t="s">
        <v>489</v>
      </c>
      <c r="B229" s="94" t="s">
        <v>284</v>
      </c>
      <c r="C229" s="94" t="s">
        <v>241</v>
      </c>
      <c r="D229" s="94" t="s">
        <v>383</v>
      </c>
      <c r="E229" s="95" t="s">
        <v>276</v>
      </c>
      <c r="F229" s="94" t="s">
        <v>244</v>
      </c>
      <c r="G229" s="94" t="s">
        <v>209</v>
      </c>
      <c r="H229" s="94" t="s">
        <v>11</v>
      </c>
      <c r="I229" s="94" t="s">
        <v>189</v>
      </c>
      <c r="J229" s="95" t="s">
        <v>210</v>
      </c>
      <c r="K229" s="96">
        <v>63.01</v>
      </c>
      <c r="L229" s="96">
        <f>K229*VLOOKUP(H229,dagsoorttabel1,2,FALSE)</f>
        <v>48.469230769230769</v>
      </c>
      <c r="M229" s="97">
        <f>prodnorm12</f>
        <v>0</v>
      </c>
      <c r="N229" s="94" t="s">
        <v>103</v>
      </c>
      <c r="O229" s="26">
        <f>uurtarief12</f>
        <v>0</v>
      </c>
      <c r="P229" s="96" t="e">
        <f>IF(ISBLANK(M229),0,L229/ROUND(M229,4))</f>
        <v>#DIV/0!</v>
      </c>
      <c r="Q229" s="26" t="e">
        <f>ROUND(O229,2)*P229</f>
        <v>#DIV/0!</v>
      </c>
      <c r="R229" s="96" t="e">
        <f>P229*dagenperjaar1</f>
        <v>#DIV/0!</v>
      </c>
      <c r="S229" s="27" t="e">
        <f>R229*ROUND(O229,2)</f>
        <v>#DIV/0!</v>
      </c>
    </row>
    <row r="230" spans="1:19" x14ac:dyDescent="0.25">
      <c r="A230" s="93" t="s">
        <v>489</v>
      </c>
      <c r="B230" s="94" t="s">
        <v>284</v>
      </c>
      <c r="C230" s="94" t="s">
        <v>241</v>
      </c>
      <c r="D230" s="94" t="s">
        <v>385</v>
      </c>
      <c r="E230" s="95" t="s">
        <v>326</v>
      </c>
      <c r="F230" s="94" t="s">
        <v>244</v>
      </c>
      <c r="G230" s="94" t="s">
        <v>248</v>
      </c>
      <c r="H230" s="94"/>
      <c r="I230" s="94"/>
      <c r="J230" s="94"/>
      <c r="K230" s="96">
        <v>4.09</v>
      </c>
      <c r="L230" s="96"/>
      <c r="M230" s="97"/>
      <c r="N230" s="94"/>
      <c r="O230" s="26"/>
      <c r="P230" s="96"/>
      <c r="Q230" s="26"/>
      <c r="R230" s="98"/>
      <c r="S230" s="27"/>
    </row>
    <row r="231" spans="1:19" ht="30" x14ac:dyDescent="0.25">
      <c r="A231" s="93" t="s">
        <v>489</v>
      </c>
      <c r="B231" s="94" t="s">
        <v>284</v>
      </c>
      <c r="C231" s="94" t="s">
        <v>241</v>
      </c>
      <c r="D231" s="94" t="s">
        <v>386</v>
      </c>
      <c r="E231" s="95" t="s">
        <v>243</v>
      </c>
      <c r="F231" s="94" t="s">
        <v>244</v>
      </c>
      <c r="G231" s="94" t="s">
        <v>225</v>
      </c>
      <c r="H231" s="94" t="s">
        <v>11</v>
      </c>
      <c r="I231" s="94" t="s">
        <v>189</v>
      </c>
      <c r="J231" s="95" t="s">
        <v>226</v>
      </c>
      <c r="K231" s="96">
        <v>63.160000000000004</v>
      </c>
      <c r="L231" s="96">
        <f>K231*VLOOKUP(H231,dagsoorttabel1,2,FALSE)</f>
        <v>48.58461538461539</v>
      </c>
      <c r="M231" s="97">
        <f>prodnorm20</f>
        <v>0</v>
      </c>
      <c r="N231" s="94" t="s">
        <v>103</v>
      </c>
      <c r="O231" s="26">
        <f>uurtarief20</f>
        <v>0</v>
      </c>
      <c r="P231" s="96" t="e">
        <f>IF(ISBLANK(M231),0,L231/ROUND(M231,4))</f>
        <v>#DIV/0!</v>
      </c>
      <c r="Q231" s="26" t="e">
        <f>ROUND(O231,2)*P231</f>
        <v>#DIV/0!</v>
      </c>
      <c r="R231" s="96" t="e">
        <f>P231*dagenperjaar1</f>
        <v>#DIV/0!</v>
      </c>
      <c r="S231" s="27" t="e">
        <f>R231*ROUND(O231,2)</f>
        <v>#DIV/0!</v>
      </c>
    </row>
    <row r="232" spans="1:19" x14ac:dyDescent="0.25">
      <c r="A232" s="93" t="s">
        <v>489</v>
      </c>
      <c r="B232" s="94" t="s">
        <v>284</v>
      </c>
      <c r="C232" s="94" t="s">
        <v>241</v>
      </c>
      <c r="D232" s="94" t="s">
        <v>388</v>
      </c>
      <c r="E232" s="95" t="s">
        <v>247</v>
      </c>
      <c r="F232" s="94" t="s">
        <v>244</v>
      </c>
      <c r="G232" s="94" t="s">
        <v>248</v>
      </c>
      <c r="H232" s="94"/>
      <c r="I232" s="94"/>
      <c r="J232" s="94"/>
      <c r="K232" s="96">
        <v>6.3</v>
      </c>
      <c r="L232" s="96"/>
      <c r="M232" s="97"/>
      <c r="N232" s="94"/>
      <c r="O232" s="26"/>
      <c r="P232" s="96"/>
      <c r="Q232" s="26"/>
      <c r="R232" s="98"/>
      <c r="S232" s="27"/>
    </row>
    <row r="233" spans="1:19" x14ac:dyDescent="0.25">
      <c r="A233" s="93" t="s">
        <v>489</v>
      </c>
      <c r="B233" s="94" t="s">
        <v>284</v>
      </c>
      <c r="C233" s="94" t="s">
        <v>241</v>
      </c>
      <c r="D233" s="94" t="s">
        <v>389</v>
      </c>
      <c r="E233" s="95" t="s">
        <v>276</v>
      </c>
      <c r="F233" s="94" t="s">
        <v>244</v>
      </c>
      <c r="G233" s="94" t="s">
        <v>209</v>
      </c>
      <c r="H233" s="94" t="s">
        <v>11</v>
      </c>
      <c r="I233" s="94" t="s">
        <v>189</v>
      </c>
      <c r="J233" s="95" t="s">
        <v>210</v>
      </c>
      <c r="K233" s="96">
        <v>50.7</v>
      </c>
      <c r="L233" s="96">
        <f>K233*VLOOKUP(H233,dagsoorttabel1,2,FALSE)</f>
        <v>39.000000000000007</v>
      </c>
      <c r="M233" s="97">
        <f>prodnorm12</f>
        <v>0</v>
      </c>
      <c r="N233" s="94" t="s">
        <v>103</v>
      </c>
      <c r="O233" s="26">
        <f>uurtarief12</f>
        <v>0</v>
      </c>
      <c r="P233" s="96" t="e">
        <f>IF(ISBLANK(M233),0,L233/ROUND(M233,4))</f>
        <v>#DIV/0!</v>
      </c>
      <c r="Q233" s="26" t="e">
        <f>ROUND(O233,2)*P233</f>
        <v>#DIV/0!</v>
      </c>
      <c r="R233" s="96" t="e">
        <f>P233*dagenperjaar1</f>
        <v>#DIV/0!</v>
      </c>
      <c r="S233" s="27" t="e">
        <f>R233*ROUND(O233,2)</f>
        <v>#DIV/0!</v>
      </c>
    </row>
    <row r="234" spans="1:19" x14ac:dyDescent="0.25">
      <c r="A234" s="93" t="s">
        <v>489</v>
      </c>
      <c r="B234" s="94" t="s">
        <v>284</v>
      </c>
      <c r="C234" s="94" t="s">
        <v>241</v>
      </c>
      <c r="D234" s="94" t="s">
        <v>420</v>
      </c>
      <c r="E234" s="95" t="s">
        <v>276</v>
      </c>
      <c r="F234" s="94" t="s">
        <v>244</v>
      </c>
      <c r="G234" s="94" t="s">
        <v>209</v>
      </c>
      <c r="H234" s="94" t="s">
        <v>11</v>
      </c>
      <c r="I234" s="94" t="s">
        <v>189</v>
      </c>
      <c r="J234" s="95" t="s">
        <v>210</v>
      </c>
      <c r="K234" s="96">
        <v>52.06</v>
      </c>
      <c r="L234" s="96">
        <f>K234*VLOOKUP(H234,dagsoorttabel1,2,FALSE)</f>
        <v>40.04615384615385</v>
      </c>
      <c r="M234" s="97">
        <f>prodnorm12</f>
        <v>0</v>
      </c>
      <c r="N234" s="94" t="s">
        <v>103</v>
      </c>
      <c r="O234" s="26">
        <f>uurtarief12</f>
        <v>0</v>
      </c>
      <c r="P234" s="96" t="e">
        <f>IF(ISBLANK(M234),0,L234/ROUND(M234,4))</f>
        <v>#DIV/0!</v>
      </c>
      <c r="Q234" s="26" t="e">
        <f>ROUND(O234,2)*P234</f>
        <v>#DIV/0!</v>
      </c>
      <c r="R234" s="96" t="e">
        <f>P234*dagenperjaar1</f>
        <v>#DIV/0!</v>
      </c>
      <c r="S234" s="27" t="e">
        <f>R234*ROUND(O234,2)</f>
        <v>#DIV/0!</v>
      </c>
    </row>
    <row r="235" spans="1:19" ht="30" x14ac:dyDescent="0.25">
      <c r="A235" s="93" t="s">
        <v>489</v>
      </c>
      <c r="B235" s="94" t="s">
        <v>284</v>
      </c>
      <c r="C235" s="94" t="s">
        <v>241</v>
      </c>
      <c r="D235" s="94" t="s">
        <v>421</v>
      </c>
      <c r="E235" s="95" t="s">
        <v>243</v>
      </c>
      <c r="F235" s="94" t="s">
        <v>501</v>
      </c>
      <c r="G235" s="94" t="s">
        <v>225</v>
      </c>
      <c r="H235" s="94" t="s">
        <v>11</v>
      </c>
      <c r="I235" s="94" t="s">
        <v>189</v>
      </c>
      <c r="J235" s="95" t="s">
        <v>226</v>
      </c>
      <c r="K235" s="96">
        <v>51.720000000000006</v>
      </c>
      <c r="L235" s="96">
        <f>K235*VLOOKUP(H235,dagsoorttabel1,2,FALSE)</f>
        <v>39.784615384615392</v>
      </c>
      <c r="M235" s="97">
        <f>prodnorm20</f>
        <v>0</v>
      </c>
      <c r="N235" s="94" t="s">
        <v>103</v>
      </c>
      <c r="O235" s="26">
        <f>uurtarief20</f>
        <v>0</v>
      </c>
      <c r="P235" s="96" t="e">
        <f>IF(ISBLANK(M235),0,L235/ROUND(M235,4))</f>
        <v>#DIV/0!</v>
      </c>
      <c r="Q235" s="26" t="e">
        <f>ROUND(O235,2)*P235</f>
        <v>#DIV/0!</v>
      </c>
      <c r="R235" s="96" t="e">
        <f>P235*dagenperjaar1</f>
        <v>#DIV/0!</v>
      </c>
      <c r="S235" s="27" t="e">
        <f>R235*ROUND(O235,2)</f>
        <v>#DIV/0!</v>
      </c>
    </row>
    <row r="236" spans="1:19" x14ac:dyDescent="0.25">
      <c r="A236" s="93" t="s">
        <v>489</v>
      </c>
      <c r="B236" s="94" t="s">
        <v>284</v>
      </c>
      <c r="C236" s="94" t="s">
        <v>241</v>
      </c>
      <c r="D236" s="94" t="s">
        <v>422</v>
      </c>
      <c r="E236" s="95" t="s">
        <v>254</v>
      </c>
      <c r="F236" s="94" t="s">
        <v>255</v>
      </c>
      <c r="G236" s="94" t="s">
        <v>221</v>
      </c>
      <c r="H236" s="94" t="s">
        <v>11</v>
      </c>
      <c r="I236" s="94" t="s">
        <v>189</v>
      </c>
      <c r="J236" s="95" t="s">
        <v>222</v>
      </c>
      <c r="K236" s="96">
        <v>4.58</v>
      </c>
      <c r="L236" s="96">
        <f>K236*VLOOKUP(H236,dagsoorttabel1,2,FALSE)</f>
        <v>3.5230769230769234</v>
      </c>
      <c r="M236" s="97">
        <f>prodnorm18</f>
        <v>0</v>
      </c>
      <c r="N236" s="94" t="s">
        <v>103</v>
      </c>
      <c r="O236" s="26">
        <f>uurtarief18</f>
        <v>0</v>
      </c>
      <c r="P236" s="96" t="e">
        <f>IF(ISBLANK(M236),0,L236/ROUND(M236,4))</f>
        <v>#DIV/0!</v>
      </c>
      <c r="Q236" s="26" t="e">
        <f>ROUND(O236,2)*P236</f>
        <v>#DIV/0!</v>
      </c>
      <c r="R236" s="96" t="e">
        <f>P236*dagenperjaar1</f>
        <v>#DIV/0!</v>
      </c>
      <c r="S236" s="27" t="e">
        <f>R236*ROUND(O236,2)</f>
        <v>#DIV/0!</v>
      </c>
    </row>
    <row r="237" spans="1:19" x14ac:dyDescent="0.25">
      <c r="A237" s="93" t="s">
        <v>489</v>
      </c>
      <c r="B237" s="94" t="s">
        <v>284</v>
      </c>
      <c r="C237" s="94" t="s">
        <v>241</v>
      </c>
      <c r="D237" s="94" t="s">
        <v>423</v>
      </c>
      <c r="E237" s="95" t="s">
        <v>254</v>
      </c>
      <c r="F237" s="94" t="s">
        <v>255</v>
      </c>
      <c r="G237" s="94" t="s">
        <v>221</v>
      </c>
      <c r="H237" s="94" t="s">
        <v>11</v>
      </c>
      <c r="I237" s="94" t="s">
        <v>189</v>
      </c>
      <c r="J237" s="95" t="s">
        <v>222</v>
      </c>
      <c r="K237" s="96">
        <v>1.1700000000000002</v>
      </c>
      <c r="L237" s="96">
        <f>K237*VLOOKUP(H237,dagsoorttabel1,2,FALSE)</f>
        <v>0.90000000000000013</v>
      </c>
      <c r="M237" s="97">
        <f>prodnorm18</f>
        <v>0</v>
      </c>
      <c r="N237" s="94" t="s">
        <v>103</v>
      </c>
      <c r="O237" s="26">
        <f>uurtarief18</f>
        <v>0</v>
      </c>
      <c r="P237" s="96" t="e">
        <f>IF(ISBLANK(M237),0,L237/ROUND(M237,4))</f>
        <v>#DIV/0!</v>
      </c>
      <c r="Q237" s="26" t="e">
        <f>ROUND(O237,2)*P237</f>
        <v>#DIV/0!</v>
      </c>
      <c r="R237" s="96" t="e">
        <f>P237*dagenperjaar1</f>
        <v>#DIV/0!</v>
      </c>
      <c r="S237" s="27" t="e">
        <f>R237*ROUND(O237,2)</f>
        <v>#DIV/0!</v>
      </c>
    </row>
    <row r="238" spans="1:19" x14ac:dyDescent="0.25">
      <c r="A238" s="93" t="s">
        <v>489</v>
      </c>
      <c r="B238" s="94" t="s">
        <v>284</v>
      </c>
      <c r="C238" s="94" t="s">
        <v>241</v>
      </c>
      <c r="D238" s="94" t="s">
        <v>424</v>
      </c>
      <c r="E238" s="95" t="s">
        <v>254</v>
      </c>
      <c r="F238" s="94" t="s">
        <v>255</v>
      </c>
      <c r="G238" s="94" t="s">
        <v>221</v>
      </c>
      <c r="H238" s="94" t="s">
        <v>11</v>
      </c>
      <c r="I238" s="94" t="s">
        <v>189</v>
      </c>
      <c r="J238" s="95" t="s">
        <v>222</v>
      </c>
      <c r="K238" s="96">
        <v>1.1700000000000002</v>
      </c>
      <c r="L238" s="96">
        <f>K238*VLOOKUP(H238,dagsoorttabel1,2,FALSE)</f>
        <v>0.90000000000000013</v>
      </c>
      <c r="M238" s="97">
        <f>prodnorm18</f>
        <v>0</v>
      </c>
      <c r="N238" s="94" t="s">
        <v>103</v>
      </c>
      <c r="O238" s="26">
        <f>uurtarief18</f>
        <v>0</v>
      </c>
      <c r="P238" s="96" t="e">
        <f>IF(ISBLANK(M238),0,L238/ROUND(M238,4))</f>
        <v>#DIV/0!</v>
      </c>
      <c r="Q238" s="26" t="e">
        <f>ROUND(O238,2)*P238</f>
        <v>#DIV/0!</v>
      </c>
      <c r="R238" s="96" t="e">
        <f>P238*dagenperjaar1</f>
        <v>#DIV/0!</v>
      </c>
      <c r="S238" s="27" t="e">
        <f>R238*ROUND(O238,2)</f>
        <v>#DIV/0!</v>
      </c>
    </row>
    <row r="239" spans="1:19" x14ac:dyDescent="0.25">
      <c r="A239" s="93" t="s">
        <v>489</v>
      </c>
      <c r="B239" s="94" t="s">
        <v>284</v>
      </c>
      <c r="C239" s="94" t="s">
        <v>241</v>
      </c>
      <c r="D239" s="94" t="s">
        <v>425</v>
      </c>
      <c r="E239" s="95" t="s">
        <v>511</v>
      </c>
      <c r="F239" s="94" t="s">
        <v>244</v>
      </c>
      <c r="G239" s="94" t="s">
        <v>248</v>
      </c>
      <c r="H239" s="94"/>
      <c r="I239" s="94"/>
      <c r="J239" s="94"/>
      <c r="K239" s="96">
        <v>1.6400000000000001</v>
      </c>
      <c r="L239" s="96"/>
      <c r="M239" s="97"/>
      <c r="N239" s="94"/>
      <c r="O239" s="26"/>
      <c r="P239" s="96"/>
      <c r="Q239" s="26"/>
      <c r="R239" s="98"/>
      <c r="S239" s="27"/>
    </row>
    <row r="240" spans="1:19" x14ac:dyDescent="0.25">
      <c r="A240" s="93" t="s">
        <v>489</v>
      </c>
      <c r="B240" s="94" t="s">
        <v>284</v>
      </c>
      <c r="C240" s="94" t="s">
        <v>241</v>
      </c>
      <c r="D240" s="94" t="s">
        <v>428</v>
      </c>
      <c r="E240" s="95" t="s">
        <v>276</v>
      </c>
      <c r="F240" s="94" t="s">
        <v>244</v>
      </c>
      <c r="G240" s="94" t="s">
        <v>209</v>
      </c>
      <c r="H240" s="94" t="s">
        <v>11</v>
      </c>
      <c r="I240" s="94" t="s">
        <v>189</v>
      </c>
      <c r="J240" s="95" t="s">
        <v>210</v>
      </c>
      <c r="K240" s="96">
        <v>51.08</v>
      </c>
      <c r="L240" s="96">
        <f>K240*VLOOKUP(H240,dagsoorttabel1,2,FALSE)</f>
        <v>39.292307692307695</v>
      </c>
      <c r="M240" s="97">
        <f>prodnorm12</f>
        <v>0</v>
      </c>
      <c r="N240" s="94" t="s">
        <v>103</v>
      </c>
      <c r="O240" s="26">
        <f>uurtarief12</f>
        <v>0</v>
      </c>
      <c r="P240" s="96" t="e">
        <f>IF(ISBLANK(M240),0,L240/ROUND(M240,4))</f>
        <v>#DIV/0!</v>
      </c>
      <c r="Q240" s="26" t="e">
        <f>ROUND(O240,2)*P240</f>
        <v>#DIV/0!</v>
      </c>
      <c r="R240" s="96" t="e">
        <f>P240*dagenperjaar1</f>
        <v>#DIV/0!</v>
      </c>
      <c r="S240" s="27" t="e">
        <f>R240*ROUND(O240,2)</f>
        <v>#DIV/0!</v>
      </c>
    </row>
    <row r="241" spans="1:19" x14ac:dyDescent="0.25">
      <c r="A241" s="93" t="s">
        <v>489</v>
      </c>
      <c r="B241" s="94" t="s">
        <v>284</v>
      </c>
      <c r="C241" s="94" t="s">
        <v>241</v>
      </c>
      <c r="D241" s="94" t="s">
        <v>277</v>
      </c>
      <c r="E241" s="95" t="s">
        <v>387</v>
      </c>
      <c r="F241" s="94" t="s">
        <v>512</v>
      </c>
      <c r="G241" s="94" t="s">
        <v>248</v>
      </c>
      <c r="H241" s="94"/>
      <c r="I241" s="94"/>
      <c r="J241" s="94"/>
      <c r="K241" s="96">
        <v>36.020000000000003</v>
      </c>
      <c r="L241" s="96"/>
      <c r="M241" s="97"/>
      <c r="N241" s="94"/>
      <c r="O241" s="26"/>
      <c r="P241" s="96"/>
      <c r="Q241" s="26"/>
      <c r="R241" s="98"/>
      <c r="S241" s="27"/>
    </row>
    <row r="242" spans="1:19" ht="30" x14ac:dyDescent="0.25">
      <c r="A242" s="93" t="s">
        <v>489</v>
      </c>
      <c r="B242" s="94" t="s">
        <v>316</v>
      </c>
      <c r="C242" s="94" t="s">
        <v>285</v>
      </c>
      <c r="D242" s="94" t="s">
        <v>344</v>
      </c>
      <c r="E242" s="95" t="s">
        <v>259</v>
      </c>
      <c r="F242" s="94" t="s">
        <v>384</v>
      </c>
      <c r="G242" s="94" t="s">
        <v>193</v>
      </c>
      <c r="H242" s="94" t="s">
        <v>11</v>
      </c>
      <c r="I242" s="94" t="s">
        <v>189</v>
      </c>
      <c r="J242" s="95" t="s">
        <v>194</v>
      </c>
      <c r="K242" s="96">
        <v>68.290000000000006</v>
      </c>
      <c r="L242" s="96">
        <f>K242*VLOOKUP(H242,dagsoorttabel1,2,FALSE)</f>
        <v>52.530769230769238</v>
      </c>
      <c r="M242" s="97">
        <f>prodnorm4</f>
        <v>0</v>
      </c>
      <c r="N242" s="94" t="s">
        <v>103</v>
      </c>
      <c r="O242" s="26">
        <f>uurtarief4</f>
        <v>0</v>
      </c>
      <c r="P242" s="96" t="e">
        <f>IF(ISBLANK(M242),0,L242/ROUND(M242,4))</f>
        <v>#DIV/0!</v>
      </c>
      <c r="Q242" s="26" t="e">
        <f>ROUND(O242,2)*P242</f>
        <v>#DIV/0!</v>
      </c>
      <c r="R242" s="96" t="e">
        <f>P242*dagenperjaar1</f>
        <v>#DIV/0!</v>
      </c>
      <c r="S242" s="27" t="e">
        <f>R242*ROUND(O242,2)</f>
        <v>#DIV/0!</v>
      </c>
    </row>
    <row r="243" spans="1:19" x14ac:dyDescent="0.25">
      <c r="A243" s="93" t="s">
        <v>489</v>
      </c>
      <c r="B243" s="94" t="s">
        <v>316</v>
      </c>
      <c r="C243" s="94" t="s">
        <v>285</v>
      </c>
      <c r="D243" s="94" t="s">
        <v>348</v>
      </c>
      <c r="E243" s="95" t="s">
        <v>247</v>
      </c>
      <c r="F243" s="94" t="s">
        <v>244</v>
      </c>
      <c r="G243" s="94" t="s">
        <v>248</v>
      </c>
      <c r="H243" s="94"/>
      <c r="I243" s="94"/>
      <c r="J243" s="94"/>
      <c r="K243" s="96">
        <v>17.170000000000002</v>
      </c>
      <c r="L243" s="96"/>
      <c r="M243" s="97"/>
      <c r="N243" s="94"/>
      <c r="O243" s="26"/>
      <c r="P243" s="96"/>
      <c r="Q243" s="26"/>
      <c r="R243" s="98"/>
      <c r="S243" s="27"/>
    </row>
    <row r="244" spans="1:19" ht="30" x14ac:dyDescent="0.25">
      <c r="A244" s="93" t="s">
        <v>489</v>
      </c>
      <c r="B244" s="94" t="s">
        <v>316</v>
      </c>
      <c r="C244" s="94" t="s">
        <v>285</v>
      </c>
      <c r="D244" s="94" t="s">
        <v>349</v>
      </c>
      <c r="E244" s="95" t="s">
        <v>243</v>
      </c>
      <c r="F244" s="94" t="s">
        <v>244</v>
      </c>
      <c r="G244" s="94" t="s">
        <v>225</v>
      </c>
      <c r="H244" s="94" t="s">
        <v>11</v>
      </c>
      <c r="I244" s="94" t="s">
        <v>189</v>
      </c>
      <c r="J244" s="95" t="s">
        <v>226</v>
      </c>
      <c r="K244" s="96">
        <v>97.5</v>
      </c>
      <c r="L244" s="96">
        <f>K244*VLOOKUP(H244,dagsoorttabel1,2,FALSE)</f>
        <v>75</v>
      </c>
      <c r="M244" s="97">
        <f>prodnorm20</f>
        <v>0</v>
      </c>
      <c r="N244" s="94" t="s">
        <v>103</v>
      </c>
      <c r="O244" s="26">
        <f>uurtarief20</f>
        <v>0</v>
      </c>
      <c r="P244" s="96" t="e">
        <f>IF(ISBLANK(M244),0,L244/ROUND(M244,4))</f>
        <v>#DIV/0!</v>
      </c>
      <c r="Q244" s="26" t="e">
        <f>ROUND(O244,2)*P244</f>
        <v>#DIV/0!</v>
      </c>
      <c r="R244" s="96" t="e">
        <f>P244*dagenperjaar1</f>
        <v>#DIV/0!</v>
      </c>
      <c r="S244" s="27" t="e">
        <f>R244*ROUND(O244,2)</f>
        <v>#DIV/0!</v>
      </c>
    </row>
    <row r="245" spans="1:19" x14ac:dyDescent="0.25">
      <c r="A245" s="93" t="s">
        <v>489</v>
      </c>
      <c r="B245" s="94" t="s">
        <v>316</v>
      </c>
      <c r="C245" s="94" t="s">
        <v>285</v>
      </c>
      <c r="D245" s="94" t="s">
        <v>353</v>
      </c>
      <c r="E245" s="95" t="s">
        <v>276</v>
      </c>
      <c r="F245" s="94" t="s">
        <v>244</v>
      </c>
      <c r="G245" s="94" t="s">
        <v>209</v>
      </c>
      <c r="H245" s="94" t="s">
        <v>11</v>
      </c>
      <c r="I245" s="94" t="s">
        <v>189</v>
      </c>
      <c r="J245" s="95" t="s">
        <v>210</v>
      </c>
      <c r="K245" s="96">
        <v>61.24</v>
      </c>
      <c r="L245" s="96">
        <f>K245*VLOOKUP(H245,dagsoorttabel1,2,FALSE)</f>
        <v>47.107692307692311</v>
      </c>
      <c r="M245" s="97">
        <f>prodnorm12</f>
        <v>0</v>
      </c>
      <c r="N245" s="94" t="s">
        <v>103</v>
      </c>
      <c r="O245" s="26">
        <f>uurtarief12</f>
        <v>0</v>
      </c>
      <c r="P245" s="96" t="e">
        <f>IF(ISBLANK(M245),0,L245/ROUND(M245,4))</f>
        <v>#DIV/0!</v>
      </c>
      <c r="Q245" s="26" t="e">
        <f>ROUND(O245,2)*P245</f>
        <v>#DIV/0!</v>
      </c>
      <c r="R245" s="96" t="e">
        <f>P245*dagenperjaar1</f>
        <v>#DIV/0!</v>
      </c>
      <c r="S245" s="27" t="e">
        <f>R245*ROUND(O245,2)</f>
        <v>#DIV/0!</v>
      </c>
    </row>
    <row r="246" spans="1:19" x14ac:dyDescent="0.25">
      <c r="A246" s="93" t="s">
        <v>489</v>
      </c>
      <c r="B246" s="94" t="s">
        <v>316</v>
      </c>
      <c r="C246" s="94" t="s">
        <v>285</v>
      </c>
      <c r="D246" s="94" t="s">
        <v>354</v>
      </c>
      <c r="E246" s="95" t="s">
        <v>513</v>
      </c>
      <c r="F246" s="94" t="s">
        <v>392</v>
      </c>
      <c r="G246" s="94" t="s">
        <v>219</v>
      </c>
      <c r="H246" s="94" t="s">
        <v>11</v>
      </c>
      <c r="I246" s="94" t="s">
        <v>189</v>
      </c>
      <c r="J246" s="95" t="s">
        <v>220</v>
      </c>
      <c r="K246" s="96">
        <v>62.02</v>
      </c>
      <c r="L246" s="96">
        <f>K246*VLOOKUP(H246,dagsoorttabel1,2,FALSE)</f>
        <v>47.707692307692312</v>
      </c>
      <c r="M246" s="97">
        <f>prodnorm17</f>
        <v>0</v>
      </c>
      <c r="N246" s="94" t="s">
        <v>103</v>
      </c>
      <c r="O246" s="26">
        <f>uurtarief17</f>
        <v>0</v>
      </c>
      <c r="P246" s="96" t="e">
        <f>IF(ISBLANK(M246),0,L246/ROUND(M246,4))</f>
        <v>#DIV/0!</v>
      </c>
      <c r="Q246" s="26" t="e">
        <f>ROUND(O246,2)*P246</f>
        <v>#DIV/0!</v>
      </c>
      <c r="R246" s="96" t="e">
        <f>P246*dagenperjaar1</f>
        <v>#DIV/0!</v>
      </c>
      <c r="S246" s="27" t="e">
        <f>R246*ROUND(O246,2)</f>
        <v>#DIV/0!</v>
      </c>
    </row>
    <row r="247" spans="1:19" x14ac:dyDescent="0.25">
      <c r="A247" s="93" t="s">
        <v>489</v>
      </c>
      <c r="B247" s="94" t="s">
        <v>316</v>
      </c>
      <c r="C247" s="94" t="s">
        <v>285</v>
      </c>
      <c r="D247" s="94" t="s">
        <v>357</v>
      </c>
      <c r="E247" s="95" t="s">
        <v>514</v>
      </c>
      <c r="F247" s="94" t="s">
        <v>244</v>
      </c>
      <c r="G247" s="94" t="s">
        <v>248</v>
      </c>
      <c r="H247" s="94"/>
      <c r="I247" s="94"/>
      <c r="J247" s="94"/>
      <c r="K247" s="96">
        <v>15.29</v>
      </c>
      <c r="L247" s="96"/>
      <c r="M247" s="97"/>
      <c r="N247" s="94"/>
      <c r="O247" s="26"/>
      <c r="P247" s="96"/>
      <c r="Q247" s="26"/>
      <c r="R247" s="98"/>
      <c r="S247" s="27"/>
    </row>
    <row r="248" spans="1:19" x14ac:dyDescent="0.25">
      <c r="A248" s="93" t="s">
        <v>489</v>
      </c>
      <c r="B248" s="94" t="s">
        <v>316</v>
      </c>
      <c r="C248" s="94" t="s">
        <v>285</v>
      </c>
      <c r="D248" s="94" t="s">
        <v>360</v>
      </c>
      <c r="E248" s="95" t="s">
        <v>247</v>
      </c>
      <c r="F248" s="94" t="s">
        <v>244</v>
      </c>
      <c r="G248" s="94" t="s">
        <v>248</v>
      </c>
      <c r="H248" s="94"/>
      <c r="I248" s="94"/>
      <c r="J248" s="94"/>
      <c r="K248" s="96">
        <v>9.89</v>
      </c>
      <c r="L248" s="96"/>
      <c r="M248" s="97"/>
      <c r="N248" s="94"/>
      <c r="O248" s="26"/>
      <c r="P248" s="96"/>
      <c r="Q248" s="26"/>
      <c r="R248" s="98"/>
      <c r="S248" s="27"/>
    </row>
    <row r="249" spans="1:19" x14ac:dyDescent="0.25">
      <c r="A249" s="93" t="s">
        <v>489</v>
      </c>
      <c r="B249" s="94" t="s">
        <v>316</v>
      </c>
      <c r="C249" s="94" t="s">
        <v>285</v>
      </c>
      <c r="D249" s="94" t="s">
        <v>361</v>
      </c>
      <c r="E249" s="95" t="s">
        <v>276</v>
      </c>
      <c r="F249" s="94" t="s">
        <v>244</v>
      </c>
      <c r="G249" s="94" t="s">
        <v>209</v>
      </c>
      <c r="H249" s="94" t="s">
        <v>11</v>
      </c>
      <c r="I249" s="94" t="s">
        <v>189</v>
      </c>
      <c r="J249" s="95" t="s">
        <v>210</v>
      </c>
      <c r="K249" s="96">
        <v>46.97</v>
      </c>
      <c r="L249" s="96">
        <f>K249*VLOOKUP(H249,dagsoorttabel1,2,FALSE)</f>
        <v>36.130769230769232</v>
      </c>
      <c r="M249" s="97">
        <f>prodnorm12</f>
        <v>0</v>
      </c>
      <c r="N249" s="94" t="s">
        <v>103</v>
      </c>
      <c r="O249" s="26">
        <f>uurtarief12</f>
        <v>0</v>
      </c>
      <c r="P249" s="96" t="e">
        <f>IF(ISBLANK(M249),0,L249/ROUND(M249,4))</f>
        <v>#DIV/0!</v>
      </c>
      <c r="Q249" s="26" t="e">
        <f>ROUND(O249,2)*P249</f>
        <v>#DIV/0!</v>
      </c>
      <c r="R249" s="96" t="e">
        <f>P249*dagenperjaar1</f>
        <v>#DIV/0!</v>
      </c>
      <c r="S249" s="27" t="e">
        <f>R249*ROUND(O249,2)</f>
        <v>#DIV/0!</v>
      </c>
    </row>
    <row r="250" spans="1:19" x14ac:dyDescent="0.25">
      <c r="A250" s="93" t="s">
        <v>489</v>
      </c>
      <c r="B250" s="94" t="s">
        <v>316</v>
      </c>
      <c r="C250" s="94" t="s">
        <v>285</v>
      </c>
      <c r="D250" s="94" t="s">
        <v>362</v>
      </c>
      <c r="E250" s="95" t="s">
        <v>276</v>
      </c>
      <c r="F250" s="94" t="s">
        <v>244</v>
      </c>
      <c r="G250" s="94" t="s">
        <v>209</v>
      </c>
      <c r="H250" s="94" t="s">
        <v>11</v>
      </c>
      <c r="I250" s="94" t="s">
        <v>189</v>
      </c>
      <c r="J250" s="95" t="s">
        <v>210</v>
      </c>
      <c r="K250" s="96">
        <v>51.86</v>
      </c>
      <c r="L250" s="96">
        <f>K250*VLOOKUP(H250,dagsoorttabel1,2,FALSE)</f>
        <v>39.892307692307696</v>
      </c>
      <c r="M250" s="97">
        <f>prodnorm12</f>
        <v>0</v>
      </c>
      <c r="N250" s="94" t="s">
        <v>103</v>
      </c>
      <c r="O250" s="26">
        <f>uurtarief12</f>
        <v>0</v>
      </c>
      <c r="P250" s="96" t="e">
        <f>IF(ISBLANK(M250),0,L250/ROUND(M250,4))</f>
        <v>#DIV/0!</v>
      </c>
      <c r="Q250" s="26" t="e">
        <f>ROUND(O250,2)*P250</f>
        <v>#DIV/0!</v>
      </c>
      <c r="R250" s="96" t="e">
        <f>P250*dagenperjaar1</f>
        <v>#DIV/0!</v>
      </c>
      <c r="S250" s="27" t="e">
        <f>R250*ROUND(O250,2)</f>
        <v>#DIV/0!</v>
      </c>
    </row>
    <row r="251" spans="1:19" x14ac:dyDescent="0.25">
      <c r="A251" s="93" t="s">
        <v>489</v>
      </c>
      <c r="B251" s="94" t="s">
        <v>316</v>
      </c>
      <c r="C251" s="94" t="s">
        <v>285</v>
      </c>
      <c r="D251" s="94" t="s">
        <v>363</v>
      </c>
      <c r="E251" s="95" t="s">
        <v>254</v>
      </c>
      <c r="F251" s="94" t="s">
        <v>255</v>
      </c>
      <c r="G251" s="94" t="s">
        <v>221</v>
      </c>
      <c r="H251" s="94" t="s">
        <v>11</v>
      </c>
      <c r="I251" s="94" t="s">
        <v>189</v>
      </c>
      <c r="J251" s="95" t="s">
        <v>222</v>
      </c>
      <c r="K251" s="96">
        <v>5.05</v>
      </c>
      <c r="L251" s="96">
        <f>K251*VLOOKUP(H251,dagsoorttabel1,2,FALSE)</f>
        <v>3.8846153846153846</v>
      </c>
      <c r="M251" s="97">
        <f>prodnorm18</f>
        <v>0</v>
      </c>
      <c r="N251" s="94" t="s">
        <v>103</v>
      </c>
      <c r="O251" s="26">
        <f>uurtarief18</f>
        <v>0</v>
      </c>
      <c r="P251" s="96" t="e">
        <f>IF(ISBLANK(M251),0,L251/ROUND(M251,4))</f>
        <v>#DIV/0!</v>
      </c>
      <c r="Q251" s="26" t="e">
        <f>ROUND(O251,2)*P251</f>
        <v>#DIV/0!</v>
      </c>
      <c r="R251" s="96" t="e">
        <f>P251*dagenperjaar1</f>
        <v>#DIV/0!</v>
      </c>
      <c r="S251" s="27" t="e">
        <f>R251*ROUND(O251,2)</f>
        <v>#DIV/0!</v>
      </c>
    </row>
    <row r="252" spans="1:19" x14ac:dyDescent="0.25">
      <c r="A252" s="93" t="s">
        <v>489</v>
      </c>
      <c r="B252" s="94" t="s">
        <v>316</v>
      </c>
      <c r="C252" s="94" t="s">
        <v>285</v>
      </c>
      <c r="D252" s="94" t="s">
        <v>364</v>
      </c>
      <c r="E252" s="95" t="s">
        <v>254</v>
      </c>
      <c r="F252" s="94" t="s">
        <v>255</v>
      </c>
      <c r="G252" s="94" t="s">
        <v>221</v>
      </c>
      <c r="H252" s="94" t="s">
        <v>11</v>
      </c>
      <c r="I252" s="94" t="s">
        <v>189</v>
      </c>
      <c r="J252" s="95" t="s">
        <v>222</v>
      </c>
      <c r="K252" s="96">
        <v>1.1600000000000001</v>
      </c>
      <c r="L252" s="96">
        <f>K252*VLOOKUP(H252,dagsoorttabel1,2,FALSE)</f>
        <v>0.89230769230769247</v>
      </c>
      <c r="M252" s="97">
        <f>prodnorm18</f>
        <v>0</v>
      </c>
      <c r="N252" s="94" t="s">
        <v>103</v>
      </c>
      <c r="O252" s="26">
        <f>uurtarief18</f>
        <v>0</v>
      </c>
      <c r="P252" s="96" t="e">
        <f>IF(ISBLANK(M252),0,L252/ROUND(M252,4))</f>
        <v>#DIV/0!</v>
      </c>
      <c r="Q252" s="26" t="e">
        <f>ROUND(O252,2)*P252</f>
        <v>#DIV/0!</v>
      </c>
      <c r="R252" s="96" t="e">
        <f>P252*dagenperjaar1</f>
        <v>#DIV/0!</v>
      </c>
      <c r="S252" s="27" t="e">
        <f>R252*ROUND(O252,2)</f>
        <v>#DIV/0!</v>
      </c>
    </row>
    <row r="253" spans="1:19" x14ac:dyDescent="0.25">
      <c r="A253" s="93" t="s">
        <v>489</v>
      </c>
      <c r="B253" s="94" t="s">
        <v>316</v>
      </c>
      <c r="C253" s="94" t="s">
        <v>285</v>
      </c>
      <c r="D253" s="94" t="s">
        <v>365</v>
      </c>
      <c r="E253" s="95" t="s">
        <v>254</v>
      </c>
      <c r="F253" s="94" t="s">
        <v>255</v>
      </c>
      <c r="G253" s="94" t="s">
        <v>221</v>
      </c>
      <c r="H253" s="94" t="s">
        <v>11</v>
      </c>
      <c r="I253" s="94" t="s">
        <v>189</v>
      </c>
      <c r="J253" s="95" t="s">
        <v>222</v>
      </c>
      <c r="K253" s="96">
        <v>1.1700000000000002</v>
      </c>
      <c r="L253" s="96">
        <f>K253*VLOOKUP(H253,dagsoorttabel1,2,FALSE)</f>
        <v>0.90000000000000013</v>
      </c>
      <c r="M253" s="97">
        <f>prodnorm18</f>
        <v>0</v>
      </c>
      <c r="N253" s="94" t="s">
        <v>103</v>
      </c>
      <c r="O253" s="26">
        <f>uurtarief18</f>
        <v>0</v>
      </c>
      <c r="P253" s="96" t="e">
        <f>IF(ISBLANK(M253),0,L253/ROUND(M253,4))</f>
        <v>#DIV/0!</v>
      </c>
      <c r="Q253" s="26" t="e">
        <f>ROUND(O253,2)*P253</f>
        <v>#DIV/0!</v>
      </c>
      <c r="R253" s="96" t="e">
        <f>P253*dagenperjaar1</f>
        <v>#DIV/0!</v>
      </c>
      <c r="S253" s="27" t="e">
        <f>R253*ROUND(O253,2)</f>
        <v>#DIV/0!</v>
      </c>
    </row>
    <row r="254" spans="1:19" x14ac:dyDescent="0.25">
      <c r="A254" s="93" t="s">
        <v>489</v>
      </c>
      <c r="B254" s="94" t="s">
        <v>316</v>
      </c>
      <c r="C254" s="94" t="s">
        <v>285</v>
      </c>
      <c r="D254" s="94" t="s">
        <v>286</v>
      </c>
      <c r="E254" s="95" t="s">
        <v>276</v>
      </c>
      <c r="F254" s="94" t="s">
        <v>244</v>
      </c>
      <c r="G254" s="94" t="s">
        <v>209</v>
      </c>
      <c r="H254" s="94" t="s">
        <v>11</v>
      </c>
      <c r="I254" s="94" t="s">
        <v>189</v>
      </c>
      <c r="J254" s="95" t="s">
        <v>210</v>
      </c>
      <c r="K254" s="96">
        <v>51.46</v>
      </c>
      <c r="L254" s="96">
        <f>K254*VLOOKUP(H254,dagsoorttabel1,2,FALSE)</f>
        <v>39.58461538461539</v>
      </c>
      <c r="M254" s="97">
        <f>prodnorm12</f>
        <v>0</v>
      </c>
      <c r="N254" s="94" t="s">
        <v>103</v>
      </c>
      <c r="O254" s="26">
        <f>uurtarief12</f>
        <v>0</v>
      </c>
      <c r="P254" s="96" t="e">
        <f>IF(ISBLANK(M254),0,L254/ROUND(M254,4))</f>
        <v>#DIV/0!</v>
      </c>
      <c r="Q254" s="26" t="e">
        <f>ROUND(O254,2)*P254</f>
        <v>#DIV/0!</v>
      </c>
      <c r="R254" s="96" t="e">
        <f>P254*dagenperjaar1</f>
        <v>#DIV/0!</v>
      </c>
      <c r="S254" s="27" t="e">
        <f>R254*ROUND(O254,2)</f>
        <v>#DIV/0!</v>
      </c>
    </row>
    <row r="255" spans="1:19" ht="30" x14ac:dyDescent="0.25">
      <c r="A255" s="93" t="s">
        <v>489</v>
      </c>
      <c r="B255" s="94" t="s">
        <v>316</v>
      </c>
      <c r="C255" s="94" t="s">
        <v>285</v>
      </c>
      <c r="D255" s="94" t="s">
        <v>287</v>
      </c>
      <c r="E255" s="95" t="s">
        <v>243</v>
      </c>
      <c r="F255" s="94" t="s">
        <v>244</v>
      </c>
      <c r="G255" s="94" t="s">
        <v>225</v>
      </c>
      <c r="H255" s="94" t="s">
        <v>11</v>
      </c>
      <c r="I255" s="94" t="s">
        <v>189</v>
      </c>
      <c r="J255" s="95" t="s">
        <v>226</v>
      </c>
      <c r="K255" s="96">
        <v>26.91</v>
      </c>
      <c r="L255" s="96">
        <f>K255*VLOOKUP(H255,dagsoorttabel1,2,FALSE)</f>
        <v>20.700000000000003</v>
      </c>
      <c r="M255" s="97">
        <f>prodnorm20</f>
        <v>0</v>
      </c>
      <c r="N255" s="94" t="s">
        <v>103</v>
      </c>
      <c r="O255" s="26">
        <f>uurtarief20</f>
        <v>0</v>
      </c>
      <c r="P255" s="96" t="e">
        <f>IF(ISBLANK(M255),0,L255/ROUND(M255,4))</f>
        <v>#DIV/0!</v>
      </c>
      <c r="Q255" s="26" t="e">
        <f>ROUND(O255,2)*P255</f>
        <v>#DIV/0!</v>
      </c>
      <c r="R255" s="96" t="e">
        <f>P255*dagenperjaar1</f>
        <v>#DIV/0!</v>
      </c>
      <c r="S255" s="27" t="e">
        <f>R255*ROUND(O255,2)</f>
        <v>#DIV/0!</v>
      </c>
    </row>
    <row r="256" spans="1:19" x14ac:dyDescent="0.25">
      <c r="A256" s="93" t="s">
        <v>489</v>
      </c>
      <c r="B256" s="94" t="s">
        <v>316</v>
      </c>
      <c r="C256" s="94" t="s">
        <v>285</v>
      </c>
      <c r="D256" s="94" t="s">
        <v>288</v>
      </c>
      <c r="E256" s="95" t="s">
        <v>276</v>
      </c>
      <c r="F256" s="94" t="s">
        <v>244</v>
      </c>
      <c r="G256" s="94" t="s">
        <v>209</v>
      </c>
      <c r="H256" s="94" t="s">
        <v>11</v>
      </c>
      <c r="I256" s="94" t="s">
        <v>189</v>
      </c>
      <c r="J256" s="95" t="s">
        <v>210</v>
      </c>
      <c r="K256" s="96">
        <v>51.24</v>
      </c>
      <c r="L256" s="96">
        <f>K256*VLOOKUP(H256,dagsoorttabel1,2,FALSE)</f>
        <v>39.415384615384617</v>
      </c>
      <c r="M256" s="97">
        <f>prodnorm12</f>
        <v>0</v>
      </c>
      <c r="N256" s="94" t="s">
        <v>103</v>
      </c>
      <c r="O256" s="26">
        <f>uurtarief12</f>
        <v>0</v>
      </c>
      <c r="P256" s="96" t="e">
        <f>IF(ISBLANK(M256),0,L256/ROUND(M256,4))</f>
        <v>#DIV/0!</v>
      </c>
      <c r="Q256" s="26" t="e">
        <f>ROUND(O256,2)*P256</f>
        <v>#DIV/0!</v>
      </c>
      <c r="R256" s="96" t="e">
        <f>P256*dagenperjaar1</f>
        <v>#DIV/0!</v>
      </c>
      <c r="S256" s="27" t="e">
        <f>R256*ROUND(O256,2)</f>
        <v>#DIV/0!</v>
      </c>
    </row>
    <row r="257" spans="1:19" x14ac:dyDescent="0.25">
      <c r="A257" s="93" t="s">
        <v>489</v>
      </c>
      <c r="B257" s="94" t="s">
        <v>316</v>
      </c>
      <c r="C257" s="94" t="s">
        <v>285</v>
      </c>
      <c r="D257" s="94" t="s">
        <v>289</v>
      </c>
      <c r="E257" s="95" t="s">
        <v>511</v>
      </c>
      <c r="F257" s="94" t="s">
        <v>244</v>
      </c>
      <c r="G257" s="94" t="s">
        <v>248</v>
      </c>
      <c r="H257" s="94"/>
      <c r="I257" s="94"/>
      <c r="J257" s="94"/>
      <c r="K257" s="96">
        <v>1.6400000000000001</v>
      </c>
      <c r="L257" s="96"/>
      <c r="M257" s="97"/>
      <c r="N257" s="94"/>
      <c r="O257" s="26"/>
      <c r="P257" s="96"/>
      <c r="Q257" s="26"/>
      <c r="R257" s="98"/>
      <c r="S257" s="27"/>
    </row>
    <row r="258" spans="1:19" x14ac:dyDescent="0.25">
      <c r="A258" s="93" t="s">
        <v>489</v>
      </c>
      <c r="B258" s="94" t="s">
        <v>316</v>
      </c>
      <c r="C258" s="94" t="s">
        <v>285</v>
      </c>
      <c r="D258" s="94" t="s">
        <v>290</v>
      </c>
      <c r="E258" s="95" t="s">
        <v>254</v>
      </c>
      <c r="F258" s="94" t="s">
        <v>255</v>
      </c>
      <c r="G258" s="94" t="s">
        <v>221</v>
      </c>
      <c r="H258" s="94" t="s">
        <v>11</v>
      </c>
      <c r="I258" s="94" t="s">
        <v>189</v>
      </c>
      <c r="J258" s="95" t="s">
        <v>222</v>
      </c>
      <c r="K258" s="96">
        <v>6.3</v>
      </c>
      <c r="L258" s="96">
        <f>K258*VLOOKUP(H258,dagsoorttabel1,2,FALSE)</f>
        <v>4.8461538461538467</v>
      </c>
      <c r="M258" s="97">
        <f>prodnorm18</f>
        <v>0</v>
      </c>
      <c r="N258" s="94" t="s">
        <v>103</v>
      </c>
      <c r="O258" s="26">
        <f>uurtarief18</f>
        <v>0</v>
      </c>
      <c r="P258" s="96" t="e">
        <f>IF(ISBLANK(M258),0,L258/ROUND(M258,4))</f>
        <v>#DIV/0!</v>
      </c>
      <c r="Q258" s="26" t="e">
        <f>ROUND(O258,2)*P258</f>
        <v>#DIV/0!</v>
      </c>
      <c r="R258" s="96" t="e">
        <f>P258*dagenperjaar1</f>
        <v>#DIV/0!</v>
      </c>
      <c r="S258" s="27" t="e">
        <f>R258*ROUND(O258,2)</f>
        <v>#DIV/0!</v>
      </c>
    </row>
    <row r="259" spans="1:19" x14ac:dyDescent="0.25">
      <c r="A259" s="93" t="s">
        <v>489</v>
      </c>
      <c r="B259" s="94" t="s">
        <v>316</v>
      </c>
      <c r="C259" s="94" t="s">
        <v>285</v>
      </c>
      <c r="D259" s="94" t="s">
        <v>291</v>
      </c>
      <c r="E259" s="95" t="s">
        <v>254</v>
      </c>
      <c r="F259" s="94" t="s">
        <v>255</v>
      </c>
      <c r="G259" s="94" t="s">
        <v>221</v>
      </c>
      <c r="H259" s="94" t="s">
        <v>11</v>
      </c>
      <c r="I259" s="94" t="s">
        <v>189</v>
      </c>
      <c r="J259" s="95" t="s">
        <v>222</v>
      </c>
      <c r="K259" s="96">
        <v>1.34</v>
      </c>
      <c r="L259" s="96">
        <f>K259*VLOOKUP(H259,dagsoorttabel1,2,FALSE)</f>
        <v>1.0307692307692309</v>
      </c>
      <c r="M259" s="97">
        <f>prodnorm18</f>
        <v>0</v>
      </c>
      <c r="N259" s="94" t="s">
        <v>103</v>
      </c>
      <c r="O259" s="26">
        <f>uurtarief18</f>
        <v>0</v>
      </c>
      <c r="P259" s="96" t="e">
        <f>IF(ISBLANK(M259),0,L259/ROUND(M259,4))</f>
        <v>#DIV/0!</v>
      </c>
      <c r="Q259" s="26" t="e">
        <f>ROUND(O259,2)*P259</f>
        <v>#DIV/0!</v>
      </c>
      <c r="R259" s="96" t="e">
        <f>P259*dagenperjaar1</f>
        <v>#DIV/0!</v>
      </c>
      <c r="S259" s="27" t="e">
        <f>R259*ROUND(O259,2)</f>
        <v>#DIV/0!</v>
      </c>
    </row>
    <row r="260" spans="1:19" x14ac:dyDescent="0.25">
      <c r="A260" s="93" t="s">
        <v>489</v>
      </c>
      <c r="B260" s="94" t="s">
        <v>316</v>
      </c>
      <c r="C260" s="94" t="s">
        <v>285</v>
      </c>
      <c r="D260" s="94" t="s">
        <v>292</v>
      </c>
      <c r="E260" s="95" t="s">
        <v>276</v>
      </c>
      <c r="F260" s="94" t="s">
        <v>244</v>
      </c>
      <c r="G260" s="94" t="s">
        <v>209</v>
      </c>
      <c r="H260" s="94" t="s">
        <v>11</v>
      </c>
      <c r="I260" s="94" t="s">
        <v>189</v>
      </c>
      <c r="J260" s="95" t="s">
        <v>210</v>
      </c>
      <c r="K260" s="96">
        <v>51.1</v>
      </c>
      <c r="L260" s="96">
        <f>K260*VLOOKUP(H260,dagsoorttabel1,2,FALSE)</f>
        <v>39.307692307692314</v>
      </c>
      <c r="M260" s="97">
        <f>prodnorm12</f>
        <v>0</v>
      </c>
      <c r="N260" s="94" t="s">
        <v>103</v>
      </c>
      <c r="O260" s="26">
        <f>uurtarief12</f>
        <v>0</v>
      </c>
      <c r="P260" s="96" t="e">
        <f>IF(ISBLANK(M260),0,L260/ROUND(M260,4))</f>
        <v>#DIV/0!</v>
      </c>
      <c r="Q260" s="26" t="e">
        <f>ROUND(O260,2)*P260</f>
        <v>#DIV/0!</v>
      </c>
      <c r="R260" s="96" t="e">
        <f>P260*dagenperjaar1</f>
        <v>#DIV/0!</v>
      </c>
      <c r="S260" s="27" t="e">
        <f>R260*ROUND(O260,2)</f>
        <v>#DIV/0!</v>
      </c>
    </row>
    <row r="261" spans="1:19" ht="30" x14ac:dyDescent="0.25">
      <c r="A261" s="93" t="s">
        <v>489</v>
      </c>
      <c r="B261" s="94" t="s">
        <v>316</v>
      </c>
      <c r="C261" s="94" t="s">
        <v>285</v>
      </c>
      <c r="D261" s="94" t="s">
        <v>515</v>
      </c>
      <c r="E261" s="95" t="s">
        <v>294</v>
      </c>
      <c r="F261" s="94" t="s">
        <v>244</v>
      </c>
      <c r="G261" s="94" t="s">
        <v>193</v>
      </c>
      <c r="H261" s="94" t="s">
        <v>11</v>
      </c>
      <c r="I261" s="94" t="s">
        <v>189</v>
      </c>
      <c r="J261" s="95" t="s">
        <v>194</v>
      </c>
      <c r="K261" s="96">
        <v>2.6</v>
      </c>
      <c r="L261" s="96">
        <f>K261*VLOOKUP(H261,dagsoorttabel1,2,FALSE)</f>
        <v>2</v>
      </c>
      <c r="M261" s="97">
        <f>prodnorm4</f>
        <v>0</v>
      </c>
      <c r="N261" s="94" t="s">
        <v>103</v>
      </c>
      <c r="O261" s="26">
        <f>uurtarief4</f>
        <v>0</v>
      </c>
      <c r="P261" s="96" t="e">
        <f>IF(ISBLANK(M261),0,L261/ROUND(M261,4))</f>
        <v>#DIV/0!</v>
      </c>
      <c r="Q261" s="26" t="e">
        <f>ROUND(O261,2)*P261</f>
        <v>#DIV/0!</v>
      </c>
      <c r="R261" s="96" t="e">
        <f>P261*dagenperjaar1</f>
        <v>#DIV/0!</v>
      </c>
      <c r="S261" s="27" t="e">
        <f>R261*ROUND(O261,2)</f>
        <v>#DIV/0!</v>
      </c>
    </row>
    <row r="262" spans="1:19" ht="30" x14ac:dyDescent="0.25">
      <c r="A262" s="93" t="s">
        <v>489</v>
      </c>
      <c r="B262" s="94" t="s">
        <v>316</v>
      </c>
      <c r="C262" s="94" t="s">
        <v>285</v>
      </c>
      <c r="D262" s="94" t="s">
        <v>293</v>
      </c>
      <c r="E262" s="95" t="s">
        <v>274</v>
      </c>
      <c r="F262" s="94" t="s">
        <v>384</v>
      </c>
      <c r="G262" s="94" t="s">
        <v>193</v>
      </c>
      <c r="H262" s="94" t="s">
        <v>11</v>
      </c>
      <c r="I262" s="94" t="s">
        <v>189</v>
      </c>
      <c r="J262" s="95" t="s">
        <v>194</v>
      </c>
      <c r="K262" s="96">
        <v>16.310000000000002</v>
      </c>
      <c r="L262" s="96">
        <f>K262*VLOOKUP(H262,dagsoorttabel1,2,FALSE)</f>
        <v>12.546153846153848</v>
      </c>
      <c r="M262" s="97">
        <f>prodnorm4</f>
        <v>0</v>
      </c>
      <c r="N262" s="94" t="s">
        <v>103</v>
      </c>
      <c r="O262" s="26">
        <f>uurtarief4</f>
        <v>0</v>
      </c>
      <c r="P262" s="96" t="e">
        <f>IF(ISBLANK(M262),0,L262/ROUND(M262,4))</f>
        <v>#DIV/0!</v>
      </c>
      <c r="Q262" s="26" t="e">
        <f>ROUND(O262,2)*P262</f>
        <v>#DIV/0!</v>
      </c>
      <c r="R262" s="96" t="e">
        <f>P262*dagenperjaar1</f>
        <v>#DIV/0!</v>
      </c>
      <c r="S262" s="27" t="e">
        <f>R262*ROUND(O262,2)</f>
        <v>#DIV/0!</v>
      </c>
    </row>
    <row r="263" spans="1:19" x14ac:dyDescent="0.25">
      <c r="A263" s="93" t="s">
        <v>489</v>
      </c>
      <c r="B263" s="94" t="s">
        <v>316</v>
      </c>
      <c r="C263" s="94" t="s">
        <v>285</v>
      </c>
      <c r="D263" s="94" t="s">
        <v>295</v>
      </c>
      <c r="E263" s="95" t="s">
        <v>276</v>
      </c>
      <c r="F263" s="94" t="s">
        <v>244</v>
      </c>
      <c r="G263" s="94" t="s">
        <v>209</v>
      </c>
      <c r="H263" s="94" t="s">
        <v>11</v>
      </c>
      <c r="I263" s="94" t="s">
        <v>189</v>
      </c>
      <c r="J263" s="95" t="s">
        <v>210</v>
      </c>
      <c r="K263" s="96">
        <v>56.05</v>
      </c>
      <c r="L263" s="96">
        <f>K263*VLOOKUP(H263,dagsoorttabel1,2,FALSE)</f>
        <v>43.115384615384613</v>
      </c>
      <c r="M263" s="97">
        <f>prodnorm12</f>
        <v>0</v>
      </c>
      <c r="N263" s="94" t="s">
        <v>103</v>
      </c>
      <c r="O263" s="26">
        <f>uurtarief12</f>
        <v>0</v>
      </c>
      <c r="P263" s="96" t="e">
        <f>IF(ISBLANK(M263),0,L263/ROUND(M263,4))</f>
        <v>#DIV/0!</v>
      </c>
      <c r="Q263" s="26" t="e">
        <f>ROUND(O263,2)*P263</f>
        <v>#DIV/0!</v>
      </c>
      <c r="R263" s="96" t="e">
        <f>P263*dagenperjaar1</f>
        <v>#DIV/0!</v>
      </c>
      <c r="S263" s="27" t="e">
        <f>R263*ROUND(O263,2)</f>
        <v>#DIV/0!</v>
      </c>
    </row>
    <row r="264" spans="1:19" x14ac:dyDescent="0.25">
      <c r="A264" s="93" t="s">
        <v>489</v>
      </c>
      <c r="B264" s="94" t="s">
        <v>316</v>
      </c>
      <c r="C264" s="94" t="s">
        <v>285</v>
      </c>
      <c r="D264" s="94" t="s">
        <v>296</v>
      </c>
      <c r="E264" s="95" t="s">
        <v>276</v>
      </c>
      <c r="F264" s="94" t="s">
        <v>244</v>
      </c>
      <c r="G264" s="94" t="s">
        <v>209</v>
      </c>
      <c r="H264" s="94" t="s">
        <v>11</v>
      </c>
      <c r="I264" s="94" t="s">
        <v>189</v>
      </c>
      <c r="J264" s="95" t="s">
        <v>210</v>
      </c>
      <c r="K264" s="96">
        <v>50.92</v>
      </c>
      <c r="L264" s="96">
        <f>K264*VLOOKUP(H264,dagsoorttabel1,2,FALSE)</f>
        <v>39.169230769230772</v>
      </c>
      <c r="M264" s="97">
        <f>prodnorm12</f>
        <v>0</v>
      </c>
      <c r="N264" s="94" t="s">
        <v>103</v>
      </c>
      <c r="O264" s="26">
        <f>uurtarief12</f>
        <v>0</v>
      </c>
      <c r="P264" s="96" t="e">
        <f>IF(ISBLANK(M264),0,L264/ROUND(M264,4))</f>
        <v>#DIV/0!</v>
      </c>
      <c r="Q264" s="26" t="e">
        <f>ROUND(O264,2)*P264</f>
        <v>#DIV/0!</v>
      </c>
      <c r="R264" s="96" t="e">
        <f>P264*dagenperjaar1</f>
        <v>#DIV/0!</v>
      </c>
      <c r="S264" s="27" t="e">
        <f>R264*ROUND(O264,2)</f>
        <v>#DIV/0!</v>
      </c>
    </row>
    <row r="265" spans="1:19" ht="30" x14ac:dyDescent="0.25">
      <c r="A265" s="93" t="s">
        <v>489</v>
      </c>
      <c r="B265" s="94" t="s">
        <v>316</v>
      </c>
      <c r="C265" s="94" t="s">
        <v>285</v>
      </c>
      <c r="D265" s="94" t="s">
        <v>297</v>
      </c>
      <c r="E265" s="95" t="s">
        <v>243</v>
      </c>
      <c r="F265" s="94" t="s">
        <v>244</v>
      </c>
      <c r="G265" s="94" t="s">
        <v>225</v>
      </c>
      <c r="H265" s="94" t="s">
        <v>11</v>
      </c>
      <c r="I265" s="94" t="s">
        <v>189</v>
      </c>
      <c r="J265" s="95" t="s">
        <v>226</v>
      </c>
      <c r="K265" s="96">
        <v>61.71</v>
      </c>
      <c r="L265" s="96">
        <f>K265*VLOOKUP(H265,dagsoorttabel1,2,FALSE)</f>
        <v>47.469230769230769</v>
      </c>
      <c r="M265" s="97">
        <f>prodnorm20</f>
        <v>0</v>
      </c>
      <c r="N265" s="94" t="s">
        <v>103</v>
      </c>
      <c r="O265" s="26">
        <f>uurtarief20</f>
        <v>0</v>
      </c>
      <c r="P265" s="96" t="e">
        <f>IF(ISBLANK(M265),0,L265/ROUND(M265,4))</f>
        <v>#DIV/0!</v>
      </c>
      <c r="Q265" s="26" t="e">
        <f>ROUND(O265,2)*P265</f>
        <v>#DIV/0!</v>
      </c>
      <c r="R265" s="96" t="e">
        <f>P265*dagenperjaar1</f>
        <v>#DIV/0!</v>
      </c>
      <c r="S265" s="27" t="e">
        <f>R265*ROUND(O265,2)</f>
        <v>#DIV/0!</v>
      </c>
    </row>
    <row r="266" spans="1:19" x14ac:dyDescent="0.25">
      <c r="A266" s="93" t="s">
        <v>489</v>
      </c>
      <c r="B266" s="94" t="s">
        <v>316</v>
      </c>
      <c r="C266" s="94" t="s">
        <v>285</v>
      </c>
      <c r="D266" s="94" t="s">
        <v>298</v>
      </c>
      <c r="E266" s="95" t="s">
        <v>254</v>
      </c>
      <c r="F266" s="94" t="s">
        <v>255</v>
      </c>
      <c r="G266" s="94" t="s">
        <v>221</v>
      </c>
      <c r="H266" s="94" t="s">
        <v>11</v>
      </c>
      <c r="I266" s="94" t="s">
        <v>189</v>
      </c>
      <c r="J266" s="95" t="s">
        <v>222</v>
      </c>
      <c r="K266" s="96">
        <v>13.83</v>
      </c>
      <c r="L266" s="96">
        <f>K266*VLOOKUP(H266,dagsoorttabel1,2,FALSE)</f>
        <v>10.63846153846154</v>
      </c>
      <c r="M266" s="97">
        <f>prodnorm18</f>
        <v>0</v>
      </c>
      <c r="N266" s="94" t="s">
        <v>103</v>
      </c>
      <c r="O266" s="26">
        <f>uurtarief18</f>
        <v>0</v>
      </c>
      <c r="P266" s="96" t="e">
        <f>IF(ISBLANK(M266),0,L266/ROUND(M266,4))</f>
        <v>#DIV/0!</v>
      </c>
      <c r="Q266" s="26" t="e">
        <f>ROUND(O266,2)*P266</f>
        <v>#DIV/0!</v>
      </c>
      <c r="R266" s="96" t="e">
        <f>P266*dagenperjaar1</f>
        <v>#DIV/0!</v>
      </c>
      <c r="S266" s="27" t="e">
        <f>R266*ROUND(O266,2)</f>
        <v>#DIV/0!</v>
      </c>
    </row>
    <row r="267" spans="1:19" x14ac:dyDescent="0.25">
      <c r="A267" s="93" t="s">
        <v>489</v>
      </c>
      <c r="B267" s="94" t="s">
        <v>316</v>
      </c>
      <c r="C267" s="94" t="s">
        <v>285</v>
      </c>
      <c r="D267" s="94" t="s">
        <v>299</v>
      </c>
      <c r="E267" s="95" t="s">
        <v>254</v>
      </c>
      <c r="F267" s="94" t="s">
        <v>255</v>
      </c>
      <c r="G267" s="94" t="s">
        <v>221</v>
      </c>
      <c r="H267" s="94" t="s">
        <v>11</v>
      </c>
      <c r="I267" s="94" t="s">
        <v>189</v>
      </c>
      <c r="J267" s="95" t="s">
        <v>222</v>
      </c>
      <c r="K267" s="96">
        <v>6.31</v>
      </c>
      <c r="L267" s="96">
        <f>K267*VLOOKUP(H267,dagsoorttabel1,2,FALSE)</f>
        <v>4.8538461538461535</v>
      </c>
      <c r="M267" s="97">
        <f>prodnorm18</f>
        <v>0</v>
      </c>
      <c r="N267" s="94" t="s">
        <v>103</v>
      </c>
      <c r="O267" s="26">
        <f>uurtarief18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x14ac:dyDescent="0.25">
      <c r="A268" s="93" t="s">
        <v>489</v>
      </c>
      <c r="B268" s="94" t="s">
        <v>316</v>
      </c>
      <c r="C268" s="94" t="s">
        <v>285</v>
      </c>
      <c r="D268" s="94" t="s">
        <v>300</v>
      </c>
      <c r="E268" s="95" t="s">
        <v>326</v>
      </c>
      <c r="F268" s="94" t="s">
        <v>244</v>
      </c>
      <c r="G268" s="94" t="s">
        <v>248</v>
      </c>
      <c r="H268" s="94"/>
      <c r="I268" s="94"/>
      <c r="J268" s="94"/>
      <c r="K268" s="96">
        <v>2.69</v>
      </c>
      <c r="L268" s="96"/>
      <c r="M268" s="97"/>
      <c r="N268" s="94"/>
      <c r="O268" s="26"/>
      <c r="P268" s="96"/>
      <c r="Q268" s="26"/>
      <c r="R268" s="98"/>
      <c r="S268" s="27"/>
    </row>
    <row r="269" spans="1:19" ht="30" x14ac:dyDescent="0.25">
      <c r="A269" s="93" t="s">
        <v>489</v>
      </c>
      <c r="B269" s="94" t="s">
        <v>316</v>
      </c>
      <c r="C269" s="94" t="s">
        <v>285</v>
      </c>
      <c r="D269" s="94" t="s">
        <v>301</v>
      </c>
      <c r="E269" s="95" t="s">
        <v>274</v>
      </c>
      <c r="F269" s="94" t="s">
        <v>384</v>
      </c>
      <c r="G269" s="94" t="s">
        <v>193</v>
      </c>
      <c r="H269" s="94" t="s">
        <v>11</v>
      </c>
      <c r="I269" s="94" t="s">
        <v>189</v>
      </c>
      <c r="J269" s="95" t="s">
        <v>194</v>
      </c>
      <c r="K269" s="96">
        <v>25.69</v>
      </c>
      <c r="L269" s="96">
        <f>K269*VLOOKUP(H269,dagsoorttabel1,2,FALSE)</f>
        <v>19.761538461538464</v>
      </c>
      <c r="M269" s="97">
        <f>prodnorm4</f>
        <v>0</v>
      </c>
      <c r="N269" s="94" t="s">
        <v>103</v>
      </c>
      <c r="O269" s="26">
        <f>uurtarief4</f>
        <v>0</v>
      </c>
      <c r="P269" s="96" t="e">
        <f>IF(ISBLANK(M269),0,L269/ROUND(M269,4))</f>
        <v>#DIV/0!</v>
      </c>
      <c r="Q269" s="26" t="e">
        <f>ROUND(O269,2)*P269</f>
        <v>#DIV/0!</v>
      </c>
      <c r="R269" s="96" t="e">
        <f>P269*dagenperjaar1</f>
        <v>#DIV/0!</v>
      </c>
      <c r="S269" s="27" t="e">
        <f>R269*ROUND(O269,2)</f>
        <v>#DIV/0!</v>
      </c>
    </row>
    <row r="270" spans="1:19" x14ac:dyDescent="0.25">
      <c r="A270" s="93" t="s">
        <v>489</v>
      </c>
      <c r="B270" s="94" t="s">
        <v>367</v>
      </c>
      <c r="C270" s="94" t="s">
        <v>368</v>
      </c>
      <c r="D270" s="94" t="s">
        <v>369</v>
      </c>
      <c r="E270" s="95" t="s">
        <v>341</v>
      </c>
      <c r="F270" s="94" t="s">
        <v>516</v>
      </c>
      <c r="G270" s="94" t="s">
        <v>248</v>
      </c>
      <c r="H270" s="94"/>
      <c r="I270" s="94"/>
      <c r="J270" s="94"/>
      <c r="K270" s="96">
        <v>29.5</v>
      </c>
      <c r="L270" s="96"/>
      <c r="M270" s="97"/>
      <c r="N270" s="94"/>
      <c r="O270" s="26"/>
      <c r="P270" s="96"/>
      <c r="Q270" s="26"/>
      <c r="R270" s="98"/>
      <c r="S270" s="27"/>
    </row>
    <row r="271" spans="1:19" x14ac:dyDescent="0.25">
      <c r="A271" s="93" t="s">
        <v>489</v>
      </c>
      <c r="B271" s="94" t="s">
        <v>367</v>
      </c>
      <c r="C271" s="94" t="s">
        <v>368</v>
      </c>
      <c r="D271" s="94" t="s">
        <v>370</v>
      </c>
      <c r="E271" s="95" t="s">
        <v>247</v>
      </c>
      <c r="F271" s="94" t="s">
        <v>516</v>
      </c>
      <c r="G271" s="94" t="s">
        <v>248</v>
      </c>
      <c r="H271" s="94"/>
      <c r="I271" s="94"/>
      <c r="J271" s="94"/>
      <c r="K271" s="96">
        <v>3.3299999999999996</v>
      </c>
      <c r="L271" s="96"/>
      <c r="M271" s="97"/>
      <c r="N271" s="94"/>
      <c r="O271" s="26"/>
      <c r="P271" s="96"/>
      <c r="Q271" s="26"/>
      <c r="R271" s="98"/>
      <c r="S271" s="27"/>
    </row>
    <row r="272" spans="1:19" x14ac:dyDescent="0.25">
      <c r="A272" s="93" t="s">
        <v>489</v>
      </c>
      <c r="B272" s="94" t="s">
        <v>367</v>
      </c>
      <c r="C272" s="94" t="s">
        <v>368</v>
      </c>
      <c r="D272" s="94" t="s">
        <v>371</v>
      </c>
      <c r="E272" s="95" t="s">
        <v>517</v>
      </c>
      <c r="F272" s="94" t="s">
        <v>516</v>
      </c>
      <c r="G272" s="94" t="s">
        <v>248</v>
      </c>
      <c r="H272" s="94"/>
      <c r="I272" s="94"/>
      <c r="J272" s="94"/>
      <c r="K272" s="96">
        <v>18.2</v>
      </c>
      <c r="L272" s="96"/>
      <c r="M272" s="97"/>
      <c r="N272" s="94"/>
      <c r="O272" s="26"/>
      <c r="P272" s="96"/>
      <c r="Q272" s="26"/>
      <c r="R272" s="98"/>
      <c r="S272" s="27"/>
    </row>
    <row r="273" spans="1:19" x14ac:dyDescent="0.25">
      <c r="A273" s="93" t="s">
        <v>489</v>
      </c>
      <c r="B273" s="94" t="s">
        <v>367</v>
      </c>
      <c r="C273" s="94" t="s">
        <v>368</v>
      </c>
      <c r="D273" s="94" t="s">
        <v>518</v>
      </c>
      <c r="E273" s="95" t="s">
        <v>519</v>
      </c>
      <c r="F273" s="94" t="s">
        <v>516</v>
      </c>
      <c r="G273" s="94" t="s">
        <v>213</v>
      </c>
      <c r="H273" s="94" t="s">
        <v>15</v>
      </c>
      <c r="I273" s="94" t="s">
        <v>189</v>
      </c>
      <c r="J273" s="95" t="s">
        <v>214</v>
      </c>
      <c r="K273" s="96">
        <v>23</v>
      </c>
      <c r="L273" s="96">
        <f>K273*VLOOKUP(H273,dagsoorttabel1,2,FALSE)</f>
        <v>3.5384615384615388</v>
      </c>
      <c r="M273" s="97">
        <f>prodnorm14</f>
        <v>0</v>
      </c>
      <c r="N273" s="94" t="s">
        <v>103</v>
      </c>
      <c r="O273" s="26">
        <f>uurtarief14</f>
        <v>0</v>
      </c>
      <c r="P273" s="96" t="e">
        <f>IF(ISBLANK(M273),0,L273/ROUND(M273,4))</f>
        <v>#DIV/0!</v>
      </c>
      <c r="Q273" s="26" t="e">
        <f>ROUND(O273,2)*P273</f>
        <v>#DIV/0!</v>
      </c>
      <c r="R273" s="96" t="e">
        <f>P273*dagenperjaar1</f>
        <v>#DIV/0!</v>
      </c>
      <c r="S273" s="27" t="e">
        <f>R273*ROUND(O273,2)</f>
        <v>#DIV/0!</v>
      </c>
    </row>
    <row r="274" spans="1:19" x14ac:dyDescent="0.25">
      <c r="A274" s="93" t="s">
        <v>489</v>
      </c>
      <c r="B274" s="94" t="s">
        <v>367</v>
      </c>
      <c r="C274" s="94" t="s">
        <v>368</v>
      </c>
      <c r="D274" s="94" t="s">
        <v>520</v>
      </c>
      <c r="E274" s="95" t="s">
        <v>276</v>
      </c>
      <c r="F274" s="94" t="s">
        <v>244</v>
      </c>
      <c r="G274" s="94" t="s">
        <v>209</v>
      </c>
      <c r="H274" s="94" t="s">
        <v>11</v>
      </c>
      <c r="I274" s="94" t="s">
        <v>189</v>
      </c>
      <c r="J274" s="95" t="s">
        <v>210</v>
      </c>
      <c r="K274" s="96">
        <v>130.65</v>
      </c>
      <c r="L274" s="96">
        <f>K274*VLOOKUP(H274,dagsoorttabel1,2,FALSE)</f>
        <v>100.50000000000001</v>
      </c>
      <c r="M274" s="97">
        <f>prodnorm12</f>
        <v>0</v>
      </c>
      <c r="N274" s="94" t="s">
        <v>103</v>
      </c>
      <c r="O274" s="26">
        <f>uurtarief12</f>
        <v>0</v>
      </c>
      <c r="P274" s="96" t="e">
        <f>IF(ISBLANK(M274),0,L274/ROUND(M274,4))</f>
        <v>#DIV/0!</v>
      </c>
      <c r="Q274" s="26" t="e">
        <f>ROUND(O274,2)*P274</f>
        <v>#DIV/0!</v>
      </c>
      <c r="R274" s="96" t="e">
        <f>P274*dagenperjaar1</f>
        <v>#DIV/0!</v>
      </c>
      <c r="S274" s="27" t="e">
        <f>R274*ROUND(O274,2)</f>
        <v>#DIV/0!</v>
      </c>
    </row>
    <row r="275" spans="1:19" x14ac:dyDescent="0.25">
      <c r="A275" s="93" t="s">
        <v>489</v>
      </c>
      <c r="B275" s="94" t="s">
        <v>367</v>
      </c>
      <c r="C275" s="94" t="s">
        <v>368</v>
      </c>
      <c r="D275" s="94" t="s">
        <v>521</v>
      </c>
      <c r="E275" s="95" t="s">
        <v>519</v>
      </c>
      <c r="F275" s="94" t="s">
        <v>244</v>
      </c>
      <c r="G275" s="94" t="s">
        <v>213</v>
      </c>
      <c r="H275" s="94" t="s">
        <v>15</v>
      </c>
      <c r="I275" s="94" t="s">
        <v>189</v>
      </c>
      <c r="J275" s="95" t="s">
        <v>214</v>
      </c>
      <c r="K275" s="96">
        <v>14.96</v>
      </c>
      <c r="L275" s="96">
        <f>K275*VLOOKUP(H275,dagsoorttabel1,2,FALSE)</f>
        <v>2.301538461538462</v>
      </c>
      <c r="M275" s="97">
        <f>prodnorm14</f>
        <v>0</v>
      </c>
      <c r="N275" s="94" t="s">
        <v>103</v>
      </c>
      <c r="O275" s="26">
        <f>uurtarief14</f>
        <v>0</v>
      </c>
      <c r="P275" s="96" t="e">
        <f>IF(ISBLANK(M275),0,L275/ROUND(M275,4))</f>
        <v>#DIV/0!</v>
      </c>
      <c r="Q275" s="26" t="e">
        <f>ROUND(O275,2)*P275</f>
        <v>#DIV/0!</v>
      </c>
      <c r="R275" s="96" t="e">
        <f>P275*dagenperjaar1</f>
        <v>#DIV/0!</v>
      </c>
      <c r="S275" s="27" t="e">
        <f>R275*ROUND(O275,2)</f>
        <v>#DIV/0!</v>
      </c>
    </row>
    <row r="276" spans="1:19" ht="30" x14ac:dyDescent="0.25">
      <c r="A276" s="93" t="s">
        <v>489</v>
      </c>
      <c r="B276" s="94" t="s">
        <v>367</v>
      </c>
      <c r="C276" s="94" t="s">
        <v>368</v>
      </c>
      <c r="D276" s="94" t="s">
        <v>522</v>
      </c>
      <c r="E276" s="95" t="s">
        <v>523</v>
      </c>
      <c r="F276" s="94" t="s">
        <v>501</v>
      </c>
      <c r="G276" s="94" t="s">
        <v>225</v>
      </c>
      <c r="H276" s="94" t="s">
        <v>11</v>
      </c>
      <c r="I276" s="94" t="s">
        <v>189</v>
      </c>
      <c r="J276" s="95" t="s">
        <v>226</v>
      </c>
      <c r="K276" s="96">
        <v>21.89</v>
      </c>
      <c r="L276" s="96">
        <f>K276*VLOOKUP(H276,dagsoorttabel1,2,FALSE)</f>
        <v>16.838461538461541</v>
      </c>
      <c r="M276" s="97">
        <f>prodnorm20</f>
        <v>0</v>
      </c>
      <c r="N276" s="94" t="s">
        <v>103</v>
      </c>
      <c r="O276" s="26">
        <f>uurtarief20</f>
        <v>0</v>
      </c>
      <c r="P276" s="96" t="e">
        <f>IF(ISBLANK(M276),0,L276/ROUND(M276,4))</f>
        <v>#DIV/0!</v>
      </c>
      <c r="Q276" s="26" t="e">
        <f>ROUND(O276,2)*P276</f>
        <v>#DIV/0!</v>
      </c>
      <c r="R276" s="96" t="e">
        <f>P276*dagenperjaar1</f>
        <v>#DIV/0!</v>
      </c>
      <c r="S276" s="27" t="e">
        <f>R276*ROUND(O276,2)</f>
        <v>#DIV/0!</v>
      </c>
    </row>
    <row r="277" spans="1:19" ht="30" x14ac:dyDescent="0.25">
      <c r="A277" s="93" t="s">
        <v>489</v>
      </c>
      <c r="B277" s="94" t="s">
        <v>367</v>
      </c>
      <c r="C277" s="94" t="s">
        <v>368</v>
      </c>
      <c r="D277" s="94" t="s">
        <v>524</v>
      </c>
      <c r="E277" s="95" t="s">
        <v>523</v>
      </c>
      <c r="F277" s="94" t="s">
        <v>501</v>
      </c>
      <c r="G277" s="94" t="s">
        <v>225</v>
      </c>
      <c r="H277" s="94" t="s">
        <v>11</v>
      </c>
      <c r="I277" s="94" t="s">
        <v>189</v>
      </c>
      <c r="J277" s="95" t="s">
        <v>226</v>
      </c>
      <c r="K277" s="96">
        <v>19.600000000000001</v>
      </c>
      <c r="L277" s="96">
        <f>K277*VLOOKUP(H277,dagsoorttabel1,2,FALSE)</f>
        <v>15.076923076923078</v>
      </c>
      <c r="M277" s="97">
        <f>prodnorm20</f>
        <v>0</v>
      </c>
      <c r="N277" s="94" t="s">
        <v>103</v>
      </c>
      <c r="O277" s="26">
        <f>uurtarief20</f>
        <v>0</v>
      </c>
      <c r="P277" s="96" t="e">
        <f>IF(ISBLANK(M277),0,L277/ROUND(M277,4))</f>
        <v>#DIV/0!</v>
      </c>
      <c r="Q277" s="26" t="e">
        <f>ROUND(O277,2)*P277</f>
        <v>#DIV/0!</v>
      </c>
      <c r="R277" s="96" t="e">
        <f>P277*dagenperjaar1</f>
        <v>#DIV/0!</v>
      </c>
      <c r="S277" s="27" t="e">
        <f>R277*ROUND(O277,2)</f>
        <v>#DIV/0!</v>
      </c>
    </row>
    <row r="278" spans="1:19" ht="30" x14ac:dyDescent="0.25">
      <c r="A278" s="93" t="s">
        <v>489</v>
      </c>
      <c r="B278" s="94" t="s">
        <v>419</v>
      </c>
      <c r="C278" s="94" t="s">
        <v>241</v>
      </c>
      <c r="D278" s="94" t="s">
        <v>399</v>
      </c>
      <c r="E278" s="95" t="s">
        <v>243</v>
      </c>
      <c r="F278" s="94" t="s">
        <v>244</v>
      </c>
      <c r="G278" s="94" t="s">
        <v>225</v>
      </c>
      <c r="H278" s="94" t="s">
        <v>11</v>
      </c>
      <c r="I278" s="94" t="s">
        <v>189</v>
      </c>
      <c r="J278" s="95" t="s">
        <v>226</v>
      </c>
      <c r="K278" s="96">
        <v>32.32</v>
      </c>
      <c r="L278" s="96">
        <f>K278*VLOOKUP(H278,dagsoorttabel1,2,FALSE)</f>
        <v>24.861538461538462</v>
      </c>
      <c r="M278" s="97">
        <f>prodnorm20</f>
        <v>0</v>
      </c>
      <c r="N278" s="94" t="s">
        <v>103</v>
      </c>
      <c r="O278" s="26">
        <f>uurtarief20</f>
        <v>0</v>
      </c>
      <c r="P278" s="96" t="e">
        <f>IF(ISBLANK(M278),0,L278/ROUND(M278,4))</f>
        <v>#DIV/0!</v>
      </c>
      <c r="Q278" s="26" t="e">
        <f>ROUND(O278,2)*P278</f>
        <v>#DIV/0!</v>
      </c>
      <c r="R278" s="96" t="e">
        <f>P278*dagenperjaar1</f>
        <v>#DIV/0!</v>
      </c>
      <c r="S278" s="27" t="e">
        <f>R278*ROUND(O278,2)</f>
        <v>#DIV/0!</v>
      </c>
    </row>
    <row r="279" spans="1:19" x14ac:dyDescent="0.25">
      <c r="A279" s="93" t="s">
        <v>489</v>
      </c>
      <c r="B279" s="94" t="s">
        <v>419</v>
      </c>
      <c r="C279" s="94" t="s">
        <v>241</v>
      </c>
      <c r="D279" s="94" t="s">
        <v>401</v>
      </c>
      <c r="E279" s="95" t="s">
        <v>345</v>
      </c>
      <c r="F279" s="94" t="s">
        <v>255</v>
      </c>
      <c r="G279" s="94" t="s">
        <v>207</v>
      </c>
      <c r="H279" s="94" t="s">
        <v>11</v>
      </c>
      <c r="I279" s="94" t="s">
        <v>189</v>
      </c>
      <c r="J279" s="95" t="s">
        <v>208</v>
      </c>
      <c r="K279" s="96">
        <v>30.56</v>
      </c>
      <c r="L279" s="96">
        <f>K279*VLOOKUP(H279,dagsoorttabel1,2,FALSE)</f>
        <v>23.507692307692309</v>
      </c>
      <c r="M279" s="97">
        <f>prodnorm11</f>
        <v>0</v>
      </c>
      <c r="N279" s="94" t="s">
        <v>103</v>
      </c>
      <c r="O279" s="26">
        <f>uurtarief11</f>
        <v>0</v>
      </c>
      <c r="P279" s="96" t="e">
        <f>IF(ISBLANK(M279),0,L279/ROUND(M279,4))</f>
        <v>#DIV/0!</v>
      </c>
      <c r="Q279" s="26" t="e">
        <f>ROUND(O279,2)*P279</f>
        <v>#DIV/0!</v>
      </c>
      <c r="R279" s="96" t="e">
        <f>P279*dagenperjaar1</f>
        <v>#DIV/0!</v>
      </c>
      <c r="S279" s="27" t="e">
        <f>R279*ROUND(O279,2)</f>
        <v>#DIV/0!</v>
      </c>
    </row>
    <row r="280" spans="1:19" x14ac:dyDescent="0.25">
      <c r="A280" s="93" t="s">
        <v>489</v>
      </c>
      <c r="B280" s="94" t="s">
        <v>419</v>
      </c>
      <c r="C280" s="94" t="s">
        <v>241</v>
      </c>
      <c r="D280" s="94" t="s">
        <v>242</v>
      </c>
      <c r="E280" s="95" t="s">
        <v>332</v>
      </c>
      <c r="F280" s="94" t="s">
        <v>381</v>
      </c>
      <c r="G280" s="94" t="s">
        <v>197</v>
      </c>
      <c r="H280" s="94" t="s">
        <v>11</v>
      </c>
      <c r="I280" s="94" t="s">
        <v>189</v>
      </c>
      <c r="J280" s="95" t="s">
        <v>198</v>
      </c>
      <c r="K280" s="96">
        <v>17.110000000000003</v>
      </c>
      <c r="L280" s="96">
        <f>K280*VLOOKUP(H280,dagsoorttabel1,2,FALSE)</f>
        <v>13.161538461538465</v>
      </c>
      <c r="M280" s="97">
        <f>prodnorm6</f>
        <v>0</v>
      </c>
      <c r="N280" s="94" t="s">
        <v>103</v>
      </c>
      <c r="O280" s="26">
        <f>uurtarief6</f>
        <v>0</v>
      </c>
      <c r="P280" s="96" t="e">
        <f>IF(ISBLANK(M280),0,L280/ROUND(M280,4))</f>
        <v>#DIV/0!</v>
      </c>
      <c r="Q280" s="26" t="e">
        <f>ROUND(O280,2)*P280</f>
        <v>#DIV/0!</v>
      </c>
      <c r="R280" s="96" t="e">
        <f>P280*dagenperjaar1</f>
        <v>#DIV/0!</v>
      </c>
      <c r="S280" s="27" t="e">
        <f>R280*ROUND(O280,2)</f>
        <v>#DIV/0!</v>
      </c>
    </row>
    <row r="281" spans="1:19" x14ac:dyDescent="0.25">
      <c r="A281" s="93" t="s">
        <v>489</v>
      </c>
      <c r="B281" s="94" t="s">
        <v>419</v>
      </c>
      <c r="C281" s="94" t="s">
        <v>241</v>
      </c>
      <c r="D281" s="94" t="s">
        <v>245</v>
      </c>
      <c r="E281" s="95" t="s">
        <v>326</v>
      </c>
      <c r="F281" s="94" t="s">
        <v>381</v>
      </c>
      <c r="G281" s="94" t="s">
        <v>248</v>
      </c>
      <c r="H281" s="94"/>
      <c r="I281" s="94"/>
      <c r="J281" s="94"/>
      <c r="K281" s="96">
        <v>2.19</v>
      </c>
      <c r="L281" s="96"/>
      <c r="M281" s="97"/>
      <c r="N281" s="94"/>
      <c r="O281" s="26"/>
      <c r="P281" s="96"/>
      <c r="Q281" s="26"/>
      <c r="R281" s="98"/>
      <c r="S281" s="27"/>
    </row>
    <row r="282" spans="1:19" x14ac:dyDescent="0.25">
      <c r="A282" s="93" t="s">
        <v>489</v>
      </c>
      <c r="B282" s="94" t="s">
        <v>419</v>
      </c>
      <c r="C282" s="94" t="s">
        <v>241</v>
      </c>
      <c r="D282" s="94" t="s">
        <v>246</v>
      </c>
      <c r="E282" s="95" t="s">
        <v>254</v>
      </c>
      <c r="F282" s="94" t="s">
        <v>255</v>
      </c>
      <c r="G282" s="94" t="s">
        <v>221</v>
      </c>
      <c r="H282" s="94" t="s">
        <v>11</v>
      </c>
      <c r="I282" s="94" t="s">
        <v>189</v>
      </c>
      <c r="J282" s="95" t="s">
        <v>222</v>
      </c>
      <c r="K282" s="96">
        <v>1.27</v>
      </c>
      <c r="L282" s="96">
        <f>K282*VLOOKUP(H282,dagsoorttabel1,2,FALSE)</f>
        <v>0.97692307692307701</v>
      </c>
      <c r="M282" s="97">
        <f>prodnorm18</f>
        <v>0</v>
      </c>
      <c r="N282" s="94" t="s">
        <v>103</v>
      </c>
      <c r="O282" s="26">
        <f>uurtarief18</f>
        <v>0</v>
      </c>
      <c r="P282" s="96" t="e">
        <f>IF(ISBLANK(M282),0,L282/ROUND(M282,4))</f>
        <v>#DIV/0!</v>
      </c>
      <c r="Q282" s="26" t="e">
        <f>ROUND(O282,2)*P282</f>
        <v>#DIV/0!</v>
      </c>
      <c r="R282" s="96" t="e">
        <f>P282*dagenperjaar1</f>
        <v>#DIV/0!</v>
      </c>
      <c r="S282" s="27" t="e">
        <f>R282*ROUND(O282,2)</f>
        <v>#DIV/0!</v>
      </c>
    </row>
    <row r="283" spans="1:19" x14ac:dyDescent="0.25">
      <c r="A283" s="93" t="s">
        <v>489</v>
      </c>
      <c r="B283" s="94" t="s">
        <v>419</v>
      </c>
      <c r="C283" s="94" t="s">
        <v>241</v>
      </c>
      <c r="D283" s="94" t="s">
        <v>249</v>
      </c>
      <c r="E283" s="95" t="s">
        <v>320</v>
      </c>
      <c r="F283" s="94" t="s">
        <v>255</v>
      </c>
      <c r="G283" s="94" t="s">
        <v>221</v>
      </c>
      <c r="H283" s="94" t="s">
        <v>11</v>
      </c>
      <c r="I283" s="94" t="s">
        <v>189</v>
      </c>
      <c r="J283" s="95" t="s">
        <v>222</v>
      </c>
      <c r="K283" s="96">
        <v>4.71</v>
      </c>
      <c r="L283" s="96">
        <f>K283*VLOOKUP(H283,dagsoorttabel1,2,FALSE)</f>
        <v>3.6230769230769231</v>
      </c>
      <c r="M283" s="97">
        <f>prodnorm18</f>
        <v>0</v>
      </c>
      <c r="N283" s="94" t="s">
        <v>103</v>
      </c>
      <c r="O283" s="26">
        <f>uurtarief18</f>
        <v>0</v>
      </c>
      <c r="P283" s="96" t="e">
        <f>IF(ISBLANK(M283),0,L283/ROUND(M283,4))</f>
        <v>#DIV/0!</v>
      </c>
      <c r="Q283" s="26" t="e">
        <f>ROUND(O283,2)*P283</f>
        <v>#DIV/0!</v>
      </c>
      <c r="R283" s="96" t="e">
        <f>P283*dagenperjaar1</f>
        <v>#DIV/0!</v>
      </c>
      <c r="S283" s="27" t="e">
        <f>R283*ROUND(O283,2)</f>
        <v>#DIV/0!</v>
      </c>
    </row>
    <row r="284" spans="1:19" x14ac:dyDescent="0.25">
      <c r="A284" s="93" t="s">
        <v>489</v>
      </c>
      <c r="B284" s="94" t="s">
        <v>419</v>
      </c>
      <c r="C284" s="94" t="s">
        <v>241</v>
      </c>
      <c r="D284" s="94" t="s">
        <v>251</v>
      </c>
      <c r="E284" s="95" t="s">
        <v>525</v>
      </c>
      <c r="F284" s="94" t="s">
        <v>381</v>
      </c>
      <c r="G284" s="94" t="s">
        <v>248</v>
      </c>
      <c r="H284" s="94"/>
      <c r="I284" s="94"/>
      <c r="J284" s="94"/>
      <c r="K284" s="96">
        <v>2.72</v>
      </c>
      <c r="L284" s="96"/>
      <c r="M284" s="97"/>
      <c r="N284" s="94"/>
      <c r="O284" s="26"/>
      <c r="P284" s="96"/>
      <c r="Q284" s="26"/>
      <c r="R284" s="98"/>
      <c r="S284" s="27"/>
    </row>
    <row r="285" spans="1:19" x14ac:dyDescent="0.25">
      <c r="A285" s="93" t="s">
        <v>489</v>
      </c>
      <c r="B285" s="94" t="s">
        <v>419</v>
      </c>
      <c r="C285" s="94" t="s">
        <v>241</v>
      </c>
      <c r="D285" s="94" t="s">
        <v>526</v>
      </c>
      <c r="E285" s="95" t="s">
        <v>341</v>
      </c>
      <c r="F285" s="94" t="s">
        <v>381</v>
      </c>
      <c r="G285" s="94" t="s">
        <v>248</v>
      </c>
      <c r="H285" s="94"/>
      <c r="I285" s="94"/>
      <c r="J285" s="94"/>
      <c r="K285" s="96">
        <v>3</v>
      </c>
      <c r="L285" s="96"/>
      <c r="M285" s="97"/>
      <c r="N285" s="94"/>
      <c r="O285" s="26"/>
      <c r="P285" s="96"/>
      <c r="Q285" s="26"/>
      <c r="R285" s="98"/>
      <c r="S285" s="27"/>
    </row>
    <row r="286" spans="1:19" x14ac:dyDescent="0.25">
      <c r="A286" s="93" t="s">
        <v>489</v>
      </c>
      <c r="B286" s="94" t="s">
        <v>419</v>
      </c>
      <c r="C286" s="94" t="s">
        <v>241</v>
      </c>
      <c r="D286" s="94" t="s">
        <v>253</v>
      </c>
      <c r="E286" s="95" t="s">
        <v>247</v>
      </c>
      <c r="F286" s="94" t="s">
        <v>244</v>
      </c>
      <c r="G286" s="94" t="s">
        <v>248</v>
      </c>
      <c r="H286" s="94"/>
      <c r="I286" s="94"/>
      <c r="J286" s="94"/>
      <c r="K286" s="96">
        <v>7.67</v>
      </c>
      <c r="L286" s="96"/>
      <c r="M286" s="97"/>
      <c r="N286" s="94"/>
      <c r="O286" s="26"/>
      <c r="P286" s="96"/>
      <c r="Q286" s="26"/>
      <c r="R286" s="98"/>
      <c r="S286" s="27"/>
    </row>
    <row r="287" spans="1:19" x14ac:dyDescent="0.25">
      <c r="A287" s="93" t="s">
        <v>489</v>
      </c>
      <c r="B287" s="94" t="s">
        <v>419</v>
      </c>
      <c r="C287" s="94" t="s">
        <v>241</v>
      </c>
      <c r="D287" s="94" t="s">
        <v>256</v>
      </c>
      <c r="E287" s="95" t="s">
        <v>345</v>
      </c>
      <c r="F287" s="94" t="s">
        <v>255</v>
      </c>
      <c r="G287" s="94" t="s">
        <v>207</v>
      </c>
      <c r="H287" s="94" t="s">
        <v>11</v>
      </c>
      <c r="I287" s="94" t="s">
        <v>189</v>
      </c>
      <c r="J287" s="95" t="s">
        <v>208</v>
      </c>
      <c r="K287" s="96">
        <v>34.44</v>
      </c>
      <c r="L287" s="96">
        <f>K287*VLOOKUP(H287,dagsoorttabel1,2,FALSE)</f>
        <v>26.492307692307691</v>
      </c>
      <c r="M287" s="97">
        <f>prodnorm11</f>
        <v>0</v>
      </c>
      <c r="N287" s="94" t="s">
        <v>103</v>
      </c>
      <c r="O287" s="26">
        <f>uurtarief11</f>
        <v>0</v>
      </c>
      <c r="P287" s="96" t="e">
        <f>IF(ISBLANK(M287),0,L287/ROUND(M287,4))</f>
        <v>#DIV/0!</v>
      </c>
      <c r="Q287" s="26" t="e">
        <f>ROUND(O287,2)*P287</f>
        <v>#DIV/0!</v>
      </c>
      <c r="R287" s="96" t="e">
        <f>P287*dagenperjaar1</f>
        <v>#DIV/0!</v>
      </c>
      <c r="S287" s="27" t="e">
        <f>R287*ROUND(O287,2)</f>
        <v>#DIV/0!</v>
      </c>
    </row>
    <row r="288" spans="1:19" x14ac:dyDescent="0.25">
      <c r="A288" s="93" t="s">
        <v>489</v>
      </c>
      <c r="B288" s="94" t="s">
        <v>419</v>
      </c>
      <c r="C288" s="94" t="s">
        <v>241</v>
      </c>
      <c r="D288" s="94" t="s">
        <v>257</v>
      </c>
      <c r="E288" s="95" t="s">
        <v>332</v>
      </c>
      <c r="F288" s="94" t="s">
        <v>381</v>
      </c>
      <c r="G288" s="94" t="s">
        <v>197</v>
      </c>
      <c r="H288" s="94" t="s">
        <v>11</v>
      </c>
      <c r="I288" s="94" t="s">
        <v>189</v>
      </c>
      <c r="J288" s="95" t="s">
        <v>198</v>
      </c>
      <c r="K288" s="96">
        <v>15.07</v>
      </c>
      <c r="L288" s="96">
        <f>K288*VLOOKUP(H288,dagsoorttabel1,2,FALSE)</f>
        <v>11.592307692307694</v>
      </c>
      <c r="M288" s="97">
        <f>prodnorm6</f>
        <v>0</v>
      </c>
      <c r="N288" s="94" t="s">
        <v>103</v>
      </c>
      <c r="O288" s="26">
        <f>uurtarief6</f>
        <v>0</v>
      </c>
      <c r="P288" s="96" t="e">
        <f>IF(ISBLANK(M288),0,L288/ROUND(M288,4))</f>
        <v>#DIV/0!</v>
      </c>
      <c r="Q288" s="26" t="e">
        <f>ROUND(O288,2)*P288</f>
        <v>#DIV/0!</v>
      </c>
      <c r="R288" s="96" t="e">
        <f>P288*dagenperjaar1</f>
        <v>#DIV/0!</v>
      </c>
      <c r="S288" s="27" t="e">
        <f>R288*ROUND(O288,2)</f>
        <v>#DIV/0!</v>
      </c>
    </row>
    <row r="289" spans="1:19" x14ac:dyDescent="0.25">
      <c r="A289" s="93" t="s">
        <v>489</v>
      </c>
      <c r="B289" s="94" t="s">
        <v>419</v>
      </c>
      <c r="C289" s="94" t="s">
        <v>241</v>
      </c>
      <c r="D289" s="94" t="s">
        <v>258</v>
      </c>
      <c r="E289" s="95" t="s">
        <v>254</v>
      </c>
      <c r="F289" s="94" t="s">
        <v>255</v>
      </c>
      <c r="G289" s="94" t="s">
        <v>221</v>
      </c>
      <c r="H289" s="94" t="s">
        <v>11</v>
      </c>
      <c r="I289" s="94" t="s">
        <v>189</v>
      </c>
      <c r="J289" s="95" t="s">
        <v>222</v>
      </c>
      <c r="K289" s="96">
        <v>1.33</v>
      </c>
      <c r="L289" s="96">
        <f>K289*VLOOKUP(H289,dagsoorttabel1,2,FALSE)</f>
        <v>1.0230769230769232</v>
      </c>
      <c r="M289" s="97">
        <f>prodnorm18</f>
        <v>0</v>
      </c>
      <c r="N289" s="94" t="s">
        <v>103</v>
      </c>
      <c r="O289" s="26">
        <f>uurtarief18</f>
        <v>0</v>
      </c>
      <c r="P289" s="96" t="e">
        <f>IF(ISBLANK(M289),0,L289/ROUND(M289,4))</f>
        <v>#DIV/0!</v>
      </c>
      <c r="Q289" s="26" t="e">
        <f>ROUND(O289,2)*P289</f>
        <v>#DIV/0!</v>
      </c>
      <c r="R289" s="96" t="e">
        <f>P289*dagenperjaar1</f>
        <v>#DIV/0!</v>
      </c>
      <c r="S289" s="27" t="e">
        <f>R289*ROUND(O289,2)</f>
        <v>#DIV/0!</v>
      </c>
    </row>
    <row r="290" spans="1:19" ht="30" x14ac:dyDescent="0.25">
      <c r="A290" s="93" t="s">
        <v>489</v>
      </c>
      <c r="B290" s="94" t="s">
        <v>419</v>
      </c>
      <c r="C290" s="94" t="s">
        <v>241</v>
      </c>
      <c r="D290" s="94" t="s">
        <v>260</v>
      </c>
      <c r="E290" s="95" t="s">
        <v>337</v>
      </c>
      <c r="F290" s="94" t="s">
        <v>266</v>
      </c>
      <c r="G290" s="94" t="s">
        <v>205</v>
      </c>
      <c r="H290" s="94" t="s">
        <v>11</v>
      </c>
      <c r="I290" s="94" t="s">
        <v>189</v>
      </c>
      <c r="J290" s="95" t="s">
        <v>206</v>
      </c>
      <c r="K290" s="96">
        <v>252.23999999999998</v>
      </c>
      <c r="L290" s="96">
        <f>K290*VLOOKUP(H290,dagsoorttabel1,2,FALSE)</f>
        <v>194.03076923076924</v>
      </c>
      <c r="M290" s="97">
        <f>prodnorm10</f>
        <v>0</v>
      </c>
      <c r="N290" s="94" t="s">
        <v>103</v>
      </c>
      <c r="O290" s="26">
        <f>uurtarief10</f>
        <v>0</v>
      </c>
      <c r="P290" s="96" t="e">
        <f>IF(ISBLANK(M290),0,L290/ROUND(M290,4))</f>
        <v>#DIV/0!</v>
      </c>
      <c r="Q290" s="26" t="e">
        <f>ROUND(O290,2)*P290</f>
        <v>#DIV/0!</v>
      </c>
      <c r="R290" s="96" t="e">
        <f>P290*dagenperjaar1</f>
        <v>#DIV/0!</v>
      </c>
      <c r="S290" s="27" t="e">
        <f>R290*ROUND(O290,2)</f>
        <v>#DIV/0!</v>
      </c>
    </row>
    <row r="291" spans="1:19" ht="30" x14ac:dyDescent="0.25">
      <c r="A291" s="93" t="s">
        <v>489</v>
      </c>
      <c r="B291" s="94" t="s">
        <v>419</v>
      </c>
      <c r="C291" s="94" t="s">
        <v>241</v>
      </c>
      <c r="D291" s="94" t="s">
        <v>262</v>
      </c>
      <c r="E291" s="95" t="s">
        <v>527</v>
      </c>
      <c r="F291" s="94" t="s">
        <v>255</v>
      </c>
      <c r="G291" s="94" t="s">
        <v>191</v>
      </c>
      <c r="H291" s="94" t="s">
        <v>11</v>
      </c>
      <c r="I291" s="94" t="s">
        <v>189</v>
      </c>
      <c r="J291" s="95" t="s">
        <v>192</v>
      </c>
      <c r="K291" s="96">
        <v>11.46</v>
      </c>
      <c r="L291" s="96">
        <f>K291*VLOOKUP(H291,dagsoorttabel1,2,FALSE)</f>
        <v>8.815384615384616</v>
      </c>
      <c r="M291" s="97">
        <f>prodnorm3</f>
        <v>0</v>
      </c>
      <c r="N291" s="94" t="s">
        <v>103</v>
      </c>
      <c r="O291" s="26">
        <f>uurtarief3</f>
        <v>0</v>
      </c>
      <c r="P291" s="96" t="e">
        <f>IF(ISBLANK(M291),0,L291/ROUND(M291,4))</f>
        <v>#DIV/0!</v>
      </c>
      <c r="Q291" s="26" t="e">
        <f>ROUND(O291,2)*P291</f>
        <v>#DIV/0!</v>
      </c>
      <c r="R291" s="96" t="e">
        <f>P291*dagenperjaar1</f>
        <v>#DIV/0!</v>
      </c>
      <c r="S291" s="27" t="e">
        <f>R291*ROUND(O291,2)</f>
        <v>#DIV/0!</v>
      </c>
    </row>
    <row r="292" spans="1:19" x14ac:dyDescent="0.25">
      <c r="A292" s="93" t="s">
        <v>489</v>
      </c>
      <c r="B292" s="94" t="s">
        <v>419</v>
      </c>
      <c r="C292" s="94" t="s">
        <v>241</v>
      </c>
      <c r="D292" s="94" t="s">
        <v>528</v>
      </c>
      <c r="E292" s="95" t="s">
        <v>332</v>
      </c>
      <c r="F292" s="94" t="s">
        <v>255</v>
      </c>
      <c r="G292" s="94" t="s">
        <v>197</v>
      </c>
      <c r="H292" s="94" t="s">
        <v>11</v>
      </c>
      <c r="I292" s="94" t="s">
        <v>189</v>
      </c>
      <c r="J292" s="95" t="s">
        <v>198</v>
      </c>
      <c r="K292" s="96">
        <v>2.54</v>
      </c>
      <c r="L292" s="96">
        <f>K292*VLOOKUP(H292,dagsoorttabel1,2,FALSE)</f>
        <v>1.953846153846154</v>
      </c>
      <c r="M292" s="97">
        <f>prodnorm6</f>
        <v>0</v>
      </c>
      <c r="N292" s="94" t="s">
        <v>103</v>
      </c>
      <c r="O292" s="26">
        <f>uurtarief6</f>
        <v>0</v>
      </c>
      <c r="P292" s="96" t="e">
        <f>IF(ISBLANK(M292),0,L292/ROUND(M292,4))</f>
        <v>#DIV/0!</v>
      </c>
      <c r="Q292" s="26" t="e">
        <f>ROUND(O292,2)*P292</f>
        <v>#DIV/0!</v>
      </c>
      <c r="R292" s="96" t="e">
        <f>P292*dagenperjaar1</f>
        <v>#DIV/0!</v>
      </c>
      <c r="S292" s="27" t="e">
        <f>R292*ROUND(O292,2)</f>
        <v>#DIV/0!</v>
      </c>
    </row>
    <row r="293" spans="1:19" x14ac:dyDescent="0.25">
      <c r="A293" s="93" t="s">
        <v>489</v>
      </c>
      <c r="B293" s="94" t="s">
        <v>419</v>
      </c>
      <c r="C293" s="94" t="s">
        <v>241</v>
      </c>
      <c r="D293" s="94" t="s">
        <v>270</v>
      </c>
      <c r="E293" s="95" t="s">
        <v>252</v>
      </c>
      <c r="F293" s="94" t="s">
        <v>516</v>
      </c>
      <c r="G293" s="94" t="s">
        <v>248</v>
      </c>
      <c r="H293" s="94"/>
      <c r="I293" s="94"/>
      <c r="J293" s="94"/>
      <c r="K293" s="96">
        <v>5.59</v>
      </c>
      <c r="L293" s="96"/>
      <c r="M293" s="97"/>
      <c r="N293" s="94"/>
      <c r="O293" s="26"/>
      <c r="P293" s="96"/>
      <c r="Q293" s="26"/>
      <c r="R293" s="98"/>
      <c r="S293" s="27"/>
    </row>
    <row r="294" spans="1:19" x14ac:dyDescent="0.25">
      <c r="A294" s="93" t="s">
        <v>489</v>
      </c>
      <c r="B294" s="94" t="s">
        <v>419</v>
      </c>
      <c r="C294" s="94" t="s">
        <v>241</v>
      </c>
      <c r="D294" s="94" t="s">
        <v>271</v>
      </c>
      <c r="E294" s="95" t="s">
        <v>247</v>
      </c>
      <c r="F294" s="94" t="s">
        <v>244</v>
      </c>
      <c r="G294" s="94" t="s">
        <v>248</v>
      </c>
      <c r="H294" s="94"/>
      <c r="I294" s="94"/>
      <c r="J294" s="94"/>
      <c r="K294" s="96">
        <v>6.6599999999999993</v>
      </c>
      <c r="L294" s="96"/>
      <c r="M294" s="97"/>
      <c r="N294" s="94"/>
      <c r="O294" s="26"/>
      <c r="P294" s="96"/>
      <c r="Q294" s="26"/>
      <c r="R294" s="98"/>
      <c r="S294" s="27"/>
    </row>
    <row r="295" spans="1:19" x14ac:dyDescent="0.25">
      <c r="A295" s="93" t="s">
        <v>489</v>
      </c>
      <c r="B295" s="94" t="s">
        <v>419</v>
      </c>
      <c r="C295" s="94" t="s">
        <v>241</v>
      </c>
      <c r="D295" s="94" t="s">
        <v>272</v>
      </c>
      <c r="E295" s="95" t="s">
        <v>247</v>
      </c>
      <c r="F295" s="94" t="s">
        <v>266</v>
      </c>
      <c r="G295" s="94" t="s">
        <v>248</v>
      </c>
      <c r="H295" s="94"/>
      <c r="I295" s="94"/>
      <c r="J295" s="94"/>
      <c r="K295" s="96">
        <v>23.21</v>
      </c>
      <c r="L295" s="96"/>
      <c r="M295" s="97"/>
      <c r="N295" s="94"/>
      <c r="O295" s="26"/>
      <c r="P295" s="96"/>
      <c r="Q295" s="26"/>
      <c r="R295" s="98"/>
      <c r="S295" s="27"/>
    </row>
    <row r="296" spans="1:19" x14ac:dyDescent="0.25">
      <c r="A296" s="99" t="s">
        <v>489</v>
      </c>
      <c r="B296" s="100" t="s">
        <v>419</v>
      </c>
      <c r="C296" s="100" t="s">
        <v>241</v>
      </c>
      <c r="D296" s="100" t="s">
        <v>273</v>
      </c>
      <c r="E296" s="101" t="s">
        <v>247</v>
      </c>
      <c r="F296" s="100" t="s">
        <v>266</v>
      </c>
      <c r="G296" s="100" t="s">
        <v>248</v>
      </c>
      <c r="H296" s="100"/>
      <c r="I296" s="100"/>
      <c r="J296" s="100"/>
      <c r="K296" s="102">
        <v>19.25</v>
      </c>
      <c r="L296" s="102"/>
      <c r="M296" s="103"/>
      <c r="N296" s="100"/>
      <c r="O296" s="36"/>
      <c r="P296" s="102"/>
      <c r="Q296" s="36"/>
      <c r="R296" s="105"/>
      <c r="S296" s="37"/>
    </row>
    <row r="297" spans="1:19" x14ac:dyDescent="0.25">
      <c r="A297" s="104" t="s">
        <v>487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9" t="e">
        <f>IF(_xlfn.SINGLE(object2_urenjaar1)&gt;0,_xlfn.SINGLE(object2_prijsjaar1)/_xlfn.SINGLE(object2_urenjaar1),0)</f>
        <v>#DIV/0!</v>
      </c>
      <c r="P297" s="78" t="e">
        <f>SUM(P197:P296)</f>
        <v>#DIV/0!</v>
      </c>
      <c r="Q297" s="79" t="e">
        <f>SUM(Q197:Q296)</f>
        <v>#DIV/0!</v>
      </c>
      <c r="R297" s="78" t="e">
        <f>SUM(R197:R296)</f>
        <v>#DIV/0!</v>
      </c>
      <c r="S297" s="80" t="e">
        <f>SUM(S197:S296)</f>
        <v>#DIV/0!</v>
      </c>
    </row>
    <row r="298" spans="1:19" x14ac:dyDescent="0.25">
      <c r="A298" s="85" t="s">
        <v>529</v>
      </c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75"/>
    </row>
    <row r="299" spans="1:19" ht="30" x14ac:dyDescent="0.25">
      <c r="A299" s="86" t="s">
        <v>530</v>
      </c>
      <c r="B299" s="87" t="s">
        <v>37</v>
      </c>
      <c r="C299" s="87" t="s">
        <v>368</v>
      </c>
      <c r="D299" s="87" t="s">
        <v>372</v>
      </c>
      <c r="E299" s="88" t="s">
        <v>531</v>
      </c>
      <c r="F299" s="87" t="s">
        <v>532</v>
      </c>
      <c r="G299" s="87" t="s">
        <v>211</v>
      </c>
      <c r="H299" s="87" t="s">
        <v>11</v>
      </c>
      <c r="I299" s="87" t="s">
        <v>189</v>
      </c>
      <c r="J299" s="88" t="s">
        <v>212</v>
      </c>
      <c r="K299" s="89">
        <v>75.23</v>
      </c>
      <c r="L299" s="89">
        <f>K299*VLOOKUP(H299,dagsoorttabel1,2,FALSE)</f>
        <v>57.869230769230775</v>
      </c>
      <c r="M299" s="90">
        <f>prodnorm13</f>
        <v>0</v>
      </c>
      <c r="N299" s="87" t="s">
        <v>103</v>
      </c>
      <c r="O299" s="91">
        <f>uurtarief13</f>
        <v>0</v>
      </c>
      <c r="P299" s="89" t="e">
        <f>IF(ISBLANK(M299),0,L299/ROUND(M299,4))</f>
        <v>#DIV/0!</v>
      </c>
      <c r="Q299" s="91" t="e">
        <f>ROUND(O299,2)*P299</f>
        <v>#DIV/0!</v>
      </c>
      <c r="R299" s="89" t="e">
        <f>P299*dagenperjaar1</f>
        <v>#DIV/0!</v>
      </c>
      <c r="S299" s="92" t="e">
        <f>R299*ROUND(O299,2)</f>
        <v>#DIV/0!</v>
      </c>
    </row>
    <row r="300" spans="1:19" ht="30" x14ac:dyDescent="0.25">
      <c r="A300" s="93" t="s">
        <v>530</v>
      </c>
      <c r="B300" s="94" t="s">
        <v>37</v>
      </c>
      <c r="C300" s="94" t="s">
        <v>368</v>
      </c>
      <c r="D300" s="94" t="s">
        <v>533</v>
      </c>
      <c r="E300" s="95" t="s">
        <v>534</v>
      </c>
      <c r="F300" s="94" t="s">
        <v>532</v>
      </c>
      <c r="G300" s="94" t="s">
        <v>191</v>
      </c>
      <c r="H300" s="94" t="s">
        <v>11</v>
      </c>
      <c r="I300" s="94" t="s">
        <v>189</v>
      </c>
      <c r="J300" s="95" t="s">
        <v>192</v>
      </c>
      <c r="K300" s="96">
        <v>24.82</v>
      </c>
      <c r="L300" s="96">
        <f>K300*VLOOKUP(H300,dagsoorttabel1,2,FALSE)</f>
        <v>19.092307692307692</v>
      </c>
      <c r="M300" s="97">
        <f>prodnorm3</f>
        <v>0</v>
      </c>
      <c r="N300" s="94" t="s">
        <v>103</v>
      </c>
      <c r="O300" s="26">
        <f>uurtarief3</f>
        <v>0</v>
      </c>
      <c r="P300" s="96" t="e">
        <f>IF(ISBLANK(M300),0,L300/ROUND(M300,4))</f>
        <v>#DIV/0!</v>
      </c>
      <c r="Q300" s="26" t="e">
        <f>ROUND(O300,2)*P300</f>
        <v>#DIV/0!</v>
      </c>
      <c r="R300" s="96" t="e">
        <f>P300*dagenperjaar1</f>
        <v>#DIV/0!</v>
      </c>
      <c r="S300" s="27" t="e">
        <f>R300*ROUND(O300,2)</f>
        <v>#DIV/0!</v>
      </c>
    </row>
    <row r="301" spans="1:19" x14ac:dyDescent="0.25">
      <c r="A301" s="93" t="s">
        <v>530</v>
      </c>
      <c r="B301" s="94" t="s">
        <v>37</v>
      </c>
      <c r="C301" s="94" t="s">
        <v>368</v>
      </c>
      <c r="D301" s="94" t="s">
        <v>535</v>
      </c>
      <c r="E301" s="95" t="s">
        <v>341</v>
      </c>
      <c r="F301" s="94" t="s">
        <v>244</v>
      </c>
      <c r="G301" s="94" t="s">
        <v>248</v>
      </c>
      <c r="H301" s="94"/>
      <c r="I301" s="94"/>
      <c r="J301" s="94"/>
      <c r="K301" s="96">
        <v>3.2800000000000002</v>
      </c>
      <c r="L301" s="96"/>
      <c r="M301" s="97"/>
      <c r="N301" s="94"/>
      <c r="O301" s="26"/>
      <c r="P301" s="96"/>
      <c r="Q301" s="26"/>
      <c r="R301" s="98"/>
      <c r="S301" s="27"/>
    </row>
    <row r="302" spans="1:19" ht="30" x14ac:dyDescent="0.25">
      <c r="A302" s="93" t="s">
        <v>530</v>
      </c>
      <c r="B302" s="94" t="s">
        <v>37</v>
      </c>
      <c r="C302" s="94" t="s">
        <v>368</v>
      </c>
      <c r="D302" s="94" t="s">
        <v>536</v>
      </c>
      <c r="E302" s="95" t="s">
        <v>391</v>
      </c>
      <c r="F302" s="94" t="s">
        <v>244</v>
      </c>
      <c r="G302" s="94" t="s">
        <v>225</v>
      </c>
      <c r="H302" s="94" t="s">
        <v>11</v>
      </c>
      <c r="I302" s="94" t="s">
        <v>189</v>
      </c>
      <c r="J302" s="95" t="s">
        <v>226</v>
      </c>
      <c r="K302" s="96">
        <v>110.8</v>
      </c>
      <c r="L302" s="96">
        <f>K302*VLOOKUP(H302,dagsoorttabel1,2,FALSE)</f>
        <v>85.230769230769226</v>
      </c>
      <c r="M302" s="97">
        <f>prodnorm20</f>
        <v>0</v>
      </c>
      <c r="N302" s="94" t="s">
        <v>103</v>
      </c>
      <c r="O302" s="26">
        <f>uurtarief20</f>
        <v>0</v>
      </c>
      <c r="P302" s="96" t="e">
        <f>IF(ISBLANK(M302),0,L302/ROUND(M302,4))</f>
        <v>#DIV/0!</v>
      </c>
      <c r="Q302" s="26" t="e">
        <f>ROUND(O302,2)*P302</f>
        <v>#DIV/0!</v>
      </c>
      <c r="R302" s="96" t="e">
        <f>P302*dagenperjaar1</f>
        <v>#DIV/0!</v>
      </c>
      <c r="S302" s="27" t="e">
        <f>R302*ROUND(O302,2)</f>
        <v>#DIV/0!</v>
      </c>
    </row>
    <row r="303" spans="1:19" x14ac:dyDescent="0.25">
      <c r="A303" s="93" t="s">
        <v>530</v>
      </c>
      <c r="B303" s="94" t="s">
        <v>37</v>
      </c>
      <c r="C303" s="94" t="s">
        <v>368</v>
      </c>
      <c r="D303" s="94" t="s">
        <v>373</v>
      </c>
      <c r="E303" s="95" t="s">
        <v>400</v>
      </c>
      <c r="F303" s="94" t="s">
        <v>532</v>
      </c>
      <c r="G303" s="94" t="s">
        <v>209</v>
      </c>
      <c r="H303" s="94" t="s">
        <v>11</v>
      </c>
      <c r="I303" s="94" t="s">
        <v>189</v>
      </c>
      <c r="J303" s="95" t="s">
        <v>210</v>
      </c>
      <c r="K303" s="96">
        <v>92.54</v>
      </c>
      <c r="L303" s="96">
        <f>K303*VLOOKUP(H303,dagsoorttabel1,2,FALSE)</f>
        <v>71.184615384615398</v>
      </c>
      <c r="M303" s="97">
        <f>prodnorm12</f>
        <v>0</v>
      </c>
      <c r="N303" s="94" t="s">
        <v>103</v>
      </c>
      <c r="O303" s="26">
        <f>uurtarief12</f>
        <v>0</v>
      </c>
      <c r="P303" s="96" t="e">
        <f>IF(ISBLANK(M303),0,L303/ROUND(M303,4))</f>
        <v>#DIV/0!</v>
      </c>
      <c r="Q303" s="26" t="e">
        <f>ROUND(O303,2)*P303</f>
        <v>#DIV/0!</v>
      </c>
      <c r="R303" s="96" t="e">
        <f>P303*dagenperjaar1</f>
        <v>#DIV/0!</v>
      </c>
      <c r="S303" s="27" t="e">
        <f>R303*ROUND(O303,2)</f>
        <v>#DIV/0!</v>
      </c>
    </row>
    <row r="304" spans="1:19" x14ac:dyDescent="0.25">
      <c r="A304" s="93" t="s">
        <v>530</v>
      </c>
      <c r="B304" s="94" t="s">
        <v>37</v>
      </c>
      <c r="C304" s="94" t="s">
        <v>368</v>
      </c>
      <c r="D304" s="94" t="s">
        <v>537</v>
      </c>
      <c r="E304" s="95" t="s">
        <v>341</v>
      </c>
      <c r="F304" s="94" t="s">
        <v>244</v>
      </c>
      <c r="G304" s="94" t="s">
        <v>248</v>
      </c>
      <c r="H304" s="94"/>
      <c r="I304" s="94"/>
      <c r="J304" s="94"/>
      <c r="K304" s="96">
        <v>4.87</v>
      </c>
      <c r="L304" s="96"/>
      <c r="M304" s="97"/>
      <c r="N304" s="94"/>
      <c r="O304" s="26"/>
      <c r="P304" s="96"/>
      <c r="Q304" s="26"/>
      <c r="R304" s="98"/>
      <c r="S304" s="27"/>
    </row>
    <row r="305" spans="1:19" x14ac:dyDescent="0.25">
      <c r="A305" s="93" t="s">
        <v>530</v>
      </c>
      <c r="B305" s="94" t="s">
        <v>37</v>
      </c>
      <c r="C305" s="94" t="s">
        <v>368</v>
      </c>
      <c r="D305" s="94" t="s">
        <v>374</v>
      </c>
      <c r="E305" s="95" t="s">
        <v>400</v>
      </c>
      <c r="F305" s="94" t="s">
        <v>244</v>
      </c>
      <c r="G305" s="94" t="s">
        <v>209</v>
      </c>
      <c r="H305" s="94" t="s">
        <v>11</v>
      </c>
      <c r="I305" s="94" t="s">
        <v>189</v>
      </c>
      <c r="J305" s="95" t="s">
        <v>210</v>
      </c>
      <c r="K305" s="96">
        <v>139.69</v>
      </c>
      <c r="L305" s="96">
        <f>K305*VLOOKUP(H305,dagsoorttabel1,2,FALSE)</f>
        <v>107.45384615384616</v>
      </c>
      <c r="M305" s="97">
        <f>prodnorm12</f>
        <v>0</v>
      </c>
      <c r="N305" s="94" t="s">
        <v>103</v>
      </c>
      <c r="O305" s="26">
        <f>uurtarief12</f>
        <v>0</v>
      </c>
      <c r="P305" s="96" t="e">
        <f>IF(ISBLANK(M305),0,L305/ROUND(M305,4))</f>
        <v>#DIV/0!</v>
      </c>
      <c r="Q305" s="26" t="e">
        <f>ROUND(O305,2)*P305</f>
        <v>#DIV/0!</v>
      </c>
      <c r="R305" s="96" t="e">
        <f>P305*dagenperjaar1</f>
        <v>#DIV/0!</v>
      </c>
      <c r="S305" s="27" t="e">
        <f>R305*ROUND(O305,2)</f>
        <v>#DIV/0!</v>
      </c>
    </row>
    <row r="306" spans="1:19" x14ac:dyDescent="0.25">
      <c r="A306" s="93" t="s">
        <v>530</v>
      </c>
      <c r="B306" s="94" t="s">
        <v>37</v>
      </c>
      <c r="C306" s="94" t="s">
        <v>368</v>
      </c>
      <c r="D306" s="94" t="s">
        <v>538</v>
      </c>
      <c r="E306" s="95" t="s">
        <v>341</v>
      </c>
      <c r="F306" s="94" t="s">
        <v>244</v>
      </c>
      <c r="G306" s="94" t="s">
        <v>248</v>
      </c>
      <c r="H306" s="94"/>
      <c r="I306" s="94"/>
      <c r="J306" s="94"/>
      <c r="K306" s="96">
        <v>11.06</v>
      </c>
      <c r="L306" s="96"/>
      <c r="M306" s="97"/>
      <c r="N306" s="94"/>
      <c r="O306" s="26"/>
      <c r="P306" s="96"/>
      <c r="Q306" s="26"/>
      <c r="R306" s="98"/>
      <c r="S306" s="27"/>
    </row>
    <row r="307" spans="1:19" ht="30" x14ac:dyDescent="0.25">
      <c r="A307" s="93" t="s">
        <v>530</v>
      </c>
      <c r="B307" s="94" t="s">
        <v>37</v>
      </c>
      <c r="C307" s="94" t="s">
        <v>368</v>
      </c>
      <c r="D307" s="94" t="s">
        <v>539</v>
      </c>
      <c r="E307" s="95" t="s">
        <v>436</v>
      </c>
      <c r="F307" s="94" t="s">
        <v>532</v>
      </c>
      <c r="G307" s="94" t="s">
        <v>225</v>
      </c>
      <c r="H307" s="94" t="s">
        <v>11</v>
      </c>
      <c r="I307" s="94" t="s">
        <v>189</v>
      </c>
      <c r="J307" s="95" t="s">
        <v>226</v>
      </c>
      <c r="K307" s="96">
        <v>54.93</v>
      </c>
      <c r="L307" s="96">
        <f>K307*VLOOKUP(H307,dagsoorttabel1,2,FALSE)</f>
        <v>42.253846153846155</v>
      </c>
      <c r="M307" s="97">
        <f>prodnorm20</f>
        <v>0</v>
      </c>
      <c r="N307" s="94" t="s">
        <v>103</v>
      </c>
      <c r="O307" s="26">
        <f>uurtarief20</f>
        <v>0</v>
      </c>
      <c r="P307" s="96" t="e">
        <f>IF(ISBLANK(M307),0,L307/ROUND(M307,4))</f>
        <v>#DIV/0!</v>
      </c>
      <c r="Q307" s="26" t="e">
        <f>ROUND(O307,2)*P307</f>
        <v>#DIV/0!</v>
      </c>
      <c r="R307" s="96" t="e">
        <f>P307*dagenperjaar1</f>
        <v>#DIV/0!</v>
      </c>
      <c r="S307" s="27" t="e">
        <f>R307*ROUND(O307,2)</f>
        <v>#DIV/0!</v>
      </c>
    </row>
    <row r="308" spans="1:19" x14ac:dyDescent="0.25">
      <c r="A308" s="93" t="s">
        <v>530</v>
      </c>
      <c r="B308" s="94" t="s">
        <v>37</v>
      </c>
      <c r="C308" s="94" t="s">
        <v>368</v>
      </c>
      <c r="D308" s="94" t="s">
        <v>378</v>
      </c>
      <c r="E308" s="95" t="s">
        <v>540</v>
      </c>
      <c r="F308" s="94" t="s">
        <v>244</v>
      </c>
      <c r="G308" s="94" t="s">
        <v>209</v>
      </c>
      <c r="H308" s="94" t="s">
        <v>11</v>
      </c>
      <c r="I308" s="94" t="s">
        <v>189</v>
      </c>
      <c r="J308" s="95" t="s">
        <v>210</v>
      </c>
      <c r="K308" s="96">
        <v>108.39</v>
      </c>
      <c r="L308" s="96">
        <f>K308*VLOOKUP(H308,dagsoorttabel1,2,FALSE)</f>
        <v>83.376923076923077</v>
      </c>
      <c r="M308" s="97">
        <f>prodnorm12</f>
        <v>0</v>
      </c>
      <c r="N308" s="94" t="s">
        <v>103</v>
      </c>
      <c r="O308" s="26">
        <f>uurtarief12</f>
        <v>0</v>
      </c>
      <c r="P308" s="96" t="e">
        <f>IF(ISBLANK(M308),0,L308/ROUND(M308,4))</f>
        <v>#DIV/0!</v>
      </c>
      <c r="Q308" s="26" t="e">
        <f>ROUND(O308,2)*P308</f>
        <v>#DIV/0!</v>
      </c>
      <c r="R308" s="96" t="e">
        <f>P308*dagenperjaar1</f>
        <v>#DIV/0!</v>
      </c>
      <c r="S308" s="27" t="e">
        <f>R308*ROUND(O308,2)</f>
        <v>#DIV/0!</v>
      </c>
    </row>
    <row r="309" spans="1:19" x14ac:dyDescent="0.25">
      <c r="A309" s="93" t="s">
        <v>530</v>
      </c>
      <c r="B309" s="94" t="s">
        <v>37</v>
      </c>
      <c r="C309" s="94" t="s">
        <v>368</v>
      </c>
      <c r="D309" s="94" t="s">
        <v>541</v>
      </c>
      <c r="E309" s="95" t="s">
        <v>341</v>
      </c>
      <c r="F309" s="94" t="s">
        <v>244</v>
      </c>
      <c r="G309" s="94" t="s">
        <v>248</v>
      </c>
      <c r="H309" s="94"/>
      <c r="I309" s="94"/>
      <c r="J309" s="94"/>
      <c r="K309" s="96">
        <v>10.6</v>
      </c>
      <c r="L309" s="96"/>
      <c r="M309" s="97"/>
      <c r="N309" s="94"/>
      <c r="O309" s="26"/>
      <c r="P309" s="96"/>
      <c r="Q309" s="26"/>
      <c r="R309" s="98"/>
      <c r="S309" s="27"/>
    </row>
    <row r="310" spans="1:19" x14ac:dyDescent="0.25">
      <c r="A310" s="93" t="s">
        <v>530</v>
      </c>
      <c r="B310" s="94" t="s">
        <v>37</v>
      </c>
      <c r="C310" s="94" t="s">
        <v>368</v>
      </c>
      <c r="D310" s="94" t="s">
        <v>380</v>
      </c>
      <c r="E310" s="95" t="s">
        <v>542</v>
      </c>
      <c r="F310" s="94" t="s">
        <v>532</v>
      </c>
      <c r="G310" s="94" t="s">
        <v>209</v>
      </c>
      <c r="H310" s="94" t="s">
        <v>11</v>
      </c>
      <c r="I310" s="94" t="s">
        <v>189</v>
      </c>
      <c r="J310" s="95" t="s">
        <v>210</v>
      </c>
      <c r="K310" s="96">
        <v>266.05</v>
      </c>
      <c r="L310" s="96">
        <f>K310*VLOOKUP(H310,dagsoorttabel1,2,FALSE)</f>
        <v>204.65384615384616</v>
      </c>
      <c r="M310" s="97">
        <f>prodnorm12</f>
        <v>0</v>
      </c>
      <c r="N310" s="94" t="s">
        <v>103</v>
      </c>
      <c r="O310" s="26">
        <f>uurtarief12</f>
        <v>0</v>
      </c>
      <c r="P310" s="96" t="e">
        <f>IF(ISBLANK(M310),0,L310/ROUND(M310,4))</f>
        <v>#DIV/0!</v>
      </c>
      <c r="Q310" s="26" t="e">
        <f>ROUND(O310,2)*P310</f>
        <v>#DIV/0!</v>
      </c>
      <c r="R310" s="96" t="e">
        <f>P310*dagenperjaar1</f>
        <v>#DIV/0!</v>
      </c>
      <c r="S310" s="27" t="e">
        <f>R310*ROUND(O310,2)</f>
        <v>#DIV/0!</v>
      </c>
    </row>
    <row r="311" spans="1:19" ht="30" x14ac:dyDescent="0.25">
      <c r="A311" s="93" t="s">
        <v>530</v>
      </c>
      <c r="B311" s="94" t="s">
        <v>37</v>
      </c>
      <c r="C311" s="94" t="s">
        <v>368</v>
      </c>
      <c r="D311" s="94" t="s">
        <v>543</v>
      </c>
      <c r="E311" s="95" t="s">
        <v>544</v>
      </c>
      <c r="F311" s="94" t="s">
        <v>532</v>
      </c>
      <c r="G311" s="94" t="s">
        <v>225</v>
      </c>
      <c r="H311" s="94" t="s">
        <v>11</v>
      </c>
      <c r="I311" s="94" t="s">
        <v>189</v>
      </c>
      <c r="J311" s="95" t="s">
        <v>226</v>
      </c>
      <c r="K311" s="96">
        <v>16.110000000000003</v>
      </c>
      <c r="L311" s="96">
        <f>K311*VLOOKUP(H311,dagsoorttabel1,2,FALSE)</f>
        <v>12.392307692307694</v>
      </c>
      <c r="M311" s="97">
        <f>prodnorm20</f>
        <v>0</v>
      </c>
      <c r="N311" s="94" t="s">
        <v>103</v>
      </c>
      <c r="O311" s="26">
        <f>uurtarief20</f>
        <v>0</v>
      </c>
      <c r="P311" s="96" t="e">
        <f>IF(ISBLANK(M311),0,L311/ROUND(M311,4))</f>
        <v>#DIV/0!</v>
      </c>
      <c r="Q311" s="26" t="e">
        <f>ROUND(O311,2)*P311</f>
        <v>#DIV/0!</v>
      </c>
      <c r="R311" s="96" t="e">
        <f>P311*dagenperjaar1</f>
        <v>#DIV/0!</v>
      </c>
      <c r="S311" s="27" t="e">
        <f>R311*ROUND(O311,2)</f>
        <v>#DIV/0!</v>
      </c>
    </row>
    <row r="312" spans="1:19" ht="30" x14ac:dyDescent="0.25">
      <c r="A312" s="93" t="s">
        <v>530</v>
      </c>
      <c r="B312" s="94" t="s">
        <v>37</v>
      </c>
      <c r="C312" s="94" t="s">
        <v>368</v>
      </c>
      <c r="D312" s="94" t="s">
        <v>545</v>
      </c>
      <c r="E312" s="95" t="s">
        <v>491</v>
      </c>
      <c r="F312" s="94" t="s">
        <v>244</v>
      </c>
      <c r="G312" s="94" t="s">
        <v>191</v>
      </c>
      <c r="H312" s="94" t="s">
        <v>11</v>
      </c>
      <c r="I312" s="94" t="s">
        <v>189</v>
      </c>
      <c r="J312" s="95" t="s">
        <v>192</v>
      </c>
      <c r="K312" s="96">
        <v>19.03</v>
      </c>
      <c r="L312" s="96">
        <f>K312*VLOOKUP(H312,dagsoorttabel1,2,FALSE)</f>
        <v>14.63846153846154</v>
      </c>
      <c r="M312" s="97">
        <f>prodnorm3</f>
        <v>0</v>
      </c>
      <c r="N312" s="94" t="s">
        <v>103</v>
      </c>
      <c r="O312" s="26">
        <f>uurtarief3</f>
        <v>0</v>
      </c>
      <c r="P312" s="96" t="e">
        <f>IF(ISBLANK(M312),0,L312/ROUND(M312,4))</f>
        <v>#DIV/0!</v>
      </c>
      <c r="Q312" s="26" t="e">
        <f>ROUND(O312,2)*P312</f>
        <v>#DIV/0!</v>
      </c>
      <c r="R312" s="96" t="e">
        <f>P312*dagenperjaar1</f>
        <v>#DIV/0!</v>
      </c>
      <c r="S312" s="27" t="e">
        <f>R312*ROUND(O312,2)</f>
        <v>#DIV/0!</v>
      </c>
    </row>
    <row r="313" spans="1:19" x14ac:dyDescent="0.25">
      <c r="A313" s="93" t="s">
        <v>530</v>
      </c>
      <c r="B313" s="94" t="s">
        <v>37</v>
      </c>
      <c r="C313" s="94" t="s">
        <v>368</v>
      </c>
      <c r="D313" s="94" t="s">
        <v>546</v>
      </c>
      <c r="E313" s="95" t="s">
        <v>341</v>
      </c>
      <c r="F313" s="94" t="s">
        <v>244</v>
      </c>
      <c r="G313" s="94" t="s">
        <v>248</v>
      </c>
      <c r="H313" s="94"/>
      <c r="I313" s="94"/>
      <c r="J313" s="94"/>
      <c r="K313" s="96">
        <v>8.57</v>
      </c>
      <c r="L313" s="96"/>
      <c r="M313" s="97"/>
      <c r="N313" s="94"/>
      <c r="O313" s="26"/>
      <c r="P313" s="96"/>
      <c r="Q313" s="26"/>
      <c r="R313" s="98"/>
      <c r="S313" s="27"/>
    </row>
    <row r="314" spans="1:19" ht="30" x14ac:dyDescent="0.25">
      <c r="A314" s="93" t="s">
        <v>530</v>
      </c>
      <c r="B314" s="94" t="s">
        <v>37</v>
      </c>
      <c r="C314" s="94" t="s">
        <v>368</v>
      </c>
      <c r="D314" s="94" t="s">
        <v>547</v>
      </c>
      <c r="E314" s="95" t="s">
        <v>436</v>
      </c>
      <c r="F314" s="94" t="s">
        <v>244</v>
      </c>
      <c r="G314" s="94" t="s">
        <v>225</v>
      </c>
      <c r="H314" s="94" t="s">
        <v>11</v>
      </c>
      <c r="I314" s="94" t="s">
        <v>189</v>
      </c>
      <c r="J314" s="95" t="s">
        <v>226</v>
      </c>
      <c r="K314" s="96">
        <v>23.68</v>
      </c>
      <c r="L314" s="96">
        <f>K314*VLOOKUP(H314,dagsoorttabel1,2,FALSE)</f>
        <v>18.215384615384615</v>
      </c>
      <c r="M314" s="97">
        <f>prodnorm20</f>
        <v>0</v>
      </c>
      <c r="N314" s="94" t="s">
        <v>103</v>
      </c>
      <c r="O314" s="26">
        <f>uurtarief20</f>
        <v>0</v>
      </c>
      <c r="P314" s="96" t="e">
        <f>IF(ISBLANK(M314),0,L314/ROUND(M314,4))</f>
        <v>#DIV/0!</v>
      </c>
      <c r="Q314" s="26" t="e">
        <f>ROUND(O314,2)*P314</f>
        <v>#DIV/0!</v>
      </c>
      <c r="R314" s="96" t="e">
        <f>P314*dagenperjaar1</f>
        <v>#DIV/0!</v>
      </c>
      <c r="S314" s="27" t="e">
        <f>R314*ROUND(O314,2)</f>
        <v>#DIV/0!</v>
      </c>
    </row>
    <row r="315" spans="1:19" x14ac:dyDescent="0.25">
      <c r="A315" s="93" t="s">
        <v>530</v>
      </c>
      <c r="B315" s="94" t="s">
        <v>37</v>
      </c>
      <c r="C315" s="94" t="s">
        <v>368</v>
      </c>
      <c r="D315" s="94" t="s">
        <v>385</v>
      </c>
      <c r="E315" s="95" t="s">
        <v>548</v>
      </c>
      <c r="F315" s="94" t="s">
        <v>244</v>
      </c>
      <c r="G315" s="94" t="s">
        <v>219</v>
      </c>
      <c r="H315" s="94" t="s">
        <v>11</v>
      </c>
      <c r="I315" s="94" t="s">
        <v>189</v>
      </c>
      <c r="J315" s="95" t="s">
        <v>220</v>
      </c>
      <c r="K315" s="96">
        <v>160.13</v>
      </c>
      <c r="L315" s="96">
        <f>K315*VLOOKUP(H315,dagsoorttabel1,2,FALSE)</f>
        <v>123.17692307692307</v>
      </c>
      <c r="M315" s="97">
        <f>prodnorm17</f>
        <v>0</v>
      </c>
      <c r="N315" s="94" t="s">
        <v>103</v>
      </c>
      <c r="O315" s="26">
        <f>uurtarief17</f>
        <v>0</v>
      </c>
      <c r="P315" s="96" t="e">
        <f>IF(ISBLANK(M315),0,L315/ROUND(M315,4))</f>
        <v>#DIV/0!</v>
      </c>
      <c r="Q315" s="26" t="e">
        <f>ROUND(O315,2)*P315</f>
        <v>#DIV/0!</v>
      </c>
      <c r="R315" s="96" t="e">
        <f>P315*dagenperjaar1</f>
        <v>#DIV/0!</v>
      </c>
      <c r="S315" s="27" t="e">
        <f>R315*ROUND(O315,2)</f>
        <v>#DIV/0!</v>
      </c>
    </row>
    <row r="316" spans="1:19" x14ac:dyDescent="0.25">
      <c r="A316" s="93" t="s">
        <v>530</v>
      </c>
      <c r="B316" s="94" t="s">
        <v>37</v>
      </c>
      <c r="C316" s="94" t="s">
        <v>368</v>
      </c>
      <c r="D316" s="94" t="s">
        <v>549</v>
      </c>
      <c r="E316" s="95" t="s">
        <v>550</v>
      </c>
      <c r="F316" s="94" t="s">
        <v>244</v>
      </c>
      <c r="G316" s="94" t="s">
        <v>217</v>
      </c>
      <c r="H316" s="94" t="s">
        <v>11</v>
      </c>
      <c r="I316" s="94" t="s">
        <v>189</v>
      </c>
      <c r="J316" s="95" t="s">
        <v>218</v>
      </c>
      <c r="K316" s="96">
        <v>42.37</v>
      </c>
      <c r="L316" s="96">
        <f>K316*VLOOKUP(H316,dagsoorttabel1,2,FALSE)</f>
        <v>32.592307692307692</v>
      </c>
      <c r="M316" s="97">
        <f>prodnorm16</f>
        <v>0</v>
      </c>
      <c r="N316" s="94" t="s">
        <v>103</v>
      </c>
      <c r="O316" s="26">
        <f>uurtarief16</f>
        <v>0</v>
      </c>
      <c r="P316" s="96" t="e">
        <f>IF(ISBLANK(M316),0,L316/ROUND(M316,4))</f>
        <v>#DIV/0!</v>
      </c>
      <c r="Q316" s="26" t="e">
        <f>ROUND(O316,2)*P316</f>
        <v>#DIV/0!</v>
      </c>
      <c r="R316" s="96" t="e">
        <f>P316*dagenperjaar1</f>
        <v>#DIV/0!</v>
      </c>
      <c r="S316" s="27" t="e">
        <f>R316*ROUND(O316,2)</f>
        <v>#DIV/0!</v>
      </c>
    </row>
    <row r="317" spans="1:19" x14ac:dyDescent="0.25">
      <c r="A317" s="93" t="s">
        <v>530</v>
      </c>
      <c r="B317" s="94" t="s">
        <v>37</v>
      </c>
      <c r="C317" s="94" t="s">
        <v>368</v>
      </c>
      <c r="D317" s="94" t="s">
        <v>551</v>
      </c>
      <c r="E317" s="95" t="s">
        <v>552</v>
      </c>
      <c r="F317" s="94" t="s">
        <v>244</v>
      </c>
      <c r="G317" s="94" t="s">
        <v>248</v>
      </c>
      <c r="H317" s="94"/>
      <c r="I317" s="94"/>
      <c r="J317" s="94"/>
      <c r="K317" s="96">
        <v>7.58</v>
      </c>
      <c r="L317" s="96"/>
      <c r="M317" s="97"/>
      <c r="N317" s="94"/>
      <c r="O317" s="26"/>
      <c r="P317" s="96"/>
      <c r="Q317" s="26"/>
      <c r="R317" s="98"/>
      <c r="S317" s="27"/>
    </row>
    <row r="318" spans="1:19" x14ac:dyDescent="0.25">
      <c r="A318" s="93" t="s">
        <v>530</v>
      </c>
      <c r="B318" s="94" t="s">
        <v>37</v>
      </c>
      <c r="C318" s="94" t="s">
        <v>368</v>
      </c>
      <c r="D318" s="94" t="s">
        <v>386</v>
      </c>
      <c r="E318" s="95" t="s">
        <v>341</v>
      </c>
      <c r="F318" s="94" t="s">
        <v>244</v>
      </c>
      <c r="G318" s="94" t="s">
        <v>248</v>
      </c>
      <c r="H318" s="94"/>
      <c r="I318" s="94"/>
      <c r="J318" s="94"/>
      <c r="K318" s="96">
        <v>14.98</v>
      </c>
      <c r="L318" s="96"/>
      <c r="M318" s="97"/>
      <c r="N318" s="94"/>
      <c r="O318" s="26"/>
      <c r="P318" s="96"/>
      <c r="Q318" s="26"/>
      <c r="R318" s="98"/>
      <c r="S318" s="27"/>
    </row>
    <row r="319" spans="1:19" x14ac:dyDescent="0.25">
      <c r="A319" s="93" t="s">
        <v>530</v>
      </c>
      <c r="B319" s="94" t="s">
        <v>37</v>
      </c>
      <c r="C319" s="94" t="s">
        <v>368</v>
      </c>
      <c r="D319" s="94" t="s">
        <v>553</v>
      </c>
      <c r="E319" s="95" t="s">
        <v>341</v>
      </c>
      <c r="F319" s="94" t="s">
        <v>244</v>
      </c>
      <c r="G319" s="94" t="s">
        <v>248</v>
      </c>
      <c r="H319" s="94"/>
      <c r="I319" s="94"/>
      <c r="J319" s="94"/>
      <c r="K319" s="96">
        <v>104.39</v>
      </c>
      <c r="L319" s="96"/>
      <c r="M319" s="97"/>
      <c r="N319" s="94"/>
      <c r="O319" s="26"/>
      <c r="P319" s="96"/>
      <c r="Q319" s="26"/>
      <c r="R319" s="98"/>
      <c r="S319" s="27"/>
    </row>
    <row r="320" spans="1:19" x14ac:dyDescent="0.25">
      <c r="A320" s="93" t="s">
        <v>530</v>
      </c>
      <c r="B320" s="94" t="s">
        <v>37</v>
      </c>
      <c r="C320" s="94" t="s">
        <v>368</v>
      </c>
      <c r="D320" s="94" t="s">
        <v>388</v>
      </c>
      <c r="E320" s="95" t="s">
        <v>341</v>
      </c>
      <c r="F320" s="94" t="s">
        <v>244</v>
      </c>
      <c r="G320" s="94" t="s">
        <v>248</v>
      </c>
      <c r="H320" s="94"/>
      <c r="I320" s="94"/>
      <c r="J320" s="94"/>
      <c r="K320" s="96">
        <v>20.84</v>
      </c>
      <c r="L320" s="96"/>
      <c r="M320" s="97"/>
      <c r="N320" s="94"/>
      <c r="O320" s="26"/>
      <c r="P320" s="96"/>
      <c r="Q320" s="26"/>
      <c r="R320" s="98"/>
      <c r="S320" s="27"/>
    </row>
    <row r="321" spans="1:19" ht="30" x14ac:dyDescent="0.25">
      <c r="A321" s="93" t="s">
        <v>530</v>
      </c>
      <c r="B321" s="94" t="s">
        <v>37</v>
      </c>
      <c r="C321" s="94" t="s">
        <v>368</v>
      </c>
      <c r="D321" s="94" t="s">
        <v>389</v>
      </c>
      <c r="E321" s="95" t="s">
        <v>436</v>
      </c>
      <c r="F321" s="94" t="s">
        <v>244</v>
      </c>
      <c r="G321" s="94" t="s">
        <v>225</v>
      </c>
      <c r="H321" s="94" t="s">
        <v>11</v>
      </c>
      <c r="I321" s="94" t="s">
        <v>189</v>
      </c>
      <c r="J321" s="95" t="s">
        <v>226</v>
      </c>
      <c r="K321" s="96">
        <v>93.5</v>
      </c>
      <c r="L321" s="96">
        <f>K321*VLOOKUP(H321,dagsoorttabel1,2,FALSE)</f>
        <v>71.923076923076934</v>
      </c>
      <c r="M321" s="97">
        <f>prodnorm20</f>
        <v>0</v>
      </c>
      <c r="N321" s="94" t="s">
        <v>103</v>
      </c>
      <c r="O321" s="26">
        <f>uurtarief20</f>
        <v>0</v>
      </c>
      <c r="P321" s="96" t="e">
        <f>IF(ISBLANK(M321),0,L321/ROUND(M321,4))</f>
        <v>#DIV/0!</v>
      </c>
      <c r="Q321" s="26" t="e">
        <f>ROUND(O321,2)*P321</f>
        <v>#DIV/0!</v>
      </c>
      <c r="R321" s="96" t="e">
        <f>P321*dagenperjaar1</f>
        <v>#DIV/0!</v>
      </c>
      <c r="S321" s="27" t="e">
        <f>R321*ROUND(O321,2)</f>
        <v>#DIV/0!</v>
      </c>
    </row>
    <row r="322" spans="1:19" ht="30" x14ac:dyDescent="0.25">
      <c r="A322" s="93" t="s">
        <v>530</v>
      </c>
      <c r="B322" s="94" t="s">
        <v>37</v>
      </c>
      <c r="C322" s="94" t="s">
        <v>368</v>
      </c>
      <c r="D322" s="94" t="s">
        <v>420</v>
      </c>
      <c r="E322" s="95" t="s">
        <v>436</v>
      </c>
      <c r="F322" s="94" t="s">
        <v>244</v>
      </c>
      <c r="G322" s="94" t="s">
        <v>225</v>
      </c>
      <c r="H322" s="94" t="s">
        <v>11</v>
      </c>
      <c r="I322" s="94" t="s">
        <v>189</v>
      </c>
      <c r="J322" s="95" t="s">
        <v>226</v>
      </c>
      <c r="K322" s="96">
        <v>22.259999999999998</v>
      </c>
      <c r="L322" s="96">
        <f>K322*VLOOKUP(H322,dagsoorttabel1,2,FALSE)</f>
        <v>17.123076923076923</v>
      </c>
      <c r="M322" s="97">
        <f>prodnorm20</f>
        <v>0</v>
      </c>
      <c r="N322" s="94" t="s">
        <v>103</v>
      </c>
      <c r="O322" s="26">
        <f>uurtarief20</f>
        <v>0</v>
      </c>
      <c r="P322" s="96" t="e">
        <f>IF(ISBLANK(M322),0,L322/ROUND(M322,4))</f>
        <v>#DIV/0!</v>
      </c>
      <c r="Q322" s="26" t="e">
        <f>ROUND(O322,2)*P322</f>
        <v>#DIV/0!</v>
      </c>
      <c r="R322" s="96" t="e">
        <f>P322*dagenperjaar1</f>
        <v>#DIV/0!</v>
      </c>
      <c r="S322" s="27" t="e">
        <f>R322*ROUND(O322,2)</f>
        <v>#DIV/0!</v>
      </c>
    </row>
    <row r="323" spans="1:19" x14ac:dyDescent="0.25">
      <c r="A323" s="93" t="s">
        <v>530</v>
      </c>
      <c r="B323" s="94" t="s">
        <v>37</v>
      </c>
      <c r="C323" s="94" t="s">
        <v>368</v>
      </c>
      <c r="D323" s="94" t="s">
        <v>554</v>
      </c>
      <c r="E323" s="95" t="s">
        <v>555</v>
      </c>
      <c r="F323" s="94" t="s">
        <v>244</v>
      </c>
      <c r="G323" s="94" t="s">
        <v>223</v>
      </c>
      <c r="H323" s="94" t="s">
        <v>11</v>
      </c>
      <c r="I323" s="94" t="s">
        <v>189</v>
      </c>
      <c r="J323" s="95" t="s">
        <v>224</v>
      </c>
      <c r="K323" s="96">
        <v>10.4</v>
      </c>
      <c r="L323" s="96">
        <f>K323*VLOOKUP(H323,dagsoorttabel1,2,FALSE)</f>
        <v>8</v>
      </c>
      <c r="M323" s="97">
        <f>prodnorm19</f>
        <v>0</v>
      </c>
      <c r="N323" s="94" t="s">
        <v>103</v>
      </c>
      <c r="O323" s="26">
        <f>uurtarief19</f>
        <v>0</v>
      </c>
      <c r="P323" s="96" t="e">
        <f>IF(ISBLANK(M323),0,L323/ROUND(M323,4))</f>
        <v>#DIV/0!</v>
      </c>
      <c r="Q323" s="26" t="e">
        <f>ROUND(O323,2)*P323</f>
        <v>#DIV/0!</v>
      </c>
      <c r="R323" s="96" t="e">
        <f>P323*dagenperjaar1</f>
        <v>#DIV/0!</v>
      </c>
      <c r="S323" s="27" t="e">
        <f>R323*ROUND(O323,2)</f>
        <v>#DIV/0!</v>
      </c>
    </row>
    <row r="324" spans="1:19" x14ac:dyDescent="0.25">
      <c r="A324" s="93" t="s">
        <v>530</v>
      </c>
      <c r="B324" s="94" t="s">
        <v>37</v>
      </c>
      <c r="C324" s="94" t="s">
        <v>368</v>
      </c>
      <c r="D324" s="94" t="s">
        <v>421</v>
      </c>
      <c r="E324" s="95" t="s">
        <v>318</v>
      </c>
      <c r="F324" s="94" t="s">
        <v>532</v>
      </c>
      <c r="G324" s="94" t="s">
        <v>248</v>
      </c>
      <c r="H324" s="94"/>
      <c r="I324" s="94"/>
      <c r="J324" s="94"/>
      <c r="K324" s="96">
        <v>3.9099999999999997</v>
      </c>
      <c r="L324" s="96"/>
      <c r="M324" s="97"/>
      <c r="N324" s="94"/>
      <c r="O324" s="26"/>
      <c r="P324" s="96"/>
      <c r="Q324" s="26"/>
      <c r="R324" s="98"/>
      <c r="S324" s="27"/>
    </row>
    <row r="325" spans="1:19" x14ac:dyDescent="0.25">
      <c r="A325" s="93" t="s">
        <v>530</v>
      </c>
      <c r="B325" s="94" t="s">
        <v>37</v>
      </c>
      <c r="C325" s="94" t="s">
        <v>368</v>
      </c>
      <c r="D325" s="94" t="s">
        <v>422</v>
      </c>
      <c r="E325" s="95" t="s">
        <v>341</v>
      </c>
      <c r="F325" s="94" t="s">
        <v>244</v>
      </c>
      <c r="G325" s="94" t="s">
        <v>248</v>
      </c>
      <c r="H325" s="94"/>
      <c r="I325" s="94"/>
      <c r="J325" s="94"/>
      <c r="K325" s="96">
        <v>6.9300000000000006</v>
      </c>
      <c r="L325" s="96"/>
      <c r="M325" s="97"/>
      <c r="N325" s="94"/>
      <c r="O325" s="26"/>
      <c r="P325" s="96"/>
      <c r="Q325" s="26"/>
      <c r="R325" s="98"/>
      <c r="S325" s="27"/>
    </row>
    <row r="326" spans="1:19" ht="30" x14ac:dyDescent="0.25">
      <c r="A326" s="93" t="s">
        <v>530</v>
      </c>
      <c r="B326" s="94" t="s">
        <v>37</v>
      </c>
      <c r="C326" s="94" t="s">
        <v>368</v>
      </c>
      <c r="D326" s="94" t="s">
        <v>423</v>
      </c>
      <c r="E326" s="95" t="s">
        <v>436</v>
      </c>
      <c r="F326" s="94" t="s">
        <v>244</v>
      </c>
      <c r="G326" s="94" t="s">
        <v>225</v>
      </c>
      <c r="H326" s="94" t="s">
        <v>11</v>
      </c>
      <c r="I326" s="94" t="s">
        <v>189</v>
      </c>
      <c r="J326" s="95" t="s">
        <v>226</v>
      </c>
      <c r="K326" s="96">
        <v>72.13</v>
      </c>
      <c r="L326" s="96">
        <f>K326*VLOOKUP(H326,dagsoorttabel1,2,FALSE)</f>
        <v>55.484615384615381</v>
      </c>
      <c r="M326" s="97">
        <f>prodnorm20</f>
        <v>0</v>
      </c>
      <c r="N326" s="94" t="s">
        <v>103</v>
      </c>
      <c r="O326" s="26">
        <f>uurtarief20</f>
        <v>0</v>
      </c>
      <c r="P326" s="96" t="e">
        <f>IF(ISBLANK(M326),0,L326/ROUND(M326,4))</f>
        <v>#DIV/0!</v>
      </c>
      <c r="Q326" s="26" t="e">
        <f>ROUND(O326,2)*P326</f>
        <v>#DIV/0!</v>
      </c>
      <c r="R326" s="96" t="e">
        <f>P326*dagenperjaar1</f>
        <v>#DIV/0!</v>
      </c>
      <c r="S326" s="27" t="e">
        <f>R326*ROUND(O326,2)</f>
        <v>#DIV/0!</v>
      </c>
    </row>
    <row r="327" spans="1:19" x14ac:dyDescent="0.25">
      <c r="A327" s="93" t="s">
        <v>530</v>
      </c>
      <c r="B327" s="94" t="s">
        <v>37</v>
      </c>
      <c r="C327" s="94" t="s">
        <v>368</v>
      </c>
      <c r="D327" s="94" t="s">
        <v>424</v>
      </c>
      <c r="E327" s="95" t="s">
        <v>556</v>
      </c>
      <c r="F327" s="94" t="s">
        <v>557</v>
      </c>
      <c r="G327" s="94" t="s">
        <v>248</v>
      </c>
      <c r="H327" s="94"/>
      <c r="I327" s="94"/>
      <c r="J327" s="94"/>
      <c r="K327" s="96">
        <v>36.36</v>
      </c>
      <c r="L327" s="96"/>
      <c r="M327" s="97"/>
      <c r="N327" s="94"/>
      <c r="O327" s="26"/>
      <c r="P327" s="96"/>
      <c r="Q327" s="26"/>
      <c r="R327" s="98"/>
      <c r="S327" s="27"/>
    </row>
    <row r="328" spans="1:19" x14ac:dyDescent="0.25">
      <c r="A328" s="93" t="s">
        <v>530</v>
      </c>
      <c r="B328" s="94" t="s">
        <v>37</v>
      </c>
      <c r="C328" s="94" t="s">
        <v>368</v>
      </c>
      <c r="D328" s="94" t="s">
        <v>425</v>
      </c>
      <c r="E328" s="95" t="s">
        <v>558</v>
      </c>
      <c r="F328" s="94" t="s">
        <v>557</v>
      </c>
      <c r="G328" s="94" t="s">
        <v>248</v>
      </c>
      <c r="H328" s="94"/>
      <c r="I328" s="94"/>
      <c r="J328" s="94"/>
      <c r="K328" s="96">
        <v>31.21</v>
      </c>
      <c r="L328" s="96"/>
      <c r="M328" s="97"/>
      <c r="N328" s="94"/>
      <c r="O328" s="26"/>
      <c r="P328" s="96"/>
      <c r="Q328" s="26"/>
      <c r="R328" s="98"/>
      <c r="S328" s="27"/>
    </row>
    <row r="329" spans="1:19" x14ac:dyDescent="0.25">
      <c r="A329" s="93" t="s">
        <v>530</v>
      </c>
      <c r="B329" s="94" t="s">
        <v>37</v>
      </c>
      <c r="C329" s="94" t="s">
        <v>368</v>
      </c>
      <c r="D329" s="94" t="s">
        <v>428</v>
      </c>
      <c r="E329" s="95" t="s">
        <v>559</v>
      </c>
      <c r="F329" s="94" t="s">
        <v>557</v>
      </c>
      <c r="G329" s="94" t="s">
        <v>248</v>
      </c>
      <c r="H329" s="94"/>
      <c r="I329" s="94"/>
      <c r="J329" s="94"/>
      <c r="K329" s="96">
        <v>24.53</v>
      </c>
      <c r="L329" s="96"/>
      <c r="M329" s="97"/>
      <c r="N329" s="94"/>
      <c r="O329" s="26"/>
      <c r="P329" s="96"/>
      <c r="Q329" s="26"/>
      <c r="R329" s="98"/>
      <c r="S329" s="27"/>
    </row>
    <row r="330" spans="1:19" x14ac:dyDescent="0.25">
      <c r="A330" s="93" t="s">
        <v>530</v>
      </c>
      <c r="B330" s="94" t="s">
        <v>37</v>
      </c>
      <c r="C330" s="94" t="s">
        <v>368</v>
      </c>
      <c r="D330" s="94" t="s">
        <v>429</v>
      </c>
      <c r="E330" s="95" t="s">
        <v>559</v>
      </c>
      <c r="F330" s="94" t="s">
        <v>557</v>
      </c>
      <c r="G330" s="94" t="s">
        <v>248</v>
      </c>
      <c r="H330" s="94"/>
      <c r="I330" s="94"/>
      <c r="J330" s="94"/>
      <c r="K330" s="96">
        <v>6.13</v>
      </c>
      <c r="L330" s="96"/>
      <c r="M330" s="97"/>
      <c r="N330" s="94"/>
      <c r="O330" s="26"/>
      <c r="P330" s="96"/>
      <c r="Q330" s="26"/>
      <c r="R330" s="98"/>
      <c r="S330" s="27"/>
    </row>
    <row r="331" spans="1:19" ht="30" x14ac:dyDescent="0.25">
      <c r="A331" s="93" t="s">
        <v>530</v>
      </c>
      <c r="B331" s="94" t="s">
        <v>37</v>
      </c>
      <c r="C331" s="94" t="s">
        <v>368</v>
      </c>
      <c r="D331" s="94" t="s">
        <v>430</v>
      </c>
      <c r="E331" s="95" t="s">
        <v>560</v>
      </c>
      <c r="F331" s="94" t="s">
        <v>561</v>
      </c>
      <c r="G331" s="94" t="s">
        <v>225</v>
      </c>
      <c r="H331" s="94" t="s">
        <v>11</v>
      </c>
      <c r="I331" s="94" t="s">
        <v>189</v>
      </c>
      <c r="J331" s="95" t="s">
        <v>226</v>
      </c>
      <c r="K331" s="96">
        <v>268.52999999999997</v>
      </c>
      <c r="L331" s="96">
        <f>K331*VLOOKUP(H331,dagsoorttabel1,2,FALSE)</f>
        <v>206.56153846153845</v>
      </c>
      <c r="M331" s="97">
        <f>prodnorm20</f>
        <v>0</v>
      </c>
      <c r="N331" s="94" t="s">
        <v>103</v>
      </c>
      <c r="O331" s="26">
        <f>uurtarief20</f>
        <v>0</v>
      </c>
      <c r="P331" s="96" t="e">
        <f>IF(ISBLANK(M331),0,L331/ROUND(M331,4))</f>
        <v>#DIV/0!</v>
      </c>
      <c r="Q331" s="26" t="e">
        <f>ROUND(O331,2)*P331</f>
        <v>#DIV/0!</v>
      </c>
      <c r="R331" s="96" t="e">
        <f>P331*dagenperjaar1</f>
        <v>#DIV/0!</v>
      </c>
      <c r="S331" s="27" t="e">
        <f>R331*ROUND(O331,2)</f>
        <v>#DIV/0!</v>
      </c>
    </row>
    <row r="332" spans="1:19" x14ac:dyDescent="0.25">
      <c r="A332" s="93" t="s">
        <v>530</v>
      </c>
      <c r="B332" s="94" t="s">
        <v>37</v>
      </c>
      <c r="C332" s="94" t="s">
        <v>241</v>
      </c>
      <c r="D332" s="94" t="s">
        <v>344</v>
      </c>
      <c r="E332" s="95" t="s">
        <v>562</v>
      </c>
      <c r="F332" s="94" t="s">
        <v>561</v>
      </c>
      <c r="G332" s="94" t="s">
        <v>199</v>
      </c>
      <c r="H332" s="94" t="s">
        <v>11</v>
      </c>
      <c r="I332" s="94" t="s">
        <v>189</v>
      </c>
      <c r="J332" s="95" t="s">
        <v>200</v>
      </c>
      <c r="K332" s="96">
        <v>319.39</v>
      </c>
      <c r="L332" s="96">
        <f>K332*VLOOKUP(H332,dagsoorttabel1,2,FALSE)</f>
        <v>245.6846153846154</v>
      </c>
      <c r="M332" s="97">
        <f>prodnorm7</f>
        <v>0</v>
      </c>
      <c r="N332" s="94" t="s">
        <v>103</v>
      </c>
      <c r="O332" s="26">
        <f>uurtarief7</f>
        <v>0</v>
      </c>
      <c r="P332" s="96" t="e">
        <f>IF(ISBLANK(M332),0,L332/ROUND(M332,4))</f>
        <v>#DIV/0!</v>
      </c>
      <c r="Q332" s="26" t="e">
        <f>ROUND(O332,2)*P332</f>
        <v>#DIV/0!</v>
      </c>
      <c r="R332" s="96" t="e">
        <f>P332*dagenperjaar1</f>
        <v>#DIV/0!</v>
      </c>
      <c r="S332" s="27" t="e">
        <f>R332*ROUND(O332,2)</f>
        <v>#DIV/0!</v>
      </c>
    </row>
    <row r="333" spans="1:19" x14ac:dyDescent="0.25">
      <c r="A333" s="93" t="s">
        <v>530</v>
      </c>
      <c r="B333" s="94" t="s">
        <v>37</v>
      </c>
      <c r="C333" s="94" t="s">
        <v>241</v>
      </c>
      <c r="D333" s="94" t="s">
        <v>563</v>
      </c>
      <c r="E333" s="95" t="s">
        <v>544</v>
      </c>
      <c r="F333" s="94" t="s">
        <v>269</v>
      </c>
      <c r="G333" s="94" t="s">
        <v>201</v>
      </c>
      <c r="H333" s="94" t="s">
        <v>11</v>
      </c>
      <c r="I333" s="94" t="s">
        <v>189</v>
      </c>
      <c r="J333" s="95" t="s">
        <v>202</v>
      </c>
      <c r="K333" s="96">
        <v>14.639999999999999</v>
      </c>
      <c r="L333" s="96">
        <f>K333*VLOOKUP(H333,dagsoorttabel1,2,FALSE)</f>
        <v>11.261538461538461</v>
      </c>
      <c r="M333" s="97">
        <f>prodnorm8</f>
        <v>0</v>
      </c>
      <c r="N333" s="94" t="s">
        <v>103</v>
      </c>
      <c r="O333" s="26">
        <f>uurtarief8</f>
        <v>0</v>
      </c>
      <c r="P333" s="96" t="e">
        <f>IF(ISBLANK(M333),0,L333/ROUND(M333,4))</f>
        <v>#DIV/0!</v>
      </c>
      <c r="Q333" s="26" t="e">
        <f>ROUND(O333,2)*P333</f>
        <v>#DIV/0!</v>
      </c>
      <c r="R333" s="96" t="e">
        <f>P333*dagenperjaar1</f>
        <v>#DIV/0!</v>
      </c>
      <c r="S333" s="27" t="e">
        <f>R333*ROUND(O333,2)</f>
        <v>#DIV/0!</v>
      </c>
    </row>
    <row r="334" spans="1:19" ht="30" x14ac:dyDescent="0.25">
      <c r="A334" s="93" t="s">
        <v>530</v>
      </c>
      <c r="B334" s="94" t="s">
        <v>37</v>
      </c>
      <c r="C334" s="94" t="s">
        <v>241</v>
      </c>
      <c r="D334" s="94" t="s">
        <v>564</v>
      </c>
      <c r="E334" s="95" t="s">
        <v>534</v>
      </c>
      <c r="F334" s="94" t="s">
        <v>532</v>
      </c>
      <c r="G334" s="94" t="s">
        <v>191</v>
      </c>
      <c r="H334" s="94" t="s">
        <v>11</v>
      </c>
      <c r="I334" s="94" t="s">
        <v>189</v>
      </c>
      <c r="J334" s="95" t="s">
        <v>192</v>
      </c>
      <c r="K334" s="96">
        <v>19.759999999999998</v>
      </c>
      <c r="L334" s="96">
        <f>K334*VLOOKUP(H334,dagsoorttabel1,2,FALSE)</f>
        <v>15.2</v>
      </c>
      <c r="M334" s="97">
        <f>prodnorm3</f>
        <v>0</v>
      </c>
      <c r="N334" s="94" t="s">
        <v>103</v>
      </c>
      <c r="O334" s="26">
        <f>uurtarief3</f>
        <v>0</v>
      </c>
      <c r="P334" s="96" t="e">
        <f>IF(ISBLANK(M334),0,L334/ROUND(M334,4))</f>
        <v>#DIV/0!</v>
      </c>
      <c r="Q334" s="26" t="e">
        <f>ROUND(O334,2)*P334</f>
        <v>#DIV/0!</v>
      </c>
      <c r="R334" s="96" t="e">
        <f>P334*dagenperjaar1</f>
        <v>#DIV/0!</v>
      </c>
      <c r="S334" s="27" t="e">
        <f>R334*ROUND(O334,2)</f>
        <v>#DIV/0!</v>
      </c>
    </row>
    <row r="335" spans="1:19" ht="30" x14ac:dyDescent="0.25">
      <c r="A335" s="93" t="s">
        <v>530</v>
      </c>
      <c r="B335" s="94" t="s">
        <v>37</v>
      </c>
      <c r="C335" s="94" t="s">
        <v>241</v>
      </c>
      <c r="D335" s="94" t="s">
        <v>565</v>
      </c>
      <c r="E335" s="95" t="s">
        <v>250</v>
      </c>
      <c r="F335" s="94" t="s">
        <v>384</v>
      </c>
      <c r="G335" s="94" t="s">
        <v>193</v>
      </c>
      <c r="H335" s="94" t="s">
        <v>11</v>
      </c>
      <c r="I335" s="94" t="s">
        <v>189</v>
      </c>
      <c r="J335" s="95" t="s">
        <v>194</v>
      </c>
      <c r="K335" s="96">
        <v>16.64</v>
      </c>
      <c r="L335" s="96">
        <f>K335*VLOOKUP(H335,dagsoorttabel1,2,FALSE)</f>
        <v>12.8</v>
      </c>
      <c r="M335" s="97">
        <f>prodnorm4</f>
        <v>0</v>
      </c>
      <c r="N335" s="94" t="s">
        <v>103</v>
      </c>
      <c r="O335" s="26">
        <f>uurtarief4</f>
        <v>0</v>
      </c>
      <c r="P335" s="96" t="e">
        <f>IF(ISBLANK(M335),0,L335/ROUND(M335,4))</f>
        <v>#DIV/0!</v>
      </c>
      <c r="Q335" s="26" t="e">
        <f>ROUND(O335,2)*P335</f>
        <v>#DIV/0!</v>
      </c>
      <c r="R335" s="96" t="e">
        <f>P335*dagenperjaar1</f>
        <v>#DIV/0!</v>
      </c>
      <c r="S335" s="27" t="e">
        <f>R335*ROUND(O335,2)</f>
        <v>#DIV/0!</v>
      </c>
    </row>
    <row r="336" spans="1:19" x14ac:dyDescent="0.25">
      <c r="A336" s="93" t="s">
        <v>530</v>
      </c>
      <c r="B336" s="94" t="s">
        <v>37</v>
      </c>
      <c r="C336" s="94" t="s">
        <v>241</v>
      </c>
      <c r="D336" s="94" t="s">
        <v>566</v>
      </c>
      <c r="E336" s="95" t="s">
        <v>567</v>
      </c>
      <c r="F336" s="94" t="s">
        <v>255</v>
      </c>
      <c r="G336" s="94" t="s">
        <v>221</v>
      </c>
      <c r="H336" s="94" t="s">
        <v>11</v>
      </c>
      <c r="I336" s="94" t="s">
        <v>189</v>
      </c>
      <c r="J336" s="95" t="s">
        <v>222</v>
      </c>
      <c r="K336" s="96">
        <v>6.3599999999999994</v>
      </c>
      <c r="L336" s="96">
        <f>K336*VLOOKUP(H336,dagsoorttabel1,2,FALSE)</f>
        <v>4.8923076923076918</v>
      </c>
      <c r="M336" s="97">
        <f>prodnorm18</f>
        <v>0</v>
      </c>
      <c r="N336" s="94" t="s">
        <v>103</v>
      </c>
      <c r="O336" s="26">
        <f>uurtarief18</f>
        <v>0</v>
      </c>
      <c r="P336" s="96" t="e">
        <f>IF(ISBLANK(M336),0,L336/ROUND(M336,4))</f>
        <v>#DIV/0!</v>
      </c>
      <c r="Q336" s="26" t="e">
        <f>ROUND(O336,2)*P336</f>
        <v>#DIV/0!</v>
      </c>
      <c r="R336" s="96" t="e">
        <f>P336*dagenperjaar1</f>
        <v>#DIV/0!</v>
      </c>
      <c r="S336" s="27" t="e">
        <f>R336*ROUND(O336,2)</f>
        <v>#DIV/0!</v>
      </c>
    </row>
    <row r="337" spans="1:19" x14ac:dyDescent="0.25">
      <c r="A337" s="93" t="s">
        <v>530</v>
      </c>
      <c r="B337" s="94" t="s">
        <v>37</v>
      </c>
      <c r="C337" s="94" t="s">
        <v>241</v>
      </c>
      <c r="D337" s="94" t="s">
        <v>568</v>
      </c>
      <c r="E337" s="95" t="s">
        <v>569</v>
      </c>
      <c r="F337" s="94" t="s">
        <v>255</v>
      </c>
      <c r="G337" s="94" t="s">
        <v>221</v>
      </c>
      <c r="H337" s="94" t="s">
        <v>11</v>
      </c>
      <c r="I337" s="94" t="s">
        <v>189</v>
      </c>
      <c r="J337" s="95" t="s">
        <v>222</v>
      </c>
      <c r="K337" s="96">
        <v>6.83</v>
      </c>
      <c r="L337" s="96">
        <f>K337*VLOOKUP(H337,dagsoorttabel1,2,FALSE)</f>
        <v>5.2538461538461538</v>
      </c>
      <c r="M337" s="97">
        <f>prodnorm18</f>
        <v>0</v>
      </c>
      <c r="N337" s="94" t="s">
        <v>103</v>
      </c>
      <c r="O337" s="26">
        <f>uurtarief18</f>
        <v>0</v>
      </c>
      <c r="P337" s="96" t="e">
        <f>IF(ISBLANK(M337),0,L337/ROUND(M337,4))</f>
        <v>#DIV/0!</v>
      </c>
      <c r="Q337" s="26" t="e">
        <f>ROUND(O337,2)*P337</f>
        <v>#DIV/0!</v>
      </c>
      <c r="R337" s="96" t="e">
        <f>P337*dagenperjaar1</f>
        <v>#DIV/0!</v>
      </c>
      <c r="S337" s="27" t="e">
        <f>R337*ROUND(O337,2)</f>
        <v>#DIV/0!</v>
      </c>
    </row>
    <row r="338" spans="1:19" ht="30" x14ac:dyDescent="0.25">
      <c r="A338" s="93" t="s">
        <v>530</v>
      </c>
      <c r="B338" s="94" t="s">
        <v>37</v>
      </c>
      <c r="C338" s="94" t="s">
        <v>241</v>
      </c>
      <c r="D338" s="94" t="s">
        <v>348</v>
      </c>
      <c r="E338" s="95" t="s">
        <v>491</v>
      </c>
      <c r="F338" s="94" t="s">
        <v>244</v>
      </c>
      <c r="G338" s="94" t="s">
        <v>191</v>
      </c>
      <c r="H338" s="94" t="s">
        <v>11</v>
      </c>
      <c r="I338" s="94" t="s">
        <v>189</v>
      </c>
      <c r="J338" s="95" t="s">
        <v>192</v>
      </c>
      <c r="K338" s="96">
        <v>7.84</v>
      </c>
      <c r="L338" s="96">
        <f>K338*VLOOKUP(H338,dagsoorttabel1,2,FALSE)</f>
        <v>6.0307692307692307</v>
      </c>
      <c r="M338" s="97">
        <f>prodnorm3</f>
        <v>0</v>
      </c>
      <c r="N338" s="94" t="s">
        <v>103</v>
      </c>
      <c r="O338" s="26">
        <f>uurtarief3</f>
        <v>0</v>
      </c>
      <c r="P338" s="96" t="e">
        <f>IF(ISBLANK(M338),0,L338/ROUND(M338,4))</f>
        <v>#DIV/0!</v>
      </c>
      <c r="Q338" s="26" t="e">
        <f>ROUND(O338,2)*P338</f>
        <v>#DIV/0!</v>
      </c>
      <c r="R338" s="96" t="e">
        <f>P338*dagenperjaar1</f>
        <v>#DIV/0!</v>
      </c>
      <c r="S338" s="27" t="e">
        <f>R338*ROUND(O338,2)</f>
        <v>#DIV/0!</v>
      </c>
    </row>
    <row r="339" spans="1:19" x14ac:dyDescent="0.25">
      <c r="A339" s="93" t="s">
        <v>530</v>
      </c>
      <c r="B339" s="94" t="s">
        <v>37</v>
      </c>
      <c r="C339" s="94" t="s">
        <v>241</v>
      </c>
      <c r="D339" s="94" t="s">
        <v>349</v>
      </c>
      <c r="E339" s="95" t="s">
        <v>265</v>
      </c>
      <c r="F339" s="94" t="s">
        <v>532</v>
      </c>
      <c r="G339" s="94" t="s">
        <v>223</v>
      </c>
      <c r="H339" s="94" t="s">
        <v>11</v>
      </c>
      <c r="I339" s="94" t="s">
        <v>189</v>
      </c>
      <c r="J339" s="95" t="s">
        <v>224</v>
      </c>
      <c r="K339" s="96">
        <v>24.27</v>
      </c>
      <c r="L339" s="96">
        <f>K339*VLOOKUP(H339,dagsoorttabel1,2,FALSE)</f>
        <v>18.669230769230769</v>
      </c>
      <c r="M339" s="97">
        <f>prodnorm19</f>
        <v>0</v>
      </c>
      <c r="N339" s="94" t="s">
        <v>103</v>
      </c>
      <c r="O339" s="26">
        <f>uurtarief19</f>
        <v>0</v>
      </c>
      <c r="P339" s="96" t="e">
        <f>IF(ISBLANK(M339),0,L339/ROUND(M339,4))</f>
        <v>#DIV/0!</v>
      </c>
      <c r="Q339" s="26" t="e">
        <f>ROUND(O339,2)*P339</f>
        <v>#DIV/0!</v>
      </c>
      <c r="R339" s="96" t="e">
        <f>P339*dagenperjaar1</f>
        <v>#DIV/0!</v>
      </c>
      <c r="S339" s="27" t="e">
        <f>R339*ROUND(O339,2)</f>
        <v>#DIV/0!</v>
      </c>
    </row>
    <row r="340" spans="1:19" ht="30" x14ac:dyDescent="0.25">
      <c r="A340" s="93" t="s">
        <v>530</v>
      </c>
      <c r="B340" s="94" t="s">
        <v>37</v>
      </c>
      <c r="C340" s="94" t="s">
        <v>241</v>
      </c>
      <c r="D340" s="94" t="s">
        <v>353</v>
      </c>
      <c r="E340" s="95" t="s">
        <v>491</v>
      </c>
      <c r="F340" s="94" t="s">
        <v>532</v>
      </c>
      <c r="G340" s="94" t="s">
        <v>191</v>
      </c>
      <c r="H340" s="94" t="s">
        <v>11</v>
      </c>
      <c r="I340" s="94" t="s">
        <v>189</v>
      </c>
      <c r="J340" s="95" t="s">
        <v>192</v>
      </c>
      <c r="K340" s="96">
        <v>32.53</v>
      </c>
      <c r="L340" s="96">
        <f>K340*VLOOKUP(H340,dagsoorttabel1,2,FALSE)</f>
        <v>25.023076923076925</v>
      </c>
      <c r="M340" s="97">
        <f>prodnorm3</f>
        <v>0</v>
      </c>
      <c r="N340" s="94" t="s">
        <v>103</v>
      </c>
      <c r="O340" s="26">
        <f>uurtarief3</f>
        <v>0</v>
      </c>
      <c r="P340" s="96" t="e">
        <f>IF(ISBLANK(M340),0,L340/ROUND(M340,4))</f>
        <v>#DIV/0!</v>
      </c>
      <c r="Q340" s="26" t="e">
        <f>ROUND(O340,2)*P340</f>
        <v>#DIV/0!</v>
      </c>
      <c r="R340" s="96" t="e">
        <f>P340*dagenperjaar1</f>
        <v>#DIV/0!</v>
      </c>
      <c r="S340" s="27" t="e">
        <f>R340*ROUND(O340,2)</f>
        <v>#DIV/0!</v>
      </c>
    </row>
    <row r="341" spans="1:19" x14ac:dyDescent="0.25">
      <c r="A341" s="93" t="s">
        <v>530</v>
      </c>
      <c r="B341" s="94" t="s">
        <v>37</v>
      </c>
      <c r="C341" s="94" t="s">
        <v>241</v>
      </c>
      <c r="D341" s="94" t="s">
        <v>570</v>
      </c>
      <c r="E341" s="95" t="s">
        <v>571</v>
      </c>
      <c r="F341" s="94" t="s">
        <v>244</v>
      </c>
      <c r="G341" s="94" t="s">
        <v>248</v>
      </c>
      <c r="H341" s="94"/>
      <c r="I341" s="94"/>
      <c r="J341" s="94"/>
      <c r="K341" s="96">
        <v>1.41</v>
      </c>
      <c r="L341" s="96"/>
      <c r="M341" s="97"/>
      <c r="N341" s="94"/>
      <c r="O341" s="26"/>
      <c r="P341" s="96"/>
      <c r="Q341" s="26"/>
      <c r="R341" s="98"/>
      <c r="S341" s="27"/>
    </row>
    <row r="342" spans="1:19" ht="30" x14ac:dyDescent="0.25">
      <c r="A342" s="93" t="s">
        <v>530</v>
      </c>
      <c r="B342" s="94" t="s">
        <v>37</v>
      </c>
      <c r="C342" s="94" t="s">
        <v>241</v>
      </c>
      <c r="D342" s="94" t="s">
        <v>354</v>
      </c>
      <c r="E342" s="95" t="s">
        <v>572</v>
      </c>
      <c r="F342" s="94" t="s">
        <v>532</v>
      </c>
      <c r="G342" s="94" t="s">
        <v>191</v>
      </c>
      <c r="H342" s="94" t="s">
        <v>11</v>
      </c>
      <c r="I342" s="94" t="s">
        <v>189</v>
      </c>
      <c r="J342" s="95" t="s">
        <v>192</v>
      </c>
      <c r="K342" s="96">
        <v>30.74</v>
      </c>
      <c r="L342" s="96">
        <f>K342*VLOOKUP(H342,dagsoorttabel1,2,FALSE)</f>
        <v>23.646153846153847</v>
      </c>
      <c r="M342" s="97">
        <f>prodnorm3</f>
        <v>0</v>
      </c>
      <c r="N342" s="94" t="s">
        <v>103</v>
      </c>
      <c r="O342" s="26">
        <f>uurtarief3</f>
        <v>0</v>
      </c>
      <c r="P342" s="96" t="e">
        <f>IF(ISBLANK(M342),0,L342/ROUND(M342,4))</f>
        <v>#DIV/0!</v>
      </c>
      <c r="Q342" s="26" t="e">
        <f>ROUND(O342,2)*P342</f>
        <v>#DIV/0!</v>
      </c>
      <c r="R342" s="96" t="e">
        <f>P342*dagenperjaar1</f>
        <v>#DIV/0!</v>
      </c>
      <c r="S342" s="27" t="e">
        <f>R342*ROUND(O342,2)</f>
        <v>#DIV/0!</v>
      </c>
    </row>
    <row r="343" spans="1:19" x14ac:dyDescent="0.25">
      <c r="A343" s="93" t="s">
        <v>530</v>
      </c>
      <c r="B343" s="94" t="s">
        <v>37</v>
      </c>
      <c r="C343" s="94" t="s">
        <v>241</v>
      </c>
      <c r="D343" s="94" t="s">
        <v>573</v>
      </c>
      <c r="E343" s="95" t="s">
        <v>574</v>
      </c>
      <c r="F343" s="94" t="s">
        <v>244</v>
      </c>
      <c r="G343" s="94" t="s">
        <v>248</v>
      </c>
      <c r="H343" s="94"/>
      <c r="I343" s="94"/>
      <c r="J343" s="94"/>
      <c r="K343" s="96">
        <v>0.46</v>
      </c>
      <c r="L343" s="96"/>
      <c r="M343" s="97"/>
      <c r="N343" s="94"/>
      <c r="O343" s="26"/>
      <c r="P343" s="96"/>
      <c r="Q343" s="26"/>
      <c r="R343" s="98"/>
      <c r="S343" s="27"/>
    </row>
    <row r="344" spans="1:19" x14ac:dyDescent="0.25">
      <c r="A344" s="93" t="s">
        <v>530</v>
      </c>
      <c r="B344" s="94" t="s">
        <v>37</v>
      </c>
      <c r="C344" s="94" t="s">
        <v>241</v>
      </c>
      <c r="D344" s="94" t="s">
        <v>575</v>
      </c>
      <c r="E344" s="95" t="s">
        <v>574</v>
      </c>
      <c r="F344" s="94" t="s">
        <v>244</v>
      </c>
      <c r="G344" s="94" t="s">
        <v>248</v>
      </c>
      <c r="H344" s="94"/>
      <c r="I344" s="94"/>
      <c r="J344" s="94"/>
      <c r="K344" s="96">
        <v>1.1100000000000001</v>
      </c>
      <c r="L344" s="96"/>
      <c r="M344" s="97"/>
      <c r="N344" s="94"/>
      <c r="O344" s="26"/>
      <c r="P344" s="96"/>
      <c r="Q344" s="26"/>
      <c r="R344" s="98"/>
      <c r="S344" s="27"/>
    </row>
    <row r="345" spans="1:19" x14ac:dyDescent="0.25">
      <c r="A345" s="93" t="s">
        <v>530</v>
      </c>
      <c r="B345" s="94" t="s">
        <v>37</v>
      </c>
      <c r="C345" s="94" t="s">
        <v>241</v>
      </c>
      <c r="D345" s="94" t="s">
        <v>576</v>
      </c>
      <c r="E345" s="95" t="s">
        <v>574</v>
      </c>
      <c r="F345" s="94" t="s">
        <v>244</v>
      </c>
      <c r="G345" s="94" t="s">
        <v>248</v>
      </c>
      <c r="H345" s="94"/>
      <c r="I345" s="94"/>
      <c r="J345" s="94"/>
      <c r="K345" s="96">
        <v>1.1700000000000002</v>
      </c>
      <c r="L345" s="96"/>
      <c r="M345" s="97"/>
      <c r="N345" s="94"/>
      <c r="O345" s="26"/>
      <c r="P345" s="96"/>
      <c r="Q345" s="26"/>
      <c r="R345" s="98"/>
      <c r="S345" s="27"/>
    </row>
    <row r="346" spans="1:19" ht="30" x14ac:dyDescent="0.25">
      <c r="A346" s="93" t="s">
        <v>530</v>
      </c>
      <c r="B346" s="94" t="s">
        <v>37</v>
      </c>
      <c r="C346" s="94" t="s">
        <v>241</v>
      </c>
      <c r="D346" s="94" t="s">
        <v>357</v>
      </c>
      <c r="E346" s="95" t="s">
        <v>307</v>
      </c>
      <c r="F346" s="94" t="s">
        <v>577</v>
      </c>
      <c r="G346" s="94" t="s">
        <v>191</v>
      </c>
      <c r="H346" s="94" t="s">
        <v>11</v>
      </c>
      <c r="I346" s="94" t="s">
        <v>189</v>
      </c>
      <c r="J346" s="95" t="s">
        <v>192</v>
      </c>
      <c r="K346" s="96">
        <v>16.559999999999999</v>
      </c>
      <c r="L346" s="96">
        <f>K346*VLOOKUP(H346,dagsoorttabel1,2,FALSE)</f>
        <v>12.738461538461538</v>
      </c>
      <c r="M346" s="97">
        <f>prodnorm3</f>
        <v>0</v>
      </c>
      <c r="N346" s="94" t="s">
        <v>103</v>
      </c>
      <c r="O346" s="26">
        <f>uurtarief3</f>
        <v>0</v>
      </c>
      <c r="P346" s="96" t="e">
        <f>IF(ISBLANK(M346),0,L346/ROUND(M346,4))</f>
        <v>#DIV/0!</v>
      </c>
      <c r="Q346" s="26" t="e">
        <f>ROUND(O346,2)*P346</f>
        <v>#DIV/0!</v>
      </c>
      <c r="R346" s="96" t="e">
        <f>P346*dagenperjaar1</f>
        <v>#DIV/0!</v>
      </c>
      <c r="S346" s="27" t="e">
        <f>R346*ROUND(O346,2)</f>
        <v>#DIV/0!</v>
      </c>
    </row>
    <row r="347" spans="1:19" ht="30" x14ac:dyDescent="0.25">
      <c r="A347" s="93" t="s">
        <v>530</v>
      </c>
      <c r="B347" s="94" t="s">
        <v>37</v>
      </c>
      <c r="C347" s="94" t="s">
        <v>241</v>
      </c>
      <c r="D347" s="94" t="s">
        <v>578</v>
      </c>
      <c r="E347" s="95" t="s">
        <v>436</v>
      </c>
      <c r="F347" s="94" t="s">
        <v>561</v>
      </c>
      <c r="G347" s="94" t="s">
        <v>225</v>
      </c>
      <c r="H347" s="94" t="s">
        <v>11</v>
      </c>
      <c r="I347" s="94" t="s">
        <v>189</v>
      </c>
      <c r="J347" s="95" t="s">
        <v>226</v>
      </c>
      <c r="K347" s="96">
        <v>124.92</v>
      </c>
      <c r="L347" s="96">
        <f>K347*VLOOKUP(H347,dagsoorttabel1,2,FALSE)</f>
        <v>96.092307692307699</v>
      </c>
      <c r="M347" s="97">
        <f>prodnorm20</f>
        <v>0</v>
      </c>
      <c r="N347" s="94" t="s">
        <v>103</v>
      </c>
      <c r="O347" s="26">
        <f>uurtarief20</f>
        <v>0</v>
      </c>
      <c r="P347" s="96" t="e">
        <f>IF(ISBLANK(M347),0,L347/ROUND(M347,4))</f>
        <v>#DIV/0!</v>
      </c>
      <c r="Q347" s="26" t="e">
        <f>ROUND(O347,2)*P347</f>
        <v>#DIV/0!</v>
      </c>
      <c r="R347" s="96" t="e">
        <f>P347*dagenperjaar1</f>
        <v>#DIV/0!</v>
      </c>
      <c r="S347" s="27" t="e">
        <f>R347*ROUND(O347,2)</f>
        <v>#DIV/0!</v>
      </c>
    </row>
    <row r="348" spans="1:19" x14ac:dyDescent="0.25">
      <c r="A348" s="93" t="s">
        <v>530</v>
      </c>
      <c r="B348" s="94" t="s">
        <v>37</v>
      </c>
      <c r="C348" s="94" t="s">
        <v>241</v>
      </c>
      <c r="D348" s="94" t="s">
        <v>579</v>
      </c>
      <c r="E348" s="95" t="s">
        <v>569</v>
      </c>
      <c r="F348" s="94" t="s">
        <v>255</v>
      </c>
      <c r="G348" s="94" t="s">
        <v>221</v>
      </c>
      <c r="H348" s="94" t="s">
        <v>11</v>
      </c>
      <c r="I348" s="94" t="s">
        <v>189</v>
      </c>
      <c r="J348" s="95" t="s">
        <v>222</v>
      </c>
      <c r="K348" s="96">
        <v>17.2</v>
      </c>
      <c r="L348" s="96">
        <f>K348*VLOOKUP(H348,dagsoorttabel1,2,FALSE)</f>
        <v>13.230769230769232</v>
      </c>
      <c r="M348" s="97">
        <f>prodnorm18</f>
        <v>0</v>
      </c>
      <c r="N348" s="94" t="s">
        <v>103</v>
      </c>
      <c r="O348" s="26">
        <f>uurtarief18</f>
        <v>0</v>
      </c>
      <c r="P348" s="96" t="e">
        <f>IF(ISBLANK(M348),0,L348/ROUND(M348,4))</f>
        <v>#DIV/0!</v>
      </c>
      <c r="Q348" s="26" t="e">
        <f>ROUND(O348,2)*P348</f>
        <v>#DIV/0!</v>
      </c>
      <c r="R348" s="96" t="e">
        <f>P348*dagenperjaar1</f>
        <v>#DIV/0!</v>
      </c>
      <c r="S348" s="27" t="e">
        <f>R348*ROUND(O348,2)</f>
        <v>#DIV/0!</v>
      </c>
    </row>
    <row r="349" spans="1:19" x14ac:dyDescent="0.25">
      <c r="A349" s="93" t="s">
        <v>530</v>
      </c>
      <c r="B349" s="94" t="s">
        <v>37</v>
      </c>
      <c r="C349" s="94" t="s">
        <v>241</v>
      </c>
      <c r="D349" s="94" t="s">
        <v>580</v>
      </c>
      <c r="E349" s="95" t="s">
        <v>567</v>
      </c>
      <c r="F349" s="94" t="s">
        <v>255</v>
      </c>
      <c r="G349" s="94" t="s">
        <v>221</v>
      </c>
      <c r="H349" s="94" t="s">
        <v>11</v>
      </c>
      <c r="I349" s="94" t="s">
        <v>189</v>
      </c>
      <c r="J349" s="95" t="s">
        <v>222</v>
      </c>
      <c r="K349" s="96">
        <v>12.79</v>
      </c>
      <c r="L349" s="96">
        <f>K349*VLOOKUP(H349,dagsoorttabel1,2,FALSE)</f>
        <v>9.838461538461539</v>
      </c>
      <c r="M349" s="97">
        <f>prodnorm18</f>
        <v>0</v>
      </c>
      <c r="N349" s="94" t="s">
        <v>103</v>
      </c>
      <c r="O349" s="26">
        <f>uurtarief18</f>
        <v>0</v>
      </c>
      <c r="P349" s="96" t="e">
        <f>IF(ISBLANK(M349),0,L349/ROUND(M349,4))</f>
        <v>#DIV/0!</v>
      </c>
      <c r="Q349" s="26" t="e">
        <f>ROUND(O349,2)*P349</f>
        <v>#DIV/0!</v>
      </c>
      <c r="R349" s="96" t="e">
        <f>P349*dagenperjaar1</f>
        <v>#DIV/0!</v>
      </c>
      <c r="S349" s="27" t="e">
        <f>R349*ROUND(O349,2)</f>
        <v>#DIV/0!</v>
      </c>
    </row>
    <row r="350" spans="1:19" ht="30" x14ac:dyDescent="0.25">
      <c r="A350" s="93" t="s">
        <v>530</v>
      </c>
      <c r="B350" s="94" t="s">
        <v>37</v>
      </c>
      <c r="C350" s="94" t="s">
        <v>241</v>
      </c>
      <c r="D350" s="94" t="s">
        <v>360</v>
      </c>
      <c r="E350" s="95" t="s">
        <v>572</v>
      </c>
      <c r="F350" s="94" t="s">
        <v>244</v>
      </c>
      <c r="G350" s="94" t="s">
        <v>191</v>
      </c>
      <c r="H350" s="94" t="s">
        <v>11</v>
      </c>
      <c r="I350" s="94" t="s">
        <v>189</v>
      </c>
      <c r="J350" s="95" t="s">
        <v>192</v>
      </c>
      <c r="K350" s="96">
        <v>20.7</v>
      </c>
      <c r="L350" s="96">
        <f>K350*VLOOKUP(H350,dagsoorttabel1,2,FALSE)</f>
        <v>15.923076923076923</v>
      </c>
      <c r="M350" s="97">
        <f>prodnorm3</f>
        <v>0</v>
      </c>
      <c r="N350" s="94" t="s">
        <v>103</v>
      </c>
      <c r="O350" s="26">
        <f>uurtarief3</f>
        <v>0</v>
      </c>
      <c r="P350" s="96" t="e">
        <f>IF(ISBLANK(M350),0,L350/ROUND(M350,4))</f>
        <v>#DIV/0!</v>
      </c>
      <c r="Q350" s="26" t="e">
        <f>ROUND(O350,2)*P350</f>
        <v>#DIV/0!</v>
      </c>
      <c r="R350" s="96" t="e">
        <f>P350*dagenperjaar1</f>
        <v>#DIV/0!</v>
      </c>
      <c r="S350" s="27" t="e">
        <f>R350*ROUND(O350,2)</f>
        <v>#DIV/0!</v>
      </c>
    </row>
    <row r="351" spans="1:19" x14ac:dyDescent="0.25">
      <c r="A351" s="93" t="s">
        <v>530</v>
      </c>
      <c r="B351" s="94" t="s">
        <v>37</v>
      </c>
      <c r="C351" s="94" t="s">
        <v>241</v>
      </c>
      <c r="D351" s="94" t="s">
        <v>362</v>
      </c>
      <c r="E351" s="95" t="s">
        <v>276</v>
      </c>
      <c r="F351" s="94" t="s">
        <v>244</v>
      </c>
      <c r="G351" s="94" t="s">
        <v>209</v>
      </c>
      <c r="H351" s="94" t="s">
        <v>11</v>
      </c>
      <c r="I351" s="94" t="s">
        <v>189</v>
      </c>
      <c r="J351" s="95" t="s">
        <v>210</v>
      </c>
      <c r="K351" s="96">
        <v>109.83</v>
      </c>
      <c r="L351" s="96">
        <f>K351*VLOOKUP(H351,dagsoorttabel1,2,FALSE)</f>
        <v>84.484615384615381</v>
      </c>
      <c r="M351" s="97">
        <f>prodnorm12</f>
        <v>0</v>
      </c>
      <c r="N351" s="94" t="s">
        <v>103</v>
      </c>
      <c r="O351" s="26">
        <f>uurtarief12</f>
        <v>0</v>
      </c>
      <c r="P351" s="96" t="e">
        <f>IF(ISBLANK(M351),0,L351/ROUND(M351,4))</f>
        <v>#DIV/0!</v>
      </c>
      <c r="Q351" s="26" t="e">
        <f>ROUND(O351,2)*P351</f>
        <v>#DIV/0!</v>
      </c>
      <c r="R351" s="96" t="e">
        <f>P351*dagenperjaar1</f>
        <v>#DIV/0!</v>
      </c>
      <c r="S351" s="27" t="e">
        <f>R351*ROUND(O351,2)</f>
        <v>#DIV/0!</v>
      </c>
    </row>
    <row r="352" spans="1:19" x14ac:dyDescent="0.25">
      <c r="A352" s="93" t="s">
        <v>530</v>
      </c>
      <c r="B352" s="94" t="s">
        <v>37</v>
      </c>
      <c r="C352" s="94" t="s">
        <v>241</v>
      </c>
      <c r="D352" s="94" t="s">
        <v>581</v>
      </c>
      <c r="E352" s="95" t="s">
        <v>341</v>
      </c>
      <c r="F352" s="94" t="s">
        <v>244</v>
      </c>
      <c r="G352" s="94" t="s">
        <v>248</v>
      </c>
      <c r="H352" s="94"/>
      <c r="I352" s="94"/>
      <c r="J352" s="94"/>
      <c r="K352" s="96">
        <v>15.06</v>
      </c>
      <c r="L352" s="96"/>
      <c r="M352" s="97"/>
      <c r="N352" s="94"/>
      <c r="O352" s="26"/>
      <c r="P352" s="96"/>
      <c r="Q352" s="26"/>
      <c r="R352" s="98"/>
      <c r="S352" s="27"/>
    </row>
    <row r="353" spans="1:19" x14ac:dyDescent="0.25">
      <c r="A353" s="93" t="s">
        <v>530</v>
      </c>
      <c r="B353" s="94" t="s">
        <v>37</v>
      </c>
      <c r="C353" s="94" t="s">
        <v>241</v>
      </c>
      <c r="D353" s="94" t="s">
        <v>363</v>
      </c>
      <c r="E353" s="95" t="s">
        <v>276</v>
      </c>
      <c r="F353" s="94" t="s">
        <v>244</v>
      </c>
      <c r="G353" s="94" t="s">
        <v>209</v>
      </c>
      <c r="H353" s="94" t="s">
        <v>11</v>
      </c>
      <c r="I353" s="94" t="s">
        <v>189</v>
      </c>
      <c r="J353" s="95" t="s">
        <v>210</v>
      </c>
      <c r="K353" s="96">
        <v>59.309999999999995</v>
      </c>
      <c r="L353" s="96">
        <f>K353*VLOOKUP(H353,dagsoorttabel1,2,FALSE)</f>
        <v>45.623076923076923</v>
      </c>
      <c r="M353" s="97">
        <f>prodnorm12</f>
        <v>0</v>
      </c>
      <c r="N353" s="94" t="s">
        <v>103</v>
      </c>
      <c r="O353" s="26">
        <f>uurtarief12</f>
        <v>0</v>
      </c>
      <c r="P353" s="96" t="e">
        <f>IF(ISBLANK(M353),0,L353/ROUND(M353,4))</f>
        <v>#DIV/0!</v>
      </c>
      <c r="Q353" s="26" t="e">
        <f>ROUND(O353,2)*P353</f>
        <v>#DIV/0!</v>
      </c>
      <c r="R353" s="96" t="e">
        <f>P353*dagenperjaar1</f>
        <v>#DIV/0!</v>
      </c>
      <c r="S353" s="27" t="e">
        <f>R353*ROUND(O353,2)</f>
        <v>#DIV/0!</v>
      </c>
    </row>
    <row r="354" spans="1:19" ht="30" x14ac:dyDescent="0.25">
      <c r="A354" s="93" t="s">
        <v>530</v>
      </c>
      <c r="B354" s="94" t="s">
        <v>37</v>
      </c>
      <c r="C354" s="94" t="s">
        <v>241</v>
      </c>
      <c r="D354" s="94" t="s">
        <v>582</v>
      </c>
      <c r="E354" s="95" t="s">
        <v>436</v>
      </c>
      <c r="F354" s="94" t="s">
        <v>255</v>
      </c>
      <c r="G354" s="94" t="s">
        <v>225</v>
      </c>
      <c r="H354" s="94" t="s">
        <v>11</v>
      </c>
      <c r="I354" s="94" t="s">
        <v>189</v>
      </c>
      <c r="J354" s="95" t="s">
        <v>226</v>
      </c>
      <c r="K354" s="96">
        <v>93.84</v>
      </c>
      <c r="L354" s="96">
        <f>K354*VLOOKUP(H354,dagsoorttabel1,2,FALSE)</f>
        <v>72.184615384615398</v>
      </c>
      <c r="M354" s="97">
        <f>prodnorm20</f>
        <v>0</v>
      </c>
      <c r="N354" s="94" t="s">
        <v>103</v>
      </c>
      <c r="O354" s="26">
        <f>uurtarief20</f>
        <v>0</v>
      </c>
      <c r="P354" s="96" t="e">
        <f>IF(ISBLANK(M354),0,L354/ROUND(M354,4))</f>
        <v>#DIV/0!</v>
      </c>
      <c r="Q354" s="26" t="e">
        <f>ROUND(O354,2)*P354</f>
        <v>#DIV/0!</v>
      </c>
      <c r="R354" s="96" t="e">
        <f>P354*dagenperjaar1</f>
        <v>#DIV/0!</v>
      </c>
      <c r="S354" s="27" t="e">
        <f>R354*ROUND(O354,2)</f>
        <v>#DIV/0!</v>
      </c>
    </row>
    <row r="355" spans="1:19" x14ac:dyDescent="0.25">
      <c r="A355" s="93" t="s">
        <v>530</v>
      </c>
      <c r="B355" s="94" t="s">
        <v>37</v>
      </c>
      <c r="C355" s="94" t="s">
        <v>241</v>
      </c>
      <c r="D355" s="94" t="s">
        <v>583</v>
      </c>
      <c r="E355" s="95" t="s">
        <v>341</v>
      </c>
      <c r="F355" s="94" t="s">
        <v>244</v>
      </c>
      <c r="G355" s="94" t="s">
        <v>248</v>
      </c>
      <c r="H355" s="94"/>
      <c r="I355" s="94"/>
      <c r="J355" s="94"/>
      <c r="K355" s="96">
        <v>3.36</v>
      </c>
      <c r="L355" s="96"/>
      <c r="M355" s="97"/>
      <c r="N355" s="94"/>
      <c r="O355" s="26"/>
      <c r="P355" s="96"/>
      <c r="Q355" s="26"/>
      <c r="R355" s="98"/>
      <c r="S355" s="27"/>
    </row>
    <row r="356" spans="1:19" x14ac:dyDescent="0.25">
      <c r="A356" s="93" t="s">
        <v>530</v>
      </c>
      <c r="B356" s="94" t="s">
        <v>37</v>
      </c>
      <c r="C356" s="94" t="s">
        <v>241</v>
      </c>
      <c r="D356" s="94" t="s">
        <v>584</v>
      </c>
      <c r="E356" s="95" t="s">
        <v>585</v>
      </c>
      <c r="F356" s="94" t="s">
        <v>255</v>
      </c>
      <c r="G356" s="94" t="s">
        <v>221</v>
      </c>
      <c r="H356" s="94" t="s">
        <v>11</v>
      </c>
      <c r="I356" s="94" t="s">
        <v>189</v>
      </c>
      <c r="J356" s="95" t="s">
        <v>222</v>
      </c>
      <c r="K356" s="96">
        <v>3.18</v>
      </c>
      <c r="L356" s="96">
        <f>K356*VLOOKUP(H356,dagsoorttabel1,2,FALSE)</f>
        <v>2.4461538461538463</v>
      </c>
      <c r="M356" s="97">
        <f>prodnorm18</f>
        <v>0</v>
      </c>
      <c r="N356" s="94" t="s">
        <v>103</v>
      </c>
      <c r="O356" s="26">
        <f>uurtarief18</f>
        <v>0</v>
      </c>
      <c r="P356" s="96" t="e">
        <f>IF(ISBLANK(M356),0,L356/ROUND(M356,4))</f>
        <v>#DIV/0!</v>
      </c>
      <c r="Q356" s="26" t="e">
        <f>ROUND(O356,2)*P356</f>
        <v>#DIV/0!</v>
      </c>
      <c r="R356" s="96" t="e">
        <f>P356*dagenperjaar1</f>
        <v>#DIV/0!</v>
      </c>
      <c r="S356" s="27" t="e">
        <f>R356*ROUND(O356,2)</f>
        <v>#DIV/0!</v>
      </c>
    </row>
    <row r="357" spans="1:19" x14ac:dyDescent="0.25">
      <c r="A357" s="93" t="s">
        <v>530</v>
      </c>
      <c r="B357" s="94" t="s">
        <v>37</v>
      </c>
      <c r="C357" s="94" t="s">
        <v>241</v>
      </c>
      <c r="D357" s="94" t="s">
        <v>364</v>
      </c>
      <c r="E357" s="95" t="s">
        <v>276</v>
      </c>
      <c r="F357" s="94" t="s">
        <v>244</v>
      </c>
      <c r="G357" s="94" t="s">
        <v>209</v>
      </c>
      <c r="H357" s="94" t="s">
        <v>11</v>
      </c>
      <c r="I357" s="94" t="s">
        <v>189</v>
      </c>
      <c r="J357" s="95" t="s">
        <v>210</v>
      </c>
      <c r="K357" s="96">
        <v>67.58</v>
      </c>
      <c r="L357" s="96">
        <f>K357*VLOOKUP(H357,dagsoorttabel1,2,FALSE)</f>
        <v>51.984615384615388</v>
      </c>
      <c r="M357" s="97">
        <f>prodnorm12</f>
        <v>0</v>
      </c>
      <c r="N357" s="94" t="s">
        <v>103</v>
      </c>
      <c r="O357" s="26">
        <f>uurtarief12</f>
        <v>0</v>
      </c>
      <c r="P357" s="96" t="e">
        <f>IF(ISBLANK(M357),0,L357/ROUND(M357,4))</f>
        <v>#DIV/0!</v>
      </c>
      <c r="Q357" s="26" t="e">
        <f>ROUND(O357,2)*P357</f>
        <v>#DIV/0!</v>
      </c>
      <c r="R357" s="96" t="e">
        <f>P357*dagenperjaar1</f>
        <v>#DIV/0!</v>
      </c>
      <c r="S357" s="27" t="e">
        <f>R357*ROUND(O357,2)</f>
        <v>#DIV/0!</v>
      </c>
    </row>
    <row r="358" spans="1:19" x14ac:dyDescent="0.25">
      <c r="A358" s="93" t="s">
        <v>530</v>
      </c>
      <c r="B358" s="94" t="s">
        <v>37</v>
      </c>
      <c r="C358" s="94" t="s">
        <v>241</v>
      </c>
      <c r="D358" s="94" t="s">
        <v>586</v>
      </c>
      <c r="E358" s="95" t="s">
        <v>519</v>
      </c>
      <c r="F358" s="94" t="s">
        <v>244</v>
      </c>
      <c r="G358" s="94" t="s">
        <v>213</v>
      </c>
      <c r="H358" s="94" t="s">
        <v>15</v>
      </c>
      <c r="I358" s="94" t="s">
        <v>189</v>
      </c>
      <c r="J358" s="95" t="s">
        <v>214</v>
      </c>
      <c r="K358" s="96">
        <v>28.01</v>
      </c>
      <c r="L358" s="96">
        <f>K358*VLOOKUP(H358,dagsoorttabel1,2,FALSE)</f>
        <v>4.3092307692307701</v>
      </c>
      <c r="M358" s="97">
        <f>prodnorm14</f>
        <v>0</v>
      </c>
      <c r="N358" s="94" t="s">
        <v>103</v>
      </c>
      <c r="O358" s="26">
        <f>uurtarief14</f>
        <v>0</v>
      </c>
      <c r="P358" s="96" t="e">
        <f>IF(ISBLANK(M358),0,L358/ROUND(M358,4))</f>
        <v>#DIV/0!</v>
      </c>
      <c r="Q358" s="26" t="e">
        <f>ROUND(O358,2)*P358</f>
        <v>#DIV/0!</v>
      </c>
      <c r="R358" s="96" t="e">
        <f>P358*dagenperjaar1</f>
        <v>#DIV/0!</v>
      </c>
      <c r="S358" s="27" t="e">
        <f>R358*ROUND(O358,2)</f>
        <v>#DIV/0!</v>
      </c>
    </row>
    <row r="359" spans="1:19" x14ac:dyDescent="0.25">
      <c r="A359" s="93" t="s">
        <v>530</v>
      </c>
      <c r="B359" s="94" t="s">
        <v>37</v>
      </c>
      <c r="C359" s="94" t="s">
        <v>241</v>
      </c>
      <c r="D359" s="94" t="s">
        <v>587</v>
      </c>
      <c r="E359" s="95" t="s">
        <v>574</v>
      </c>
      <c r="F359" s="94" t="s">
        <v>244</v>
      </c>
      <c r="G359" s="94" t="s">
        <v>248</v>
      </c>
      <c r="H359" s="94"/>
      <c r="I359" s="94"/>
      <c r="J359" s="94"/>
      <c r="K359" s="96">
        <v>3.53</v>
      </c>
      <c r="L359" s="96"/>
      <c r="M359" s="97"/>
      <c r="N359" s="94"/>
      <c r="O359" s="26"/>
      <c r="P359" s="96"/>
      <c r="Q359" s="26"/>
      <c r="R359" s="98"/>
      <c r="S359" s="27"/>
    </row>
    <row r="360" spans="1:19" x14ac:dyDescent="0.25">
      <c r="A360" s="93" t="s">
        <v>530</v>
      </c>
      <c r="B360" s="94" t="s">
        <v>37</v>
      </c>
      <c r="C360" s="94" t="s">
        <v>241</v>
      </c>
      <c r="D360" s="94" t="s">
        <v>365</v>
      </c>
      <c r="E360" s="95" t="s">
        <v>276</v>
      </c>
      <c r="F360" s="94" t="s">
        <v>244</v>
      </c>
      <c r="G360" s="94" t="s">
        <v>209</v>
      </c>
      <c r="H360" s="94" t="s">
        <v>11</v>
      </c>
      <c r="I360" s="94" t="s">
        <v>189</v>
      </c>
      <c r="J360" s="95" t="s">
        <v>210</v>
      </c>
      <c r="K360" s="96">
        <v>74.400000000000006</v>
      </c>
      <c r="L360" s="96">
        <f>K360*VLOOKUP(H360,dagsoorttabel1,2,FALSE)</f>
        <v>57.230769230769241</v>
      </c>
      <c r="M360" s="97">
        <f>prodnorm12</f>
        <v>0</v>
      </c>
      <c r="N360" s="94" t="s">
        <v>103</v>
      </c>
      <c r="O360" s="26">
        <f>uurtarief12</f>
        <v>0</v>
      </c>
      <c r="P360" s="96" t="e">
        <f>IF(ISBLANK(M360),0,L360/ROUND(M360,4))</f>
        <v>#DIV/0!</v>
      </c>
      <c r="Q360" s="26" t="e">
        <f>ROUND(O360,2)*P360</f>
        <v>#DIV/0!</v>
      </c>
      <c r="R360" s="96" t="e">
        <f>P360*dagenperjaar1</f>
        <v>#DIV/0!</v>
      </c>
      <c r="S360" s="27" t="e">
        <f>R360*ROUND(O360,2)</f>
        <v>#DIV/0!</v>
      </c>
    </row>
    <row r="361" spans="1:19" x14ac:dyDescent="0.25">
      <c r="A361" s="93" t="s">
        <v>530</v>
      </c>
      <c r="B361" s="94" t="s">
        <v>37</v>
      </c>
      <c r="C361" s="94" t="s">
        <v>241</v>
      </c>
      <c r="D361" s="94" t="s">
        <v>286</v>
      </c>
      <c r="E361" s="95" t="s">
        <v>276</v>
      </c>
      <c r="F361" s="94" t="s">
        <v>244</v>
      </c>
      <c r="G361" s="94" t="s">
        <v>209</v>
      </c>
      <c r="H361" s="94" t="s">
        <v>11</v>
      </c>
      <c r="I361" s="94" t="s">
        <v>189</v>
      </c>
      <c r="J361" s="95" t="s">
        <v>210</v>
      </c>
      <c r="K361" s="96">
        <v>68.240000000000009</v>
      </c>
      <c r="L361" s="96">
        <f>K361*VLOOKUP(H361,dagsoorttabel1,2,FALSE)</f>
        <v>52.492307692307705</v>
      </c>
      <c r="M361" s="97">
        <f>prodnorm12</f>
        <v>0</v>
      </c>
      <c r="N361" s="94" t="s">
        <v>103</v>
      </c>
      <c r="O361" s="26">
        <f>uurtarief12</f>
        <v>0</v>
      </c>
      <c r="P361" s="96" t="e">
        <f>IF(ISBLANK(M361),0,L361/ROUND(M361,4))</f>
        <v>#DIV/0!</v>
      </c>
      <c r="Q361" s="26" t="e">
        <f>ROUND(O361,2)*P361</f>
        <v>#DIV/0!</v>
      </c>
      <c r="R361" s="96" t="e">
        <f>P361*dagenperjaar1</f>
        <v>#DIV/0!</v>
      </c>
      <c r="S361" s="27" t="e">
        <f>R361*ROUND(O361,2)</f>
        <v>#DIV/0!</v>
      </c>
    </row>
    <row r="362" spans="1:19" x14ac:dyDescent="0.25">
      <c r="A362" s="93" t="s">
        <v>530</v>
      </c>
      <c r="B362" s="94" t="s">
        <v>37</v>
      </c>
      <c r="C362" s="94" t="s">
        <v>241</v>
      </c>
      <c r="D362" s="94" t="s">
        <v>287</v>
      </c>
      <c r="E362" s="95" t="s">
        <v>276</v>
      </c>
      <c r="F362" s="94" t="s">
        <v>244</v>
      </c>
      <c r="G362" s="94" t="s">
        <v>209</v>
      </c>
      <c r="H362" s="94" t="s">
        <v>11</v>
      </c>
      <c r="I362" s="94" t="s">
        <v>189</v>
      </c>
      <c r="J362" s="95" t="s">
        <v>210</v>
      </c>
      <c r="K362" s="96">
        <v>66.5</v>
      </c>
      <c r="L362" s="96">
        <f>K362*VLOOKUP(H362,dagsoorttabel1,2,FALSE)</f>
        <v>51.153846153846153</v>
      </c>
      <c r="M362" s="97">
        <f>prodnorm12</f>
        <v>0</v>
      </c>
      <c r="N362" s="94" t="s">
        <v>103</v>
      </c>
      <c r="O362" s="26">
        <f>uurtarief12</f>
        <v>0</v>
      </c>
      <c r="P362" s="96" t="e">
        <f>IF(ISBLANK(M362),0,L362/ROUND(M362,4))</f>
        <v>#DIV/0!</v>
      </c>
      <c r="Q362" s="26" t="e">
        <f>ROUND(O362,2)*P362</f>
        <v>#DIV/0!</v>
      </c>
      <c r="R362" s="96" t="e">
        <f>P362*dagenperjaar1</f>
        <v>#DIV/0!</v>
      </c>
      <c r="S362" s="27" t="e">
        <f>R362*ROUND(O362,2)</f>
        <v>#DIV/0!</v>
      </c>
    </row>
    <row r="363" spans="1:19" x14ac:dyDescent="0.25">
      <c r="A363" s="93" t="s">
        <v>530</v>
      </c>
      <c r="B363" s="94" t="s">
        <v>37</v>
      </c>
      <c r="C363" s="94" t="s">
        <v>241</v>
      </c>
      <c r="D363" s="94" t="s">
        <v>288</v>
      </c>
      <c r="E363" s="95" t="s">
        <v>276</v>
      </c>
      <c r="F363" s="94" t="s">
        <v>255</v>
      </c>
      <c r="G363" s="94" t="s">
        <v>209</v>
      </c>
      <c r="H363" s="94" t="s">
        <v>11</v>
      </c>
      <c r="I363" s="94" t="s">
        <v>189</v>
      </c>
      <c r="J363" s="95" t="s">
        <v>210</v>
      </c>
      <c r="K363" s="96">
        <v>118</v>
      </c>
      <c r="L363" s="96">
        <f>K363*VLOOKUP(H363,dagsoorttabel1,2,FALSE)</f>
        <v>90.769230769230774</v>
      </c>
      <c r="M363" s="97">
        <f>prodnorm12</f>
        <v>0</v>
      </c>
      <c r="N363" s="94" t="s">
        <v>103</v>
      </c>
      <c r="O363" s="26">
        <f>uurtarief12</f>
        <v>0</v>
      </c>
      <c r="P363" s="96" t="e">
        <f>IF(ISBLANK(M363),0,L363/ROUND(M363,4))</f>
        <v>#DIV/0!</v>
      </c>
      <c r="Q363" s="26" t="e">
        <f>ROUND(O363,2)*P363</f>
        <v>#DIV/0!</v>
      </c>
      <c r="R363" s="96" t="e">
        <f>P363*dagenperjaar1</f>
        <v>#DIV/0!</v>
      </c>
      <c r="S363" s="27" t="e">
        <f>R363*ROUND(O363,2)</f>
        <v>#DIV/0!</v>
      </c>
    </row>
    <row r="364" spans="1:19" x14ac:dyDescent="0.25">
      <c r="A364" s="93" t="s">
        <v>530</v>
      </c>
      <c r="B364" s="94" t="s">
        <v>37</v>
      </c>
      <c r="C364" s="94" t="s">
        <v>241</v>
      </c>
      <c r="D364" s="94" t="s">
        <v>588</v>
      </c>
      <c r="E364" s="95" t="s">
        <v>589</v>
      </c>
      <c r="F364" s="94" t="s">
        <v>37</v>
      </c>
      <c r="G364" s="94" t="s">
        <v>248</v>
      </c>
      <c r="H364" s="94"/>
      <c r="I364" s="94"/>
      <c r="J364" s="94"/>
      <c r="K364" s="96">
        <v>0</v>
      </c>
      <c r="L364" s="96"/>
      <c r="M364" s="97"/>
      <c r="N364" s="94"/>
      <c r="O364" s="26"/>
      <c r="P364" s="96"/>
      <c r="Q364" s="26"/>
      <c r="R364" s="98"/>
      <c r="S364" s="27"/>
    </row>
    <row r="365" spans="1:19" x14ac:dyDescent="0.25">
      <c r="A365" s="93" t="s">
        <v>530</v>
      </c>
      <c r="B365" s="94" t="s">
        <v>37</v>
      </c>
      <c r="C365" s="94" t="s">
        <v>241</v>
      </c>
      <c r="D365" s="94" t="s">
        <v>289</v>
      </c>
      <c r="E365" s="95" t="s">
        <v>276</v>
      </c>
      <c r="F365" s="94" t="s">
        <v>255</v>
      </c>
      <c r="G365" s="94" t="s">
        <v>209</v>
      </c>
      <c r="H365" s="94" t="s">
        <v>11</v>
      </c>
      <c r="I365" s="94" t="s">
        <v>189</v>
      </c>
      <c r="J365" s="95" t="s">
        <v>210</v>
      </c>
      <c r="K365" s="96">
        <v>100.97</v>
      </c>
      <c r="L365" s="96">
        <f>K365*VLOOKUP(H365,dagsoorttabel1,2,FALSE)</f>
        <v>77.669230769230779</v>
      </c>
      <c r="M365" s="97">
        <f>prodnorm12</f>
        <v>0</v>
      </c>
      <c r="N365" s="94" t="s">
        <v>103</v>
      </c>
      <c r="O365" s="26">
        <f>uurtarief12</f>
        <v>0</v>
      </c>
      <c r="P365" s="96" t="e">
        <f>IF(ISBLANK(M365),0,L365/ROUND(M365,4))</f>
        <v>#DIV/0!</v>
      </c>
      <c r="Q365" s="26" t="e">
        <f>ROUND(O365,2)*P365</f>
        <v>#DIV/0!</v>
      </c>
      <c r="R365" s="96" t="e">
        <f>P365*dagenperjaar1</f>
        <v>#DIV/0!</v>
      </c>
      <c r="S365" s="27" t="e">
        <f>R365*ROUND(O365,2)</f>
        <v>#DIV/0!</v>
      </c>
    </row>
    <row r="366" spans="1:19" x14ac:dyDescent="0.25">
      <c r="A366" s="93" t="s">
        <v>530</v>
      </c>
      <c r="B366" s="94" t="s">
        <v>37</v>
      </c>
      <c r="C366" s="94" t="s">
        <v>241</v>
      </c>
      <c r="D366" s="94" t="s">
        <v>590</v>
      </c>
      <c r="E366" s="95" t="s">
        <v>276</v>
      </c>
      <c r="F366" s="94" t="s">
        <v>255</v>
      </c>
      <c r="G366" s="94" t="s">
        <v>209</v>
      </c>
      <c r="H366" s="94" t="s">
        <v>11</v>
      </c>
      <c r="I366" s="94" t="s">
        <v>189</v>
      </c>
      <c r="J366" s="95" t="s">
        <v>210</v>
      </c>
      <c r="K366" s="96">
        <v>18.130000000000003</v>
      </c>
      <c r="L366" s="96">
        <f>K366*VLOOKUP(H366,dagsoorttabel1,2,FALSE)</f>
        <v>13.946153846153848</v>
      </c>
      <c r="M366" s="97">
        <f>prodnorm12</f>
        <v>0</v>
      </c>
      <c r="N366" s="94" t="s">
        <v>103</v>
      </c>
      <c r="O366" s="26">
        <f>uurtarief12</f>
        <v>0</v>
      </c>
      <c r="P366" s="96" t="e">
        <f>IF(ISBLANK(M366),0,L366/ROUND(M366,4))</f>
        <v>#DIV/0!</v>
      </c>
      <c r="Q366" s="26" t="e">
        <f>ROUND(O366,2)*P366</f>
        <v>#DIV/0!</v>
      </c>
      <c r="R366" s="96" t="e">
        <f>P366*dagenperjaar1</f>
        <v>#DIV/0!</v>
      </c>
      <c r="S366" s="27" t="e">
        <f>R366*ROUND(O366,2)</f>
        <v>#DIV/0!</v>
      </c>
    </row>
    <row r="367" spans="1:19" x14ac:dyDescent="0.25">
      <c r="A367" s="93" t="s">
        <v>530</v>
      </c>
      <c r="B367" s="94" t="s">
        <v>37</v>
      </c>
      <c r="C367" s="94" t="s">
        <v>241</v>
      </c>
      <c r="D367" s="94" t="s">
        <v>290</v>
      </c>
      <c r="E367" s="95" t="s">
        <v>276</v>
      </c>
      <c r="F367" s="94" t="s">
        <v>255</v>
      </c>
      <c r="G367" s="94" t="s">
        <v>209</v>
      </c>
      <c r="H367" s="94" t="s">
        <v>11</v>
      </c>
      <c r="I367" s="94" t="s">
        <v>189</v>
      </c>
      <c r="J367" s="95" t="s">
        <v>210</v>
      </c>
      <c r="K367" s="96">
        <v>106.21000000000001</v>
      </c>
      <c r="L367" s="96">
        <f>K367*VLOOKUP(H367,dagsoorttabel1,2,FALSE)</f>
        <v>81.700000000000017</v>
      </c>
      <c r="M367" s="97">
        <f>prodnorm12</f>
        <v>0</v>
      </c>
      <c r="N367" s="94" t="s">
        <v>103</v>
      </c>
      <c r="O367" s="26">
        <f>uurtarief12</f>
        <v>0</v>
      </c>
      <c r="P367" s="96" t="e">
        <f>IF(ISBLANK(M367),0,L367/ROUND(M367,4))</f>
        <v>#DIV/0!</v>
      </c>
      <c r="Q367" s="26" t="e">
        <f>ROUND(O367,2)*P367</f>
        <v>#DIV/0!</v>
      </c>
      <c r="R367" s="96" t="e">
        <f>P367*dagenperjaar1</f>
        <v>#DIV/0!</v>
      </c>
      <c r="S367" s="27" t="e">
        <f>R367*ROUND(O367,2)</f>
        <v>#DIV/0!</v>
      </c>
    </row>
    <row r="368" spans="1:19" x14ac:dyDescent="0.25">
      <c r="A368" s="93" t="s">
        <v>530</v>
      </c>
      <c r="B368" s="94" t="s">
        <v>37</v>
      </c>
      <c r="C368" s="94" t="s">
        <v>241</v>
      </c>
      <c r="D368" s="94" t="s">
        <v>591</v>
      </c>
      <c r="E368" s="95" t="s">
        <v>589</v>
      </c>
      <c r="F368" s="94" t="s">
        <v>37</v>
      </c>
      <c r="G368" s="94" t="s">
        <v>248</v>
      </c>
      <c r="H368" s="94"/>
      <c r="I368" s="94"/>
      <c r="J368" s="94"/>
      <c r="K368" s="96">
        <v>0</v>
      </c>
      <c r="L368" s="96"/>
      <c r="M368" s="97"/>
      <c r="N368" s="94"/>
      <c r="O368" s="26"/>
      <c r="P368" s="96"/>
      <c r="Q368" s="26"/>
      <c r="R368" s="98"/>
      <c r="S368" s="27"/>
    </row>
    <row r="369" spans="1:19" x14ac:dyDescent="0.25">
      <c r="A369" s="93" t="s">
        <v>530</v>
      </c>
      <c r="B369" s="94" t="s">
        <v>37</v>
      </c>
      <c r="C369" s="94" t="s">
        <v>241</v>
      </c>
      <c r="D369" s="94" t="s">
        <v>291</v>
      </c>
      <c r="E369" s="95" t="s">
        <v>276</v>
      </c>
      <c r="F369" s="94" t="s">
        <v>244</v>
      </c>
      <c r="G369" s="94" t="s">
        <v>209</v>
      </c>
      <c r="H369" s="94" t="s">
        <v>11</v>
      </c>
      <c r="I369" s="94" t="s">
        <v>189</v>
      </c>
      <c r="J369" s="95" t="s">
        <v>210</v>
      </c>
      <c r="K369" s="96">
        <v>108.49000000000001</v>
      </c>
      <c r="L369" s="96">
        <f>K369*VLOOKUP(H369,dagsoorttabel1,2,FALSE)</f>
        <v>83.453846153846172</v>
      </c>
      <c r="M369" s="97">
        <f>prodnorm12</f>
        <v>0</v>
      </c>
      <c r="N369" s="94" t="s">
        <v>103</v>
      </c>
      <c r="O369" s="26">
        <f>uurtarief12</f>
        <v>0</v>
      </c>
      <c r="P369" s="96" t="e">
        <f>IF(ISBLANK(M369),0,L369/ROUND(M369,4))</f>
        <v>#DIV/0!</v>
      </c>
      <c r="Q369" s="26" t="e">
        <f>ROUND(O369,2)*P369</f>
        <v>#DIV/0!</v>
      </c>
      <c r="R369" s="96" t="e">
        <f>P369*dagenperjaar1</f>
        <v>#DIV/0!</v>
      </c>
      <c r="S369" s="27" t="e">
        <f>R369*ROUND(O369,2)</f>
        <v>#DIV/0!</v>
      </c>
    </row>
    <row r="370" spans="1:19" ht="30" x14ac:dyDescent="0.25">
      <c r="A370" s="93" t="s">
        <v>530</v>
      </c>
      <c r="B370" s="94" t="s">
        <v>37</v>
      </c>
      <c r="C370" s="94" t="s">
        <v>241</v>
      </c>
      <c r="D370" s="94" t="s">
        <v>592</v>
      </c>
      <c r="E370" s="95" t="s">
        <v>436</v>
      </c>
      <c r="F370" s="94" t="s">
        <v>255</v>
      </c>
      <c r="G370" s="94" t="s">
        <v>225</v>
      </c>
      <c r="H370" s="94" t="s">
        <v>11</v>
      </c>
      <c r="I370" s="94" t="s">
        <v>189</v>
      </c>
      <c r="J370" s="95" t="s">
        <v>226</v>
      </c>
      <c r="K370" s="96">
        <v>95.98</v>
      </c>
      <c r="L370" s="96">
        <f>K370*VLOOKUP(H370,dagsoorttabel1,2,FALSE)</f>
        <v>73.830769230769235</v>
      </c>
      <c r="M370" s="97">
        <f>prodnorm20</f>
        <v>0</v>
      </c>
      <c r="N370" s="94" t="s">
        <v>103</v>
      </c>
      <c r="O370" s="26">
        <f>uurtarief20</f>
        <v>0</v>
      </c>
      <c r="P370" s="96" t="e">
        <f>IF(ISBLANK(M370),0,L370/ROUND(M370,4))</f>
        <v>#DIV/0!</v>
      </c>
      <c r="Q370" s="26" t="e">
        <f>ROUND(O370,2)*P370</f>
        <v>#DIV/0!</v>
      </c>
      <c r="R370" s="96" t="e">
        <f>P370*dagenperjaar1</f>
        <v>#DIV/0!</v>
      </c>
      <c r="S370" s="27" t="e">
        <f>R370*ROUND(O370,2)</f>
        <v>#DIV/0!</v>
      </c>
    </row>
    <row r="371" spans="1:19" ht="30" x14ac:dyDescent="0.25">
      <c r="A371" s="93" t="s">
        <v>530</v>
      </c>
      <c r="B371" s="94" t="s">
        <v>37</v>
      </c>
      <c r="C371" s="94" t="s">
        <v>241</v>
      </c>
      <c r="D371" s="94" t="s">
        <v>292</v>
      </c>
      <c r="E371" s="95" t="s">
        <v>593</v>
      </c>
      <c r="F371" s="94" t="s">
        <v>532</v>
      </c>
      <c r="G371" s="94" t="s">
        <v>191</v>
      </c>
      <c r="H371" s="94" t="s">
        <v>11</v>
      </c>
      <c r="I371" s="94" t="s">
        <v>189</v>
      </c>
      <c r="J371" s="95" t="s">
        <v>192</v>
      </c>
      <c r="K371" s="96">
        <v>162.58000000000001</v>
      </c>
      <c r="L371" s="96">
        <f>K371*VLOOKUP(H371,dagsoorttabel1,2,FALSE)</f>
        <v>125.06153846153848</v>
      </c>
      <c r="M371" s="97">
        <f>prodnorm3</f>
        <v>0</v>
      </c>
      <c r="N371" s="94" t="s">
        <v>103</v>
      </c>
      <c r="O371" s="26">
        <f>uurtarief3</f>
        <v>0</v>
      </c>
      <c r="P371" s="96" t="e">
        <f>IF(ISBLANK(M371),0,L371/ROUND(M371,4))</f>
        <v>#DIV/0!</v>
      </c>
      <c r="Q371" s="26" t="e">
        <f>ROUND(O371,2)*P371</f>
        <v>#DIV/0!</v>
      </c>
      <c r="R371" s="96" t="e">
        <f>P371*dagenperjaar1</f>
        <v>#DIV/0!</v>
      </c>
      <c r="S371" s="27" t="e">
        <f>R371*ROUND(O371,2)</f>
        <v>#DIV/0!</v>
      </c>
    </row>
    <row r="372" spans="1:19" ht="30" x14ac:dyDescent="0.25">
      <c r="A372" s="93" t="s">
        <v>530</v>
      </c>
      <c r="B372" s="94" t="s">
        <v>37</v>
      </c>
      <c r="C372" s="94" t="s">
        <v>241</v>
      </c>
      <c r="D372" s="94" t="s">
        <v>515</v>
      </c>
      <c r="E372" s="95" t="s">
        <v>544</v>
      </c>
      <c r="F372" s="94" t="s">
        <v>244</v>
      </c>
      <c r="G372" s="94" t="s">
        <v>225</v>
      </c>
      <c r="H372" s="94" t="s">
        <v>11</v>
      </c>
      <c r="I372" s="94" t="s">
        <v>189</v>
      </c>
      <c r="J372" s="95" t="s">
        <v>226</v>
      </c>
      <c r="K372" s="96">
        <v>17.36</v>
      </c>
      <c r="L372" s="96">
        <f>K372*VLOOKUP(H372,dagsoorttabel1,2,FALSE)</f>
        <v>13.353846153846154</v>
      </c>
      <c r="M372" s="97">
        <f>prodnorm20</f>
        <v>0</v>
      </c>
      <c r="N372" s="94" t="s">
        <v>103</v>
      </c>
      <c r="O372" s="26">
        <f>uurtarief20</f>
        <v>0</v>
      </c>
      <c r="P372" s="96" t="e">
        <f>IF(ISBLANK(M372),0,L372/ROUND(M372,4))</f>
        <v>#DIV/0!</v>
      </c>
      <c r="Q372" s="26" t="e">
        <f>ROUND(O372,2)*P372</f>
        <v>#DIV/0!</v>
      </c>
      <c r="R372" s="96" t="e">
        <f>P372*dagenperjaar1</f>
        <v>#DIV/0!</v>
      </c>
      <c r="S372" s="27" t="e">
        <f>R372*ROUND(O372,2)</f>
        <v>#DIV/0!</v>
      </c>
    </row>
    <row r="373" spans="1:19" ht="30" x14ac:dyDescent="0.25">
      <c r="A373" s="93" t="s">
        <v>530</v>
      </c>
      <c r="B373" s="94" t="s">
        <v>37</v>
      </c>
      <c r="C373" s="94" t="s">
        <v>241</v>
      </c>
      <c r="D373" s="94" t="s">
        <v>293</v>
      </c>
      <c r="E373" s="95" t="s">
        <v>572</v>
      </c>
      <c r="F373" s="94" t="s">
        <v>532</v>
      </c>
      <c r="G373" s="94" t="s">
        <v>191</v>
      </c>
      <c r="H373" s="94" t="s">
        <v>11</v>
      </c>
      <c r="I373" s="94" t="s">
        <v>189</v>
      </c>
      <c r="J373" s="95" t="s">
        <v>192</v>
      </c>
      <c r="K373" s="96">
        <v>11.12</v>
      </c>
      <c r="L373" s="96">
        <f>K373*VLOOKUP(H373,dagsoorttabel1,2,FALSE)</f>
        <v>8.5538461538461537</v>
      </c>
      <c r="M373" s="97">
        <f>prodnorm3</f>
        <v>0</v>
      </c>
      <c r="N373" s="94" t="s">
        <v>103</v>
      </c>
      <c r="O373" s="26">
        <f>uurtarief3</f>
        <v>0</v>
      </c>
      <c r="P373" s="96" t="e">
        <f>IF(ISBLANK(M373),0,L373/ROUND(M373,4))</f>
        <v>#DIV/0!</v>
      </c>
      <c r="Q373" s="26" t="e">
        <f>ROUND(O373,2)*P373</f>
        <v>#DIV/0!</v>
      </c>
      <c r="R373" s="96" t="e">
        <f>P373*dagenperjaar1</f>
        <v>#DIV/0!</v>
      </c>
      <c r="S373" s="27" t="e">
        <f>R373*ROUND(O373,2)</f>
        <v>#DIV/0!</v>
      </c>
    </row>
    <row r="374" spans="1:19" ht="30" x14ac:dyDescent="0.25">
      <c r="A374" s="93" t="s">
        <v>530</v>
      </c>
      <c r="B374" s="94" t="s">
        <v>37</v>
      </c>
      <c r="C374" s="94" t="s">
        <v>241</v>
      </c>
      <c r="D374" s="94" t="s">
        <v>295</v>
      </c>
      <c r="E374" s="95" t="s">
        <v>572</v>
      </c>
      <c r="F374" s="94" t="s">
        <v>532</v>
      </c>
      <c r="G374" s="94" t="s">
        <v>191</v>
      </c>
      <c r="H374" s="94" t="s">
        <v>11</v>
      </c>
      <c r="I374" s="94" t="s">
        <v>189</v>
      </c>
      <c r="J374" s="95" t="s">
        <v>192</v>
      </c>
      <c r="K374" s="96">
        <v>11.12</v>
      </c>
      <c r="L374" s="96">
        <f>K374*VLOOKUP(H374,dagsoorttabel1,2,FALSE)</f>
        <v>8.5538461538461537</v>
      </c>
      <c r="M374" s="97">
        <f>prodnorm3</f>
        <v>0</v>
      </c>
      <c r="N374" s="94" t="s">
        <v>103</v>
      </c>
      <c r="O374" s="26">
        <f>uurtarief3</f>
        <v>0</v>
      </c>
      <c r="P374" s="96" t="e">
        <f>IF(ISBLANK(M374),0,L374/ROUND(M374,4))</f>
        <v>#DIV/0!</v>
      </c>
      <c r="Q374" s="26" t="e">
        <f>ROUND(O374,2)*P374</f>
        <v>#DIV/0!</v>
      </c>
      <c r="R374" s="96" t="e">
        <f>P374*dagenperjaar1</f>
        <v>#DIV/0!</v>
      </c>
      <c r="S374" s="27" t="e">
        <f>R374*ROUND(O374,2)</f>
        <v>#DIV/0!</v>
      </c>
    </row>
    <row r="375" spans="1:19" ht="30" x14ac:dyDescent="0.25">
      <c r="A375" s="93" t="s">
        <v>530</v>
      </c>
      <c r="B375" s="94" t="s">
        <v>37</v>
      </c>
      <c r="C375" s="94" t="s">
        <v>241</v>
      </c>
      <c r="D375" s="94" t="s">
        <v>296</v>
      </c>
      <c r="E375" s="95" t="s">
        <v>572</v>
      </c>
      <c r="F375" s="94" t="s">
        <v>532</v>
      </c>
      <c r="G375" s="94" t="s">
        <v>191</v>
      </c>
      <c r="H375" s="94" t="s">
        <v>11</v>
      </c>
      <c r="I375" s="94" t="s">
        <v>189</v>
      </c>
      <c r="J375" s="95" t="s">
        <v>192</v>
      </c>
      <c r="K375" s="96">
        <v>27.25</v>
      </c>
      <c r="L375" s="96">
        <f>K375*VLOOKUP(H375,dagsoorttabel1,2,FALSE)</f>
        <v>20.961538461538463</v>
      </c>
      <c r="M375" s="97">
        <f>prodnorm3</f>
        <v>0</v>
      </c>
      <c r="N375" s="94" t="s">
        <v>103</v>
      </c>
      <c r="O375" s="26">
        <f>uurtarief3</f>
        <v>0</v>
      </c>
      <c r="P375" s="96" t="e">
        <f>IF(ISBLANK(M375),0,L375/ROUND(M375,4))</f>
        <v>#DIV/0!</v>
      </c>
      <c r="Q375" s="26" t="e">
        <f>ROUND(O375,2)*P375</f>
        <v>#DIV/0!</v>
      </c>
      <c r="R375" s="96" t="e">
        <f>P375*dagenperjaar1</f>
        <v>#DIV/0!</v>
      </c>
      <c r="S375" s="27" t="e">
        <f>R375*ROUND(O375,2)</f>
        <v>#DIV/0!</v>
      </c>
    </row>
    <row r="376" spans="1:19" ht="30" x14ac:dyDescent="0.25">
      <c r="A376" s="93" t="s">
        <v>530</v>
      </c>
      <c r="B376" s="94" t="s">
        <v>37</v>
      </c>
      <c r="C376" s="94" t="s">
        <v>241</v>
      </c>
      <c r="D376" s="94" t="s">
        <v>297</v>
      </c>
      <c r="E376" s="95" t="s">
        <v>572</v>
      </c>
      <c r="F376" s="94" t="s">
        <v>532</v>
      </c>
      <c r="G376" s="94" t="s">
        <v>191</v>
      </c>
      <c r="H376" s="94" t="s">
        <v>11</v>
      </c>
      <c r="I376" s="94" t="s">
        <v>189</v>
      </c>
      <c r="J376" s="95" t="s">
        <v>192</v>
      </c>
      <c r="K376" s="96">
        <v>26.25</v>
      </c>
      <c r="L376" s="96">
        <f>K376*VLOOKUP(H376,dagsoorttabel1,2,FALSE)</f>
        <v>20.192307692307693</v>
      </c>
      <c r="M376" s="97">
        <f>prodnorm3</f>
        <v>0</v>
      </c>
      <c r="N376" s="94" t="s">
        <v>103</v>
      </c>
      <c r="O376" s="26">
        <f>uurtarief3</f>
        <v>0</v>
      </c>
      <c r="P376" s="96" t="e">
        <f>IF(ISBLANK(M376),0,L376/ROUND(M376,4))</f>
        <v>#DIV/0!</v>
      </c>
      <c r="Q376" s="26" t="e">
        <f>ROUND(O376,2)*P376</f>
        <v>#DIV/0!</v>
      </c>
      <c r="R376" s="96" t="e">
        <f>P376*dagenperjaar1</f>
        <v>#DIV/0!</v>
      </c>
      <c r="S376" s="27" t="e">
        <f>R376*ROUND(O376,2)</f>
        <v>#DIV/0!</v>
      </c>
    </row>
    <row r="377" spans="1:19" ht="30" x14ac:dyDescent="0.25">
      <c r="A377" s="93" t="s">
        <v>530</v>
      </c>
      <c r="B377" s="94" t="s">
        <v>37</v>
      </c>
      <c r="C377" s="94" t="s">
        <v>241</v>
      </c>
      <c r="D377" s="94" t="s">
        <v>298</v>
      </c>
      <c r="E377" s="95" t="s">
        <v>572</v>
      </c>
      <c r="F377" s="94" t="s">
        <v>244</v>
      </c>
      <c r="G377" s="94" t="s">
        <v>191</v>
      </c>
      <c r="H377" s="94" t="s">
        <v>11</v>
      </c>
      <c r="I377" s="94" t="s">
        <v>189</v>
      </c>
      <c r="J377" s="95" t="s">
        <v>192</v>
      </c>
      <c r="K377" s="96">
        <v>26.5</v>
      </c>
      <c r="L377" s="96">
        <f>K377*VLOOKUP(H377,dagsoorttabel1,2,FALSE)</f>
        <v>20.384615384615387</v>
      </c>
      <c r="M377" s="97">
        <f>prodnorm3</f>
        <v>0</v>
      </c>
      <c r="N377" s="94" t="s">
        <v>103</v>
      </c>
      <c r="O377" s="26">
        <f>uurtarief3</f>
        <v>0</v>
      </c>
      <c r="P377" s="96" t="e">
        <f>IF(ISBLANK(M377),0,L377/ROUND(M377,4))</f>
        <v>#DIV/0!</v>
      </c>
      <c r="Q377" s="26" t="e">
        <f>ROUND(O377,2)*P377</f>
        <v>#DIV/0!</v>
      </c>
      <c r="R377" s="96" t="e">
        <f>P377*dagenperjaar1</f>
        <v>#DIV/0!</v>
      </c>
      <c r="S377" s="27" t="e">
        <f>R377*ROUND(O377,2)</f>
        <v>#DIV/0!</v>
      </c>
    </row>
    <row r="378" spans="1:19" ht="30" x14ac:dyDescent="0.25">
      <c r="A378" s="93" t="s">
        <v>530</v>
      </c>
      <c r="B378" s="94" t="s">
        <v>37</v>
      </c>
      <c r="C378" s="94" t="s">
        <v>241</v>
      </c>
      <c r="D378" s="94" t="s">
        <v>299</v>
      </c>
      <c r="E378" s="95" t="s">
        <v>294</v>
      </c>
      <c r="F378" s="94" t="s">
        <v>532</v>
      </c>
      <c r="G378" s="94" t="s">
        <v>191</v>
      </c>
      <c r="H378" s="94" t="s">
        <v>11</v>
      </c>
      <c r="I378" s="94" t="s">
        <v>189</v>
      </c>
      <c r="J378" s="95" t="s">
        <v>192</v>
      </c>
      <c r="K378" s="96">
        <v>7.45</v>
      </c>
      <c r="L378" s="96">
        <f>K378*VLOOKUP(H378,dagsoorttabel1,2,FALSE)</f>
        <v>5.7307692307692308</v>
      </c>
      <c r="M378" s="97">
        <f>prodnorm3</f>
        <v>0</v>
      </c>
      <c r="N378" s="94" t="s">
        <v>103</v>
      </c>
      <c r="O378" s="26">
        <f>uurtarief3</f>
        <v>0</v>
      </c>
      <c r="P378" s="96" t="e">
        <f>IF(ISBLANK(M378),0,L378/ROUND(M378,4))</f>
        <v>#DIV/0!</v>
      </c>
      <c r="Q378" s="26" t="e">
        <f>ROUND(O378,2)*P378</f>
        <v>#DIV/0!</v>
      </c>
      <c r="R378" s="96" t="e">
        <f>P378*dagenperjaar1</f>
        <v>#DIV/0!</v>
      </c>
      <c r="S378" s="27" t="e">
        <f>R378*ROUND(O378,2)</f>
        <v>#DIV/0!</v>
      </c>
    </row>
    <row r="379" spans="1:19" ht="30" x14ac:dyDescent="0.25">
      <c r="A379" s="93" t="s">
        <v>530</v>
      </c>
      <c r="B379" s="94" t="s">
        <v>37</v>
      </c>
      <c r="C379" s="94" t="s">
        <v>241</v>
      </c>
      <c r="D379" s="94" t="s">
        <v>300</v>
      </c>
      <c r="E379" s="95" t="s">
        <v>294</v>
      </c>
      <c r="F379" s="94" t="s">
        <v>244</v>
      </c>
      <c r="G379" s="94" t="s">
        <v>191</v>
      </c>
      <c r="H379" s="94" t="s">
        <v>11</v>
      </c>
      <c r="I379" s="94" t="s">
        <v>189</v>
      </c>
      <c r="J379" s="95" t="s">
        <v>192</v>
      </c>
      <c r="K379" s="96">
        <v>4.88</v>
      </c>
      <c r="L379" s="96">
        <f>K379*VLOOKUP(H379,dagsoorttabel1,2,FALSE)</f>
        <v>3.7538461538461538</v>
      </c>
      <c r="M379" s="97">
        <f>prodnorm3</f>
        <v>0</v>
      </c>
      <c r="N379" s="94" t="s">
        <v>103</v>
      </c>
      <c r="O379" s="26">
        <f>uurtarief3</f>
        <v>0</v>
      </c>
      <c r="P379" s="96" t="e">
        <f>IF(ISBLANK(M379),0,L379/ROUND(M379,4))</f>
        <v>#DIV/0!</v>
      </c>
      <c r="Q379" s="26" t="e">
        <f>ROUND(O379,2)*P379</f>
        <v>#DIV/0!</v>
      </c>
      <c r="R379" s="96" t="e">
        <f>P379*dagenperjaar1</f>
        <v>#DIV/0!</v>
      </c>
      <c r="S379" s="27" t="e">
        <f>R379*ROUND(O379,2)</f>
        <v>#DIV/0!</v>
      </c>
    </row>
    <row r="380" spans="1:19" ht="30" x14ac:dyDescent="0.25">
      <c r="A380" s="93" t="s">
        <v>530</v>
      </c>
      <c r="B380" s="94" t="s">
        <v>37</v>
      </c>
      <c r="C380" s="94" t="s">
        <v>241</v>
      </c>
      <c r="D380" s="94" t="s">
        <v>301</v>
      </c>
      <c r="E380" s="95" t="s">
        <v>294</v>
      </c>
      <c r="F380" s="94" t="s">
        <v>244</v>
      </c>
      <c r="G380" s="94" t="s">
        <v>191</v>
      </c>
      <c r="H380" s="94" t="s">
        <v>11</v>
      </c>
      <c r="I380" s="94" t="s">
        <v>189</v>
      </c>
      <c r="J380" s="95" t="s">
        <v>192</v>
      </c>
      <c r="K380" s="96">
        <v>4.72</v>
      </c>
      <c r="L380" s="96">
        <f>K380*VLOOKUP(H380,dagsoorttabel1,2,FALSE)</f>
        <v>3.6307692307692307</v>
      </c>
      <c r="M380" s="97">
        <f>prodnorm3</f>
        <v>0</v>
      </c>
      <c r="N380" s="94" t="s">
        <v>103</v>
      </c>
      <c r="O380" s="26">
        <f>uurtarief3</f>
        <v>0</v>
      </c>
      <c r="P380" s="96" t="e">
        <f>IF(ISBLANK(M380),0,L380/ROUND(M380,4))</f>
        <v>#DIV/0!</v>
      </c>
      <c r="Q380" s="26" t="e">
        <f>ROUND(O380,2)*P380</f>
        <v>#DIV/0!</v>
      </c>
      <c r="R380" s="96" t="e">
        <f>P380*dagenperjaar1</f>
        <v>#DIV/0!</v>
      </c>
      <c r="S380" s="27" t="e">
        <f>R380*ROUND(O380,2)</f>
        <v>#DIV/0!</v>
      </c>
    </row>
    <row r="381" spans="1:19" x14ac:dyDescent="0.25">
      <c r="A381" s="93" t="s">
        <v>530</v>
      </c>
      <c r="B381" s="94" t="s">
        <v>37</v>
      </c>
      <c r="C381" s="94" t="s">
        <v>241</v>
      </c>
      <c r="D381" s="94" t="s">
        <v>302</v>
      </c>
      <c r="E381" s="95" t="s">
        <v>326</v>
      </c>
      <c r="F381" s="94" t="s">
        <v>255</v>
      </c>
      <c r="G381" s="94" t="s">
        <v>248</v>
      </c>
      <c r="H381" s="94"/>
      <c r="I381" s="94"/>
      <c r="J381" s="94"/>
      <c r="K381" s="96">
        <v>3.84</v>
      </c>
      <c r="L381" s="96"/>
      <c r="M381" s="97"/>
      <c r="N381" s="94"/>
      <c r="O381" s="26"/>
      <c r="P381" s="96"/>
      <c r="Q381" s="26"/>
      <c r="R381" s="98"/>
      <c r="S381" s="27"/>
    </row>
    <row r="382" spans="1:19" ht="30" x14ac:dyDescent="0.25">
      <c r="A382" s="93" t="s">
        <v>530</v>
      </c>
      <c r="B382" s="94" t="s">
        <v>37</v>
      </c>
      <c r="C382" s="94" t="s">
        <v>241</v>
      </c>
      <c r="D382" s="94" t="s">
        <v>594</v>
      </c>
      <c r="E382" s="95" t="s">
        <v>595</v>
      </c>
      <c r="F382" s="94" t="s">
        <v>244</v>
      </c>
      <c r="G382" s="94" t="s">
        <v>225</v>
      </c>
      <c r="H382" s="94" t="s">
        <v>11</v>
      </c>
      <c r="I382" s="94" t="s">
        <v>189</v>
      </c>
      <c r="J382" s="95" t="s">
        <v>226</v>
      </c>
      <c r="K382" s="96">
        <v>11.59</v>
      </c>
      <c r="L382" s="96">
        <f>K382*VLOOKUP(H382,dagsoorttabel1,2,FALSE)</f>
        <v>8.9153846153846157</v>
      </c>
      <c r="M382" s="97">
        <f>prodnorm20</f>
        <v>0</v>
      </c>
      <c r="N382" s="94" t="s">
        <v>103</v>
      </c>
      <c r="O382" s="26">
        <f>uurtarief20</f>
        <v>0</v>
      </c>
      <c r="P382" s="96" t="e">
        <f>IF(ISBLANK(M382),0,L382/ROUND(M382,4))</f>
        <v>#DIV/0!</v>
      </c>
      <c r="Q382" s="26" t="e">
        <f>ROUND(O382,2)*P382</f>
        <v>#DIV/0!</v>
      </c>
      <c r="R382" s="96" t="e">
        <f>P382*dagenperjaar1</f>
        <v>#DIV/0!</v>
      </c>
      <c r="S382" s="27" t="e">
        <f>R382*ROUND(O382,2)</f>
        <v>#DIV/0!</v>
      </c>
    </row>
    <row r="383" spans="1:19" x14ac:dyDescent="0.25">
      <c r="A383" s="93" t="s">
        <v>530</v>
      </c>
      <c r="B383" s="94" t="s">
        <v>37</v>
      </c>
      <c r="C383" s="94" t="s">
        <v>241</v>
      </c>
      <c r="D383" s="94" t="s">
        <v>596</v>
      </c>
      <c r="E383" s="95" t="s">
        <v>597</v>
      </c>
      <c r="F383" s="94" t="s">
        <v>557</v>
      </c>
      <c r="G383" s="94" t="s">
        <v>248</v>
      </c>
      <c r="H383" s="94"/>
      <c r="I383" s="94"/>
      <c r="J383" s="94"/>
      <c r="K383" s="96">
        <v>0.47000000000000003</v>
      </c>
      <c r="L383" s="96"/>
      <c r="M383" s="97"/>
      <c r="N383" s="94"/>
      <c r="O383" s="26"/>
      <c r="P383" s="96"/>
      <c r="Q383" s="26"/>
      <c r="R383" s="98"/>
      <c r="S383" s="27"/>
    </row>
    <row r="384" spans="1:19" ht="30" x14ac:dyDescent="0.25">
      <c r="A384" s="93" t="s">
        <v>530</v>
      </c>
      <c r="B384" s="94" t="s">
        <v>37</v>
      </c>
      <c r="C384" s="94" t="s">
        <v>241</v>
      </c>
      <c r="D384" s="94" t="s">
        <v>304</v>
      </c>
      <c r="E384" s="95" t="s">
        <v>598</v>
      </c>
      <c r="F384" s="94" t="s">
        <v>244</v>
      </c>
      <c r="G384" s="94" t="s">
        <v>191</v>
      </c>
      <c r="H384" s="94" t="s">
        <v>11</v>
      </c>
      <c r="I384" s="94" t="s">
        <v>189</v>
      </c>
      <c r="J384" s="95" t="s">
        <v>192</v>
      </c>
      <c r="K384" s="96">
        <v>65.77</v>
      </c>
      <c r="L384" s="96">
        <f>K384*VLOOKUP(H384,dagsoorttabel1,2,FALSE)</f>
        <v>50.592307692307692</v>
      </c>
      <c r="M384" s="97">
        <f>prodnorm3</f>
        <v>0</v>
      </c>
      <c r="N384" s="94" t="s">
        <v>103</v>
      </c>
      <c r="O384" s="26">
        <f>uurtarief3</f>
        <v>0</v>
      </c>
      <c r="P384" s="96" t="e">
        <f>IF(ISBLANK(M384),0,L384/ROUND(M384,4))</f>
        <v>#DIV/0!</v>
      </c>
      <c r="Q384" s="26" t="e">
        <f>ROUND(O384,2)*P384</f>
        <v>#DIV/0!</v>
      </c>
      <c r="R384" s="96" t="e">
        <f>P384*dagenperjaar1</f>
        <v>#DIV/0!</v>
      </c>
      <c r="S384" s="27" t="e">
        <f>R384*ROUND(O384,2)</f>
        <v>#DIV/0!</v>
      </c>
    </row>
    <row r="385" spans="1:19" x14ac:dyDescent="0.25">
      <c r="A385" s="93" t="s">
        <v>530</v>
      </c>
      <c r="B385" s="94" t="s">
        <v>37</v>
      </c>
      <c r="C385" s="94" t="s">
        <v>241</v>
      </c>
      <c r="D385" s="94" t="s">
        <v>305</v>
      </c>
      <c r="E385" s="95" t="s">
        <v>599</v>
      </c>
      <c r="F385" s="94" t="s">
        <v>255</v>
      </c>
      <c r="G385" s="94" t="s">
        <v>221</v>
      </c>
      <c r="H385" s="94" t="s">
        <v>11</v>
      </c>
      <c r="I385" s="94" t="s">
        <v>189</v>
      </c>
      <c r="J385" s="95" t="s">
        <v>222</v>
      </c>
      <c r="K385" s="96">
        <v>8.41</v>
      </c>
      <c r="L385" s="96">
        <f>K385*VLOOKUP(H385,dagsoorttabel1,2,FALSE)</f>
        <v>6.4692307692307693</v>
      </c>
      <c r="M385" s="97">
        <f>prodnorm18</f>
        <v>0</v>
      </c>
      <c r="N385" s="94" t="s">
        <v>103</v>
      </c>
      <c r="O385" s="26">
        <f>uurtarief18</f>
        <v>0</v>
      </c>
      <c r="P385" s="96" t="e">
        <f>IF(ISBLANK(M385),0,L385/ROUND(M385,4))</f>
        <v>#DIV/0!</v>
      </c>
      <c r="Q385" s="26" t="e">
        <f>ROUND(O385,2)*P385</f>
        <v>#DIV/0!</v>
      </c>
      <c r="R385" s="96" t="e">
        <f>P385*dagenperjaar1</f>
        <v>#DIV/0!</v>
      </c>
      <c r="S385" s="27" t="e">
        <f>R385*ROUND(O385,2)</f>
        <v>#DIV/0!</v>
      </c>
    </row>
    <row r="386" spans="1:19" x14ac:dyDescent="0.25">
      <c r="A386" s="93" t="s">
        <v>530</v>
      </c>
      <c r="B386" s="94" t="s">
        <v>37</v>
      </c>
      <c r="C386" s="94" t="s">
        <v>241</v>
      </c>
      <c r="D386" s="94" t="s">
        <v>308</v>
      </c>
      <c r="E386" s="95" t="s">
        <v>265</v>
      </c>
      <c r="F386" s="94" t="s">
        <v>244</v>
      </c>
      <c r="G386" s="94" t="s">
        <v>223</v>
      </c>
      <c r="H386" s="94" t="s">
        <v>11</v>
      </c>
      <c r="I386" s="94" t="s">
        <v>189</v>
      </c>
      <c r="J386" s="95" t="s">
        <v>224</v>
      </c>
      <c r="K386" s="96">
        <v>29.27</v>
      </c>
      <c r="L386" s="96">
        <f>K386*VLOOKUP(H386,dagsoorttabel1,2,FALSE)</f>
        <v>22.515384615384615</v>
      </c>
      <c r="M386" s="97">
        <f>prodnorm19</f>
        <v>0</v>
      </c>
      <c r="N386" s="94" t="s">
        <v>103</v>
      </c>
      <c r="O386" s="26">
        <f>uurtarief19</f>
        <v>0</v>
      </c>
      <c r="P386" s="96" t="e">
        <f>IF(ISBLANK(M386),0,L386/ROUND(M386,4))</f>
        <v>#DIV/0!</v>
      </c>
      <c r="Q386" s="26" t="e">
        <f>ROUND(O386,2)*P386</f>
        <v>#DIV/0!</v>
      </c>
      <c r="R386" s="96" t="e">
        <f>P386*dagenperjaar1</f>
        <v>#DIV/0!</v>
      </c>
      <c r="S386" s="27" t="e">
        <f>R386*ROUND(O386,2)</f>
        <v>#DIV/0!</v>
      </c>
    </row>
    <row r="387" spans="1:19" x14ac:dyDescent="0.25">
      <c r="A387" s="93" t="s">
        <v>530</v>
      </c>
      <c r="B387" s="94" t="s">
        <v>37</v>
      </c>
      <c r="C387" s="94" t="s">
        <v>241</v>
      </c>
      <c r="D387" s="94" t="s">
        <v>309</v>
      </c>
      <c r="E387" s="95" t="s">
        <v>318</v>
      </c>
      <c r="F387" s="94" t="s">
        <v>244</v>
      </c>
      <c r="G387" s="94" t="s">
        <v>203</v>
      </c>
      <c r="H387" s="94" t="s">
        <v>11</v>
      </c>
      <c r="I387" s="94" t="s">
        <v>189</v>
      </c>
      <c r="J387" s="95" t="s">
        <v>204</v>
      </c>
      <c r="K387" s="96">
        <v>3.9099999999999997</v>
      </c>
      <c r="L387" s="96">
        <f>K387*VLOOKUP(H387,dagsoorttabel1,2,FALSE)</f>
        <v>3.0076923076923077</v>
      </c>
      <c r="M387" s="97">
        <f>prodnorm9</f>
        <v>0</v>
      </c>
      <c r="N387" s="94" t="s">
        <v>103</v>
      </c>
      <c r="O387" s="26">
        <f>uurtarief9</f>
        <v>0</v>
      </c>
      <c r="P387" s="96" t="e">
        <f>IF(ISBLANK(M387),0,L387/ROUND(M387,4))</f>
        <v>#DIV/0!</v>
      </c>
      <c r="Q387" s="26" t="e">
        <f>ROUND(O387,2)*P387</f>
        <v>#DIV/0!</v>
      </c>
      <c r="R387" s="96" t="e">
        <f>P387*dagenperjaar1</f>
        <v>#DIV/0!</v>
      </c>
      <c r="S387" s="27" t="e">
        <f>R387*ROUND(O387,2)</f>
        <v>#DIV/0!</v>
      </c>
    </row>
    <row r="388" spans="1:19" x14ac:dyDescent="0.25">
      <c r="A388" s="93" t="s">
        <v>530</v>
      </c>
      <c r="B388" s="94" t="s">
        <v>37</v>
      </c>
      <c r="C388" s="94" t="s">
        <v>241</v>
      </c>
      <c r="D388" s="94" t="s">
        <v>310</v>
      </c>
      <c r="E388" s="95" t="s">
        <v>600</v>
      </c>
      <c r="F388" s="94" t="s">
        <v>255</v>
      </c>
      <c r="G388" s="94" t="s">
        <v>221</v>
      </c>
      <c r="H388" s="94" t="s">
        <v>11</v>
      </c>
      <c r="I388" s="94" t="s">
        <v>189</v>
      </c>
      <c r="J388" s="95" t="s">
        <v>222</v>
      </c>
      <c r="K388" s="96">
        <v>9.18</v>
      </c>
      <c r="L388" s="96">
        <f>K388*VLOOKUP(H388,dagsoorttabel1,2,FALSE)</f>
        <v>7.0615384615384613</v>
      </c>
      <c r="M388" s="97">
        <f>prodnorm18</f>
        <v>0</v>
      </c>
      <c r="N388" s="94" t="s">
        <v>103</v>
      </c>
      <c r="O388" s="26">
        <f>uurtarief18</f>
        <v>0</v>
      </c>
      <c r="P388" s="96" t="e">
        <f>IF(ISBLANK(M388),0,L388/ROUND(M388,4))</f>
        <v>#DIV/0!</v>
      </c>
      <c r="Q388" s="26" t="e">
        <f>ROUND(O388,2)*P388</f>
        <v>#DIV/0!</v>
      </c>
      <c r="R388" s="96" t="e">
        <f>P388*dagenperjaar1</f>
        <v>#DIV/0!</v>
      </c>
      <c r="S388" s="27" t="e">
        <f>R388*ROUND(O388,2)</f>
        <v>#DIV/0!</v>
      </c>
    </row>
    <row r="389" spans="1:19" x14ac:dyDescent="0.25">
      <c r="A389" s="93" t="s">
        <v>530</v>
      </c>
      <c r="B389" s="94" t="s">
        <v>37</v>
      </c>
      <c r="C389" s="94" t="s">
        <v>241</v>
      </c>
      <c r="D389" s="94" t="s">
        <v>311</v>
      </c>
      <c r="E389" s="95" t="s">
        <v>601</v>
      </c>
      <c r="F389" s="94" t="s">
        <v>255</v>
      </c>
      <c r="G389" s="94" t="s">
        <v>221</v>
      </c>
      <c r="H389" s="94" t="s">
        <v>11</v>
      </c>
      <c r="I389" s="94" t="s">
        <v>189</v>
      </c>
      <c r="J389" s="95" t="s">
        <v>222</v>
      </c>
      <c r="K389" s="96">
        <v>7.1099999999999994</v>
      </c>
      <c r="L389" s="96">
        <f>K389*VLOOKUP(H389,dagsoorttabel1,2,FALSE)</f>
        <v>5.4692307692307693</v>
      </c>
      <c r="M389" s="97">
        <f>prodnorm18</f>
        <v>0</v>
      </c>
      <c r="N389" s="94" t="s">
        <v>103</v>
      </c>
      <c r="O389" s="26">
        <f>uurtarief18</f>
        <v>0</v>
      </c>
      <c r="P389" s="96" t="e">
        <f>IF(ISBLANK(M389),0,L389/ROUND(M389,4))</f>
        <v>#DIV/0!</v>
      </c>
      <c r="Q389" s="26" t="e">
        <f>ROUND(O389,2)*P389</f>
        <v>#DIV/0!</v>
      </c>
      <c r="R389" s="96" t="e">
        <f>P389*dagenperjaar1</f>
        <v>#DIV/0!</v>
      </c>
      <c r="S389" s="27" t="e">
        <f>R389*ROUND(O389,2)</f>
        <v>#DIV/0!</v>
      </c>
    </row>
    <row r="390" spans="1:19" x14ac:dyDescent="0.25">
      <c r="A390" s="93" t="s">
        <v>530</v>
      </c>
      <c r="B390" s="94" t="s">
        <v>37</v>
      </c>
      <c r="C390" s="94" t="s">
        <v>241</v>
      </c>
      <c r="D390" s="94" t="s">
        <v>312</v>
      </c>
      <c r="E390" s="95" t="s">
        <v>602</v>
      </c>
      <c r="F390" s="94" t="s">
        <v>532</v>
      </c>
      <c r="G390" s="94" t="s">
        <v>209</v>
      </c>
      <c r="H390" s="94" t="s">
        <v>11</v>
      </c>
      <c r="I390" s="94" t="s">
        <v>189</v>
      </c>
      <c r="J390" s="95" t="s">
        <v>210</v>
      </c>
      <c r="K390" s="96">
        <v>135.13</v>
      </c>
      <c r="L390" s="96">
        <f>K390*VLOOKUP(H390,dagsoorttabel1,2,FALSE)</f>
        <v>103.94615384615385</v>
      </c>
      <c r="M390" s="97">
        <f>prodnorm12</f>
        <v>0</v>
      </c>
      <c r="N390" s="94" t="s">
        <v>103</v>
      </c>
      <c r="O390" s="26">
        <f>uurtarief12</f>
        <v>0</v>
      </c>
      <c r="P390" s="96" t="e">
        <f>IF(ISBLANK(M390),0,L390/ROUND(M390,4))</f>
        <v>#DIV/0!</v>
      </c>
      <c r="Q390" s="26" t="e">
        <f>ROUND(O390,2)*P390</f>
        <v>#DIV/0!</v>
      </c>
      <c r="R390" s="96" t="e">
        <f>P390*dagenperjaar1</f>
        <v>#DIV/0!</v>
      </c>
      <c r="S390" s="27" t="e">
        <f>R390*ROUND(O390,2)</f>
        <v>#DIV/0!</v>
      </c>
    </row>
    <row r="391" spans="1:19" x14ac:dyDescent="0.25">
      <c r="A391" s="93" t="s">
        <v>530</v>
      </c>
      <c r="B391" s="94" t="s">
        <v>37</v>
      </c>
      <c r="C391" s="94" t="s">
        <v>241</v>
      </c>
      <c r="D391" s="94" t="s">
        <v>603</v>
      </c>
      <c r="E391" s="95" t="s">
        <v>604</v>
      </c>
      <c r="F391" s="94" t="s">
        <v>557</v>
      </c>
      <c r="G391" s="94" t="s">
        <v>248</v>
      </c>
      <c r="H391" s="94"/>
      <c r="I391" s="94"/>
      <c r="J391" s="94"/>
      <c r="K391" s="96">
        <v>1.4</v>
      </c>
      <c r="L391" s="96"/>
      <c r="M391" s="97"/>
      <c r="N391" s="94"/>
      <c r="O391" s="26"/>
      <c r="P391" s="96"/>
      <c r="Q391" s="26"/>
      <c r="R391" s="98"/>
      <c r="S391" s="27"/>
    </row>
    <row r="392" spans="1:19" x14ac:dyDescent="0.25">
      <c r="A392" s="93" t="s">
        <v>530</v>
      </c>
      <c r="B392" s="94" t="s">
        <v>37</v>
      </c>
      <c r="C392" s="94" t="s">
        <v>241</v>
      </c>
      <c r="D392" s="94" t="s">
        <v>605</v>
      </c>
      <c r="E392" s="95" t="s">
        <v>268</v>
      </c>
      <c r="F392" s="94" t="s">
        <v>269</v>
      </c>
      <c r="G392" s="94" t="s">
        <v>201</v>
      </c>
      <c r="H392" s="94" t="s">
        <v>11</v>
      </c>
      <c r="I392" s="94" t="s">
        <v>189</v>
      </c>
      <c r="J392" s="95" t="s">
        <v>202</v>
      </c>
      <c r="K392" s="96">
        <v>15.84</v>
      </c>
      <c r="L392" s="96">
        <f>K392*VLOOKUP(H392,dagsoorttabel1,2,FALSE)</f>
        <v>12.184615384615386</v>
      </c>
      <c r="M392" s="97">
        <f>prodnorm8</f>
        <v>0</v>
      </c>
      <c r="N392" s="94" t="s">
        <v>103</v>
      </c>
      <c r="O392" s="26">
        <f>uurtarief8</f>
        <v>0</v>
      </c>
      <c r="P392" s="96" t="e">
        <f>IF(ISBLANK(M392),0,L392/ROUND(M392,4))</f>
        <v>#DIV/0!</v>
      </c>
      <c r="Q392" s="26" t="e">
        <f>ROUND(O392,2)*P392</f>
        <v>#DIV/0!</v>
      </c>
      <c r="R392" s="96" t="e">
        <f>P392*dagenperjaar1</f>
        <v>#DIV/0!</v>
      </c>
      <c r="S392" s="27" t="e">
        <f>R392*ROUND(O392,2)</f>
        <v>#DIV/0!</v>
      </c>
    </row>
    <row r="393" spans="1:19" ht="30" x14ac:dyDescent="0.25">
      <c r="A393" s="93" t="s">
        <v>530</v>
      </c>
      <c r="B393" s="94" t="s">
        <v>37</v>
      </c>
      <c r="C393" s="94" t="s">
        <v>241</v>
      </c>
      <c r="D393" s="94" t="s">
        <v>313</v>
      </c>
      <c r="E393" s="95" t="s">
        <v>606</v>
      </c>
      <c r="F393" s="94" t="s">
        <v>244</v>
      </c>
      <c r="G393" s="94" t="s">
        <v>225</v>
      </c>
      <c r="H393" s="94" t="s">
        <v>11</v>
      </c>
      <c r="I393" s="94" t="s">
        <v>189</v>
      </c>
      <c r="J393" s="95" t="s">
        <v>226</v>
      </c>
      <c r="K393" s="96">
        <v>148.47</v>
      </c>
      <c r="L393" s="96">
        <f>K393*VLOOKUP(H393,dagsoorttabel1,2,FALSE)</f>
        <v>114.20769230769231</v>
      </c>
      <c r="M393" s="97">
        <f>prodnorm20</f>
        <v>0</v>
      </c>
      <c r="N393" s="94" t="s">
        <v>103</v>
      </c>
      <c r="O393" s="26">
        <f>uurtarief20</f>
        <v>0</v>
      </c>
      <c r="P393" s="96" t="e">
        <f>IF(ISBLANK(M393),0,L393/ROUND(M393,4))</f>
        <v>#DIV/0!</v>
      </c>
      <c r="Q393" s="26" t="e">
        <f>ROUND(O393,2)*P393</f>
        <v>#DIV/0!</v>
      </c>
      <c r="R393" s="96" t="e">
        <f>P393*dagenperjaar1</f>
        <v>#DIV/0!</v>
      </c>
      <c r="S393" s="27" t="e">
        <f>R393*ROUND(O393,2)</f>
        <v>#DIV/0!</v>
      </c>
    </row>
    <row r="394" spans="1:19" ht="30" x14ac:dyDescent="0.25">
      <c r="A394" s="93" t="s">
        <v>530</v>
      </c>
      <c r="B394" s="94" t="s">
        <v>37</v>
      </c>
      <c r="C394" s="94" t="s">
        <v>241</v>
      </c>
      <c r="D394" s="94" t="s">
        <v>402</v>
      </c>
      <c r="E394" s="95" t="s">
        <v>436</v>
      </c>
      <c r="F394" s="94" t="s">
        <v>532</v>
      </c>
      <c r="G394" s="94" t="s">
        <v>225</v>
      </c>
      <c r="H394" s="94" t="s">
        <v>11</v>
      </c>
      <c r="I394" s="94" t="s">
        <v>189</v>
      </c>
      <c r="J394" s="95" t="s">
        <v>226</v>
      </c>
      <c r="K394" s="96">
        <v>56.3</v>
      </c>
      <c r="L394" s="96">
        <f>K394*VLOOKUP(H394,dagsoorttabel1,2,FALSE)</f>
        <v>43.307692307692307</v>
      </c>
      <c r="M394" s="97">
        <f>prodnorm20</f>
        <v>0</v>
      </c>
      <c r="N394" s="94" t="s">
        <v>103</v>
      </c>
      <c r="O394" s="26">
        <f>uurtarief20</f>
        <v>0</v>
      </c>
      <c r="P394" s="96" t="e">
        <f>IF(ISBLANK(M394),0,L394/ROUND(M394,4))</f>
        <v>#DIV/0!</v>
      </c>
      <c r="Q394" s="26" t="e">
        <f>ROUND(O394,2)*P394</f>
        <v>#DIV/0!</v>
      </c>
      <c r="R394" s="96" t="e">
        <f>P394*dagenperjaar1</f>
        <v>#DIV/0!</v>
      </c>
      <c r="S394" s="27" t="e">
        <f>R394*ROUND(O394,2)</f>
        <v>#DIV/0!</v>
      </c>
    </row>
    <row r="395" spans="1:19" ht="30" x14ac:dyDescent="0.25">
      <c r="A395" s="93" t="s">
        <v>530</v>
      </c>
      <c r="B395" s="94" t="s">
        <v>37</v>
      </c>
      <c r="C395" s="94" t="s">
        <v>241</v>
      </c>
      <c r="D395" s="94" t="s">
        <v>403</v>
      </c>
      <c r="E395" s="95" t="s">
        <v>436</v>
      </c>
      <c r="F395" s="94" t="s">
        <v>532</v>
      </c>
      <c r="G395" s="94" t="s">
        <v>225</v>
      </c>
      <c r="H395" s="94" t="s">
        <v>11</v>
      </c>
      <c r="I395" s="94" t="s">
        <v>189</v>
      </c>
      <c r="J395" s="95" t="s">
        <v>226</v>
      </c>
      <c r="K395" s="96">
        <v>37.94</v>
      </c>
      <c r="L395" s="96">
        <f>K395*VLOOKUP(H395,dagsoorttabel1,2,FALSE)</f>
        <v>29.184615384615384</v>
      </c>
      <c r="M395" s="97">
        <f>prodnorm20</f>
        <v>0</v>
      </c>
      <c r="N395" s="94" t="s">
        <v>103</v>
      </c>
      <c r="O395" s="26">
        <f>uurtarief20</f>
        <v>0</v>
      </c>
      <c r="P395" s="96" t="e">
        <f>IF(ISBLANK(M395),0,L395/ROUND(M395,4))</f>
        <v>#DIV/0!</v>
      </c>
      <c r="Q395" s="26" t="e">
        <f>ROUND(O395,2)*P395</f>
        <v>#DIV/0!</v>
      </c>
      <c r="R395" s="96" t="e">
        <f>P395*dagenperjaar1</f>
        <v>#DIV/0!</v>
      </c>
      <c r="S395" s="27" t="e">
        <f>R395*ROUND(O395,2)</f>
        <v>#DIV/0!</v>
      </c>
    </row>
    <row r="396" spans="1:19" x14ac:dyDescent="0.25">
      <c r="A396" s="93" t="s">
        <v>530</v>
      </c>
      <c r="B396" s="94" t="s">
        <v>37</v>
      </c>
      <c r="C396" s="94" t="s">
        <v>241</v>
      </c>
      <c r="D396" s="94" t="s">
        <v>607</v>
      </c>
      <c r="E396" s="95" t="s">
        <v>542</v>
      </c>
      <c r="F396" s="94" t="s">
        <v>532</v>
      </c>
      <c r="G396" s="94" t="s">
        <v>209</v>
      </c>
      <c r="H396" s="94" t="s">
        <v>11</v>
      </c>
      <c r="I396" s="94" t="s">
        <v>189</v>
      </c>
      <c r="J396" s="95" t="s">
        <v>210</v>
      </c>
      <c r="K396" s="96">
        <v>24.95</v>
      </c>
      <c r="L396" s="96">
        <f>K396*VLOOKUP(H396,dagsoorttabel1,2,FALSE)</f>
        <v>19.192307692307693</v>
      </c>
      <c r="M396" s="97">
        <f>prodnorm12</f>
        <v>0</v>
      </c>
      <c r="N396" s="94" t="s">
        <v>103</v>
      </c>
      <c r="O396" s="26">
        <f>uurtarief12</f>
        <v>0</v>
      </c>
      <c r="P396" s="96" t="e">
        <f>IF(ISBLANK(M396),0,L396/ROUND(M396,4))</f>
        <v>#DIV/0!</v>
      </c>
      <c r="Q396" s="26" t="e">
        <f>ROUND(O396,2)*P396</f>
        <v>#DIV/0!</v>
      </c>
      <c r="R396" s="96" t="e">
        <f>P396*dagenperjaar1</f>
        <v>#DIV/0!</v>
      </c>
      <c r="S396" s="27" t="e">
        <f>R396*ROUND(O396,2)</f>
        <v>#DIV/0!</v>
      </c>
    </row>
    <row r="397" spans="1:19" ht="30" x14ac:dyDescent="0.25">
      <c r="A397" s="93" t="s">
        <v>530</v>
      </c>
      <c r="B397" s="94" t="s">
        <v>37</v>
      </c>
      <c r="C397" s="94" t="s">
        <v>241</v>
      </c>
      <c r="D397" s="94" t="s">
        <v>608</v>
      </c>
      <c r="E397" s="95" t="s">
        <v>436</v>
      </c>
      <c r="F397" s="94" t="s">
        <v>532</v>
      </c>
      <c r="G397" s="94" t="s">
        <v>225</v>
      </c>
      <c r="H397" s="94" t="s">
        <v>11</v>
      </c>
      <c r="I397" s="94" t="s">
        <v>189</v>
      </c>
      <c r="J397" s="95" t="s">
        <v>226</v>
      </c>
      <c r="K397" s="96">
        <v>16.8</v>
      </c>
      <c r="L397" s="96">
        <f>K397*VLOOKUP(H397,dagsoorttabel1,2,FALSE)</f>
        <v>12.923076923076925</v>
      </c>
      <c r="M397" s="97">
        <f>prodnorm20</f>
        <v>0</v>
      </c>
      <c r="N397" s="94" t="s">
        <v>103</v>
      </c>
      <c r="O397" s="26">
        <f>uurtarief20</f>
        <v>0</v>
      </c>
      <c r="P397" s="96" t="e">
        <f>IF(ISBLANK(M397),0,L397/ROUND(M397,4))</f>
        <v>#DIV/0!</v>
      </c>
      <c r="Q397" s="26" t="e">
        <f>ROUND(O397,2)*P397</f>
        <v>#DIV/0!</v>
      </c>
      <c r="R397" s="96" t="e">
        <f>P397*dagenperjaar1</f>
        <v>#DIV/0!</v>
      </c>
      <c r="S397" s="27" t="e">
        <f>R397*ROUND(O397,2)</f>
        <v>#DIV/0!</v>
      </c>
    </row>
    <row r="398" spans="1:19" ht="30" x14ac:dyDescent="0.25">
      <c r="A398" s="93" t="s">
        <v>530</v>
      </c>
      <c r="B398" s="94" t="s">
        <v>37</v>
      </c>
      <c r="C398" s="94" t="s">
        <v>241</v>
      </c>
      <c r="D398" s="94" t="s">
        <v>609</v>
      </c>
      <c r="E398" s="95" t="s">
        <v>436</v>
      </c>
      <c r="F398" s="94" t="s">
        <v>244</v>
      </c>
      <c r="G398" s="94" t="s">
        <v>225</v>
      </c>
      <c r="H398" s="94" t="s">
        <v>11</v>
      </c>
      <c r="I398" s="94" t="s">
        <v>189</v>
      </c>
      <c r="J398" s="95" t="s">
        <v>226</v>
      </c>
      <c r="K398" s="96">
        <v>16.66</v>
      </c>
      <c r="L398" s="96">
        <f>K398*VLOOKUP(H398,dagsoorttabel1,2,FALSE)</f>
        <v>12.815384615384616</v>
      </c>
      <c r="M398" s="97">
        <f>prodnorm20</f>
        <v>0</v>
      </c>
      <c r="N398" s="94" t="s">
        <v>103</v>
      </c>
      <c r="O398" s="26">
        <f>uurtarief20</f>
        <v>0</v>
      </c>
      <c r="P398" s="96" t="e">
        <f>IF(ISBLANK(M398),0,L398/ROUND(M398,4))</f>
        <v>#DIV/0!</v>
      </c>
      <c r="Q398" s="26" t="e">
        <f>ROUND(O398,2)*P398</f>
        <v>#DIV/0!</v>
      </c>
      <c r="R398" s="96" t="e">
        <f>P398*dagenperjaar1</f>
        <v>#DIV/0!</v>
      </c>
      <c r="S398" s="27" t="e">
        <f>R398*ROUND(O398,2)</f>
        <v>#DIV/0!</v>
      </c>
    </row>
    <row r="399" spans="1:19" x14ac:dyDescent="0.25">
      <c r="A399" s="93" t="s">
        <v>530</v>
      </c>
      <c r="B399" s="94" t="s">
        <v>37</v>
      </c>
      <c r="C399" s="94" t="s">
        <v>241</v>
      </c>
      <c r="D399" s="94" t="s">
        <v>404</v>
      </c>
      <c r="E399" s="95" t="s">
        <v>509</v>
      </c>
      <c r="F399" s="94" t="s">
        <v>532</v>
      </c>
      <c r="G399" s="94" t="s">
        <v>188</v>
      </c>
      <c r="H399" s="94" t="s">
        <v>11</v>
      </c>
      <c r="I399" s="94" t="s">
        <v>189</v>
      </c>
      <c r="J399" s="95" t="s">
        <v>190</v>
      </c>
      <c r="K399" s="96">
        <v>584.03</v>
      </c>
      <c r="L399" s="96">
        <f>K399*VLOOKUP(H399,dagsoorttabel1,2,FALSE)</f>
        <v>449.25384615384615</v>
      </c>
      <c r="M399" s="97">
        <f>prodnorm2</f>
        <v>0</v>
      </c>
      <c r="N399" s="94" t="s">
        <v>103</v>
      </c>
      <c r="O399" s="26">
        <f>uurtarief2</f>
        <v>0</v>
      </c>
      <c r="P399" s="96" t="e">
        <f>IF(ISBLANK(M399),0,L399/ROUND(M399,4))</f>
        <v>#DIV/0!</v>
      </c>
      <c r="Q399" s="26" t="e">
        <f>ROUND(O399,2)*P399</f>
        <v>#DIV/0!</v>
      </c>
      <c r="R399" s="96" t="e">
        <f>P399*dagenperjaar1</f>
        <v>#DIV/0!</v>
      </c>
      <c r="S399" s="27" t="e">
        <f>R399*ROUND(O399,2)</f>
        <v>#DIV/0!</v>
      </c>
    </row>
    <row r="400" spans="1:19" x14ac:dyDescent="0.25">
      <c r="A400" s="93" t="s">
        <v>530</v>
      </c>
      <c r="B400" s="94" t="s">
        <v>37</v>
      </c>
      <c r="C400" s="94" t="s">
        <v>241</v>
      </c>
      <c r="D400" s="94" t="s">
        <v>610</v>
      </c>
      <c r="E400" s="95" t="s">
        <v>611</v>
      </c>
      <c r="F400" s="94" t="s">
        <v>255</v>
      </c>
      <c r="G400" s="94" t="s">
        <v>215</v>
      </c>
      <c r="H400" s="94" t="s">
        <v>11</v>
      </c>
      <c r="I400" s="94" t="s">
        <v>189</v>
      </c>
      <c r="J400" s="95" t="s">
        <v>216</v>
      </c>
      <c r="K400" s="96">
        <v>20.49</v>
      </c>
      <c r="L400" s="96">
        <f>K400*VLOOKUP(H400,dagsoorttabel1,2,FALSE)</f>
        <v>15.761538461538461</v>
      </c>
      <c r="M400" s="97">
        <f>prodnorm15</f>
        <v>0</v>
      </c>
      <c r="N400" s="94" t="s">
        <v>103</v>
      </c>
      <c r="O400" s="26">
        <f>uurtarief15</f>
        <v>0</v>
      </c>
      <c r="P400" s="96" t="e">
        <f>IF(ISBLANK(M400),0,L400/ROUND(M400,4))</f>
        <v>#DIV/0!</v>
      </c>
      <c r="Q400" s="26" t="e">
        <f>ROUND(O400,2)*P400</f>
        <v>#DIV/0!</v>
      </c>
      <c r="R400" s="96" t="e">
        <f>P400*dagenperjaar1</f>
        <v>#DIV/0!</v>
      </c>
      <c r="S400" s="27" t="e">
        <f>R400*ROUND(O400,2)</f>
        <v>#DIV/0!</v>
      </c>
    </row>
    <row r="401" spans="1:19" ht="30" x14ac:dyDescent="0.25">
      <c r="A401" s="93" t="s">
        <v>530</v>
      </c>
      <c r="B401" s="94" t="s">
        <v>37</v>
      </c>
      <c r="C401" s="94" t="s">
        <v>241</v>
      </c>
      <c r="D401" s="94" t="s">
        <v>405</v>
      </c>
      <c r="E401" s="95" t="s">
        <v>436</v>
      </c>
      <c r="F401" s="94" t="s">
        <v>612</v>
      </c>
      <c r="G401" s="94" t="s">
        <v>225</v>
      </c>
      <c r="H401" s="94" t="s">
        <v>11</v>
      </c>
      <c r="I401" s="94" t="s">
        <v>189</v>
      </c>
      <c r="J401" s="95" t="s">
        <v>226</v>
      </c>
      <c r="K401" s="96">
        <v>15.01</v>
      </c>
      <c r="L401" s="96">
        <f>K401*VLOOKUP(H401,dagsoorttabel1,2,FALSE)</f>
        <v>11.546153846153846</v>
      </c>
      <c r="M401" s="97">
        <f>prodnorm20</f>
        <v>0</v>
      </c>
      <c r="N401" s="94" t="s">
        <v>103</v>
      </c>
      <c r="O401" s="26">
        <f>uurtarief20</f>
        <v>0</v>
      </c>
      <c r="P401" s="96" t="e">
        <f>IF(ISBLANK(M401),0,L401/ROUND(M401,4))</f>
        <v>#DIV/0!</v>
      </c>
      <c r="Q401" s="26" t="e">
        <f>ROUND(O401,2)*P401</f>
        <v>#DIV/0!</v>
      </c>
      <c r="R401" s="96" t="e">
        <f>P401*dagenperjaar1</f>
        <v>#DIV/0!</v>
      </c>
      <c r="S401" s="27" t="e">
        <f>R401*ROUND(O401,2)</f>
        <v>#DIV/0!</v>
      </c>
    </row>
    <row r="402" spans="1:19" x14ac:dyDescent="0.25">
      <c r="A402" s="93" t="s">
        <v>530</v>
      </c>
      <c r="B402" s="94" t="s">
        <v>37</v>
      </c>
      <c r="C402" s="94" t="s">
        <v>241</v>
      </c>
      <c r="D402" s="94" t="s">
        <v>406</v>
      </c>
      <c r="E402" s="95" t="s">
        <v>542</v>
      </c>
      <c r="F402" s="94" t="s">
        <v>244</v>
      </c>
      <c r="G402" s="94" t="s">
        <v>209</v>
      </c>
      <c r="H402" s="94" t="s">
        <v>11</v>
      </c>
      <c r="I402" s="94" t="s">
        <v>189</v>
      </c>
      <c r="J402" s="95" t="s">
        <v>210</v>
      </c>
      <c r="K402" s="96">
        <v>26.8</v>
      </c>
      <c r="L402" s="96">
        <f>K402*VLOOKUP(H402,dagsoorttabel1,2,FALSE)</f>
        <v>20.615384615384617</v>
      </c>
      <c r="M402" s="97">
        <f>prodnorm12</f>
        <v>0</v>
      </c>
      <c r="N402" s="94" t="s">
        <v>103</v>
      </c>
      <c r="O402" s="26">
        <f>uurtarief12</f>
        <v>0</v>
      </c>
      <c r="P402" s="96" t="e">
        <f>IF(ISBLANK(M402),0,L402/ROUND(M402,4))</f>
        <v>#DIV/0!</v>
      </c>
      <c r="Q402" s="26" t="e">
        <f>ROUND(O402,2)*P402</f>
        <v>#DIV/0!</v>
      </c>
      <c r="R402" s="96" t="e">
        <f>P402*dagenperjaar1</f>
        <v>#DIV/0!</v>
      </c>
      <c r="S402" s="27" t="e">
        <f>R402*ROUND(O402,2)</f>
        <v>#DIV/0!</v>
      </c>
    </row>
    <row r="403" spans="1:19" x14ac:dyDescent="0.25">
      <c r="A403" s="93" t="s">
        <v>530</v>
      </c>
      <c r="B403" s="94" t="s">
        <v>37</v>
      </c>
      <c r="C403" s="94" t="s">
        <v>285</v>
      </c>
      <c r="D403" s="94" t="s">
        <v>415</v>
      </c>
      <c r="E403" s="95" t="s">
        <v>276</v>
      </c>
      <c r="F403" s="94" t="s">
        <v>244</v>
      </c>
      <c r="G403" s="94" t="s">
        <v>209</v>
      </c>
      <c r="H403" s="94" t="s">
        <v>11</v>
      </c>
      <c r="I403" s="94" t="s">
        <v>189</v>
      </c>
      <c r="J403" s="95" t="s">
        <v>210</v>
      </c>
      <c r="K403" s="96">
        <v>62.71</v>
      </c>
      <c r="L403" s="96">
        <f>K403*VLOOKUP(H403,dagsoorttabel1,2,FALSE)</f>
        <v>48.238461538461543</v>
      </c>
      <c r="M403" s="97">
        <f>prodnorm12</f>
        <v>0</v>
      </c>
      <c r="N403" s="94" t="s">
        <v>103</v>
      </c>
      <c r="O403" s="26">
        <f>uurtarief12</f>
        <v>0</v>
      </c>
      <c r="P403" s="96" t="e">
        <f>IF(ISBLANK(M403),0,L403/ROUND(M403,4))</f>
        <v>#DIV/0!</v>
      </c>
      <c r="Q403" s="26" t="e">
        <f>ROUND(O403,2)*P403</f>
        <v>#DIV/0!</v>
      </c>
      <c r="R403" s="96" t="e">
        <f>P403*dagenperjaar1</f>
        <v>#DIV/0!</v>
      </c>
      <c r="S403" s="27" t="e">
        <f>R403*ROUND(O403,2)</f>
        <v>#DIV/0!</v>
      </c>
    </row>
    <row r="404" spans="1:19" x14ac:dyDescent="0.25">
      <c r="A404" s="93" t="s">
        <v>530</v>
      </c>
      <c r="B404" s="94" t="s">
        <v>37</v>
      </c>
      <c r="C404" s="94" t="s">
        <v>285</v>
      </c>
      <c r="D404" s="94" t="s">
        <v>416</v>
      </c>
      <c r="E404" s="95" t="s">
        <v>542</v>
      </c>
      <c r="F404" s="94" t="s">
        <v>244</v>
      </c>
      <c r="G404" s="94" t="s">
        <v>209</v>
      </c>
      <c r="H404" s="94" t="s">
        <v>11</v>
      </c>
      <c r="I404" s="94" t="s">
        <v>189</v>
      </c>
      <c r="J404" s="95" t="s">
        <v>210</v>
      </c>
      <c r="K404" s="96">
        <v>26.37</v>
      </c>
      <c r="L404" s="96">
        <f>K404*VLOOKUP(H404,dagsoorttabel1,2,FALSE)</f>
        <v>20.284615384615385</v>
      </c>
      <c r="M404" s="97">
        <f>prodnorm12</f>
        <v>0</v>
      </c>
      <c r="N404" s="94" t="s">
        <v>103</v>
      </c>
      <c r="O404" s="26">
        <f>uurtarief12</f>
        <v>0</v>
      </c>
      <c r="P404" s="96" t="e">
        <f>IF(ISBLANK(M404),0,L404/ROUND(M404,4))</f>
        <v>#DIV/0!</v>
      </c>
      <c r="Q404" s="26" t="e">
        <f>ROUND(O404,2)*P404</f>
        <v>#DIV/0!</v>
      </c>
      <c r="R404" s="96" t="e">
        <f>P404*dagenperjaar1</f>
        <v>#DIV/0!</v>
      </c>
      <c r="S404" s="27" t="e">
        <f>R404*ROUND(O404,2)</f>
        <v>#DIV/0!</v>
      </c>
    </row>
    <row r="405" spans="1:19" x14ac:dyDescent="0.25">
      <c r="A405" s="93" t="s">
        <v>530</v>
      </c>
      <c r="B405" s="94" t="s">
        <v>37</v>
      </c>
      <c r="C405" s="94" t="s">
        <v>285</v>
      </c>
      <c r="D405" s="94" t="s">
        <v>417</v>
      </c>
      <c r="E405" s="95" t="s">
        <v>276</v>
      </c>
      <c r="F405" s="94" t="s">
        <v>244</v>
      </c>
      <c r="G405" s="94" t="s">
        <v>209</v>
      </c>
      <c r="H405" s="94" t="s">
        <v>11</v>
      </c>
      <c r="I405" s="94" t="s">
        <v>189</v>
      </c>
      <c r="J405" s="95" t="s">
        <v>210</v>
      </c>
      <c r="K405" s="96">
        <v>47.59</v>
      </c>
      <c r="L405" s="96">
        <f>K405*VLOOKUP(H405,dagsoorttabel1,2,FALSE)</f>
        <v>36.607692307692311</v>
      </c>
      <c r="M405" s="97">
        <f>prodnorm12</f>
        <v>0</v>
      </c>
      <c r="N405" s="94" t="s">
        <v>103</v>
      </c>
      <c r="O405" s="26">
        <f>uurtarief12</f>
        <v>0</v>
      </c>
      <c r="P405" s="96" t="e">
        <f>IF(ISBLANK(M405),0,L405/ROUND(M405,4))</f>
        <v>#DIV/0!</v>
      </c>
      <c r="Q405" s="26" t="e">
        <f>ROUND(O405,2)*P405</f>
        <v>#DIV/0!</v>
      </c>
      <c r="R405" s="96" t="e">
        <f>P405*dagenperjaar1</f>
        <v>#DIV/0!</v>
      </c>
      <c r="S405" s="27" t="e">
        <f>R405*ROUND(O405,2)</f>
        <v>#DIV/0!</v>
      </c>
    </row>
    <row r="406" spans="1:19" x14ac:dyDescent="0.25">
      <c r="A406" s="93" t="s">
        <v>530</v>
      </c>
      <c r="B406" s="94" t="s">
        <v>37</v>
      </c>
      <c r="C406" s="94" t="s">
        <v>285</v>
      </c>
      <c r="D406" s="94" t="s">
        <v>418</v>
      </c>
      <c r="E406" s="95" t="s">
        <v>613</v>
      </c>
      <c r="F406" s="94" t="s">
        <v>244</v>
      </c>
      <c r="G406" s="94" t="s">
        <v>195</v>
      </c>
      <c r="H406" s="94" t="s">
        <v>11</v>
      </c>
      <c r="I406" s="94" t="s">
        <v>189</v>
      </c>
      <c r="J406" s="95" t="s">
        <v>196</v>
      </c>
      <c r="K406" s="96">
        <v>10.75</v>
      </c>
      <c r="L406" s="96">
        <f>K406*VLOOKUP(H406,dagsoorttabel1,2,FALSE)</f>
        <v>8.2692307692307701</v>
      </c>
      <c r="M406" s="97">
        <f>prodnorm5</f>
        <v>0</v>
      </c>
      <c r="N406" s="94" t="s">
        <v>103</v>
      </c>
      <c r="O406" s="26">
        <f>uurtarief5</f>
        <v>0</v>
      </c>
      <c r="P406" s="96" t="e">
        <f>IF(ISBLANK(M406),0,L406/ROUND(M406,4))</f>
        <v>#DIV/0!</v>
      </c>
      <c r="Q406" s="26" t="e">
        <f>ROUND(O406,2)*P406</f>
        <v>#DIV/0!</v>
      </c>
      <c r="R406" s="96" t="e">
        <f>P406*dagenperjaar1</f>
        <v>#DIV/0!</v>
      </c>
      <c r="S406" s="27" t="e">
        <f>R406*ROUND(O406,2)</f>
        <v>#DIV/0!</v>
      </c>
    </row>
    <row r="407" spans="1:19" x14ac:dyDescent="0.25">
      <c r="A407" s="93" t="s">
        <v>530</v>
      </c>
      <c r="B407" s="94" t="s">
        <v>37</v>
      </c>
      <c r="C407" s="94" t="s">
        <v>285</v>
      </c>
      <c r="D407" s="94" t="s">
        <v>614</v>
      </c>
      <c r="E407" s="95" t="s">
        <v>265</v>
      </c>
      <c r="F407" s="94" t="s">
        <v>244</v>
      </c>
      <c r="G407" s="94" t="s">
        <v>223</v>
      </c>
      <c r="H407" s="94" t="s">
        <v>11</v>
      </c>
      <c r="I407" s="94" t="s">
        <v>189</v>
      </c>
      <c r="J407" s="95" t="s">
        <v>224</v>
      </c>
      <c r="K407" s="96">
        <v>35.770000000000003</v>
      </c>
      <c r="L407" s="96">
        <f>K407*VLOOKUP(H407,dagsoorttabel1,2,FALSE)</f>
        <v>27.515384615384619</v>
      </c>
      <c r="M407" s="97">
        <f>prodnorm19</f>
        <v>0</v>
      </c>
      <c r="N407" s="94" t="s">
        <v>103</v>
      </c>
      <c r="O407" s="26">
        <f>uurtarief19</f>
        <v>0</v>
      </c>
      <c r="P407" s="96" t="e">
        <f>IF(ISBLANK(M407),0,L407/ROUND(M407,4))</f>
        <v>#DIV/0!</v>
      </c>
      <c r="Q407" s="26" t="e">
        <f>ROUND(O407,2)*P407</f>
        <v>#DIV/0!</v>
      </c>
      <c r="R407" s="96" t="e">
        <f>P407*dagenperjaar1</f>
        <v>#DIV/0!</v>
      </c>
      <c r="S407" s="27" t="e">
        <f>R407*ROUND(O407,2)</f>
        <v>#DIV/0!</v>
      </c>
    </row>
    <row r="408" spans="1:19" x14ac:dyDescent="0.25">
      <c r="A408" s="93" t="s">
        <v>530</v>
      </c>
      <c r="B408" s="94" t="s">
        <v>37</v>
      </c>
      <c r="C408" s="94" t="s">
        <v>285</v>
      </c>
      <c r="D408" s="94" t="s">
        <v>615</v>
      </c>
      <c r="E408" s="95" t="s">
        <v>276</v>
      </c>
      <c r="F408" s="94" t="s">
        <v>244</v>
      </c>
      <c r="G408" s="94" t="s">
        <v>209</v>
      </c>
      <c r="H408" s="94" t="s">
        <v>11</v>
      </c>
      <c r="I408" s="94" t="s">
        <v>189</v>
      </c>
      <c r="J408" s="95" t="s">
        <v>210</v>
      </c>
      <c r="K408" s="96">
        <v>47.87</v>
      </c>
      <c r="L408" s="96">
        <f>K408*VLOOKUP(H408,dagsoorttabel1,2,FALSE)</f>
        <v>36.823076923076925</v>
      </c>
      <c r="M408" s="97">
        <f>prodnorm12</f>
        <v>0</v>
      </c>
      <c r="N408" s="94" t="s">
        <v>103</v>
      </c>
      <c r="O408" s="26">
        <f>uurtarief12</f>
        <v>0</v>
      </c>
      <c r="P408" s="96" t="e">
        <f>IF(ISBLANK(M408),0,L408/ROUND(M408,4))</f>
        <v>#DIV/0!</v>
      </c>
      <c r="Q408" s="26" t="e">
        <f>ROUND(O408,2)*P408</f>
        <v>#DIV/0!</v>
      </c>
      <c r="R408" s="96" t="e">
        <f>P408*dagenperjaar1</f>
        <v>#DIV/0!</v>
      </c>
      <c r="S408" s="27" t="e">
        <f>R408*ROUND(O408,2)</f>
        <v>#DIV/0!</v>
      </c>
    </row>
    <row r="409" spans="1:19" x14ac:dyDescent="0.25">
      <c r="A409" s="93" t="s">
        <v>530</v>
      </c>
      <c r="B409" s="94" t="s">
        <v>37</v>
      </c>
      <c r="C409" s="94" t="s">
        <v>285</v>
      </c>
      <c r="D409" s="94" t="s">
        <v>616</v>
      </c>
      <c r="E409" s="95" t="s">
        <v>542</v>
      </c>
      <c r="F409" s="94" t="s">
        <v>244</v>
      </c>
      <c r="G409" s="94" t="s">
        <v>209</v>
      </c>
      <c r="H409" s="94" t="s">
        <v>11</v>
      </c>
      <c r="I409" s="94" t="s">
        <v>189</v>
      </c>
      <c r="J409" s="95" t="s">
        <v>210</v>
      </c>
      <c r="K409" s="96">
        <v>22.71</v>
      </c>
      <c r="L409" s="96">
        <f>K409*VLOOKUP(H409,dagsoorttabel1,2,FALSE)</f>
        <v>17.469230769230769</v>
      </c>
      <c r="M409" s="97">
        <f>prodnorm12</f>
        <v>0</v>
      </c>
      <c r="N409" s="94" t="s">
        <v>103</v>
      </c>
      <c r="O409" s="26">
        <f>uurtarief12</f>
        <v>0</v>
      </c>
      <c r="P409" s="96" t="e">
        <f>IF(ISBLANK(M409),0,L409/ROUND(M409,4))</f>
        <v>#DIV/0!</v>
      </c>
      <c r="Q409" s="26" t="e">
        <f>ROUND(O409,2)*P409</f>
        <v>#DIV/0!</v>
      </c>
      <c r="R409" s="96" t="e">
        <f>P409*dagenperjaar1</f>
        <v>#DIV/0!</v>
      </c>
      <c r="S409" s="27" t="e">
        <f>R409*ROUND(O409,2)</f>
        <v>#DIV/0!</v>
      </c>
    </row>
    <row r="410" spans="1:19" x14ac:dyDescent="0.25">
      <c r="A410" s="93" t="s">
        <v>530</v>
      </c>
      <c r="B410" s="94" t="s">
        <v>37</v>
      </c>
      <c r="C410" s="94" t="s">
        <v>285</v>
      </c>
      <c r="D410" s="94" t="s">
        <v>617</v>
      </c>
      <c r="E410" s="95" t="s">
        <v>276</v>
      </c>
      <c r="F410" s="94" t="s">
        <v>244</v>
      </c>
      <c r="G410" s="94" t="s">
        <v>209</v>
      </c>
      <c r="H410" s="94" t="s">
        <v>11</v>
      </c>
      <c r="I410" s="94" t="s">
        <v>189</v>
      </c>
      <c r="J410" s="95" t="s">
        <v>210</v>
      </c>
      <c r="K410" s="96">
        <v>47.87</v>
      </c>
      <c r="L410" s="96">
        <f>K410*VLOOKUP(H410,dagsoorttabel1,2,FALSE)</f>
        <v>36.823076923076925</v>
      </c>
      <c r="M410" s="97">
        <f>prodnorm12</f>
        <v>0</v>
      </c>
      <c r="N410" s="94" t="s">
        <v>103</v>
      </c>
      <c r="O410" s="26">
        <f>uurtarief12</f>
        <v>0</v>
      </c>
      <c r="P410" s="96" t="e">
        <f>IF(ISBLANK(M410),0,L410/ROUND(M410,4))</f>
        <v>#DIV/0!</v>
      </c>
      <c r="Q410" s="26" t="e">
        <f>ROUND(O410,2)*P410</f>
        <v>#DIV/0!</v>
      </c>
      <c r="R410" s="96" t="e">
        <f>P410*dagenperjaar1</f>
        <v>#DIV/0!</v>
      </c>
      <c r="S410" s="27" t="e">
        <f>R410*ROUND(O410,2)</f>
        <v>#DIV/0!</v>
      </c>
    </row>
    <row r="411" spans="1:19" ht="30" x14ac:dyDescent="0.25">
      <c r="A411" s="93" t="s">
        <v>530</v>
      </c>
      <c r="B411" s="94" t="s">
        <v>37</v>
      </c>
      <c r="C411" s="94" t="s">
        <v>285</v>
      </c>
      <c r="D411" s="94" t="s">
        <v>618</v>
      </c>
      <c r="E411" s="95" t="s">
        <v>436</v>
      </c>
      <c r="F411" s="94" t="s">
        <v>255</v>
      </c>
      <c r="G411" s="94" t="s">
        <v>225</v>
      </c>
      <c r="H411" s="94" t="s">
        <v>11</v>
      </c>
      <c r="I411" s="94" t="s">
        <v>189</v>
      </c>
      <c r="J411" s="95" t="s">
        <v>226</v>
      </c>
      <c r="K411" s="96">
        <v>71.990000000000009</v>
      </c>
      <c r="L411" s="96">
        <f>K411*VLOOKUP(H411,dagsoorttabel1,2,FALSE)</f>
        <v>55.376923076923084</v>
      </c>
      <c r="M411" s="97">
        <f>prodnorm20</f>
        <v>0</v>
      </c>
      <c r="N411" s="94" t="s">
        <v>103</v>
      </c>
      <c r="O411" s="26">
        <f>uurtarief20</f>
        <v>0</v>
      </c>
      <c r="P411" s="96" t="e">
        <f>IF(ISBLANK(M411),0,L411/ROUND(M411,4))</f>
        <v>#DIV/0!</v>
      </c>
      <c r="Q411" s="26" t="e">
        <f>ROUND(O411,2)*P411</f>
        <v>#DIV/0!</v>
      </c>
      <c r="R411" s="96" t="e">
        <f>P411*dagenperjaar1</f>
        <v>#DIV/0!</v>
      </c>
      <c r="S411" s="27" t="e">
        <f>R411*ROUND(O411,2)</f>
        <v>#DIV/0!</v>
      </c>
    </row>
    <row r="412" spans="1:19" ht="30" x14ac:dyDescent="0.25">
      <c r="A412" s="93" t="s">
        <v>530</v>
      </c>
      <c r="B412" s="94" t="s">
        <v>37</v>
      </c>
      <c r="C412" s="94" t="s">
        <v>285</v>
      </c>
      <c r="D412" s="94" t="s">
        <v>619</v>
      </c>
      <c r="E412" s="95" t="s">
        <v>491</v>
      </c>
      <c r="F412" s="94" t="s">
        <v>532</v>
      </c>
      <c r="G412" s="94" t="s">
        <v>191</v>
      </c>
      <c r="H412" s="94" t="s">
        <v>11</v>
      </c>
      <c r="I412" s="94" t="s">
        <v>189</v>
      </c>
      <c r="J412" s="95" t="s">
        <v>192</v>
      </c>
      <c r="K412" s="96">
        <v>11.42</v>
      </c>
      <c r="L412" s="96">
        <f>K412*VLOOKUP(H412,dagsoorttabel1,2,FALSE)</f>
        <v>8.7846153846153854</v>
      </c>
      <c r="M412" s="97">
        <f>prodnorm3</f>
        <v>0</v>
      </c>
      <c r="N412" s="94" t="s">
        <v>103</v>
      </c>
      <c r="O412" s="26">
        <f>uurtarief3</f>
        <v>0</v>
      </c>
      <c r="P412" s="96" t="e">
        <f>IF(ISBLANK(M412),0,L412/ROUND(M412,4))</f>
        <v>#DIV/0!</v>
      </c>
      <c r="Q412" s="26" t="e">
        <f>ROUND(O412,2)*P412</f>
        <v>#DIV/0!</v>
      </c>
      <c r="R412" s="96" t="e">
        <f>P412*dagenperjaar1</f>
        <v>#DIV/0!</v>
      </c>
      <c r="S412" s="27" t="e">
        <f>R412*ROUND(O412,2)</f>
        <v>#DIV/0!</v>
      </c>
    </row>
    <row r="413" spans="1:19" x14ac:dyDescent="0.25">
      <c r="A413" s="93" t="s">
        <v>530</v>
      </c>
      <c r="B413" s="94" t="s">
        <v>37</v>
      </c>
      <c r="C413" s="94" t="s">
        <v>285</v>
      </c>
      <c r="D413" s="94" t="s">
        <v>620</v>
      </c>
      <c r="E413" s="95" t="s">
        <v>276</v>
      </c>
      <c r="F413" s="94" t="s">
        <v>244</v>
      </c>
      <c r="G413" s="94" t="s">
        <v>209</v>
      </c>
      <c r="H413" s="94" t="s">
        <v>11</v>
      </c>
      <c r="I413" s="94" t="s">
        <v>189</v>
      </c>
      <c r="J413" s="95" t="s">
        <v>210</v>
      </c>
      <c r="K413" s="96">
        <v>47.87</v>
      </c>
      <c r="L413" s="96">
        <f>K413*VLOOKUP(H413,dagsoorttabel1,2,FALSE)</f>
        <v>36.823076923076925</v>
      </c>
      <c r="M413" s="97">
        <f>prodnorm12</f>
        <v>0</v>
      </c>
      <c r="N413" s="94" t="s">
        <v>103</v>
      </c>
      <c r="O413" s="26">
        <f>uurtarief12</f>
        <v>0</v>
      </c>
      <c r="P413" s="96" t="e">
        <f>IF(ISBLANK(M413),0,L413/ROUND(M413,4))</f>
        <v>#DIV/0!</v>
      </c>
      <c r="Q413" s="26" t="e">
        <f>ROUND(O413,2)*P413</f>
        <v>#DIV/0!</v>
      </c>
      <c r="R413" s="96" t="e">
        <f>P413*dagenperjaar1</f>
        <v>#DIV/0!</v>
      </c>
      <c r="S413" s="27" t="e">
        <f>R413*ROUND(O413,2)</f>
        <v>#DIV/0!</v>
      </c>
    </row>
    <row r="414" spans="1:19" ht="30" x14ac:dyDescent="0.25">
      <c r="A414" s="93" t="s">
        <v>530</v>
      </c>
      <c r="B414" s="94" t="s">
        <v>37</v>
      </c>
      <c r="C414" s="94" t="s">
        <v>285</v>
      </c>
      <c r="D414" s="94" t="s">
        <v>621</v>
      </c>
      <c r="E414" s="95" t="s">
        <v>491</v>
      </c>
      <c r="F414" s="94" t="s">
        <v>532</v>
      </c>
      <c r="G414" s="94" t="s">
        <v>191</v>
      </c>
      <c r="H414" s="94" t="s">
        <v>11</v>
      </c>
      <c r="I414" s="94" t="s">
        <v>189</v>
      </c>
      <c r="J414" s="95" t="s">
        <v>192</v>
      </c>
      <c r="K414" s="96">
        <v>11.68</v>
      </c>
      <c r="L414" s="96">
        <f>K414*VLOOKUP(H414,dagsoorttabel1,2,FALSE)</f>
        <v>8.9846153846153847</v>
      </c>
      <c r="M414" s="97">
        <f>prodnorm3</f>
        <v>0</v>
      </c>
      <c r="N414" s="94" t="s">
        <v>103</v>
      </c>
      <c r="O414" s="26">
        <f>uurtarief3</f>
        <v>0</v>
      </c>
      <c r="P414" s="96" t="e">
        <f>IF(ISBLANK(M414),0,L414/ROUND(M414,4))</f>
        <v>#DIV/0!</v>
      </c>
      <c r="Q414" s="26" t="e">
        <f>ROUND(O414,2)*P414</f>
        <v>#DIV/0!</v>
      </c>
      <c r="R414" s="96" t="e">
        <f>P414*dagenperjaar1</f>
        <v>#DIV/0!</v>
      </c>
      <c r="S414" s="27" t="e">
        <f>R414*ROUND(O414,2)</f>
        <v>#DIV/0!</v>
      </c>
    </row>
    <row r="415" spans="1:19" x14ac:dyDescent="0.25">
      <c r="A415" s="93" t="s">
        <v>530</v>
      </c>
      <c r="B415" s="94" t="s">
        <v>37</v>
      </c>
      <c r="C415" s="94" t="s">
        <v>285</v>
      </c>
      <c r="D415" s="94" t="s">
        <v>622</v>
      </c>
      <c r="E415" s="95" t="s">
        <v>276</v>
      </c>
      <c r="F415" s="94" t="s">
        <v>244</v>
      </c>
      <c r="G415" s="94" t="s">
        <v>209</v>
      </c>
      <c r="H415" s="94" t="s">
        <v>11</v>
      </c>
      <c r="I415" s="94" t="s">
        <v>189</v>
      </c>
      <c r="J415" s="95" t="s">
        <v>210</v>
      </c>
      <c r="K415" s="96">
        <v>47.87</v>
      </c>
      <c r="L415" s="96">
        <f>K415*VLOOKUP(H415,dagsoorttabel1,2,FALSE)</f>
        <v>36.823076923076925</v>
      </c>
      <c r="M415" s="97">
        <f>prodnorm12</f>
        <v>0</v>
      </c>
      <c r="N415" s="94" t="s">
        <v>103</v>
      </c>
      <c r="O415" s="26">
        <f>uurtarief12</f>
        <v>0</v>
      </c>
      <c r="P415" s="96" t="e">
        <f>IF(ISBLANK(M415),0,L415/ROUND(M415,4))</f>
        <v>#DIV/0!</v>
      </c>
      <c r="Q415" s="26" t="e">
        <f>ROUND(O415,2)*P415</f>
        <v>#DIV/0!</v>
      </c>
      <c r="R415" s="96" t="e">
        <f>P415*dagenperjaar1</f>
        <v>#DIV/0!</v>
      </c>
      <c r="S415" s="27" t="e">
        <f>R415*ROUND(O415,2)</f>
        <v>#DIV/0!</v>
      </c>
    </row>
    <row r="416" spans="1:19" ht="30" x14ac:dyDescent="0.25">
      <c r="A416" s="93" t="s">
        <v>530</v>
      </c>
      <c r="B416" s="94" t="s">
        <v>37</v>
      </c>
      <c r="C416" s="94" t="s">
        <v>285</v>
      </c>
      <c r="D416" s="94" t="s">
        <v>623</v>
      </c>
      <c r="E416" s="95" t="s">
        <v>491</v>
      </c>
      <c r="F416" s="94" t="s">
        <v>532</v>
      </c>
      <c r="G416" s="94" t="s">
        <v>191</v>
      </c>
      <c r="H416" s="94" t="s">
        <v>11</v>
      </c>
      <c r="I416" s="94" t="s">
        <v>189</v>
      </c>
      <c r="J416" s="95" t="s">
        <v>192</v>
      </c>
      <c r="K416" s="96">
        <v>23.17</v>
      </c>
      <c r="L416" s="96">
        <f>K416*VLOOKUP(H416,dagsoorttabel1,2,FALSE)</f>
        <v>17.823076923076925</v>
      </c>
      <c r="M416" s="97">
        <f>prodnorm3</f>
        <v>0</v>
      </c>
      <c r="N416" s="94" t="s">
        <v>103</v>
      </c>
      <c r="O416" s="26">
        <f>uurtarief3</f>
        <v>0</v>
      </c>
      <c r="P416" s="96" t="e">
        <f>IF(ISBLANK(M416),0,L416/ROUND(M416,4))</f>
        <v>#DIV/0!</v>
      </c>
      <c r="Q416" s="26" t="e">
        <f>ROUND(O416,2)*P416</f>
        <v>#DIV/0!</v>
      </c>
      <c r="R416" s="96" t="e">
        <f>P416*dagenperjaar1</f>
        <v>#DIV/0!</v>
      </c>
      <c r="S416" s="27" t="e">
        <f>R416*ROUND(O416,2)</f>
        <v>#DIV/0!</v>
      </c>
    </row>
    <row r="417" spans="1:19" x14ac:dyDescent="0.25">
      <c r="A417" s="93" t="s">
        <v>530</v>
      </c>
      <c r="B417" s="94" t="s">
        <v>37</v>
      </c>
      <c r="C417" s="94" t="s">
        <v>285</v>
      </c>
      <c r="D417" s="94" t="s">
        <v>624</v>
      </c>
      <c r="E417" s="95" t="s">
        <v>276</v>
      </c>
      <c r="F417" s="94" t="s">
        <v>244</v>
      </c>
      <c r="G417" s="94" t="s">
        <v>209</v>
      </c>
      <c r="H417" s="94" t="s">
        <v>11</v>
      </c>
      <c r="I417" s="94" t="s">
        <v>189</v>
      </c>
      <c r="J417" s="95" t="s">
        <v>210</v>
      </c>
      <c r="K417" s="96">
        <v>47.04</v>
      </c>
      <c r="L417" s="96">
        <f>K417*VLOOKUP(H417,dagsoorttabel1,2,FALSE)</f>
        <v>36.184615384615384</v>
      </c>
      <c r="M417" s="97">
        <f>prodnorm12</f>
        <v>0</v>
      </c>
      <c r="N417" s="94" t="s">
        <v>103</v>
      </c>
      <c r="O417" s="26">
        <f>uurtarief12</f>
        <v>0</v>
      </c>
      <c r="P417" s="96" t="e">
        <f>IF(ISBLANK(M417),0,L417/ROUND(M417,4))</f>
        <v>#DIV/0!</v>
      </c>
      <c r="Q417" s="26" t="e">
        <f>ROUND(O417,2)*P417</f>
        <v>#DIV/0!</v>
      </c>
      <c r="R417" s="96" t="e">
        <f>P417*dagenperjaar1</f>
        <v>#DIV/0!</v>
      </c>
      <c r="S417" s="27" t="e">
        <f>R417*ROUND(O417,2)</f>
        <v>#DIV/0!</v>
      </c>
    </row>
    <row r="418" spans="1:19" x14ac:dyDescent="0.25">
      <c r="A418" s="93" t="s">
        <v>530</v>
      </c>
      <c r="B418" s="94" t="s">
        <v>37</v>
      </c>
      <c r="C418" s="94" t="s">
        <v>285</v>
      </c>
      <c r="D418" s="94" t="s">
        <v>625</v>
      </c>
      <c r="E418" s="95" t="s">
        <v>589</v>
      </c>
      <c r="F418" s="94" t="s">
        <v>37</v>
      </c>
      <c r="G418" s="94" t="s">
        <v>248</v>
      </c>
      <c r="H418" s="94"/>
      <c r="I418" s="94"/>
      <c r="J418" s="94"/>
      <c r="K418" s="96">
        <v>0</v>
      </c>
      <c r="L418" s="96"/>
      <c r="M418" s="97"/>
      <c r="N418" s="94"/>
      <c r="O418" s="26"/>
      <c r="P418" s="96"/>
      <c r="Q418" s="26"/>
      <c r="R418" s="98"/>
      <c r="S418" s="27"/>
    </row>
    <row r="419" spans="1:19" ht="30" x14ac:dyDescent="0.25">
      <c r="A419" s="93" t="s">
        <v>530</v>
      </c>
      <c r="B419" s="94" t="s">
        <v>37</v>
      </c>
      <c r="C419" s="94" t="s">
        <v>285</v>
      </c>
      <c r="D419" s="94" t="s">
        <v>626</v>
      </c>
      <c r="E419" s="95" t="s">
        <v>491</v>
      </c>
      <c r="F419" s="94" t="s">
        <v>244</v>
      </c>
      <c r="G419" s="94" t="s">
        <v>191</v>
      </c>
      <c r="H419" s="94" t="s">
        <v>11</v>
      </c>
      <c r="I419" s="94" t="s">
        <v>189</v>
      </c>
      <c r="J419" s="95" t="s">
        <v>192</v>
      </c>
      <c r="K419" s="96">
        <v>23.3</v>
      </c>
      <c r="L419" s="96">
        <f>K419*VLOOKUP(H419,dagsoorttabel1,2,FALSE)</f>
        <v>17.923076923076923</v>
      </c>
      <c r="M419" s="97">
        <f>prodnorm3</f>
        <v>0</v>
      </c>
      <c r="N419" s="94" t="s">
        <v>103</v>
      </c>
      <c r="O419" s="26">
        <f>uurtarief3</f>
        <v>0</v>
      </c>
      <c r="P419" s="96" t="e">
        <f>IF(ISBLANK(M419),0,L419/ROUND(M419,4))</f>
        <v>#DIV/0!</v>
      </c>
      <c r="Q419" s="26" t="e">
        <f>ROUND(O419,2)*P419</f>
        <v>#DIV/0!</v>
      </c>
      <c r="R419" s="96" t="e">
        <f>P419*dagenperjaar1</f>
        <v>#DIV/0!</v>
      </c>
      <c r="S419" s="27" t="e">
        <f>R419*ROUND(O419,2)</f>
        <v>#DIV/0!</v>
      </c>
    </row>
    <row r="420" spans="1:19" x14ac:dyDescent="0.25">
      <c r="A420" s="93" t="s">
        <v>530</v>
      </c>
      <c r="B420" s="94" t="s">
        <v>37</v>
      </c>
      <c r="C420" s="94" t="s">
        <v>285</v>
      </c>
      <c r="D420" s="94" t="s">
        <v>627</v>
      </c>
      <c r="E420" s="95" t="s">
        <v>276</v>
      </c>
      <c r="F420" s="94" t="s">
        <v>244</v>
      </c>
      <c r="G420" s="94" t="s">
        <v>209</v>
      </c>
      <c r="H420" s="94" t="s">
        <v>11</v>
      </c>
      <c r="I420" s="94" t="s">
        <v>189</v>
      </c>
      <c r="J420" s="95" t="s">
        <v>210</v>
      </c>
      <c r="K420" s="96">
        <v>47.87</v>
      </c>
      <c r="L420" s="96">
        <f>K420*VLOOKUP(H420,dagsoorttabel1,2,FALSE)</f>
        <v>36.823076923076925</v>
      </c>
      <c r="M420" s="97">
        <f>prodnorm12</f>
        <v>0</v>
      </c>
      <c r="N420" s="94" t="s">
        <v>103</v>
      </c>
      <c r="O420" s="26">
        <f>uurtarief12</f>
        <v>0</v>
      </c>
      <c r="P420" s="96" t="e">
        <f>IF(ISBLANK(M420),0,L420/ROUND(M420,4))</f>
        <v>#DIV/0!</v>
      </c>
      <c r="Q420" s="26" t="e">
        <f>ROUND(O420,2)*P420</f>
        <v>#DIV/0!</v>
      </c>
      <c r="R420" s="96" t="e">
        <f>P420*dagenperjaar1</f>
        <v>#DIV/0!</v>
      </c>
      <c r="S420" s="27" t="e">
        <f>R420*ROUND(O420,2)</f>
        <v>#DIV/0!</v>
      </c>
    </row>
    <row r="421" spans="1:19" ht="30" x14ac:dyDescent="0.25">
      <c r="A421" s="93" t="s">
        <v>530</v>
      </c>
      <c r="B421" s="94" t="s">
        <v>37</v>
      </c>
      <c r="C421" s="94" t="s">
        <v>285</v>
      </c>
      <c r="D421" s="94" t="s">
        <v>628</v>
      </c>
      <c r="E421" s="95" t="s">
        <v>436</v>
      </c>
      <c r="F421" s="94" t="s">
        <v>255</v>
      </c>
      <c r="G421" s="94" t="s">
        <v>225</v>
      </c>
      <c r="H421" s="94" t="s">
        <v>11</v>
      </c>
      <c r="I421" s="94" t="s">
        <v>189</v>
      </c>
      <c r="J421" s="95" t="s">
        <v>226</v>
      </c>
      <c r="K421" s="96">
        <v>89.06</v>
      </c>
      <c r="L421" s="96">
        <f>K421*VLOOKUP(H421,dagsoorttabel1,2,FALSE)</f>
        <v>68.507692307692309</v>
      </c>
      <c r="M421" s="97">
        <f>prodnorm20</f>
        <v>0</v>
      </c>
      <c r="N421" s="94" t="s">
        <v>103</v>
      </c>
      <c r="O421" s="26">
        <f>uurtarief20</f>
        <v>0</v>
      </c>
      <c r="P421" s="96" t="e">
        <f>IF(ISBLANK(M421),0,L421/ROUND(M421,4))</f>
        <v>#DIV/0!</v>
      </c>
      <c r="Q421" s="26" t="e">
        <f>ROUND(O421,2)*P421</f>
        <v>#DIV/0!</v>
      </c>
      <c r="R421" s="96" t="e">
        <f>P421*dagenperjaar1</f>
        <v>#DIV/0!</v>
      </c>
      <c r="S421" s="27" t="e">
        <f>R421*ROUND(O421,2)</f>
        <v>#DIV/0!</v>
      </c>
    </row>
    <row r="422" spans="1:19" x14ac:dyDescent="0.25">
      <c r="A422" s="93" t="s">
        <v>530</v>
      </c>
      <c r="B422" s="94" t="s">
        <v>37</v>
      </c>
      <c r="C422" s="94" t="s">
        <v>285</v>
      </c>
      <c r="D422" s="94" t="s">
        <v>629</v>
      </c>
      <c r="E422" s="95" t="s">
        <v>630</v>
      </c>
      <c r="F422" s="94" t="s">
        <v>244</v>
      </c>
      <c r="G422" s="94" t="s">
        <v>209</v>
      </c>
      <c r="H422" s="94" t="s">
        <v>11</v>
      </c>
      <c r="I422" s="94" t="s">
        <v>189</v>
      </c>
      <c r="J422" s="95" t="s">
        <v>210</v>
      </c>
      <c r="K422" s="96">
        <v>3.68</v>
      </c>
      <c r="L422" s="96">
        <f>K422*VLOOKUP(H422,dagsoorttabel1,2,FALSE)</f>
        <v>2.8307692307692309</v>
      </c>
      <c r="M422" s="97">
        <f>prodnorm12</f>
        <v>0</v>
      </c>
      <c r="N422" s="94" t="s">
        <v>103</v>
      </c>
      <c r="O422" s="26">
        <f>uurtarief12</f>
        <v>0</v>
      </c>
      <c r="P422" s="96" t="e">
        <f>IF(ISBLANK(M422),0,L422/ROUND(M422,4))</f>
        <v>#DIV/0!</v>
      </c>
      <c r="Q422" s="26" t="e">
        <f>ROUND(O422,2)*P422</f>
        <v>#DIV/0!</v>
      </c>
      <c r="R422" s="96" t="e">
        <f>P422*dagenperjaar1</f>
        <v>#DIV/0!</v>
      </c>
      <c r="S422" s="27" t="e">
        <f>R422*ROUND(O422,2)</f>
        <v>#DIV/0!</v>
      </c>
    </row>
    <row r="423" spans="1:19" x14ac:dyDescent="0.25">
      <c r="A423" s="93" t="s">
        <v>530</v>
      </c>
      <c r="B423" s="94" t="s">
        <v>37</v>
      </c>
      <c r="C423" s="94" t="s">
        <v>285</v>
      </c>
      <c r="D423" s="94" t="s">
        <v>631</v>
      </c>
      <c r="E423" s="95" t="s">
        <v>600</v>
      </c>
      <c r="F423" s="94" t="s">
        <v>255</v>
      </c>
      <c r="G423" s="94" t="s">
        <v>221</v>
      </c>
      <c r="H423" s="94" t="s">
        <v>11</v>
      </c>
      <c r="I423" s="94" t="s">
        <v>189</v>
      </c>
      <c r="J423" s="95" t="s">
        <v>222</v>
      </c>
      <c r="K423" s="96">
        <v>17.810000000000002</v>
      </c>
      <c r="L423" s="96">
        <f>K423*VLOOKUP(H423,dagsoorttabel1,2,FALSE)</f>
        <v>13.700000000000003</v>
      </c>
      <c r="M423" s="97">
        <f>prodnorm18</f>
        <v>0</v>
      </c>
      <c r="N423" s="94" t="s">
        <v>103</v>
      </c>
      <c r="O423" s="26">
        <f>uurtarief18</f>
        <v>0</v>
      </c>
      <c r="P423" s="96" t="e">
        <f>IF(ISBLANK(M423),0,L423/ROUND(M423,4))</f>
        <v>#DIV/0!</v>
      </c>
      <c r="Q423" s="26" t="e">
        <f>ROUND(O423,2)*P423</f>
        <v>#DIV/0!</v>
      </c>
      <c r="R423" s="96" t="e">
        <f>P423*dagenperjaar1</f>
        <v>#DIV/0!</v>
      </c>
      <c r="S423" s="27" t="e">
        <f>R423*ROUND(O423,2)</f>
        <v>#DIV/0!</v>
      </c>
    </row>
    <row r="424" spans="1:19" x14ac:dyDescent="0.25">
      <c r="A424" s="93" t="s">
        <v>530</v>
      </c>
      <c r="B424" s="94" t="s">
        <v>37</v>
      </c>
      <c r="C424" s="94" t="s">
        <v>285</v>
      </c>
      <c r="D424" s="94" t="s">
        <v>632</v>
      </c>
      <c r="E424" s="95" t="s">
        <v>589</v>
      </c>
      <c r="F424" s="94" t="s">
        <v>37</v>
      </c>
      <c r="G424" s="94" t="s">
        <v>248</v>
      </c>
      <c r="H424" s="94"/>
      <c r="I424" s="94"/>
      <c r="J424" s="94"/>
      <c r="K424" s="96">
        <v>0</v>
      </c>
      <c r="L424" s="96"/>
      <c r="M424" s="97"/>
      <c r="N424" s="94"/>
      <c r="O424" s="26"/>
      <c r="P424" s="96"/>
      <c r="Q424" s="26"/>
      <c r="R424" s="98"/>
      <c r="S424" s="27"/>
    </row>
    <row r="425" spans="1:19" x14ac:dyDescent="0.25">
      <c r="A425" s="93" t="s">
        <v>530</v>
      </c>
      <c r="B425" s="94" t="s">
        <v>37</v>
      </c>
      <c r="C425" s="94" t="s">
        <v>285</v>
      </c>
      <c r="D425" s="94" t="s">
        <v>633</v>
      </c>
      <c r="E425" s="95" t="s">
        <v>601</v>
      </c>
      <c r="F425" s="94" t="s">
        <v>255</v>
      </c>
      <c r="G425" s="94" t="s">
        <v>221</v>
      </c>
      <c r="H425" s="94" t="s">
        <v>11</v>
      </c>
      <c r="I425" s="94" t="s">
        <v>189</v>
      </c>
      <c r="J425" s="95" t="s">
        <v>222</v>
      </c>
      <c r="K425" s="96">
        <v>18.37</v>
      </c>
      <c r="L425" s="96">
        <f>K425*VLOOKUP(H425,dagsoorttabel1,2,FALSE)</f>
        <v>14.130769230769232</v>
      </c>
      <c r="M425" s="97">
        <f>prodnorm18</f>
        <v>0</v>
      </c>
      <c r="N425" s="94" t="s">
        <v>103</v>
      </c>
      <c r="O425" s="26">
        <f>uurtarief18</f>
        <v>0</v>
      </c>
      <c r="P425" s="96" t="e">
        <f>IF(ISBLANK(M425),0,L425/ROUND(M425,4))</f>
        <v>#DIV/0!</v>
      </c>
      <c r="Q425" s="26" t="e">
        <f>ROUND(O425,2)*P425</f>
        <v>#DIV/0!</v>
      </c>
      <c r="R425" s="96" t="e">
        <f>P425*dagenperjaar1</f>
        <v>#DIV/0!</v>
      </c>
      <c r="S425" s="27" t="e">
        <f>R425*ROUND(O425,2)</f>
        <v>#DIV/0!</v>
      </c>
    </row>
    <row r="426" spans="1:19" x14ac:dyDescent="0.25">
      <c r="A426" s="93" t="s">
        <v>530</v>
      </c>
      <c r="B426" s="94" t="s">
        <v>37</v>
      </c>
      <c r="C426" s="94" t="s">
        <v>285</v>
      </c>
      <c r="D426" s="94" t="s">
        <v>634</v>
      </c>
      <c r="E426" s="95" t="s">
        <v>589</v>
      </c>
      <c r="F426" s="94" t="s">
        <v>37</v>
      </c>
      <c r="G426" s="94" t="s">
        <v>248</v>
      </c>
      <c r="H426" s="94"/>
      <c r="I426" s="94"/>
      <c r="J426" s="94"/>
      <c r="K426" s="96">
        <v>0</v>
      </c>
      <c r="L426" s="96"/>
      <c r="M426" s="97"/>
      <c r="N426" s="94"/>
      <c r="O426" s="26"/>
      <c r="P426" s="96"/>
      <c r="Q426" s="26"/>
      <c r="R426" s="98"/>
      <c r="S426" s="27"/>
    </row>
    <row r="427" spans="1:19" ht="30" x14ac:dyDescent="0.25">
      <c r="A427" s="93" t="s">
        <v>530</v>
      </c>
      <c r="B427" s="94" t="s">
        <v>37</v>
      </c>
      <c r="C427" s="94" t="s">
        <v>285</v>
      </c>
      <c r="D427" s="94" t="s">
        <v>635</v>
      </c>
      <c r="E427" s="95" t="s">
        <v>491</v>
      </c>
      <c r="F427" s="94" t="s">
        <v>532</v>
      </c>
      <c r="G427" s="94" t="s">
        <v>191</v>
      </c>
      <c r="H427" s="94" t="s">
        <v>11</v>
      </c>
      <c r="I427" s="94" t="s">
        <v>189</v>
      </c>
      <c r="J427" s="95" t="s">
        <v>192</v>
      </c>
      <c r="K427" s="96">
        <v>11.55</v>
      </c>
      <c r="L427" s="96">
        <f>K427*VLOOKUP(H427,dagsoorttabel1,2,FALSE)</f>
        <v>8.884615384615385</v>
      </c>
      <c r="M427" s="97">
        <f>prodnorm3</f>
        <v>0</v>
      </c>
      <c r="N427" s="94" t="s">
        <v>103</v>
      </c>
      <c r="O427" s="26">
        <f>uurtarief3</f>
        <v>0</v>
      </c>
      <c r="P427" s="96" t="e">
        <f>IF(ISBLANK(M427),0,L427/ROUND(M427,4))</f>
        <v>#DIV/0!</v>
      </c>
      <c r="Q427" s="26" t="e">
        <f>ROUND(O427,2)*P427</f>
        <v>#DIV/0!</v>
      </c>
      <c r="R427" s="96" t="e">
        <f>P427*dagenperjaar1</f>
        <v>#DIV/0!</v>
      </c>
      <c r="S427" s="27" t="e">
        <f>R427*ROUND(O427,2)</f>
        <v>#DIV/0!</v>
      </c>
    </row>
    <row r="428" spans="1:19" x14ac:dyDescent="0.25">
      <c r="A428" s="93" t="s">
        <v>530</v>
      </c>
      <c r="B428" s="94" t="s">
        <v>37</v>
      </c>
      <c r="C428" s="94" t="s">
        <v>285</v>
      </c>
      <c r="D428" s="94" t="s">
        <v>636</v>
      </c>
      <c r="E428" s="95" t="s">
        <v>276</v>
      </c>
      <c r="F428" s="94" t="s">
        <v>244</v>
      </c>
      <c r="G428" s="94" t="s">
        <v>209</v>
      </c>
      <c r="H428" s="94" t="s">
        <v>11</v>
      </c>
      <c r="I428" s="94" t="s">
        <v>189</v>
      </c>
      <c r="J428" s="95" t="s">
        <v>210</v>
      </c>
      <c r="K428" s="96">
        <v>45.5</v>
      </c>
      <c r="L428" s="96">
        <f>K428*VLOOKUP(H428,dagsoorttabel1,2,FALSE)</f>
        <v>35</v>
      </c>
      <c r="M428" s="97">
        <f>prodnorm12</f>
        <v>0</v>
      </c>
      <c r="N428" s="94" t="s">
        <v>103</v>
      </c>
      <c r="O428" s="26">
        <f>uurtarief12</f>
        <v>0</v>
      </c>
      <c r="P428" s="96" t="e">
        <f>IF(ISBLANK(M428),0,L428/ROUND(M428,4))</f>
        <v>#DIV/0!</v>
      </c>
      <c r="Q428" s="26" t="e">
        <f>ROUND(O428,2)*P428</f>
        <v>#DIV/0!</v>
      </c>
      <c r="R428" s="96" t="e">
        <f>P428*dagenperjaar1</f>
        <v>#DIV/0!</v>
      </c>
      <c r="S428" s="27" t="e">
        <f>R428*ROUND(O428,2)</f>
        <v>#DIV/0!</v>
      </c>
    </row>
    <row r="429" spans="1:19" x14ac:dyDescent="0.25">
      <c r="A429" s="93" t="s">
        <v>530</v>
      </c>
      <c r="B429" s="94" t="s">
        <v>37</v>
      </c>
      <c r="C429" s="94" t="s">
        <v>285</v>
      </c>
      <c r="D429" s="94" t="s">
        <v>637</v>
      </c>
      <c r="E429" s="95" t="s">
        <v>589</v>
      </c>
      <c r="F429" s="94" t="s">
        <v>37</v>
      </c>
      <c r="G429" s="94" t="s">
        <v>248</v>
      </c>
      <c r="H429" s="94"/>
      <c r="I429" s="94"/>
      <c r="J429" s="94"/>
      <c r="K429" s="96">
        <v>0</v>
      </c>
      <c r="L429" s="96"/>
      <c r="M429" s="97"/>
      <c r="N429" s="94"/>
      <c r="O429" s="26"/>
      <c r="P429" s="96"/>
      <c r="Q429" s="26"/>
      <c r="R429" s="98"/>
      <c r="S429" s="27"/>
    </row>
    <row r="430" spans="1:19" ht="30" x14ac:dyDescent="0.25">
      <c r="A430" s="93" t="s">
        <v>530</v>
      </c>
      <c r="B430" s="94" t="s">
        <v>37</v>
      </c>
      <c r="C430" s="94" t="s">
        <v>285</v>
      </c>
      <c r="D430" s="94" t="s">
        <v>638</v>
      </c>
      <c r="E430" s="95" t="s">
        <v>491</v>
      </c>
      <c r="F430" s="94" t="s">
        <v>532</v>
      </c>
      <c r="G430" s="94" t="s">
        <v>191</v>
      </c>
      <c r="H430" s="94" t="s">
        <v>11</v>
      </c>
      <c r="I430" s="94" t="s">
        <v>189</v>
      </c>
      <c r="J430" s="95" t="s">
        <v>192</v>
      </c>
      <c r="K430" s="96">
        <v>11.68</v>
      </c>
      <c r="L430" s="96">
        <f>K430*VLOOKUP(H430,dagsoorttabel1,2,FALSE)</f>
        <v>8.9846153846153847</v>
      </c>
      <c r="M430" s="97">
        <f>prodnorm3</f>
        <v>0</v>
      </c>
      <c r="N430" s="94" t="s">
        <v>103</v>
      </c>
      <c r="O430" s="26">
        <f>uurtarief3</f>
        <v>0</v>
      </c>
      <c r="P430" s="96" t="e">
        <f>IF(ISBLANK(M430),0,L430/ROUND(M430,4))</f>
        <v>#DIV/0!</v>
      </c>
      <c r="Q430" s="26" t="e">
        <f>ROUND(O430,2)*P430</f>
        <v>#DIV/0!</v>
      </c>
      <c r="R430" s="96" t="e">
        <f>P430*dagenperjaar1</f>
        <v>#DIV/0!</v>
      </c>
      <c r="S430" s="27" t="e">
        <f>R430*ROUND(O430,2)</f>
        <v>#DIV/0!</v>
      </c>
    </row>
    <row r="431" spans="1:19" x14ac:dyDescent="0.25">
      <c r="A431" s="93" t="s">
        <v>530</v>
      </c>
      <c r="B431" s="94" t="s">
        <v>37</v>
      </c>
      <c r="C431" s="94" t="s">
        <v>285</v>
      </c>
      <c r="D431" s="94" t="s">
        <v>639</v>
      </c>
      <c r="E431" s="95" t="s">
        <v>265</v>
      </c>
      <c r="F431" s="94" t="s">
        <v>244</v>
      </c>
      <c r="G431" s="94" t="s">
        <v>223</v>
      </c>
      <c r="H431" s="94" t="s">
        <v>11</v>
      </c>
      <c r="I431" s="94" t="s">
        <v>189</v>
      </c>
      <c r="J431" s="95" t="s">
        <v>224</v>
      </c>
      <c r="K431" s="96">
        <v>46.63</v>
      </c>
      <c r="L431" s="96">
        <f>K431*VLOOKUP(H431,dagsoorttabel1,2,FALSE)</f>
        <v>35.869230769230775</v>
      </c>
      <c r="M431" s="97">
        <f>prodnorm19</f>
        <v>0</v>
      </c>
      <c r="N431" s="94" t="s">
        <v>103</v>
      </c>
      <c r="O431" s="26">
        <f>uurtarief19</f>
        <v>0</v>
      </c>
      <c r="P431" s="96" t="e">
        <f>IF(ISBLANK(M431),0,L431/ROUND(M431,4))</f>
        <v>#DIV/0!</v>
      </c>
      <c r="Q431" s="26" t="e">
        <f>ROUND(O431,2)*P431</f>
        <v>#DIV/0!</v>
      </c>
      <c r="R431" s="96" t="e">
        <f>P431*dagenperjaar1</f>
        <v>#DIV/0!</v>
      </c>
      <c r="S431" s="27" t="e">
        <f>R431*ROUND(O431,2)</f>
        <v>#DIV/0!</v>
      </c>
    </row>
    <row r="432" spans="1:19" x14ac:dyDescent="0.25">
      <c r="A432" s="93" t="s">
        <v>530</v>
      </c>
      <c r="B432" s="94" t="s">
        <v>37</v>
      </c>
      <c r="C432" s="94" t="s">
        <v>285</v>
      </c>
      <c r="D432" s="94" t="s">
        <v>640</v>
      </c>
      <c r="E432" s="95" t="s">
        <v>276</v>
      </c>
      <c r="F432" s="94" t="s">
        <v>244</v>
      </c>
      <c r="G432" s="94" t="s">
        <v>209</v>
      </c>
      <c r="H432" s="94" t="s">
        <v>11</v>
      </c>
      <c r="I432" s="94" t="s">
        <v>189</v>
      </c>
      <c r="J432" s="95" t="s">
        <v>210</v>
      </c>
      <c r="K432" s="96">
        <v>51.41</v>
      </c>
      <c r="L432" s="96">
        <f>K432*VLOOKUP(H432,dagsoorttabel1,2,FALSE)</f>
        <v>39.546153846153842</v>
      </c>
      <c r="M432" s="97">
        <f>prodnorm12</f>
        <v>0</v>
      </c>
      <c r="N432" s="94" t="s">
        <v>103</v>
      </c>
      <c r="O432" s="26">
        <f>uurtarief12</f>
        <v>0</v>
      </c>
      <c r="P432" s="96" t="e">
        <f>IF(ISBLANK(M432),0,L432/ROUND(M432,4))</f>
        <v>#DIV/0!</v>
      </c>
      <c r="Q432" s="26" t="e">
        <f>ROUND(O432,2)*P432</f>
        <v>#DIV/0!</v>
      </c>
      <c r="R432" s="96" t="e">
        <f>P432*dagenperjaar1</f>
        <v>#DIV/0!</v>
      </c>
      <c r="S432" s="27" t="e">
        <f>R432*ROUND(O432,2)</f>
        <v>#DIV/0!</v>
      </c>
    </row>
    <row r="433" spans="1:19" ht="30" x14ac:dyDescent="0.25">
      <c r="A433" s="93" t="s">
        <v>530</v>
      </c>
      <c r="B433" s="94" t="s">
        <v>37</v>
      </c>
      <c r="C433" s="94" t="s">
        <v>285</v>
      </c>
      <c r="D433" s="94" t="s">
        <v>641</v>
      </c>
      <c r="E433" s="95" t="s">
        <v>572</v>
      </c>
      <c r="F433" s="94" t="s">
        <v>532</v>
      </c>
      <c r="G433" s="94" t="s">
        <v>191</v>
      </c>
      <c r="H433" s="94" t="s">
        <v>11</v>
      </c>
      <c r="I433" s="94" t="s">
        <v>189</v>
      </c>
      <c r="J433" s="95" t="s">
        <v>192</v>
      </c>
      <c r="K433" s="96">
        <v>19.850000000000001</v>
      </c>
      <c r="L433" s="96">
        <f>K433*VLOOKUP(H433,dagsoorttabel1,2,FALSE)</f>
        <v>15.269230769230772</v>
      </c>
      <c r="M433" s="97">
        <f>prodnorm3</f>
        <v>0</v>
      </c>
      <c r="N433" s="94" t="s">
        <v>103</v>
      </c>
      <c r="O433" s="26">
        <f>uurtarief3</f>
        <v>0</v>
      </c>
      <c r="P433" s="96" t="e">
        <f>IF(ISBLANK(M433),0,L433/ROUND(M433,4))</f>
        <v>#DIV/0!</v>
      </c>
      <c r="Q433" s="26" t="e">
        <f>ROUND(O433,2)*P433</f>
        <v>#DIV/0!</v>
      </c>
      <c r="R433" s="96" t="e">
        <f>P433*dagenperjaar1</f>
        <v>#DIV/0!</v>
      </c>
      <c r="S433" s="27" t="e">
        <f>R433*ROUND(O433,2)</f>
        <v>#DIV/0!</v>
      </c>
    </row>
    <row r="434" spans="1:19" x14ac:dyDescent="0.25">
      <c r="A434" s="93" t="s">
        <v>530</v>
      </c>
      <c r="B434" s="94" t="s">
        <v>37</v>
      </c>
      <c r="C434" s="94" t="s">
        <v>285</v>
      </c>
      <c r="D434" s="94" t="s">
        <v>642</v>
      </c>
      <c r="E434" s="95" t="s">
        <v>643</v>
      </c>
      <c r="F434" s="94" t="s">
        <v>244</v>
      </c>
      <c r="G434" s="94" t="s">
        <v>248</v>
      </c>
      <c r="H434" s="94"/>
      <c r="I434" s="94"/>
      <c r="J434" s="94"/>
      <c r="K434" s="96">
        <v>6.6</v>
      </c>
      <c r="L434" s="96"/>
      <c r="M434" s="97"/>
      <c r="N434" s="94"/>
      <c r="O434" s="26"/>
      <c r="P434" s="96"/>
      <c r="Q434" s="26"/>
      <c r="R434" s="98"/>
      <c r="S434" s="27"/>
    </row>
    <row r="435" spans="1:19" ht="30" x14ac:dyDescent="0.25">
      <c r="A435" s="93" t="s">
        <v>530</v>
      </c>
      <c r="B435" s="94" t="s">
        <v>37</v>
      </c>
      <c r="C435" s="94" t="s">
        <v>285</v>
      </c>
      <c r="D435" s="94" t="s">
        <v>644</v>
      </c>
      <c r="E435" s="95" t="s">
        <v>436</v>
      </c>
      <c r="F435" s="94" t="s">
        <v>244</v>
      </c>
      <c r="G435" s="94" t="s">
        <v>225</v>
      </c>
      <c r="H435" s="94" t="s">
        <v>11</v>
      </c>
      <c r="I435" s="94" t="s">
        <v>189</v>
      </c>
      <c r="J435" s="95" t="s">
        <v>226</v>
      </c>
      <c r="K435" s="96">
        <v>109</v>
      </c>
      <c r="L435" s="96">
        <f>K435*VLOOKUP(H435,dagsoorttabel1,2,FALSE)</f>
        <v>83.846153846153854</v>
      </c>
      <c r="M435" s="97">
        <f>prodnorm20</f>
        <v>0</v>
      </c>
      <c r="N435" s="94" t="s">
        <v>103</v>
      </c>
      <c r="O435" s="26">
        <f>uurtarief20</f>
        <v>0</v>
      </c>
      <c r="P435" s="96" t="e">
        <f>IF(ISBLANK(M435),0,L435/ROUND(M435,4))</f>
        <v>#DIV/0!</v>
      </c>
      <c r="Q435" s="26" t="e">
        <f>ROUND(O435,2)*P435</f>
        <v>#DIV/0!</v>
      </c>
      <c r="R435" s="96" t="e">
        <f>P435*dagenperjaar1</f>
        <v>#DIV/0!</v>
      </c>
      <c r="S435" s="27" t="e">
        <f>R435*ROUND(O435,2)</f>
        <v>#DIV/0!</v>
      </c>
    </row>
    <row r="436" spans="1:19" x14ac:dyDescent="0.25">
      <c r="A436" s="93" t="s">
        <v>530</v>
      </c>
      <c r="B436" s="94" t="s">
        <v>37</v>
      </c>
      <c r="C436" s="94" t="s">
        <v>285</v>
      </c>
      <c r="D436" s="94" t="s">
        <v>645</v>
      </c>
      <c r="E436" s="95" t="s">
        <v>276</v>
      </c>
      <c r="F436" s="94" t="s">
        <v>532</v>
      </c>
      <c r="G436" s="94" t="s">
        <v>209</v>
      </c>
      <c r="H436" s="94" t="s">
        <v>11</v>
      </c>
      <c r="I436" s="94" t="s">
        <v>189</v>
      </c>
      <c r="J436" s="95" t="s">
        <v>210</v>
      </c>
      <c r="K436" s="96">
        <v>61.82</v>
      </c>
      <c r="L436" s="96">
        <f>K436*VLOOKUP(H436,dagsoorttabel1,2,FALSE)</f>
        <v>47.553846153846159</v>
      </c>
      <c r="M436" s="97">
        <f>prodnorm12</f>
        <v>0</v>
      </c>
      <c r="N436" s="94" t="s">
        <v>103</v>
      </c>
      <c r="O436" s="26">
        <f>uurtarief12</f>
        <v>0</v>
      </c>
      <c r="P436" s="96" t="e">
        <f>IF(ISBLANK(M436),0,L436/ROUND(M436,4))</f>
        <v>#DIV/0!</v>
      </c>
      <c r="Q436" s="26" t="e">
        <f>ROUND(O436,2)*P436</f>
        <v>#DIV/0!</v>
      </c>
      <c r="R436" s="96" t="e">
        <f>P436*dagenperjaar1</f>
        <v>#DIV/0!</v>
      </c>
      <c r="S436" s="27" t="e">
        <f>R436*ROUND(O436,2)</f>
        <v>#DIV/0!</v>
      </c>
    </row>
    <row r="437" spans="1:19" x14ac:dyDescent="0.25">
      <c r="A437" s="93" t="s">
        <v>530</v>
      </c>
      <c r="B437" s="94" t="s">
        <v>37</v>
      </c>
      <c r="C437" s="94" t="s">
        <v>285</v>
      </c>
      <c r="D437" s="94" t="s">
        <v>646</v>
      </c>
      <c r="E437" s="95" t="s">
        <v>276</v>
      </c>
      <c r="F437" s="94" t="s">
        <v>532</v>
      </c>
      <c r="G437" s="94" t="s">
        <v>209</v>
      </c>
      <c r="H437" s="94" t="s">
        <v>11</v>
      </c>
      <c r="I437" s="94" t="s">
        <v>189</v>
      </c>
      <c r="J437" s="95" t="s">
        <v>210</v>
      </c>
      <c r="K437" s="96">
        <v>61.53</v>
      </c>
      <c r="L437" s="96">
        <f>K437*VLOOKUP(H437,dagsoorttabel1,2,FALSE)</f>
        <v>47.330769230769235</v>
      </c>
      <c r="M437" s="97">
        <f>prodnorm12</f>
        <v>0</v>
      </c>
      <c r="N437" s="94" t="s">
        <v>103</v>
      </c>
      <c r="O437" s="26">
        <f>uurtarief12</f>
        <v>0</v>
      </c>
      <c r="P437" s="96" t="e">
        <f>IF(ISBLANK(M437),0,L437/ROUND(M437,4))</f>
        <v>#DIV/0!</v>
      </c>
      <c r="Q437" s="26" t="e">
        <f>ROUND(O437,2)*P437</f>
        <v>#DIV/0!</v>
      </c>
      <c r="R437" s="96" t="e">
        <f>P437*dagenperjaar1</f>
        <v>#DIV/0!</v>
      </c>
      <c r="S437" s="27" t="e">
        <f>R437*ROUND(O437,2)</f>
        <v>#DIV/0!</v>
      </c>
    </row>
    <row r="438" spans="1:19" x14ac:dyDescent="0.25">
      <c r="A438" s="93" t="s">
        <v>530</v>
      </c>
      <c r="B438" s="94" t="s">
        <v>37</v>
      </c>
      <c r="C438" s="94" t="s">
        <v>285</v>
      </c>
      <c r="D438" s="94" t="s">
        <v>647</v>
      </c>
      <c r="E438" s="95" t="s">
        <v>276</v>
      </c>
      <c r="F438" s="94" t="s">
        <v>532</v>
      </c>
      <c r="G438" s="94" t="s">
        <v>209</v>
      </c>
      <c r="H438" s="94" t="s">
        <v>11</v>
      </c>
      <c r="I438" s="94" t="s">
        <v>189</v>
      </c>
      <c r="J438" s="95" t="s">
        <v>210</v>
      </c>
      <c r="K438" s="96">
        <v>64</v>
      </c>
      <c r="L438" s="96">
        <f>K438*VLOOKUP(H438,dagsoorttabel1,2,FALSE)</f>
        <v>49.230769230769234</v>
      </c>
      <c r="M438" s="97">
        <f>prodnorm12</f>
        <v>0</v>
      </c>
      <c r="N438" s="94" t="s">
        <v>103</v>
      </c>
      <c r="O438" s="26">
        <f>uurtarief12</f>
        <v>0</v>
      </c>
      <c r="P438" s="96" t="e">
        <f>IF(ISBLANK(M438),0,L438/ROUND(M438,4))</f>
        <v>#DIV/0!</v>
      </c>
      <c r="Q438" s="26" t="e">
        <f>ROUND(O438,2)*P438</f>
        <v>#DIV/0!</v>
      </c>
      <c r="R438" s="96" t="e">
        <f>P438*dagenperjaar1</f>
        <v>#DIV/0!</v>
      </c>
      <c r="S438" s="27" t="e">
        <f>R438*ROUND(O438,2)</f>
        <v>#DIV/0!</v>
      </c>
    </row>
    <row r="439" spans="1:19" ht="30" x14ac:dyDescent="0.25">
      <c r="A439" s="93" t="s">
        <v>530</v>
      </c>
      <c r="B439" s="94" t="s">
        <v>37</v>
      </c>
      <c r="C439" s="94" t="s">
        <v>285</v>
      </c>
      <c r="D439" s="94" t="s">
        <v>648</v>
      </c>
      <c r="E439" s="95" t="s">
        <v>436</v>
      </c>
      <c r="F439" s="94" t="s">
        <v>244</v>
      </c>
      <c r="G439" s="94" t="s">
        <v>225</v>
      </c>
      <c r="H439" s="94" t="s">
        <v>11</v>
      </c>
      <c r="I439" s="94" t="s">
        <v>189</v>
      </c>
      <c r="J439" s="95" t="s">
        <v>226</v>
      </c>
      <c r="K439" s="96">
        <v>104.86999999999999</v>
      </c>
      <c r="L439" s="96">
        <f>K439*VLOOKUP(H439,dagsoorttabel1,2,FALSE)</f>
        <v>80.669230769230765</v>
      </c>
      <c r="M439" s="97">
        <f>prodnorm20</f>
        <v>0</v>
      </c>
      <c r="N439" s="94" t="s">
        <v>103</v>
      </c>
      <c r="O439" s="26">
        <f>uurtarief20</f>
        <v>0</v>
      </c>
      <c r="P439" s="96" t="e">
        <f>IF(ISBLANK(M439),0,L439/ROUND(M439,4))</f>
        <v>#DIV/0!</v>
      </c>
      <c r="Q439" s="26" t="e">
        <f>ROUND(O439,2)*P439</f>
        <v>#DIV/0!</v>
      </c>
      <c r="R439" s="96" t="e">
        <f>P439*dagenperjaar1</f>
        <v>#DIV/0!</v>
      </c>
      <c r="S439" s="27" t="e">
        <f>R439*ROUND(O439,2)</f>
        <v>#DIV/0!</v>
      </c>
    </row>
    <row r="440" spans="1:19" x14ac:dyDescent="0.25">
      <c r="A440" s="93" t="s">
        <v>530</v>
      </c>
      <c r="B440" s="94" t="s">
        <v>37</v>
      </c>
      <c r="C440" s="94" t="s">
        <v>285</v>
      </c>
      <c r="D440" s="94" t="s">
        <v>649</v>
      </c>
      <c r="E440" s="95" t="s">
        <v>276</v>
      </c>
      <c r="F440" s="94" t="s">
        <v>532</v>
      </c>
      <c r="G440" s="94" t="s">
        <v>209</v>
      </c>
      <c r="H440" s="94" t="s">
        <v>11</v>
      </c>
      <c r="I440" s="94" t="s">
        <v>189</v>
      </c>
      <c r="J440" s="95" t="s">
        <v>210</v>
      </c>
      <c r="K440" s="96">
        <v>51.42</v>
      </c>
      <c r="L440" s="96">
        <f>K440*VLOOKUP(H440,dagsoorttabel1,2,FALSE)</f>
        <v>39.553846153846159</v>
      </c>
      <c r="M440" s="97">
        <f>prodnorm12</f>
        <v>0</v>
      </c>
      <c r="N440" s="94" t="s">
        <v>103</v>
      </c>
      <c r="O440" s="26">
        <f>uurtarief12</f>
        <v>0</v>
      </c>
      <c r="P440" s="96" t="e">
        <f>IF(ISBLANK(M440),0,L440/ROUND(M440,4))</f>
        <v>#DIV/0!</v>
      </c>
      <c r="Q440" s="26" t="e">
        <f>ROUND(O440,2)*P440</f>
        <v>#DIV/0!</v>
      </c>
      <c r="R440" s="96" t="e">
        <f>P440*dagenperjaar1</f>
        <v>#DIV/0!</v>
      </c>
      <c r="S440" s="27" t="e">
        <f>R440*ROUND(O440,2)</f>
        <v>#DIV/0!</v>
      </c>
    </row>
    <row r="441" spans="1:19" x14ac:dyDescent="0.25">
      <c r="A441" s="93" t="s">
        <v>530</v>
      </c>
      <c r="B441" s="94" t="s">
        <v>37</v>
      </c>
      <c r="C441" s="94" t="s">
        <v>285</v>
      </c>
      <c r="D441" s="94" t="s">
        <v>650</v>
      </c>
      <c r="E441" s="95" t="s">
        <v>276</v>
      </c>
      <c r="F441" s="94" t="s">
        <v>532</v>
      </c>
      <c r="G441" s="94" t="s">
        <v>209</v>
      </c>
      <c r="H441" s="94" t="s">
        <v>11</v>
      </c>
      <c r="I441" s="94" t="s">
        <v>189</v>
      </c>
      <c r="J441" s="95" t="s">
        <v>210</v>
      </c>
      <c r="K441" s="96">
        <v>81.75</v>
      </c>
      <c r="L441" s="96">
        <f>K441*VLOOKUP(H441,dagsoorttabel1,2,FALSE)</f>
        <v>62.884615384615387</v>
      </c>
      <c r="M441" s="97">
        <f>prodnorm12</f>
        <v>0</v>
      </c>
      <c r="N441" s="94" t="s">
        <v>103</v>
      </c>
      <c r="O441" s="26">
        <f>uurtarief12</f>
        <v>0</v>
      </c>
      <c r="P441" s="96" t="e">
        <f>IF(ISBLANK(M441),0,L441/ROUND(M441,4))</f>
        <v>#DIV/0!</v>
      </c>
      <c r="Q441" s="26" t="e">
        <f>ROUND(O441,2)*P441</f>
        <v>#DIV/0!</v>
      </c>
      <c r="R441" s="96" t="e">
        <f>P441*dagenperjaar1</f>
        <v>#DIV/0!</v>
      </c>
      <c r="S441" s="27" t="e">
        <f>R441*ROUND(O441,2)</f>
        <v>#DIV/0!</v>
      </c>
    </row>
    <row r="442" spans="1:19" x14ac:dyDescent="0.25">
      <c r="A442" s="93" t="s">
        <v>530</v>
      </c>
      <c r="B442" s="94" t="s">
        <v>37</v>
      </c>
      <c r="C442" s="94" t="s">
        <v>285</v>
      </c>
      <c r="D442" s="94" t="s">
        <v>651</v>
      </c>
      <c r="E442" s="95" t="s">
        <v>276</v>
      </c>
      <c r="F442" s="94" t="s">
        <v>532</v>
      </c>
      <c r="G442" s="94" t="s">
        <v>209</v>
      </c>
      <c r="H442" s="94" t="s">
        <v>11</v>
      </c>
      <c r="I442" s="94" t="s">
        <v>189</v>
      </c>
      <c r="J442" s="95" t="s">
        <v>210</v>
      </c>
      <c r="K442" s="96">
        <v>62.6</v>
      </c>
      <c r="L442" s="96">
        <f>K442*VLOOKUP(H442,dagsoorttabel1,2,FALSE)</f>
        <v>48.15384615384616</v>
      </c>
      <c r="M442" s="97">
        <f>prodnorm12</f>
        <v>0</v>
      </c>
      <c r="N442" s="94" t="s">
        <v>103</v>
      </c>
      <c r="O442" s="26">
        <f>uurtarief12</f>
        <v>0</v>
      </c>
      <c r="P442" s="96" t="e">
        <f>IF(ISBLANK(M442),0,L442/ROUND(M442,4))</f>
        <v>#DIV/0!</v>
      </c>
      <c r="Q442" s="26" t="e">
        <f>ROUND(O442,2)*P442</f>
        <v>#DIV/0!</v>
      </c>
      <c r="R442" s="96" t="e">
        <f>P442*dagenperjaar1</f>
        <v>#DIV/0!</v>
      </c>
      <c r="S442" s="27" t="e">
        <f>R442*ROUND(O442,2)</f>
        <v>#DIV/0!</v>
      </c>
    </row>
    <row r="443" spans="1:19" x14ac:dyDescent="0.25">
      <c r="A443" s="93" t="s">
        <v>530</v>
      </c>
      <c r="B443" s="94" t="s">
        <v>37</v>
      </c>
      <c r="C443" s="94" t="s">
        <v>285</v>
      </c>
      <c r="D443" s="94" t="s">
        <v>652</v>
      </c>
      <c r="E443" s="95" t="s">
        <v>276</v>
      </c>
      <c r="F443" s="94" t="s">
        <v>532</v>
      </c>
      <c r="G443" s="94" t="s">
        <v>209</v>
      </c>
      <c r="H443" s="94" t="s">
        <v>11</v>
      </c>
      <c r="I443" s="94" t="s">
        <v>189</v>
      </c>
      <c r="J443" s="95" t="s">
        <v>210</v>
      </c>
      <c r="K443" s="96">
        <v>62.6</v>
      </c>
      <c r="L443" s="96">
        <f>K443*VLOOKUP(H443,dagsoorttabel1,2,FALSE)</f>
        <v>48.15384615384616</v>
      </c>
      <c r="M443" s="97">
        <f>prodnorm12</f>
        <v>0</v>
      </c>
      <c r="N443" s="94" t="s">
        <v>103</v>
      </c>
      <c r="O443" s="26">
        <f>uurtarief12</f>
        <v>0</v>
      </c>
      <c r="P443" s="96" t="e">
        <f>IF(ISBLANK(M443),0,L443/ROUND(M443,4))</f>
        <v>#DIV/0!</v>
      </c>
      <c r="Q443" s="26" t="e">
        <f>ROUND(O443,2)*P443</f>
        <v>#DIV/0!</v>
      </c>
      <c r="R443" s="96" t="e">
        <f>P443*dagenperjaar1</f>
        <v>#DIV/0!</v>
      </c>
      <c r="S443" s="27" t="e">
        <f>R443*ROUND(O443,2)</f>
        <v>#DIV/0!</v>
      </c>
    </row>
    <row r="444" spans="1:19" x14ac:dyDescent="0.25">
      <c r="A444" s="93" t="s">
        <v>530</v>
      </c>
      <c r="B444" s="94" t="s">
        <v>37</v>
      </c>
      <c r="C444" s="94" t="s">
        <v>285</v>
      </c>
      <c r="D444" s="94" t="s">
        <v>653</v>
      </c>
      <c r="E444" s="95" t="s">
        <v>276</v>
      </c>
      <c r="F444" s="94" t="s">
        <v>532</v>
      </c>
      <c r="G444" s="94" t="s">
        <v>209</v>
      </c>
      <c r="H444" s="94" t="s">
        <v>11</v>
      </c>
      <c r="I444" s="94" t="s">
        <v>189</v>
      </c>
      <c r="J444" s="95" t="s">
        <v>210</v>
      </c>
      <c r="K444" s="96">
        <v>63.03</v>
      </c>
      <c r="L444" s="96">
        <f>K444*VLOOKUP(H444,dagsoorttabel1,2,FALSE)</f>
        <v>48.484615384615388</v>
      </c>
      <c r="M444" s="97">
        <f>prodnorm12</f>
        <v>0</v>
      </c>
      <c r="N444" s="94" t="s">
        <v>103</v>
      </c>
      <c r="O444" s="26">
        <f>uurtarief12</f>
        <v>0</v>
      </c>
      <c r="P444" s="96" t="e">
        <f>IF(ISBLANK(M444),0,L444/ROUND(M444,4))</f>
        <v>#DIV/0!</v>
      </c>
      <c r="Q444" s="26" t="e">
        <f>ROUND(O444,2)*P444</f>
        <v>#DIV/0!</v>
      </c>
      <c r="R444" s="96" t="e">
        <f>P444*dagenperjaar1</f>
        <v>#DIV/0!</v>
      </c>
      <c r="S444" s="27" t="e">
        <f>R444*ROUND(O444,2)</f>
        <v>#DIV/0!</v>
      </c>
    </row>
    <row r="445" spans="1:19" ht="30" x14ac:dyDescent="0.25">
      <c r="A445" s="93" t="s">
        <v>530</v>
      </c>
      <c r="B445" s="94" t="s">
        <v>37</v>
      </c>
      <c r="C445" s="94" t="s">
        <v>285</v>
      </c>
      <c r="D445" s="94" t="s">
        <v>654</v>
      </c>
      <c r="E445" s="95" t="s">
        <v>572</v>
      </c>
      <c r="F445" s="94" t="s">
        <v>244</v>
      </c>
      <c r="G445" s="94" t="s">
        <v>191</v>
      </c>
      <c r="H445" s="94" t="s">
        <v>11</v>
      </c>
      <c r="I445" s="94" t="s">
        <v>189</v>
      </c>
      <c r="J445" s="95" t="s">
        <v>192</v>
      </c>
      <c r="K445" s="96">
        <v>38.700000000000003</v>
      </c>
      <c r="L445" s="96">
        <f>K445*VLOOKUP(H445,dagsoorttabel1,2,FALSE)</f>
        <v>29.769230769230774</v>
      </c>
      <c r="M445" s="97">
        <f>prodnorm3</f>
        <v>0</v>
      </c>
      <c r="N445" s="94" t="s">
        <v>103</v>
      </c>
      <c r="O445" s="26">
        <f>uurtarief3</f>
        <v>0</v>
      </c>
      <c r="P445" s="96" t="e">
        <f>IF(ISBLANK(M445),0,L445/ROUND(M445,4))</f>
        <v>#DIV/0!</v>
      </c>
      <c r="Q445" s="26" t="e">
        <f>ROUND(O445,2)*P445</f>
        <v>#DIV/0!</v>
      </c>
      <c r="R445" s="96" t="e">
        <f>P445*dagenperjaar1</f>
        <v>#DIV/0!</v>
      </c>
      <c r="S445" s="27" t="e">
        <f>R445*ROUND(O445,2)</f>
        <v>#DIV/0!</v>
      </c>
    </row>
    <row r="446" spans="1:19" x14ac:dyDescent="0.25">
      <c r="A446" s="93" t="s">
        <v>530</v>
      </c>
      <c r="B446" s="94" t="s">
        <v>37</v>
      </c>
      <c r="C446" s="94" t="s">
        <v>285</v>
      </c>
      <c r="D446" s="94" t="s">
        <v>655</v>
      </c>
      <c r="E446" s="95" t="s">
        <v>341</v>
      </c>
      <c r="F446" s="94" t="s">
        <v>244</v>
      </c>
      <c r="G446" s="94" t="s">
        <v>248</v>
      </c>
      <c r="H446" s="94"/>
      <c r="I446" s="94"/>
      <c r="J446" s="94"/>
      <c r="K446" s="96">
        <v>9.26</v>
      </c>
      <c r="L446" s="96"/>
      <c r="M446" s="97"/>
      <c r="N446" s="94"/>
      <c r="O446" s="26"/>
      <c r="P446" s="96"/>
      <c r="Q446" s="26"/>
      <c r="R446" s="98"/>
      <c r="S446" s="27"/>
    </row>
    <row r="447" spans="1:19" x14ac:dyDescent="0.25">
      <c r="A447" s="93" t="s">
        <v>530</v>
      </c>
      <c r="B447" s="94" t="s">
        <v>37</v>
      </c>
      <c r="C447" s="94" t="s">
        <v>285</v>
      </c>
      <c r="D447" s="94" t="s">
        <v>656</v>
      </c>
      <c r="E447" s="95" t="s">
        <v>326</v>
      </c>
      <c r="F447" s="94" t="s">
        <v>244</v>
      </c>
      <c r="G447" s="94" t="s">
        <v>248</v>
      </c>
      <c r="H447" s="94"/>
      <c r="I447" s="94"/>
      <c r="J447" s="94"/>
      <c r="K447" s="96">
        <v>3.9299999999999997</v>
      </c>
      <c r="L447" s="96"/>
      <c r="M447" s="97"/>
      <c r="N447" s="94"/>
      <c r="O447" s="26"/>
      <c r="P447" s="96"/>
      <c r="Q447" s="26"/>
      <c r="R447" s="98"/>
      <c r="S447" s="27"/>
    </row>
    <row r="448" spans="1:19" x14ac:dyDescent="0.25">
      <c r="A448" s="93" t="s">
        <v>530</v>
      </c>
      <c r="B448" s="94" t="s">
        <v>37</v>
      </c>
      <c r="C448" s="94" t="s">
        <v>285</v>
      </c>
      <c r="D448" s="94" t="s">
        <v>657</v>
      </c>
      <c r="E448" s="95" t="s">
        <v>265</v>
      </c>
      <c r="F448" s="94" t="s">
        <v>244</v>
      </c>
      <c r="G448" s="94" t="s">
        <v>223</v>
      </c>
      <c r="H448" s="94" t="s">
        <v>11</v>
      </c>
      <c r="I448" s="94" t="s">
        <v>189</v>
      </c>
      <c r="J448" s="95" t="s">
        <v>224</v>
      </c>
      <c r="K448" s="96">
        <v>29.27</v>
      </c>
      <c r="L448" s="96">
        <f>K448*VLOOKUP(H448,dagsoorttabel1,2,FALSE)</f>
        <v>22.515384615384615</v>
      </c>
      <c r="M448" s="97">
        <f>prodnorm19</f>
        <v>0</v>
      </c>
      <c r="N448" s="94" t="s">
        <v>103</v>
      </c>
      <c r="O448" s="26">
        <f>uurtarief19</f>
        <v>0</v>
      </c>
      <c r="P448" s="96" t="e">
        <f>IF(ISBLANK(M448),0,L448/ROUND(M448,4))</f>
        <v>#DIV/0!</v>
      </c>
      <c r="Q448" s="26" t="e">
        <f>ROUND(O448,2)*P448</f>
        <v>#DIV/0!</v>
      </c>
      <c r="R448" s="96" t="e">
        <f>P448*dagenperjaar1</f>
        <v>#DIV/0!</v>
      </c>
      <c r="S448" s="27" t="e">
        <f>R448*ROUND(O448,2)</f>
        <v>#DIV/0!</v>
      </c>
    </row>
    <row r="449" spans="1:19" x14ac:dyDescent="0.25">
      <c r="A449" s="93" t="s">
        <v>530</v>
      </c>
      <c r="B449" s="94" t="s">
        <v>37</v>
      </c>
      <c r="C449" s="94" t="s">
        <v>285</v>
      </c>
      <c r="D449" s="94" t="s">
        <v>658</v>
      </c>
      <c r="E449" s="95" t="s">
        <v>318</v>
      </c>
      <c r="F449" s="94" t="s">
        <v>37</v>
      </c>
      <c r="G449" s="94" t="s">
        <v>248</v>
      </c>
      <c r="H449" s="94"/>
      <c r="I449" s="94"/>
      <c r="J449" s="94"/>
      <c r="K449" s="96">
        <v>3.9099999999999997</v>
      </c>
      <c r="L449" s="96"/>
      <c r="M449" s="97"/>
      <c r="N449" s="94"/>
      <c r="O449" s="26"/>
      <c r="P449" s="96"/>
      <c r="Q449" s="26"/>
      <c r="R449" s="98"/>
      <c r="S449" s="27"/>
    </row>
    <row r="450" spans="1:19" x14ac:dyDescent="0.25">
      <c r="A450" s="93" t="s">
        <v>530</v>
      </c>
      <c r="B450" s="94" t="s">
        <v>37</v>
      </c>
      <c r="C450" s="94" t="s">
        <v>285</v>
      </c>
      <c r="D450" s="94" t="s">
        <v>659</v>
      </c>
      <c r="E450" s="95" t="s">
        <v>600</v>
      </c>
      <c r="F450" s="94" t="s">
        <v>255</v>
      </c>
      <c r="G450" s="94" t="s">
        <v>221</v>
      </c>
      <c r="H450" s="94" t="s">
        <v>11</v>
      </c>
      <c r="I450" s="94" t="s">
        <v>189</v>
      </c>
      <c r="J450" s="95" t="s">
        <v>222</v>
      </c>
      <c r="K450" s="96">
        <v>11.870000000000001</v>
      </c>
      <c r="L450" s="96">
        <f>K450*VLOOKUP(H450,dagsoorttabel1,2,FALSE)</f>
        <v>9.1307692307692321</v>
      </c>
      <c r="M450" s="97">
        <f>prodnorm18</f>
        <v>0</v>
      </c>
      <c r="N450" s="94" t="s">
        <v>103</v>
      </c>
      <c r="O450" s="26">
        <f>uurtarief18</f>
        <v>0</v>
      </c>
      <c r="P450" s="96" t="e">
        <f>IF(ISBLANK(M450),0,L450/ROUND(M450,4))</f>
        <v>#DIV/0!</v>
      </c>
      <c r="Q450" s="26" t="e">
        <f>ROUND(O450,2)*P450</f>
        <v>#DIV/0!</v>
      </c>
      <c r="R450" s="96" t="e">
        <f>P450*dagenperjaar1</f>
        <v>#DIV/0!</v>
      </c>
      <c r="S450" s="27" t="e">
        <f>R450*ROUND(O450,2)</f>
        <v>#DIV/0!</v>
      </c>
    </row>
    <row r="451" spans="1:19" x14ac:dyDescent="0.25">
      <c r="A451" s="93" t="s">
        <v>530</v>
      </c>
      <c r="B451" s="94" t="s">
        <v>37</v>
      </c>
      <c r="C451" s="94" t="s">
        <v>285</v>
      </c>
      <c r="D451" s="94" t="s">
        <v>660</v>
      </c>
      <c r="E451" s="95" t="s">
        <v>597</v>
      </c>
      <c r="F451" s="94" t="s">
        <v>557</v>
      </c>
      <c r="G451" s="94" t="s">
        <v>248</v>
      </c>
      <c r="H451" s="94"/>
      <c r="I451" s="94"/>
      <c r="J451" s="94"/>
      <c r="K451" s="96">
        <v>1.22</v>
      </c>
      <c r="L451" s="96"/>
      <c r="M451" s="97"/>
      <c r="N451" s="94"/>
      <c r="O451" s="26"/>
      <c r="P451" s="96"/>
      <c r="Q451" s="26"/>
      <c r="R451" s="98"/>
      <c r="S451" s="27"/>
    </row>
    <row r="452" spans="1:19" x14ac:dyDescent="0.25">
      <c r="A452" s="93" t="s">
        <v>530</v>
      </c>
      <c r="B452" s="94" t="s">
        <v>37</v>
      </c>
      <c r="C452" s="94" t="s">
        <v>285</v>
      </c>
      <c r="D452" s="94" t="s">
        <v>661</v>
      </c>
      <c r="E452" s="95" t="s">
        <v>601</v>
      </c>
      <c r="F452" s="94" t="s">
        <v>255</v>
      </c>
      <c r="G452" s="94" t="s">
        <v>221</v>
      </c>
      <c r="H452" s="94" t="s">
        <v>11</v>
      </c>
      <c r="I452" s="94" t="s">
        <v>189</v>
      </c>
      <c r="J452" s="95" t="s">
        <v>222</v>
      </c>
      <c r="K452" s="96">
        <v>5.42</v>
      </c>
      <c r="L452" s="96">
        <f>K452*VLOOKUP(H452,dagsoorttabel1,2,FALSE)</f>
        <v>4.1692307692307695</v>
      </c>
      <c r="M452" s="97">
        <f>prodnorm18</f>
        <v>0</v>
      </c>
      <c r="N452" s="94" t="s">
        <v>103</v>
      </c>
      <c r="O452" s="26">
        <f>uurtarief18</f>
        <v>0</v>
      </c>
      <c r="P452" s="96" t="e">
        <f>IF(ISBLANK(M452),0,L452/ROUND(M452,4))</f>
        <v>#DIV/0!</v>
      </c>
      <c r="Q452" s="26" t="e">
        <f>ROUND(O452,2)*P452</f>
        <v>#DIV/0!</v>
      </c>
      <c r="R452" s="96" t="e">
        <f>P452*dagenperjaar1</f>
        <v>#DIV/0!</v>
      </c>
      <c r="S452" s="27" t="e">
        <f>R452*ROUND(O452,2)</f>
        <v>#DIV/0!</v>
      </c>
    </row>
    <row r="453" spans="1:19" x14ac:dyDescent="0.25">
      <c r="A453" s="93" t="s">
        <v>530</v>
      </c>
      <c r="B453" s="94" t="s">
        <v>37</v>
      </c>
      <c r="C453" s="94" t="s">
        <v>285</v>
      </c>
      <c r="D453" s="94" t="s">
        <v>662</v>
      </c>
      <c r="E453" s="95" t="s">
        <v>589</v>
      </c>
      <c r="F453" s="94" t="s">
        <v>37</v>
      </c>
      <c r="G453" s="94" t="s">
        <v>248</v>
      </c>
      <c r="H453" s="94"/>
      <c r="I453" s="94"/>
      <c r="J453" s="94"/>
      <c r="K453" s="96">
        <v>0</v>
      </c>
      <c r="L453" s="96"/>
      <c r="M453" s="97"/>
      <c r="N453" s="94"/>
      <c r="O453" s="26"/>
      <c r="P453" s="96"/>
      <c r="Q453" s="26"/>
      <c r="R453" s="98"/>
      <c r="S453" s="27"/>
    </row>
    <row r="454" spans="1:19" x14ac:dyDescent="0.25">
      <c r="A454" s="93" t="s">
        <v>530</v>
      </c>
      <c r="B454" s="94" t="s">
        <v>37</v>
      </c>
      <c r="C454" s="94" t="s">
        <v>285</v>
      </c>
      <c r="D454" s="94" t="s">
        <v>663</v>
      </c>
      <c r="E454" s="95" t="s">
        <v>664</v>
      </c>
      <c r="F454" s="94" t="s">
        <v>557</v>
      </c>
      <c r="G454" s="94" t="s">
        <v>248</v>
      </c>
      <c r="H454" s="94"/>
      <c r="I454" s="94"/>
      <c r="J454" s="94"/>
      <c r="K454" s="96">
        <v>0</v>
      </c>
      <c r="L454" s="96"/>
      <c r="M454" s="97"/>
      <c r="N454" s="94"/>
      <c r="O454" s="26"/>
      <c r="P454" s="96"/>
      <c r="Q454" s="26"/>
      <c r="R454" s="98"/>
      <c r="S454" s="27"/>
    </row>
    <row r="455" spans="1:19" x14ac:dyDescent="0.25">
      <c r="A455" s="93" t="s">
        <v>530</v>
      </c>
      <c r="B455" s="94" t="s">
        <v>37</v>
      </c>
      <c r="C455" s="94" t="s">
        <v>665</v>
      </c>
      <c r="D455" s="94" t="s">
        <v>666</v>
      </c>
      <c r="E455" s="95" t="s">
        <v>276</v>
      </c>
      <c r="F455" s="94" t="s">
        <v>244</v>
      </c>
      <c r="G455" s="94" t="s">
        <v>209</v>
      </c>
      <c r="H455" s="94" t="s">
        <v>11</v>
      </c>
      <c r="I455" s="94" t="s">
        <v>189</v>
      </c>
      <c r="J455" s="95" t="s">
        <v>210</v>
      </c>
      <c r="K455" s="96">
        <v>48.46</v>
      </c>
      <c r="L455" s="96">
        <f>K455*VLOOKUP(H455,dagsoorttabel1,2,FALSE)</f>
        <v>37.276923076923083</v>
      </c>
      <c r="M455" s="97">
        <f>prodnorm12</f>
        <v>0</v>
      </c>
      <c r="N455" s="94" t="s">
        <v>103</v>
      </c>
      <c r="O455" s="26">
        <f>uurtarief12</f>
        <v>0</v>
      </c>
      <c r="P455" s="96" t="e">
        <f>IF(ISBLANK(M455),0,L455/ROUND(M455,4))</f>
        <v>#DIV/0!</v>
      </c>
      <c r="Q455" s="26" t="e">
        <f>ROUND(O455,2)*P455</f>
        <v>#DIV/0!</v>
      </c>
      <c r="R455" s="96" t="e">
        <f>P455*dagenperjaar1</f>
        <v>#DIV/0!</v>
      </c>
      <c r="S455" s="27" t="e">
        <f>R455*ROUND(O455,2)</f>
        <v>#DIV/0!</v>
      </c>
    </row>
    <row r="456" spans="1:19" x14ac:dyDescent="0.25">
      <c r="A456" s="93" t="s">
        <v>530</v>
      </c>
      <c r="B456" s="94" t="s">
        <v>37</v>
      </c>
      <c r="C456" s="94" t="s">
        <v>665</v>
      </c>
      <c r="D456" s="94" t="s">
        <v>667</v>
      </c>
      <c r="E456" s="95" t="s">
        <v>276</v>
      </c>
      <c r="F456" s="94" t="s">
        <v>244</v>
      </c>
      <c r="G456" s="94" t="s">
        <v>209</v>
      </c>
      <c r="H456" s="94" t="s">
        <v>11</v>
      </c>
      <c r="I456" s="94" t="s">
        <v>189</v>
      </c>
      <c r="J456" s="95" t="s">
        <v>210</v>
      </c>
      <c r="K456" s="96">
        <v>40.65</v>
      </c>
      <c r="L456" s="96">
        <f>K456*VLOOKUP(H456,dagsoorttabel1,2,FALSE)</f>
        <v>31.26923076923077</v>
      </c>
      <c r="M456" s="97">
        <f>prodnorm12</f>
        <v>0</v>
      </c>
      <c r="N456" s="94" t="s">
        <v>103</v>
      </c>
      <c r="O456" s="26">
        <f>uurtarief12</f>
        <v>0</v>
      </c>
      <c r="P456" s="96" t="e">
        <f>IF(ISBLANK(M456),0,L456/ROUND(M456,4))</f>
        <v>#DIV/0!</v>
      </c>
      <c r="Q456" s="26" t="e">
        <f>ROUND(O456,2)*P456</f>
        <v>#DIV/0!</v>
      </c>
      <c r="R456" s="96" t="e">
        <f>P456*dagenperjaar1</f>
        <v>#DIV/0!</v>
      </c>
      <c r="S456" s="27" t="e">
        <f>R456*ROUND(O456,2)</f>
        <v>#DIV/0!</v>
      </c>
    </row>
    <row r="457" spans="1:19" x14ac:dyDescent="0.25">
      <c r="A457" s="93" t="s">
        <v>530</v>
      </c>
      <c r="B457" s="94" t="s">
        <v>37</v>
      </c>
      <c r="C457" s="94" t="s">
        <v>665</v>
      </c>
      <c r="D457" s="94" t="s">
        <v>668</v>
      </c>
      <c r="E457" s="95" t="s">
        <v>276</v>
      </c>
      <c r="F457" s="94" t="s">
        <v>244</v>
      </c>
      <c r="G457" s="94" t="s">
        <v>209</v>
      </c>
      <c r="H457" s="94" t="s">
        <v>11</v>
      </c>
      <c r="I457" s="94" t="s">
        <v>189</v>
      </c>
      <c r="J457" s="95" t="s">
        <v>210</v>
      </c>
      <c r="K457" s="96">
        <v>47.59</v>
      </c>
      <c r="L457" s="96">
        <f>K457*VLOOKUP(H457,dagsoorttabel1,2,FALSE)</f>
        <v>36.607692307692311</v>
      </c>
      <c r="M457" s="97">
        <f>prodnorm12</f>
        <v>0</v>
      </c>
      <c r="N457" s="94" t="s">
        <v>103</v>
      </c>
      <c r="O457" s="26">
        <f>uurtarief12</f>
        <v>0</v>
      </c>
      <c r="P457" s="96" t="e">
        <f>IF(ISBLANK(M457),0,L457/ROUND(M457,4))</f>
        <v>#DIV/0!</v>
      </c>
      <c r="Q457" s="26" t="e">
        <f>ROUND(O457,2)*P457</f>
        <v>#DIV/0!</v>
      </c>
      <c r="R457" s="96" t="e">
        <f>P457*dagenperjaar1</f>
        <v>#DIV/0!</v>
      </c>
      <c r="S457" s="27" t="e">
        <f>R457*ROUND(O457,2)</f>
        <v>#DIV/0!</v>
      </c>
    </row>
    <row r="458" spans="1:19" x14ac:dyDescent="0.25">
      <c r="A458" s="93" t="s">
        <v>530</v>
      </c>
      <c r="B458" s="94" t="s">
        <v>37</v>
      </c>
      <c r="C458" s="94" t="s">
        <v>665</v>
      </c>
      <c r="D458" s="94" t="s">
        <v>669</v>
      </c>
      <c r="E458" s="95" t="s">
        <v>542</v>
      </c>
      <c r="F458" s="94" t="s">
        <v>244</v>
      </c>
      <c r="G458" s="94" t="s">
        <v>209</v>
      </c>
      <c r="H458" s="94" t="s">
        <v>11</v>
      </c>
      <c r="I458" s="94" t="s">
        <v>189</v>
      </c>
      <c r="J458" s="95" t="s">
        <v>210</v>
      </c>
      <c r="K458" s="96">
        <v>10.75</v>
      </c>
      <c r="L458" s="96">
        <f>K458*VLOOKUP(H458,dagsoorttabel1,2,FALSE)</f>
        <v>8.2692307692307701</v>
      </c>
      <c r="M458" s="97">
        <f>prodnorm12</f>
        <v>0</v>
      </c>
      <c r="N458" s="94" t="s">
        <v>103</v>
      </c>
      <c r="O458" s="26">
        <f>uurtarief12</f>
        <v>0</v>
      </c>
      <c r="P458" s="96" t="e">
        <f>IF(ISBLANK(M458),0,L458/ROUND(M458,4))</f>
        <v>#DIV/0!</v>
      </c>
      <c r="Q458" s="26" t="e">
        <f>ROUND(O458,2)*P458</f>
        <v>#DIV/0!</v>
      </c>
      <c r="R458" s="96" t="e">
        <f>P458*dagenperjaar1</f>
        <v>#DIV/0!</v>
      </c>
      <c r="S458" s="27" t="e">
        <f>R458*ROUND(O458,2)</f>
        <v>#DIV/0!</v>
      </c>
    </row>
    <row r="459" spans="1:19" x14ac:dyDescent="0.25">
      <c r="A459" s="93" t="s">
        <v>530</v>
      </c>
      <c r="B459" s="94" t="s">
        <v>37</v>
      </c>
      <c r="C459" s="94" t="s">
        <v>665</v>
      </c>
      <c r="D459" s="94" t="s">
        <v>670</v>
      </c>
      <c r="E459" s="95" t="s">
        <v>265</v>
      </c>
      <c r="F459" s="94" t="s">
        <v>244</v>
      </c>
      <c r="G459" s="94" t="s">
        <v>223</v>
      </c>
      <c r="H459" s="94" t="s">
        <v>11</v>
      </c>
      <c r="I459" s="94" t="s">
        <v>189</v>
      </c>
      <c r="J459" s="95" t="s">
        <v>224</v>
      </c>
      <c r="K459" s="96">
        <v>23</v>
      </c>
      <c r="L459" s="96">
        <f>K459*VLOOKUP(H459,dagsoorttabel1,2,FALSE)</f>
        <v>17.692307692307693</v>
      </c>
      <c r="M459" s="97">
        <f>prodnorm19</f>
        <v>0</v>
      </c>
      <c r="N459" s="94" t="s">
        <v>103</v>
      </c>
      <c r="O459" s="26">
        <f>uurtarief19</f>
        <v>0</v>
      </c>
      <c r="P459" s="96" t="e">
        <f>IF(ISBLANK(M459),0,L459/ROUND(M459,4))</f>
        <v>#DIV/0!</v>
      </c>
      <c r="Q459" s="26" t="e">
        <f>ROUND(O459,2)*P459</f>
        <v>#DIV/0!</v>
      </c>
      <c r="R459" s="96" t="e">
        <f>P459*dagenperjaar1</f>
        <v>#DIV/0!</v>
      </c>
      <c r="S459" s="27" t="e">
        <f>R459*ROUND(O459,2)</f>
        <v>#DIV/0!</v>
      </c>
    </row>
    <row r="460" spans="1:19" x14ac:dyDescent="0.25">
      <c r="A460" s="93" t="s">
        <v>530</v>
      </c>
      <c r="B460" s="94" t="s">
        <v>37</v>
      </c>
      <c r="C460" s="94" t="s">
        <v>665</v>
      </c>
      <c r="D460" s="94" t="s">
        <v>671</v>
      </c>
      <c r="E460" s="95" t="s">
        <v>276</v>
      </c>
      <c r="F460" s="94" t="s">
        <v>244</v>
      </c>
      <c r="G460" s="94" t="s">
        <v>209</v>
      </c>
      <c r="H460" s="94" t="s">
        <v>11</v>
      </c>
      <c r="I460" s="94" t="s">
        <v>189</v>
      </c>
      <c r="J460" s="95" t="s">
        <v>210</v>
      </c>
      <c r="K460" s="96">
        <v>47.87</v>
      </c>
      <c r="L460" s="96">
        <f>K460*VLOOKUP(H460,dagsoorttabel1,2,FALSE)</f>
        <v>36.823076923076925</v>
      </c>
      <c r="M460" s="97">
        <f>prodnorm12</f>
        <v>0</v>
      </c>
      <c r="N460" s="94" t="s">
        <v>103</v>
      </c>
      <c r="O460" s="26">
        <f>uurtarief12</f>
        <v>0</v>
      </c>
      <c r="P460" s="96" t="e">
        <f>IF(ISBLANK(M460),0,L460/ROUND(M460,4))</f>
        <v>#DIV/0!</v>
      </c>
      <c r="Q460" s="26" t="e">
        <f>ROUND(O460,2)*P460</f>
        <v>#DIV/0!</v>
      </c>
      <c r="R460" s="96" t="e">
        <f>P460*dagenperjaar1</f>
        <v>#DIV/0!</v>
      </c>
      <c r="S460" s="27" t="e">
        <f>R460*ROUND(O460,2)</f>
        <v>#DIV/0!</v>
      </c>
    </row>
    <row r="461" spans="1:19" x14ac:dyDescent="0.25">
      <c r="A461" s="93" t="s">
        <v>530</v>
      </c>
      <c r="B461" s="94" t="s">
        <v>37</v>
      </c>
      <c r="C461" s="94" t="s">
        <v>665</v>
      </c>
      <c r="D461" s="94" t="s">
        <v>672</v>
      </c>
      <c r="E461" s="95" t="s">
        <v>630</v>
      </c>
      <c r="F461" s="94" t="s">
        <v>532</v>
      </c>
      <c r="G461" s="94" t="s">
        <v>209</v>
      </c>
      <c r="H461" s="94" t="s">
        <v>11</v>
      </c>
      <c r="I461" s="94" t="s">
        <v>189</v>
      </c>
      <c r="J461" s="95" t="s">
        <v>210</v>
      </c>
      <c r="K461" s="96">
        <v>11.89</v>
      </c>
      <c r="L461" s="96">
        <f>K461*VLOOKUP(H461,dagsoorttabel1,2,FALSE)</f>
        <v>9.1461538461538474</v>
      </c>
      <c r="M461" s="97">
        <f>prodnorm12</f>
        <v>0</v>
      </c>
      <c r="N461" s="94" t="s">
        <v>103</v>
      </c>
      <c r="O461" s="26">
        <f>uurtarief12</f>
        <v>0</v>
      </c>
      <c r="P461" s="96" t="e">
        <f>IF(ISBLANK(M461),0,L461/ROUND(M461,4))</f>
        <v>#DIV/0!</v>
      </c>
      <c r="Q461" s="26" t="e">
        <f>ROUND(O461,2)*P461</f>
        <v>#DIV/0!</v>
      </c>
      <c r="R461" s="96" t="e">
        <f>P461*dagenperjaar1</f>
        <v>#DIV/0!</v>
      </c>
      <c r="S461" s="27" t="e">
        <f>R461*ROUND(O461,2)</f>
        <v>#DIV/0!</v>
      </c>
    </row>
    <row r="462" spans="1:19" x14ac:dyDescent="0.25">
      <c r="A462" s="93" t="s">
        <v>530</v>
      </c>
      <c r="B462" s="94" t="s">
        <v>37</v>
      </c>
      <c r="C462" s="94" t="s">
        <v>665</v>
      </c>
      <c r="D462" s="94" t="s">
        <v>673</v>
      </c>
      <c r="E462" s="95" t="s">
        <v>276</v>
      </c>
      <c r="F462" s="94" t="s">
        <v>244</v>
      </c>
      <c r="G462" s="94" t="s">
        <v>209</v>
      </c>
      <c r="H462" s="94" t="s">
        <v>11</v>
      </c>
      <c r="I462" s="94" t="s">
        <v>189</v>
      </c>
      <c r="J462" s="95" t="s">
        <v>210</v>
      </c>
      <c r="K462" s="96">
        <v>47.87</v>
      </c>
      <c r="L462" s="96">
        <f>K462*VLOOKUP(H462,dagsoorttabel1,2,FALSE)</f>
        <v>36.823076923076925</v>
      </c>
      <c r="M462" s="97">
        <f>prodnorm12</f>
        <v>0</v>
      </c>
      <c r="N462" s="94" t="s">
        <v>103</v>
      </c>
      <c r="O462" s="26">
        <f>uurtarief12</f>
        <v>0</v>
      </c>
      <c r="P462" s="96" t="e">
        <f>IF(ISBLANK(M462),0,L462/ROUND(M462,4))</f>
        <v>#DIV/0!</v>
      </c>
      <c r="Q462" s="26" t="e">
        <f>ROUND(O462,2)*P462</f>
        <v>#DIV/0!</v>
      </c>
      <c r="R462" s="96" t="e">
        <f>P462*dagenperjaar1</f>
        <v>#DIV/0!</v>
      </c>
      <c r="S462" s="27" t="e">
        <f>R462*ROUND(O462,2)</f>
        <v>#DIV/0!</v>
      </c>
    </row>
    <row r="463" spans="1:19" ht="30" x14ac:dyDescent="0.25">
      <c r="A463" s="93" t="s">
        <v>530</v>
      </c>
      <c r="B463" s="94" t="s">
        <v>37</v>
      </c>
      <c r="C463" s="94" t="s">
        <v>665</v>
      </c>
      <c r="D463" s="94" t="s">
        <v>674</v>
      </c>
      <c r="E463" s="95" t="s">
        <v>436</v>
      </c>
      <c r="F463" s="94" t="s">
        <v>244</v>
      </c>
      <c r="G463" s="94" t="s">
        <v>225</v>
      </c>
      <c r="H463" s="94" t="s">
        <v>11</v>
      </c>
      <c r="I463" s="94" t="s">
        <v>189</v>
      </c>
      <c r="J463" s="95" t="s">
        <v>226</v>
      </c>
      <c r="K463" s="96">
        <v>71</v>
      </c>
      <c r="L463" s="96">
        <f>K463*VLOOKUP(H463,dagsoorttabel1,2,FALSE)</f>
        <v>54.61538461538462</v>
      </c>
      <c r="M463" s="97">
        <f>prodnorm20</f>
        <v>0</v>
      </c>
      <c r="N463" s="94" t="s">
        <v>103</v>
      </c>
      <c r="O463" s="26">
        <f>uurtarief20</f>
        <v>0</v>
      </c>
      <c r="P463" s="96" t="e">
        <f>IF(ISBLANK(M463),0,L463/ROUND(M463,4))</f>
        <v>#DIV/0!</v>
      </c>
      <c r="Q463" s="26" t="e">
        <f>ROUND(O463,2)*P463</f>
        <v>#DIV/0!</v>
      </c>
      <c r="R463" s="96" t="e">
        <f>P463*dagenperjaar1</f>
        <v>#DIV/0!</v>
      </c>
      <c r="S463" s="27" t="e">
        <f>R463*ROUND(O463,2)</f>
        <v>#DIV/0!</v>
      </c>
    </row>
    <row r="464" spans="1:19" ht="30" x14ac:dyDescent="0.25">
      <c r="A464" s="93" t="s">
        <v>530</v>
      </c>
      <c r="B464" s="94" t="s">
        <v>37</v>
      </c>
      <c r="C464" s="94" t="s">
        <v>665</v>
      </c>
      <c r="D464" s="94" t="s">
        <v>675</v>
      </c>
      <c r="E464" s="95" t="s">
        <v>491</v>
      </c>
      <c r="F464" s="94" t="s">
        <v>244</v>
      </c>
      <c r="G464" s="94" t="s">
        <v>191</v>
      </c>
      <c r="H464" s="94" t="s">
        <v>11</v>
      </c>
      <c r="I464" s="94" t="s">
        <v>189</v>
      </c>
      <c r="J464" s="95" t="s">
        <v>192</v>
      </c>
      <c r="K464" s="96">
        <v>20.84</v>
      </c>
      <c r="L464" s="96">
        <f>K464*VLOOKUP(H464,dagsoorttabel1,2,FALSE)</f>
        <v>16.030769230769231</v>
      </c>
      <c r="M464" s="97">
        <f>prodnorm3</f>
        <v>0</v>
      </c>
      <c r="N464" s="94" t="s">
        <v>103</v>
      </c>
      <c r="O464" s="26">
        <f>uurtarief3</f>
        <v>0</v>
      </c>
      <c r="P464" s="96" t="e">
        <f>IF(ISBLANK(M464),0,L464/ROUND(M464,4))</f>
        <v>#DIV/0!</v>
      </c>
      <c r="Q464" s="26" t="e">
        <f>ROUND(O464,2)*P464</f>
        <v>#DIV/0!</v>
      </c>
      <c r="R464" s="96" t="e">
        <f>P464*dagenperjaar1</f>
        <v>#DIV/0!</v>
      </c>
      <c r="S464" s="27" t="e">
        <f>R464*ROUND(O464,2)</f>
        <v>#DIV/0!</v>
      </c>
    </row>
    <row r="465" spans="1:19" x14ac:dyDescent="0.25">
      <c r="A465" s="93" t="s">
        <v>530</v>
      </c>
      <c r="B465" s="94" t="s">
        <v>37</v>
      </c>
      <c r="C465" s="94" t="s">
        <v>665</v>
      </c>
      <c r="D465" s="94" t="s">
        <v>676</v>
      </c>
      <c r="E465" s="95" t="s">
        <v>574</v>
      </c>
      <c r="F465" s="94" t="s">
        <v>244</v>
      </c>
      <c r="G465" s="94" t="s">
        <v>248</v>
      </c>
      <c r="H465" s="94"/>
      <c r="I465" s="94"/>
      <c r="J465" s="94"/>
      <c r="K465" s="96">
        <v>0</v>
      </c>
      <c r="L465" s="96"/>
      <c r="M465" s="97"/>
      <c r="N465" s="94"/>
      <c r="O465" s="26"/>
      <c r="P465" s="96"/>
      <c r="Q465" s="26"/>
      <c r="R465" s="98"/>
      <c r="S465" s="27"/>
    </row>
    <row r="466" spans="1:19" x14ac:dyDescent="0.25">
      <c r="A466" s="93" t="s">
        <v>530</v>
      </c>
      <c r="B466" s="94" t="s">
        <v>37</v>
      </c>
      <c r="C466" s="94" t="s">
        <v>665</v>
      </c>
      <c r="D466" s="94" t="s">
        <v>677</v>
      </c>
      <c r="E466" s="95" t="s">
        <v>574</v>
      </c>
      <c r="F466" s="94" t="s">
        <v>244</v>
      </c>
      <c r="G466" s="94" t="s">
        <v>248</v>
      </c>
      <c r="H466" s="94"/>
      <c r="I466" s="94"/>
      <c r="J466" s="94"/>
      <c r="K466" s="96">
        <v>0</v>
      </c>
      <c r="L466" s="96"/>
      <c r="M466" s="97"/>
      <c r="N466" s="94"/>
      <c r="O466" s="26"/>
      <c r="P466" s="96"/>
      <c r="Q466" s="26"/>
      <c r="R466" s="98"/>
      <c r="S466" s="27"/>
    </row>
    <row r="467" spans="1:19" x14ac:dyDescent="0.25">
      <c r="A467" s="93" t="s">
        <v>530</v>
      </c>
      <c r="B467" s="94" t="s">
        <v>37</v>
      </c>
      <c r="C467" s="94" t="s">
        <v>665</v>
      </c>
      <c r="D467" s="94" t="s">
        <v>678</v>
      </c>
      <c r="E467" s="95" t="s">
        <v>276</v>
      </c>
      <c r="F467" s="94" t="s">
        <v>244</v>
      </c>
      <c r="G467" s="94" t="s">
        <v>209</v>
      </c>
      <c r="H467" s="94" t="s">
        <v>11</v>
      </c>
      <c r="I467" s="94" t="s">
        <v>189</v>
      </c>
      <c r="J467" s="95" t="s">
        <v>210</v>
      </c>
      <c r="K467" s="96">
        <v>47.87</v>
      </c>
      <c r="L467" s="96">
        <f>K467*VLOOKUP(H467,dagsoorttabel1,2,FALSE)</f>
        <v>36.823076923076925</v>
      </c>
      <c r="M467" s="97">
        <f>prodnorm12</f>
        <v>0</v>
      </c>
      <c r="N467" s="94" t="s">
        <v>103</v>
      </c>
      <c r="O467" s="26">
        <f>uurtarief12</f>
        <v>0</v>
      </c>
      <c r="P467" s="96" t="e">
        <f>IF(ISBLANK(M467),0,L467/ROUND(M467,4))</f>
        <v>#DIV/0!</v>
      </c>
      <c r="Q467" s="26" t="e">
        <f>ROUND(O467,2)*P467</f>
        <v>#DIV/0!</v>
      </c>
      <c r="R467" s="96" t="e">
        <f>P467*dagenperjaar1</f>
        <v>#DIV/0!</v>
      </c>
      <c r="S467" s="27" t="e">
        <f>R467*ROUND(O467,2)</f>
        <v>#DIV/0!</v>
      </c>
    </row>
    <row r="468" spans="1:19" ht="30" x14ac:dyDescent="0.25">
      <c r="A468" s="93" t="s">
        <v>530</v>
      </c>
      <c r="B468" s="94" t="s">
        <v>37</v>
      </c>
      <c r="C468" s="94" t="s">
        <v>665</v>
      </c>
      <c r="D468" s="94" t="s">
        <v>679</v>
      </c>
      <c r="E468" s="95" t="s">
        <v>491</v>
      </c>
      <c r="F468" s="94" t="s">
        <v>532</v>
      </c>
      <c r="G468" s="94" t="s">
        <v>191</v>
      </c>
      <c r="H468" s="94" t="s">
        <v>11</v>
      </c>
      <c r="I468" s="94" t="s">
        <v>189</v>
      </c>
      <c r="J468" s="95" t="s">
        <v>192</v>
      </c>
      <c r="K468" s="96">
        <v>11.42</v>
      </c>
      <c r="L468" s="96">
        <f>K468*VLOOKUP(H468,dagsoorttabel1,2,FALSE)</f>
        <v>8.7846153846153854</v>
      </c>
      <c r="M468" s="97">
        <f>prodnorm3</f>
        <v>0</v>
      </c>
      <c r="N468" s="94" t="s">
        <v>103</v>
      </c>
      <c r="O468" s="26">
        <f>uurtarief3</f>
        <v>0</v>
      </c>
      <c r="P468" s="96" t="e">
        <f>IF(ISBLANK(M468),0,L468/ROUND(M468,4))</f>
        <v>#DIV/0!</v>
      </c>
      <c r="Q468" s="26" t="e">
        <f>ROUND(O468,2)*P468</f>
        <v>#DIV/0!</v>
      </c>
      <c r="R468" s="96" t="e">
        <f>P468*dagenperjaar1</f>
        <v>#DIV/0!</v>
      </c>
      <c r="S468" s="27" t="e">
        <f>R468*ROUND(O468,2)</f>
        <v>#DIV/0!</v>
      </c>
    </row>
    <row r="469" spans="1:19" x14ac:dyDescent="0.25">
      <c r="A469" s="93" t="s">
        <v>530</v>
      </c>
      <c r="B469" s="94" t="s">
        <v>37</v>
      </c>
      <c r="C469" s="94" t="s">
        <v>665</v>
      </c>
      <c r="D469" s="94" t="s">
        <v>680</v>
      </c>
      <c r="E469" s="95" t="s">
        <v>276</v>
      </c>
      <c r="F469" s="94" t="s">
        <v>244</v>
      </c>
      <c r="G469" s="94" t="s">
        <v>209</v>
      </c>
      <c r="H469" s="94" t="s">
        <v>11</v>
      </c>
      <c r="I469" s="94" t="s">
        <v>189</v>
      </c>
      <c r="J469" s="95" t="s">
        <v>210</v>
      </c>
      <c r="K469" s="96">
        <v>47.87</v>
      </c>
      <c r="L469" s="96">
        <f>K469*VLOOKUP(H469,dagsoorttabel1,2,FALSE)</f>
        <v>36.823076923076925</v>
      </c>
      <c r="M469" s="97">
        <f>prodnorm12</f>
        <v>0</v>
      </c>
      <c r="N469" s="94" t="s">
        <v>103</v>
      </c>
      <c r="O469" s="26">
        <f>uurtarief12</f>
        <v>0</v>
      </c>
      <c r="P469" s="96" t="e">
        <f>IF(ISBLANK(M469),0,L469/ROUND(M469,4))</f>
        <v>#DIV/0!</v>
      </c>
      <c r="Q469" s="26" t="e">
        <f>ROUND(O469,2)*P469</f>
        <v>#DIV/0!</v>
      </c>
      <c r="R469" s="96" t="e">
        <f>P469*dagenperjaar1</f>
        <v>#DIV/0!</v>
      </c>
      <c r="S469" s="27" t="e">
        <f>R469*ROUND(O469,2)</f>
        <v>#DIV/0!</v>
      </c>
    </row>
    <row r="470" spans="1:19" ht="30" x14ac:dyDescent="0.25">
      <c r="A470" s="93" t="s">
        <v>530</v>
      </c>
      <c r="B470" s="94" t="s">
        <v>37</v>
      </c>
      <c r="C470" s="94" t="s">
        <v>665</v>
      </c>
      <c r="D470" s="94" t="s">
        <v>681</v>
      </c>
      <c r="E470" s="95" t="s">
        <v>491</v>
      </c>
      <c r="F470" s="94" t="s">
        <v>244</v>
      </c>
      <c r="G470" s="94" t="s">
        <v>191</v>
      </c>
      <c r="H470" s="94" t="s">
        <v>11</v>
      </c>
      <c r="I470" s="94" t="s">
        <v>189</v>
      </c>
      <c r="J470" s="95" t="s">
        <v>192</v>
      </c>
      <c r="K470" s="96">
        <v>11.68</v>
      </c>
      <c r="L470" s="96">
        <f>K470*VLOOKUP(H470,dagsoorttabel1,2,FALSE)</f>
        <v>8.9846153846153847</v>
      </c>
      <c r="M470" s="97">
        <f>prodnorm3</f>
        <v>0</v>
      </c>
      <c r="N470" s="94" t="s">
        <v>103</v>
      </c>
      <c r="O470" s="26">
        <f>uurtarief3</f>
        <v>0</v>
      </c>
      <c r="P470" s="96" t="e">
        <f>IF(ISBLANK(M470),0,L470/ROUND(M470,4))</f>
        <v>#DIV/0!</v>
      </c>
      <c r="Q470" s="26" t="e">
        <f>ROUND(O470,2)*P470</f>
        <v>#DIV/0!</v>
      </c>
      <c r="R470" s="96" t="e">
        <f>P470*dagenperjaar1</f>
        <v>#DIV/0!</v>
      </c>
      <c r="S470" s="27" t="e">
        <f>R470*ROUND(O470,2)</f>
        <v>#DIV/0!</v>
      </c>
    </row>
    <row r="471" spans="1:19" x14ac:dyDescent="0.25">
      <c r="A471" s="93" t="s">
        <v>530</v>
      </c>
      <c r="B471" s="94" t="s">
        <v>37</v>
      </c>
      <c r="C471" s="94" t="s">
        <v>665</v>
      </c>
      <c r="D471" s="94" t="s">
        <v>682</v>
      </c>
      <c r="E471" s="95" t="s">
        <v>276</v>
      </c>
      <c r="F471" s="94" t="s">
        <v>244</v>
      </c>
      <c r="G471" s="94" t="s">
        <v>209</v>
      </c>
      <c r="H471" s="94" t="s">
        <v>11</v>
      </c>
      <c r="I471" s="94" t="s">
        <v>189</v>
      </c>
      <c r="J471" s="95" t="s">
        <v>210</v>
      </c>
      <c r="K471" s="96">
        <v>47.04</v>
      </c>
      <c r="L471" s="96">
        <f>K471*VLOOKUP(H471,dagsoorttabel1,2,FALSE)</f>
        <v>36.184615384615384</v>
      </c>
      <c r="M471" s="97">
        <f>prodnorm12</f>
        <v>0</v>
      </c>
      <c r="N471" s="94" t="s">
        <v>103</v>
      </c>
      <c r="O471" s="26">
        <f>uurtarief12</f>
        <v>0</v>
      </c>
      <c r="P471" s="96" t="e">
        <f>IF(ISBLANK(M471),0,L471/ROUND(M471,4))</f>
        <v>#DIV/0!</v>
      </c>
      <c r="Q471" s="26" t="e">
        <f>ROUND(O471,2)*P471</f>
        <v>#DIV/0!</v>
      </c>
      <c r="R471" s="96" t="e">
        <f>P471*dagenperjaar1</f>
        <v>#DIV/0!</v>
      </c>
      <c r="S471" s="27" t="e">
        <f>R471*ROUND(O471,2)</f>
        <v>#DIV/0!</v>
      </c>
    </row>
    <row r="472" spans="1:19" x14ac:dyDescent="0.25">
      <c r="A472" s="93" t="s">
        <v>530</v>
      </c>
      <c r="B472" s="94" t="s">
        <v>37</v>
      </c>
      <c r="C472" s="94" t="s">
        <v>665</v>
      </c>
      <c r="D472" s="94" t="s">
        <v>683</v>
      </c>
      <c r="E472" s="95" t="s">
        <v>589</v>
      </c>
      <c r="F472" s="94" t="s">
        <v>37</v>
      </c>
      <c r="G472" s="94" t="s">
        <v>248</v>
      </c>
      <c r="H472" s="94"/>
      <c r="I472" s="94"/>
      <c r="J472" s="94"/>
      <c r="K472" s="96">
        <v>0</v>
      </c>
      <c r="L472" s="96"/>
      <c r="M472" s="97"/>
      <c r="N472" s="94"/>
      <c r="O472" s="26"/>
      <c r="P472" s="96"/>
      <c r="Q472" s="26"/>
      <c r="R472" s="98"/>
      <c r="S472" s="27"/>
    </row>
    <row r="473" spans="1:19" ht="30" x14ac:dyDescent="0.25">
      <c r="A473" s="93" t="s">
        <v>530</v>
      </c>
      <c r="B473" s="94" t="s">
        <v>37</v>
      </c>
      <c r="C473" s="94" t="s">
        <v>665</v>
      </c>
      <c r="D473" s="94" t="s">
        <v>684</v>
      </c>
      <c r="E473" s="95" t="s">
        <v>491</v>
      </c>
      <c r="F473" s="94" t="s">
        <v>244</v>
      </c>
      <c r="G473" s="94" t="s">
        <v>191</v>
      </c>
      <c r="H473" s="94" t="s">
        <v>11</v>
      </c>
      <c r="I473" s="94" t="s">
        <v>189</v>
      </c>
      <c r="J473" s="95" t="s">
        <v>192</v>
      </c>
      <c r="K473" s="96">
        <v>11.42</v>
      </c>
      <c r="L473" s="96">
        <f>K473*VLOOKUP(H473,dagsoorttabel1,2,FALSE)</f>
        <v>8.7846153846153854</v>
      </c>
      <c r="M473" s="97">
        <f>prodnorm3</f>
        <v>0</v>
      </c>
      <c r="N473" s="94" t="s">
        <v>103</v>
      </c>
      <c r="O473" s="26">
        <f>uurtarief3</f>
        <v>0</v>
      </c>
      <c r="P473" s="96" t="e">
        <f>IF(ISBLANK(M473),0,L473/ROUND(M473,4))</f>
        <v>#DIV/0!</v>
      </c>
      <c r="Q473" s="26" t="e">
        <f>ROUND(O473,2)*P473</f>
        <v>#DIV/0!</v>
      </c>
      <c r="R473" s="96" t="e">
        <f>P473*dagenperjaar1</f>
        <v>#DIV/0!</v>
      </c>
      <c r="S473" s="27" t="e">
        <f>R473*ROUND(O473,2)</f>
        <v>#DIV/0!</v>
      </c>
    </row>
    <row r="474" spans="1:19" x14ac:dyDescent="0.25">
      <c r="A474" s="93" t="s">
        <v>530</v>
      </c>
      <c r="B474" s="94" t="s">
        <v>37</v>
      </c>
      <c r="C474" s="94" t="s">
        <v>665</v>
      </c>
      <c r="D474" s="94" t="s">
        <v>685</v>
      </c>
      <c r="E474" s="95" t="s">
        <v>276</v>
      </c>
      <c r="F474" s="94" t="s">
        <v>244</v>
      </c>
      <c r="G474" s="94" t="s">
        <v>209</v>
      </c>
      <c r="H474" s="94" t="s">
        <v>11</v>
      </c>
      <c r="I474" s="94" t="s">
        <v>189</v>
      </c>
      <c r="J474" s="95" t="s">
        <v>210</v>
      </c>
      <c r="K474" s="96">
        <v>47.87</v>
      </c>
      <c r="L474" s="96">
        <f>K474*VLOOKUP(H474,dagsoorttabel1,2,FALSE)</f>
        <v>36.823076923076925</v>
      </c>
      <c r="M474" s="97">
        <f>prodnorm12</f>
        <v>0</v>
      </c>
      <c r="N474" s="94" t="s">
        <v>103</v>
      </c>
      <c r="O474" s="26">
        <f>uurtarief12</f>
        <v>0</v>
      </c>
      <c r="P474" s="96" t="e">
        <f>IF(ISBLANK(M474),0,L474/ROUND(M474,4))</f>
        <v>#DIV/0!</v>
      </c>
      <c r="Q474" s="26" t="e">
        <f>ROUND(O474,2)*P474</f>
        <v>#DIV/0!</v>
      </c>
      <c r="R474" s="96" t="e">
        <f>P474*dagenperjaar1</f>
        <v>#DIV/0!</v>
      </c>
      <c r="S474" s="27" t="e">
        <f>R474*ROUND(O474,2)</f>
        <v>#DIV/0!</v>
      </c>
    </row>
    <row r="475" spans="1:19" ht="30" x14ac:dyDescent="0.25">
      <c r="A475" s="93" t="s">
        <v>530</v>
      </c>
      <c r="B475" s="94" t="s">
        <v>37</v>
      </c>
      <c r="C475" s="94" t="s">
        <v>665</v>
      </c>
      <c r="D475" s="94" t="s">
        <v>686</v>
      </c>
      <c r="E475" s="95" t="s">
        <v>436</v>
      </c>
      <c r="F475" s="94" t="s">
        <v>244</v>
      </c>
      <c r="G475" s="94" t="s">
        <v>225</v>
      </c>
      <c r="H475" s="94" t="s">
        <v>11</v>
      </c>
      <c r="I475" s="94" t="s">
        <v>189</v>
      </c>
      <c r="J475" s="95" t="s">
        <v>226</v>
      </c>
      <c r="K475" s="96">
        <v>89</v>
      </c>
      <c r="L475" s="96">
        <f>K475*VLOOKUP(H475,dagsoorttabel1,2,FALSE)</f>
        <v>68.461538461538467</v>
      </c>
      <c r="M475" s="97">
        <f>prodnorm20</f>
        <v>0</v>
      </c>
      <c r="N475" s="94" t="s">
        <v>103</v>
      </c>
      <c r="O475" s="26">
        <f>uurtarief20</f>
        <v>0</v>
      </c>
      <c r="P475" s="96" t="e">
        <f>IF(ISBLANK(M475),0,L475/ROUND(M475,4))</f>
        <v>#DIV/0!</v>
      </c>
      <c r="Q475" s="26" t="e">
        <f>ROUND(O475,2)*P475</f>
        <v>#DIV/0!</v>
      </c>
      <c r="R475" s="96" t="e">
        <f>P475*dagenperjaar1</f>
        <v>#DIV/0!</v>
      </c>
      <c r="S475" s="27" t="e">
        <f>R475*ROUND(O475,2)</f>
        <v>#DIV/0!</v>
      </c>
    </row>
    <row r="476" spans="1:19" x14ac:dyDescent="0.25">
      <c r="A476" s="93" t="s">
        <v>530</v>
      </c>
      <c r="B476" s="94" t="s">
        <v>37</v>
      </c>
      <c r="C476" s="94" t="s">
        <v>665</v>
      </c>
      <c r="D476" s="94" t="s">
        <v>687</v>
      </c>
      <c r="E476" s="95" t="s">
        <v>630</v>
      </c>
      <c r="F476" s="94" t="s">
        <v>244</v>
      </c>
      <c r="G476" s="94" t="s">
        <v>209</v>
      </c>
      <c r="H476" s="94" t="s">
        <v>11</v>
      </c>
      <c r="I476" s="94" t="s">
        <v>189</v>
      </c>
      <c r="J476" s="95" t="s">
        <v>210</v>
      </c>
      <c r="K476" s="96">
        <v>3.68</v>
      </c>
      <c r="L476" s="96">
        <f>K476*VLOOKUP(H476,dagsoorttabel1,2,FALSE)</f>
        <v>2.8307692307692309</v>
      </c>
      <c r="M476" s="97">
        <f>prodnorm12</f>
        <v>0</v>
      </c>
      <c r="N476" s="94" t="s">
        <v>103</v>
      </c>
      <c r="O476" s="26">
        <f>uurtarief12</f>
        <v>0</v>
      </c>
      <c r="P476" s="96" t="e">
        <f>IF(ISBLANK(M476),0,L476/ROUND(M476,4))</f>
        <v>#DIV/0!</v>
      </c>
      <c r="Q476" s="26" t="e">
        <f>ROUND(O476,2)*P476</f>
        <v>#DIV/0!</v>
      </c>
      <c r="R476" s="96" t="e">
        <f>P476*dagenperjaar1</f>
        <v>#DIV/0!</v>
      </c>
      <c r="S476" s="27" t="e">
        <f>R476*ROUND(O476,2)</f>
        <v>#DIV/0!</v>
      </c>
    </row>
    <row r="477" spans="1:19" x14ac:dyDescent="0.25">
      <c r="A477" s="93" t="s">
        <v>530</v>
      </c>
      <c r="B477" s="94" t="s">
        <v>37</v>
      </c>
      <c r="C477" s="94" t="s">
        <v>665</v>
      </c>
      <c r="D477" s="94" t="s">
        <v>688</v>
      </c>
      <c r="E477" s="95" t="s">
        <v>600</v>
      </c>
      <c r="F477" s="94" t="s">
        <v>255</v>
      </c>
      <c r="G477" s="94" t="s">
        <v>221</v>
      </c>
      <c r="H477" s="94" t="s">
        <v>11</v>
      </c>
      <c r="I477" s="94" t="s">
        <v>189</v>
      </c>
      <c r="J477" s="95" t="s">
        <v>222</v>
      </c>
      <c r="K477" s="96">
        <v>17.8</v>
      </c>
      <c r="L477" s="96">
        <f>K477*VLOOKUP(H477,dagsoorttabel1,2,FALSE)</f>
        <v>13.692307692307693</v>
      </c>
      <c r="M477" s="97">
        <f>prodnorm18</f>
        <v>0</v>
      </c>
      <c r="N477" s="94" t="s">
        <v>103</v>
      </c>
      <c r="O477" s="26">
        <f>uurtarief18</f>
        <v>0</v>
      </c>
      <c r="P477" s="96" t="e">
        <f>IF(ISBLANK(M477),0,L477/ROUND(M477,4))</f>
        <v>#DIV/0!</v>
      </c>
      <c r="Q477" s="26" t="e">
        <f>ROUND(O477,2)*P477</f>
        <v>#DIV/0!</v>
      </c>
      <c r="R477" s="96" t="e">
        <f>P477*dagenperjaar1</f>
        <v>#DIV/0!</v>
      </c>
      <c r="S477" s="27" t="e">
        <f>R477*ROUND(O477,2)</f>
        <v>#DIV/0!</v>
      </c>
    </row>
    <row r="478" spans="1:19" x14ac:dyDescent="0.25">
      <c r="A478" s="93" t="s">
        <v>530</v>
      </c>
      <c r="B478" s="94" t="s">
        <v>37</v>
      </c>
      <c r="C478" s="94" t="s">
        <v>665</v>
      </c>
      <c r="D478" s="94" t="s">
        <v>689</v>
      </c>
      <c r="E478" s="95" t="s">
        <v>589</v>
      </c>
      <c r="F478" s="94" t="s">
        <v>37</v>
      </c>
      <c r="G478" s="94" t="s">
        <v>248</v>
      </c>
      <c r="H478" s="94"/>
      <c r="I478" s="94"/>
      <c r="J478" s="94"/>
      <c r="K478" s="96">
        <v>0</v>
      </c>
      <c r="L478" s="96"/>
      <c r="M478" s="97"/>
      <c r="N478" s="94"/>
      <c r="O478" s="26"/>
      <c r="P478" s="96"/>
      <c r="Q478" s="26"/>
      <c r="R478" s="98"/>
      <c r="S478" s="27"/>
    </row>
    <row r="479" spans="1:19" x14ac:dyDescent="0.25">
      <c r="A479" s="93" t="s">
        <v>530</v>
      </c>
      <c r="B479" s="94" t="s">
        <v>37</v>
      </c>
      <c r="C479" s="94" t="s">
        <v>665</v>
      </c>
      <c r="D479" s="94" t="s">
        <v>690</v>
      </c>
      <c r="E479" s="95" t="s">
        <v>601</v>
      </c>
      <c r="F479" s="94" t="s">
        <v>255</v>
      </c>
      <c r="G479" s="94" t="s">
        <v>221</v>
      </c>
      <c r="H479" s="94" t="s">
        <v>11</v>
      </c>
      <c r="I479" s="94" t="s">
        <v>189</v>
      </c>
      <c r="J479" s="95" t="s">
        <v>222</v>
      </c>
      <c r="K479" s="96">
        <v>18.37</v>
      </c>
      <c r="L479" s="96">
        <f>K479*VLOOKUP(H479,dagsoorttabel1,2,FALSE)</f>
        <v>14.130769230769232</v>
      </c>
      <c r="M479" s="97">
        <f>prodnorm18</f>
        <v>0</v>
      </c>
      <c r="N479" s="94" t="s">
        <v>103</v>
      </c>
      <c r="O479" s="26">
        <f>uurtarief18</f>
        <v>0</v>
      </c>
      <c r="P479" s="96" t="e">
        <f>IF(ISBLANK(M479),0,L479/ROUND(M479,4))</f>
        <v>#DIV/0!</v>
      </c>
      <c r="Q479" s="26" t="e">
        <f>ROUND(O479,2)*P479</f>
        <v>#DIV/0!</v>
      </c>
      <c r="R479" s="96" t="e">
        <f>P479*dagenperjaar1</f>
        <v>#DIV/0!</v>
      </c>
      <c r="S479" s="27" t="e">
        <f>R479*ROUND(O479,2)</f>
        <v>#DIV/0!</v>
      </c>
    </row>
    <row r="480" spans="1:19" x14ac:dyDescent="0.25">
      <c r="A480" s="93" t="s">
        <v>530</v>
      </c>
      <c r="B480" s="94" t="s">
        <v>37</v>
      </c>
      <c r="C480" s="94" t="s">
        <v>665</v>
      </c>
      <c r="D480" s="94" t="s">
        <v>691</v>
      </c>
      <c r="E480" s="95" t="s">
        <v>589</v>
      </c>
      <c r="F480" s="94" t="s">
        <v>37</v>
      </c>
      <c r="G480" s="94" t="s">
        <v>248</v>
      </c>
      <c r="H480" s="94"/>
      <c r="I480" s="94"/>
      <c r="J480" s="94"/>
      <c r="K480" s="96">
        <v>0</v>
      </c>
      <c r="L480" s="96"/>
      <c r="M480" s="97"/>
      <c r="N480" s="94"/>
      <c r="O480" s="26"/>
      <c r="P480" s="96"/>
      <c r="Q480" s="26"/>
      <c r="R480" s="98"/>
      <c r="S480" s="27"/>
    </row>
    <row r="481" spans="1:19" ht="30" x14ac:dyDescent="0.25">
      <c r="A481" s="93" t="s">
        <v>530</v>
      </c>
      <c r="B481" s="94" t="s">
        <v>37</v>
      </c>
      <c r="C481" s="94" t="s">
        <v>665</v>
      </c>
      <c r="D481" s="94" t="s">
        <v>692</v>
      </c>
      <c r="E481" s="95" t="s">
        <v>491</v>
      </c>
      <c r="F481" s="94" t="s">
        <v>532</v>
      </c>
      <c r="G481" s="94" t="s">
        <v>191</v>
      </c>
      <c r="H481" s="94" t="s">
        <v>11</v>
      </c>
      <c r="I481" s="94" t="s">
        <v>189</v>
      </c>
      <c r="J481" s="95" t="s">
        <v>192</v>
      </c>
      <c r="K481" s="96">
        <v>11.42</v>
      </c>
      <c r="L481" s="96">
        <f>K481*VLOOKUP(H481,dagsoorttabel1,2,FALSE)</f>
        <v>8.7846153846153854</v>
      </c>
      <c r="M481" s="97">
        <f>prodnorm3</f>
        <v>0</v>
      </c>
      <c r="N481" s="94" t="s">
        <v>103</v>
      </c>
      <c r="O481" s="26">
        <f>uurtarief3</f>
        <v>0</v>
      </c>
      <c r="P481" s="96" t="e">
        <f>IF(ISBLANK(M481),0,L481/ROUND(M481,4))</f>
        <v>#DIV/0!</v>
      </c>
      <c r="Q481" s="26" t="e">
        <f>ROUND(O481,2)*P481</f>
        <v>#DIV/0!</v>
      </c>
      <c r="R481" s="96" t="e">
        <f>P481*dagenperjaar1</f>
        <v>#DIV/0!</v>
      </c>
      <c r="S481" s="27" t="e">
        <f>R481*ROUND(O481,2)</f>
        <v>#DIV/0!</v>
      </c>
    </row>
    <row r="482" spans="1:19" x14ac:dyDescent="0.25">
      <c r="A482" s="93" t="s">
        <v>530</v>
      </c>
      <c r="B482" s="94" t="s">
        <v>37</v>
      </c>
      <c r="C482" s="94" t="s">
        <v>665</v>
      </c>
      <c r="D482" s="94" t="s">
        <v>693</v>
      </c>
      <c r="E482" s="95" t="s">
        <v>276</v>
      </c>
      <c r="F482" s="94" t="s">
        <v>244</v>
      </c>
      <c r="G482" s="94" t="s">
        <v>209</v>
      </c>
      <c r="H482" s="94" t="s">
        <v>11</v>
      </c>
      <c r="I482" s="94" t="s">
        <v>189</v>
      </c>
      <c r="J482" s="95" t="s">
        <v>210</v>
      </c>
      <c r="K482" s="96">
        <v>45.5</v>
      </c>
      <c r="L482" s="96">
        <f>K482*VLOOKUP(H482,dagsoorttabel1,2,FALSE)</f>
        <v>35</v>
      </c>
      <c r="M482" s="97">
        <f>prodnorm12</f>
        <v>0</v>
      </c>
      <c r="N482" s="94" t="s">
        <v>103</v>
      </c>
      <c r="O482" s="26">
        <f>uurtarief12</f>
        <v>0</v>
      </c>
      <c r="P482" s="96" t="e">
        <f>IF(ISBLANK(M482),0,L482/ROUND(M482,4))</f>
        <v>#DIV/0!</v>
      </c>
      <c r="Q482" s="26" t="e">
        <f>ROUND(O482,2)*P482</f>
        <v>#DIV/0!</v>
      </c>
      <c r="R482" s="96" t="e">
        <f>P482*dagenperjaar1</f>
        <v>#DIV/0!</v>
      </c>
      <c r="S482" s="27" t="e">
        <f>R482*ROUND(O482,2)</f>
        <v>#DIV/0!</v>
      </c>
    </row>
    <row r="483" spans="1:19" x14ac:dyDescent="0.25">
      <c r="A483" s="93" t="s">
        <v>530</v>
      </c>
      <c r="B483" s="94" t="s">
        <v>37</v>
      </c>
      <c r="C483" s="94" t="s">
        <v>665</v>
      </c>
      <c r="D483" s="94" t="s">
        <v>694</v>
      </c>
      <c r="E483" s="95" t="s">
        <v>589</v>
      </c>
      <c r="F483" s="94" t="s">
        <v>37</v>
      </c>
      <c r="G483" s="94" t="s">
        <v>248</v>
      </c>
      <c r="H483" s="94"/>
      <c r="I483" s="94"/>
      <c r="J483" s="94"/>
      <c r="K483" s="96">
        <v>0</v>
      </c>
      <c r="L483" s="96"/>
      <c r="M483" s="97"/>
      <c r="N483" s="94"/>
      <c r="O483" s="26"/>
      <c r="P483" s="96"/>
      <c r="Q483" s="26"/>
      <c r="R483" s="98"/>
      <c r="S483" s="27"/>
    </row>
    <row r="484" spans="1:19" ht="30" x14ac:dyDescent="0.25">
      <c r="A484" s="93" t="s">
        <v>530</v>
      </c>
      <c r="B484" s="94" t="s">
        <v>37</v>
      </c>
      <c r="C484" s="94" t="s">
        <v>665</v>
      </c>
      <c r="D484" s="94" t="s">
        <v>695</v>
      </c>
      <c r="E484" s="95" t="s">
        <v>491</v>
      </c>
      <c r="F484" s="94" t="s">
        <v>244</v>
      </c>
      <c r="G484" s="94" t="s">
        <v>191</v>
      </c>
      <c r="H484" s="94" t="s">
        <v>11</v>
      </c>
      <c r="I484" s="94" t="s">
        <v>189</v>
      </c>
      <c r="J484" s="95" t="s">
        <v>192</v>
      </c>
      <c r="K484" s="96">
        <v>23.3</v>
      </c>
      <c r="L484" s="96">
        <f>K484*VLOOKUP(H484,dagsoorttabel1,2,FALSE)</f>
        <v>17.923076923076923</v>
      </c>
      <c r="M484" s="97">
        <f>prodnorm3</f>
        <v>0</v>
      </c>
      <c r="N484" s="94" t="s">
        <v>103</v>
      </c>
      <c r="O484" s="26">
        <f>uurtarief3</f>
        <v>0</v>
      </c>
      <c r="P484" s="96" t="e">
        <f>IF(ISBLANK(M484),0,L484/ROUND(M484,4))</f>
        <v>#DIV/0!</v>
      </c>
      <c r="Q484" s="26" t="e">
        <f>ROUND(O484,2)*P484</f>
        <v>#DIV/0!</v>
      </c>
      <c r="R484" s="96" t="e">
        <f>P484*dagenperjaar1</f>
        <v>#DIV/0!</v>
      </c>
      <c r="S484" s="27" t="e">
        <f>R484*ROUND(O484,2)</f>
        <v>#DIV/0!</v>
      </c>
    </row>
    <row r="485" spans="1:19" x14ac:dyDescent="0.25">
      <c r="A485" s="93" t="s">
        <v>530</v>
      </c>
      <c r="B485" s="94" t="s">
        <v>37</v>
      </c>
      <c r="C485" s="94" t="s">
        <v>665</v>
      </c>
      <c r="D485" s="94" t="s">
        <v>696</v>
      </c>
      <c r="E485" s="95" t="s">
        <v>276</v>
      </c>
      <c r="F485" s="94" t="s">
        <v>244</v>
      </c>
      <c r="G485" s="94" t="s">
        <v>209</v>
      </c>
      <c r="H485" s="94" t="s">
        <v>11</v>
      </c>
      <c r="I485" s="94" t="s">
        <v>189</v>
      </c>
      <c r="J485" s="95" t="s">
        <v>210</v>
      </c>
      <c r="K485" s="96">
        <v>46.17</v>
      </c>
      <c r="L485" s="96">
        <f>K485*VLOOKUP(H485,dagsoorttabel1,2,FALSE)</f>
        <v>35.515384615384619</v>
      </c>
      <c r="M485" s="97">
        <f>prodnorm12</f>
        <v>0</v>
      </c>
      <c r="N485" s="94" t="s">
        <v>103</v>
      </c>
      <c r="O485" s="26">
        <f>uurtarief12</f>
        <v>0</v>
      </c>
      <c r="P485" s="96" t="e">
        <f>IF(ISBLANK(M485),0,L485/ROUND(M485,4))</f>
        <v>#DIV/0!</v>
      </c>
      <c r="Q485" s="26" t="e">
        <f>ROUND(O485,2)*P485</f>
        <v>#DIV/0!</v>
      </c>
      <c r="R485" s="96" t="e">
        <f>P485*dagenperjaar1</f>
        <v>#DIV/0!</v>
      </c>
      <c r="S485" s="27" t="e">
        <f>R485*ROUND(O485,2)</f>
        <v>#DIV/0!</v>
      </c>
    </row>
    <row r="486" spans="1:19" ht="30" x14ac:dyDescent="0.25">
      <c r="A486" s="93" t="s">
        <v>530</v>
      </c>
      <c r="B486" s="94" t="s">
        <v>37</v>
      </c>
      <c r="C486" s="94" t="s">
        <v>665</v>
      </c>
      <c r="D486" s="94" t="s">
        <v>697</v>
      </c>
      <c r="E486" s="95" t="s">
        <v>491</v>
      </c>
      <c r="F486" s="94" t="s">
        <v>532</v>
      </c>
      <c r="G486" s="94" t="s">
        <v>191</v>
      </c>
      <c r="H486" s="94" t="s">
        <v>11</v>
      </c>
      <c r="I486" s="94" t="s">
        <v>189</v>
      </c>
      <c r="J486" s="95" t="s">
        <v>192</v>
      </c>
      <c r="K486" s="96">
        <v>11.55</v>
      </c>
      <c r="L486" s="96">
        <f>K486*VLOOKUP(H486,dagsoorttabel1,2,FALSE)</f>
        <v>8.884615384615385</v>
      </c>
      <c r="M486" s="97">
        <f>prodnorm3</f>
        <v>0</v>
      </c>
      <c r="N486" s="94" t="s">
        <v>103</v>
      </c>
      <c r="O486" s="26">
        <f>uurtarief3</f>
        <v>0</v>
      </c>
      <c r="P486" s="96" t="e">
        <f>IF(ISBLANK(M486),0,L486/ROUND(M486,4))</f>
        <v>#DIV/0!</v>
      </c>
      <c r="Q486" s="26" t="e">
        <f>ROUND(O486,2)*P486</f>
        <v>#DIV/0!</v>
      </c>
      <c r="R486" s="96" t="e">
        <f>P486*dagenperjaar1</f>
        <v>#DIV/0!</v>
      </c>
      <c r="S486" s="27" t="e">
        <f>R486*ROUND(O486,2)</f>
        <v>#DIV/0!</v>
      </c>
    </row>
    <row r="487" spans="1:19" ht="30" x14ac:dyDescent="0.25">
      <c r="A487" s="93" t="s">
        <v>530</v>
      </c>
      <c r="B487" s="94" t="s">
        <v>37</v>
      </c>
      <c r="C487" s="94" t="s">
        <v>665</v>
      </c>
      <c r="D487" s="94" t="s">
        <v>698</v>
      </c>
      <c r="E487" s="95" t="s">
        <v>572</v>
      </c>
      <c r="F487" s="94" t="s">
        <v>532</v>
      </c>
      <c r="G487" s="94" t="s">
        <v>191</v>
      </c>
      <c r="H487" s="94" t="s">
        <v>11</v>
      </c>
      <c r="I487" s="94" t="s">
        <v>189</v>
      </c>
      <c r="J487" s="95" t="s">
        <v>192</v>
      </c>
      <c r="K487" s="96">
        <v>26.38</v>
      </c>
      <c r="L487" s="96">
        <f>K487*VLOOKUP(H487,dagsoorttabel1,2,FALSE)</f>
        <v>20.292307692307691</v>
      </c>
      <c r="M487" s="97">
        <f>prodnorm3</f>
        <v>0</v>
      </c>
      <c r="N487" s="94" t="s">
        <v>103</v>
      </c>
      <c r="O487" s="26">
        <f>uurtarief3</f>
        <v>0</v>
      </c>
      <c r="P487" s="96" t="e">
        <f>IF(ISBLANK(M487),0,L487/ROUND(M487,4))</f>
        <v>#DIV/0!</v>
      </c>
      <c r="Q487" s="26" t="e">
        <f>ROUND(O487,2)*P487</f>
        <v>#DIV/0!</v>
      </c>
      <c r="R487" s="96" t="e">
        <f>P487*dagenperjaar1</f>
        <v>#DIV/0!</v>
      </c>
      <c r="S487" s="27" t="e">
        <f>R487*ROUND(O487,2)</f>
        <v>#DIV/0!</v>
      </c>
    </row>
    <row r="488" spans="1:19" ht="30" x14ac:dyDescent="0.25">
      <c r="A488" s="93" t="s">
        <v>530</v>
      </c>
      <c r="B488" s="94" t="s">
        <v>37</v>
      </c>
      <c r="C488" s="94" t="s">
        <v>665</v>
      </c>
      <c r="D488" s="94" t="s">
        <v>699</v>
      </c>
      <c r="E488" s="95" t="s">
        <v>436</v>
      </c>
      <c r="F488" s="94" t="s">
        <v>244</v>
      </c>
      <c r="G488" s="94" t="s">
        <v>225</v>
      </c>
      <c r="H488" s="94" t="s">
        <v>11</v>
      </c>
      <c r="I488" s="94" t="s">
        <v>189</v>
      </c>
      <c r="J488" s="95" t="s">
        <v>226</v>
      </c>
      <c r="K488" s="96">
        <v>37.979999999999997</v>
      </c>
      <c r="L488" s="96">
        <f>K488*VLOOKUP(H488,dagsoorttabel1,2,FALSE)</f>
        <v>29.215384615384615</v>
      </c>
      <c r="M488" s="97">
        <f>prodnorm20</f>
        <v>0</v>
      </c>
      <c r="N488" s="94" t="s">
        <v>103</v>
      </c>
      <c r="O488" s="26">
        <f>uurtarief20</f>
        <v>0</v>
      </c>
      <c r="P488" s="96" t="e">
        <f>IF(ISBLANK(M488),0,L488/ROUND(M488,4))</f>
        <v>#DIV/0!</v>
      </c>
      <c r="Q488" s="26" t="e">
        <f>ROUND(O488,2)*P488</f>
        <v>#DIV/0!</v>
      </c>
      <c r="R488" s="96" t="e">
        <f>P488*dagenperjaar1</f>
        <v>#DIV/0!</v>
      </c>
      <c r="S488" s="27" t="e">
        <f>R488*ROUND(O488,2)</f>
        <v>#DIV/0!</v>
      </c>
    </row>
    <row r="489" spans="1:19" ht="30" x14ac:dyDescent="0.25">
      <c r="A489" s="93" t="s">
        <v>530</v>
      </c>
      <c r="B489" s="94" t="s">
        <v>37</v>
      </c>
      <c r="C489" s="94" t="s">
        <v>665</v>
      </c>
      <c r="D489" s="94" t="s">
        <v>700</v>
      </c>
      <c r="E489" s="95" t="s">
        <v>491</v>
      </c>
      <c r="F489" s="94" t="s">
        <v>532</v>
      </c>
      <c r="G489" s="94" t="s">
        <v>191</v>
      </c>
      <c r="H489" s="94" t="s">
        <v>11</v>
      </c>
      <c r="I489" s="94" t="s">
        <v>189</v>
      </c>
      <c r="J489" s="95" t="s">
        <v>192</v>
      </c>
      <c r="K489" s="96">
        <v>11.68</v>
      </c>
      <c r="L489" s="96">
        <f>K489*VLOOKUP(H489,dagsoorttabel1,2,FALSE)</f>
        <v>8.9846153846153847</v>
      </c>
      <c r="M489" s="97">
        <f>prodnorm3</f>
        <v>0</v>
      </c>
      <c r="N489" s="94" t="s">
        <v>103</v>
      </c>
      <c r="O489" s="26">
        <f>uurtarief3</f>
        <v>0</v>
      </c>
      <c r="P489" s="96" t="e">
        <f>IF(ISBLANK(M489),0,L489/ROUND(M489,4))</f>
        <v>#DIV/0!</v>
      </c>
      <c r="Q489" s="26" t="e">
        <f>ROUND(O489,2)*P489</f>
        <v>#DIV/0!</v>
      </c>
      <c r="R489" s="96" t="e">
        <f>P489*dagenperjaar1</f>
        <v>#DIV/0!</v>
      </c>
      <c r="S489" s="27" t="e">
        <f>R489*ROUND(O489,2)</f>
        <v>#DIV/0!</v>
      </c>
    </row>
    <row r="490" spans="1:19" x14ac:dyDescent="0.25">
      <c r="A490" s="93" t="s">
        <v>530</v>
      </c>
      <c r="B490" s="94" t="s">
        <v>37</v>
      </c>
      <c r="C490" s="94" t="s">
        <v>665</v>
      </c>
      <c r="D490" s="94" t="s">
        <v>701</v>
      </c>
      <c r="E490" s="95" t="s">
        <v>265</v>
      </c>
      <c r="F490" s="94" t="s">
        <v>244</v>
      </c>
      <c r="G490" s="94" t="s">
        <v>223</v>
      </c>
      <c r="H490" s="94" t="s">
        <v>11</v>
      </c>
      <c r="I490" s="94" t="s">
        <v>189</v>
      </c>
      <c r="J490" s="95" t="s">
        <v>224</v>
      </c>
      <c r="K490" s="96">
        <v>47.349999999999994</v>
      </c>
      <c r="L490" s="96">
        <f>K490*VLOOKUP(H490,dagsoorttabel1,2,FALSE)</f>
        <v>36.42307692307692</v>
      </c>
      <c r="M490" s="97">
        <f>prodnorm19</f>
        <v>0</v>
      </c>
      <c r="N490" s="94" t="s">
        <v>103</v>
      </c>
      <c r="O490" s="26">
        <f>uurtarief19</f>
        <v>0</v>
      </c>
      <c r="P490" s="96" t="e">
        <f>IF(ISBLANK(M490),0,L490/ROUND(M490,4))</f>
        <v>#DIV/0!</v>
      </c>
      <c r="Q490" s="26" t="e">
        <f>ROUND(O490,2)*P490</f>
        <v>#DIV/0!</v>
      </c>
      <c r="R490" s="96" t="e">
        <f>P490*dagenperjaar1</f>
        <v>#DIV/0!</v>
      </c>
      <c r="S490" s="27" t="e">
        <f>R490*ROUND(O490,2)</f>
        <v>#DIV/0!</v>
      </c>
    </row>
    <row r="491" spans="1:19" x14ac:dyDescent="0.25">
      <c r="A491" s="93" t="s">
        <v>530</v>
      </c>
      <c r="B491" s="94" t="s">
        <v>37</v>
      </c>
      <c r="C491" s="94" t="s">
        <v>665</v>
      </c>
      <c r="D491" s="94" t="s">
        <v>702</v>
      </c>
      <c r="E491" s="95" t="s">
        <v>276</v>
      </c>
      <c r="F491" s="94" t="s">
        <v>244</v>
      </c>
      <c r="G491" s="94" t="s">
        <v>209</v>
      </c>
      <c r="H491" s="94" t="s">
        <v>11</v>
      </c>
      <c r="I491" s="94" t="s">
        <v>189</v>
      </c>
      <c r="J491" s="95" t="s">
        <v>210</v>
      </c>
      <c r="K491" s="96">
        <v>61.82</v>
      </c>
      <c r="L491" s="96">
        <f>K491*VLOOKUP(H491,dagsoorttabel1,2,FALSE)</f>
        <v>47.553846153846159</v>
      </c>
      <c r="M491" s="97">
        <f>prodnorm12</f>
        <v>0</v>
      </c>
      <c r="N491" s="94" t="s">
        <v>103</v>
      </c>
      <c r="O491" s="26">
        <f>uurtarief12</f>
        <v>0</v>
      </c>
      <c r="P491" s="96" t="e">
        <f>IF(ISBLANK(M491),0,L491/ROUND(M491,4))</f>
        <v>#DIV/0!</v>
      </c>
      <c r="Q491" s="26" t="e">
        <f>ROUND(O491,2)*P491</f>
        <v>#DIV/0!</v>
      </c>
      <c r="R491" s="96" t="e">
        <f>P491*dagenperjaar1</f>
        <v>#DIV/0!</v>
      </c>
      <c r="S491" s="27" t="e">
        <f>R491*ROUND(O491,2)</f>
        <v>#DIV/0!</v>
      </c>
    </row>
    <row r="492" spans="1:19" x14ac:dyDescent="0.25">
      <c r="A492" s="93" t="s">
        <v>530</v>
      </c>
      <c r="B492" s="94" t="s">
        <v>37</v>
      </c>
      <c r="C492" s="94" t="s">
        <v>665</v>
      </c>
      <c r="D492" s="94" t="s">
        <v>703</v>
      </c>
      <c r="E492" s="95" t="s">
        <v>276</v>
      </c>
      <c r="F492" s="94" t="s">
        <v>244</v>
      </c>
      <c r="G492" s="94" t="s">
        <v>209</v>
      </c>
      <c r="H492" s="94" t="s">
        <v>11</v>
      </c>
      <c r="I492" s="94" t="s">
        <v>189</v>
      </c>
      <c r="J492" s="95" t="s">
        <v>210</v>
      </c>
      <c r="K492" s="96">
        <v>61.53</v>
      </c>
      <c r="L492" s="96">
        <f>K492*VLOOKUP(H492,dagsoorttabel1,2,FALSE)</f>
        <v>47.330769230769235</v>
      </c>
      <c r="M492" s="97">
        <f>prodnorm12</f>
        <v>0</v>
      </c>
      <c r="N492" s="94" t="s">
        <v>103</v>
      </c>
      <c r="O492" s="26">
        <f>uurtarief12</f>
        <v>0</v>
      </c>
      <c r="P492" s="96" t="e">
        <f>IF(ISBLANK(M492),0,L492/ROUND(M492,4))</f>
        <v>#DIV/0!</v>
      </c>
      <c r="Q492" s="26" t="e">
        <f>ROUND(O492,2)*P492</f>
        <v>#DIV/0!</v>
      </c>
      <c r="R492" s="96" t="e">
        <f>P492*dagenperjaar1</f>
        <v>#DIV/0!</v>
      </c>
      <c r="S492" s="27" t="e">
        <f>R492*ROUND(O492,2)</f>
        <v>#DIV/0!</v>
      </c>
    </row>
    <row r="493" spans="1:19" x14ac:dyDescent="0.25">
      <c r="A493" s="93" t="s">
        <v>530</v>
      </c>
      <c r="B493" s="94" t="s">
        <v>37</v>
      </c>
      <c r="C493" s="94" t="s">
        <v>665</v>
      </c>
      <c r="D493" s="94" t="s">
        <v>704</v>
      </c>
      <c r="E493" s="95" t="s">
        <v>276</v>
      </c>
      <c r="F493" s="94" t="s">
        <v>244</v>
      </c>
      <c r="G493" s="94" t="s">
        <v>209</v>
      </c>
      <c r="H493" s="94" t="s">
        <v>11</v>
      </c>
      <c r="I493" s="94" t="s">
        <v>189</v>
      </c>
      <c r="J493" s="95" t="s">
        <v>210</v>
      </c>
      <c r="K493" s="96">
        <v>64</v>
      </c>
      <c r="L493" s="96">
        <f>K493*VLOOKUP(H493,dagsoorttabel1,2,FALSE)</f>
        <v>49.230769230769234</v>
      </c>
      <c r="M493" s="97">
        <f>prodnorm12</f>
        <v>0</v>
      </c>
      <c r="N493" s="94" t="s">
        <v>103</v>
      </c>
      <c r="O493" s="26">
        <f>uurtarief12</f>
        <v>0</v>
      </c>
      <c r="P493" s="96" t="e">
        <f>IF(ISBLANK(M493),0,L493/ROUND(M493,4))</f>
        <v>#DIV/0!</v>
      </c>
      <c r="Q493" s="26" t="e">
        <f>ROUND(O493,2)*P493</f>
        <v>#DIV/0!</v>
      </c>
      <c r="R493" s="96" t="e">
        <f>P493*dagenperjaar1</f>
        <v>#DIV/0!</v>
      </c>
      <c r="S493" s="27" t="e">
        <f>R493*ROUND(O493,2)</f>
        <v>#DIV/0!</v>
      </c>
    </row>
    <row r="494" spans="1:19" ht="30" x14ac:dyDescent="0.25">
      <c r="A494" s="93" t="s">
        <v>530</v>
      </c>
      <c r="B494" s="94" t="s">
        <v>37</v>
      </c>
      <c r="C494" s="94" t="s">
        <v>665</v>
      </c>
      <c r="D494" s="94" t="s">
        <v>705</v>
      </c>
      <c r="E494" s="95" t="s">
        <v>436</v>
      </c>
      <c r="F494" s="94" t="s">
        <v>532</v>
      </c>
      <c r="G494" s="94" t="s">
        <v>225</v>
      </c>
      <c r="H494" s="94" t="s">
        <v>11</v>
      </c>
      <c r="I494" s="94" t="s">
        <v>189</v>
      </c>
      <c r="J494" s="95" t="s">
        <v>226</v>
      </c>
      <c r="K494" s="96">
        <v>104.86999999999999</v>
      </c>
      <c r="L494" s="96">
        <f>K494*VLOOKUP(H494,dagsoorttabel1,2,FALSE)</f>
        <v>80.669230769230765</v>
      </c>
      <c r="M494" s="97">
        <f>prodnorm20</f>
        <v>0</v>
      </c>
      <c r="N494" s="94" t="s">
        <v>103</v>
      </c>
      <c r="O494" s="26">
        <f>uurtarief20</f>
        <v>0</v>
      </c>
      <c r="P494" s="96" t="e">
        <f>IF(ISBLANK(M494),0,L494/ROUND(M494,4))</f>
        <v>#DIV/0!</v>
      </c>
      <c r="Q494" s="26" t="e">
        <f>ROUND(O494,2)*P494</f>
        <v>#DIV/0!</v>
      </c>
      <c r="R494" s="96" t="e">
        <f>P494*dagenperjaar1</f>
        <v>#DIV/0!</v>
      </c>
      <c r="S494" s="27" t="e">
        <f>R494*ROUND(O494,2)</f>
        <v>#DIV/0!</v>
      </c>
    </row>
    <row r="495" spans="1:19" x14ac:dyDescent="0.25">
      <c r="A495" s="93" t="s">
        <v>530</v>
      </c>
      <c r="B495" s="94" t="s">
        <v>37</v>
      </c>
      <c r="C495" s="94" t="s">
        <v>665</v>
      </c>
      <c r="D495" s="94" t="s">
        <v>706</v>
      </c>
      <c r="E495" s="95" t="s">
        <v>276</v>
      </c>
      <c r="F495" s="94" t="s">
        <v>532</v>
      </c>
      <c r="G495" s="94" t="s">
        <v>209</v>
      </c>
      <c r="H495" s="94" t="s">
        <v>11</v>
      </c>
      <c r="I495" s="94" t="s">
        <v>189</v>
      </c>
      <c r="J495" s="95" t="s">
        <v>210</v>
      </c>
      <c r="K495" s="96">
        <v>51.42</v>
      </c>
      <c r="L495" s="96">
        <f>K495*VLOOKUP(H495,dagsoorttabel1,2,FALSE)</f>
        <v>39.553846153846159</v>
      </c>
      <c r="M495" s="97">
        <f>prodnorm12</f>
        <v>0</v>
      </c>
      <c r="N495" s="94" t="s">
        <v>103</v>
      </c>
      <c r="O495" s="26">
        <f>uurtarief12</f>
        <v>0</v>
      </c>
      <c r="P495" s="96" t="e">
        <f>IF(ISBLANK(M495),0,L495/ROUND(M495,4))</f>
        <v>#DIV/0!</v>
      </c>
      <c r="Q495" s="26" t="e">
        <f>ROUND(O495,2)*P495</f>
        <v>#DIV/0!</v>
      </c>
      <c r="R495" s="96" t="e">
        <f>P495*dagenperjaar1</f>
        <v>#DIV/0!</v>
      </c>
      <c r="S495" s="27" t="e">
        <f>R495*ROUND(O495,2)</f>
        <v>#DIV/0!</v>
      </c>
    </row>
    <row r="496" spans="1:19" x14ac:dyDescent="0.25">
      <c r="A496" s="93" t="s">
        <v>530</v>
      </c>
      <c r="B496" s="94" t="s">
        <v>37</v>
      </c>
      <c r="C496" s="94" t="s">
        <v>665</v>
      </c>
      <c r="D496" s="94" t="s">
        <v>707</v>
      </c>
      <c r="E496" s="95" t="s">
        <v>276</v>
      </c>
      <c r="F496" s="94" t="s">
        <v>244</v>
      </c>
      <c r="G496" s="94" t="s">
        <v>209</v>
      </c>
      <c r="H496" s="94" t="s">
        <v>11</v>
      </c>
      <c r="I496" s="94" t="s">
        <v>189</v>
      </c>
      <c r="J496" s="95" t="s">
        <v>210</v>
      </c>
      <c r="K496" s="96">
        <v>81.75</v>
      </c>
      <c r="L496" s="96">
        <f>K496*VLOOKUP(H496,dagsoorttabel1,2,FALSE)</f>
        <v>62.884615384615387</v>
      </c>
      <c r="M496" s="97">
        <f>prodnorm12</f>
        <v>0</v>
      </c>
      <c r="N496" s="94" t="s">
        <v>103</v>
      </c>
      <c r="O496" s="26">
        <f>uurtarief12</f>
        <v>0</v>
      </c>
      <c r="P496" s="96" t="e">
        <f>IF(ISBLANK(M496),0,L496/ROUND(M496,4))</f>
        <v>#DIV/0!</v>
      </c>
      <c r="Q496" s="26" t="e">
        <f>ROUND(O496,2)*P496</f>
        <v>#DIV/0!</v>
      </c>
      <c r="R496" s="96" t="e">
        <f>P496*dagenperjaar1</f>
        <v>#DIV/0!</v>
      </c>
      <c r="S496" s="27" t="e">
        <f>R496*ROUND(O496,2)</f>
        <v>#DIV/0!</v>
      </c>
    </row>
    <row r="497" spans="1:19" x14ac:dyDescent="0.25">
      <c r="A497" s="93" t="s">
        <v>530</v>
      </c>
      <c r="B497" s="94" t="s">
        <v>37</v>
      </c>
      <c r="C497" s="94" t="s">
        <v>665</v>
      </c>
      <c r="D497" s="94" t="s">
        <v>708</v>
      </c>
      <c r="E497" s="95" t="s">
        <v>276</v>
      </c>
      <c r="F497" s="94" t="s">
        <v>244</v>
      </c>
      <c r="G497" s="94" t="s">
        <v>209</v>
      </c>
      <c r="H497" s="94" t="s">
        <v>11</v>
      </c>
      <c r="I497" s="94" t="s">
        <v>189</v>
      </c>
      <c r="J497" s="95" t="s">
        <v>210</v>
      </c>
      <c r="K497" s="96">
        <v>62.6</v>
      </c>
      <c r="L497" s="96">
        <f>K497*VLOOKUP(H497,dagsoorttabel1,2,FALSE)</f>
        <v>48.15384615384616</v>
      </c>
      <c r="M497" s="97">
        <f>prodnorm12</f>
        <v>0</v>
      </c>
      <c r="N497" s="94" t="s">
        <v>103</v>
      </c>
      <c r="O497" s="26">
        <f>uurtarief12</f>
        <v>0</v>
      </c>
      <c r="P497" s="96" t="e">
        <f>IF(ISBLANK(M497),0,L497/ROUND(M497,4))</f>
        <v>#DIV/0!</v>
      </c>
      <c r="Q497" s="26" t="e">
        <f>ROUND(O497,2)*P497</f>
        <v>#DIV/0!</v>
      </c>
      <c r="R497" s="96" t="e">
        <f>P497*dagenperjaar1</f>
        <v>#DIV/0!</v>
      </c>
      <c r="S497" s="27" t="e">
        <f>R497*ROUND(O497,2)</f>
        <v>#DIV/0!</v>
      </c>
    </row>
    <row r="498" spans="1:19" x14ac:dyDescent="0.25">
      <c r="A498" s="93" t="s">
        <v>530</v>
      </c>
      <c r="B498" s="94" t="s">
        <v>37</v>
      </c>
      <c r="C498" s="94" t="s">
        <v>665</v>
      </c>
      <c r="D498" s="94" t="s">
        <v>709</v>
      </c>
      <c r="E498" s="95" t="s">
        <v>276</v>
      </c>
      <c r="F498" s="94" t="s">
        <v>244</v>
      </c>
      <c r="G498" s="94" t="s">
        <v>209</v>
      </c>
      <c r="H498" s="94" t="s">
        <v>11</v>
      </c>
      <c r="I498" s="94" t="s">
        <v>189</v>
      </c>
      <c r="J498" s="95" t="s">
        <v>210</v>
      </c>
      <c r="K498" s="96">
        <v>62.6</v>
      </c>
      <c r="L498" s="96">
        <f>K498*VLOOKUP(H498,dagsoorttabel1,2,FALSE)</f>
        <v>48.15384615384616</v>
      </c>
      <c r="M498" s="97">
        <f>prodnorm12</f>
        <v>0</v>
      </c>
      <c r="N498" s="94" t="s">
        <v>103</v>
      </c>
      <c r="O498" s="26">
        <f>uurtarief12</f>
        <v>0</v>
      </c>
      <c r="P498" s="96" t="e">
        <f>IF(ISBLANK(M498),0,L498/ROUND(M498,4))</f>
        <v>#DIV/0!</v>
      </c>
      <c r="Q498" s="26" t="e">
        <f>ROUND(O498,2)*P498</f>
        <v>#DIV/0!</v>
      </c>
      <c r="R498" s="96" t="e">
        <f>P498*dagenperjaar1</f>
        <v>#DIV/0!</v>
      </c>
      <c r="S498" s="27" t="e">
        <f>R498*ROUND(O498,2)</f>
        <v>#DIV/0!</v>
      </c>
    </row>
    <row r="499" spans="1:19" x14ac:dyDescent="0.25">
      <c r="A499" s="93" t="s">
        <v>530</v>
      </c>
      <c r="B499" s="94" t="s">
        <v>37</v>
      </c>
      <c r="C499" s="94" t="s">
        <v>665</v>
      </c>
      <c r="D499" s="94" t="s">
        <v>710</v>
      </c>
      <c r="E499" s="95" t="s">
        <v>276</v>
      </c>
      <c r="F499" s="94" t="s">
        <v>244</v>
      </c>
      <c r="G499" s="94" t="s">
        <v>209</v>
      </c>
      <c r="H499" s="94" t="s">
        <v>11</v>
      </c>
      <c r="I499" s="94" t="s">
        <v>189</v>
      </c>
      <c r="J499" s="95" t="s">
        <v>210</v>
      </c>
      <c r="K499" s="96">
        <v>63.03</v>
      </c>
      <c r="L499" s="96">
        <f>K499*VLOOKUP(H499,dagsoorttabel1,2,FALSE)</f>
        <v>48.484615384615388</v>
      </c>
      <c r="M499" s="97">
        <f>prodnorm12</f>
        <v>0</v>
      </c>
      <c r="N499" s="94" t="s">
        <v>103</v>
      </c>
      <c r="O499" s="26">
        <f>uurtarief12</f>
        <v>0</v>
      </c>
      <c r="P499" s="96" t="e">
        <f>IF(ISBLANK(M499),0,L499/ROUND(M499,4))</f>
        <v>#DIV/0!</v>
      </c>
      <c r="Q499" s="26" t="e">
        <f>ROUND(O499,2)*P499</f>
        <v>#DIV/0!</v>
      </c>
      <c r="R499" s="96" t="e">
        <f>P499*dagenperjaar1</f>
        <v>#DIV/0!</v>
      </c>
      <c r="S499" s="27" t="e">
        <f>R499*ROUND(O499,2)</f>
        <v>#DIV/0!</v>
      </c>
    </row>
    <row r="500" spans="1:19" x14ac:dyDescent="0.25">
      <c r="A500" s="93" t="s">
        <v>530</v>
      </c>
      <c r="B500" s="94" t="s">
        <v>37</v>
      </c>
      <c r="C500" s="94" t="s">
        <v>665</v>
      </c>
      <c r="D500" s="94" t="s">
        <v>711</v>
      </c>
      <c r="E500" s="95" t="s">
        <v>276</v>
      </c>
      <c r="F500" s="94" t="s">
        <v>244</v>
      </c>
      <c r="G500" s="94" t="s">
        <v>209</v>
      </c>
      <c r="H500" s="94" t="s">
        <v>11</v>
      </c>
      <c r="I500" s="94" t="s">
        <v>189</v>
      </c>
      <c r="J500" s="95" t="s">
        <v>210</v>
      </c>
      <c r="K500" s="96">
        <v>38.700000000000003</v>
      </c>
      <c r="L500" s="96">
        <f>K500*VLOOKUP(H500,dagsoorttabel1,2,FALSE)</f>
        <v>29.769230769230774</v>
      </c>
      <c r="M500" s="97">
        <f>prodnorm12</f>
        <v>0</v>
      </c>
      <c r="N500" s="94" t="s">
        <v>103</v>
      </c>
      <c r="O500" s="26">
        <f>uurtarief12</f>
        <v>0</v>
      </c>
      <c r="P500" s="96" t="e">
        <f>IF(ISBLANK(M500),0,L500/ROUND(M500,4))</f>
        <v>#DIV/0!</v>
      </c>
      <c r="Q500" s="26" t="e">
        <f>ROUND(O500,2)*P500</f>
        <v>#DIV/0!</v>
      </c>
      <c r="R500" s="96" t="e">
        <f>P500*dagenperjaar1</f>
        <v>#DIV/0!</v>
      </c>
      <c r="S500" s="27" t="e">
        <f>R500*ROUND(O500,2)</f>
        <v>#DIV/0!</v>
      </c>
    </row>
    <row r="501" spans="1:19" x14ac:dyDescent="0.25">
      <c r="A501" s="93" t="s">
        <v>530</v>
      </c>
      <c r="B501" s="94" t="s">
        <v>37</v>
      </c>
      <c r="C501" s="94" t="s">
        <v>665</v>
      </c>
      <c r="D501" s="94" t="s">
        <v>712</v>
      </c>
      <c r="E501" s="95" t="s">
        <v>341</v>
      </c>
      <c r="F501" s="94" t="s">
        <v>244</v>
      </c>
      <c r="G501" s="94" t="s">
        <v>248</v>
      </c>
      <c r="H501" s="94"/>
      <c r="I501" s="94"/>
      <c r="J501" s="94"/>
      <c r="K501" s="96">
        <v>9.26</v>
      </c>
      <c r="L501" s="96"/>
      <c r="M501" s="97"/>
      <c r="N501" s="94"/>
      <c r="O501" s="26"/>
      <c r="P501" s="96"/>
      <c r="Q501" s="26"/>
      <c r="R501" s="98"/>
      <c r="S501" s="27"/>
    </row>
    <row r="502" spans="1:19" x14ac:dyDescent="0.25">
      <c r="A502" s="93" t="s">
        <v>530</v>
      </c>
      <c r="B502" s="94" t="s">
        <v>37</v>
      </c>
      <c r="C502" s="94" t="s">
        <v>665</v>
      </c>
      <c r="D502" s="94" t="s">
        <v>713</v>
      </c>
      <c r="E502" s="95" t="s">
        <v>326</v>
      </c>
      <c r="F502" s="94" t="s">
        <v>255</v>
      </c>
      <c r="G502" s="94" t="s">
        <v>248</v>
      </c>
      <c r="H502" s="94"/>
      <c r="I502" s="94"/>
      <c r="J502" s="94"/>
      <c r="K502" s="96">
        <v>3.9299999999999997</v>
      </c>
      <c r="L502" s="96"/>
      <c r="M502" s="97"/>
      <c r="N502" s="94"/>
      <c r="O502" s="26"/>
      <c r="P502" s="96"/>
      <c r="Q502" s="26"/>
      <c r="R502" s="98"/>
      <c r="S502" s="27"/>
    </row>
    <row r="503" spans="1:19" x14ac:dyDescent="0.25">
      <c r="A503" s="93" t="s">
        <v>530</v>
      </c>
      <c r="B503" s="94" t="s">
        <v>37</v>
      </c>
      <c r="C503" s="94" t="s">
        <v>665</v>
      </c>
      <c r="D503" s="94" t="s">
        <v>714</v>
      </c>
      <c r="E503" s="95" t="s">
        <v>265</v>
      </c>
      <c r="F503" s="94" t="s">
        <v>557</v>
      </c>
      <c r="G503" s="94" t="s">
        <v>223</v>
      </c>
      <c r="H503" s="94" t="s">
        <v>11</v>
      </c>
      <c r="I503" s="94" t="s">
        <v>189</v>
      </c>
      <c r="J503" s="95" t="s">
        <v>224</v>
      </c>
      <c r="K503" s="96">
        <v>29.27</v>
      </c>
      <c r="L503" s="96">
        <f>K503*VLOOKUP(H503,dagsoorttabel1,2,FALSE)</f>
        <v>22.515384615384615</v>
      </c>
      <c r="M503" s="97">
        <f>prodnorm19</f>
        <v>0</v>
      </c>
      <c r="N503" s="94" t="s">
        <v>103</v>
      </c>
      <c r="O503" s="26">
        <f>uurtarief19</f>
        <v>0</v>
      </c>
      <c r="P503" s="96" t="e">
        <f>IF(ISBLANK(M503),0,L503/ROUND(M503,4))</f>
        <v>#DIV/0!</v>
      </c>
      <c r="Q503" s="26" t="e">
        <f>ROUND(O503,2)*P503</f>
        <v>#DIV/0!</v>
      </c>
      <c r="R503" s="96" t="e">
        <f>P503*dagenperjaar1</f>
        <v>#DIV/0!</v>
      </c>
      <c r="S503" s="27" t="e">
        <f>R503*ROUND(O503,2)</f>
        <v>#DIV/0!</v>
      </c>
    </row>
    <row r="504" spans="1:19" x14ac:dyDescent="0.25">
      <c r="A504" s="93" t="s">
        <v>530</v>
      </c>
      <c r="B504" s="94" t="s">
        <v>37</v>
      </c>
      <c r="C504" s="94" t="s">
        <v>665</v>
      </c>
      <c r="D504" s="94" t="s">
        <v>715</v>
      </c>
      <c r="E504" s="95" t="s">
        <v>318</v>
      </c>
      <c r="F504" s="94" t="s">
        <v>37</v>
      </c>
      <c r="G504" s="94" t="s">
        <v>248</v>
      </c>
      <c r="H504" s="94"/>
      <c r="I504" s="94"/>
      <c r="J504" s="94"/>
      <c r="K504" s="96">
        <v>3.9099999999999997</v>
      </c>
      <c r="L504" s="96"/>
      <c r="M504" s="97"/>
      <c r="N504" s="94"/>
      <c r="O504" s="26"/>
      <c r="P504" s="96"/>
      <c r="Q504" s="26"/>
      <c r="R504" s="98"/>
      <c r="S504" s="27"/>
    </row>
    <row r="505" spans="1:19" x14ac:dyDescent="0.25">
      <c r="A505" s="93" t="s">
        <v>530</v>
      </c>
      <c r="B505" s="94" t="s">
        <v>37</v>
      </c>
      <c r="C505" s="94" t="s">
        <v>665</v>
      </c>
      <c r="D505" s="94" t="s">
        <v>716</v>
      </c>
      <c r="E505" s="95" t="s">
        <v>600</v>
      </c>
      <c r="F505" s="94" t="s">
        <v>255</v>
      </c>
      <c r="G505" s="94" t="s">
        <v>221</v>
      </c>
      <c r="H505" s="94" t="s">
        <v>11</v>
      </c>
      <c r="I505" s="94" t="s">
        <v>189</v>
      </c>
      <c r="J505" s="95" t="s">
        <v>222</v>
      </c>
      <c r="K505" s="96">
        <v>11.870000000000001</v>
      </c>
      <c r="L505" s="96">
        <f>K505*VLOOKUP(H505,dagsoorttabel1,2,FALSE)</f>
        <v>9.1307692307692321</v>
      </c>
      <c r="M505" s="97">
        <f>prodnorm18</f>
        <v>0</v>
      </c>
      <c r="N505" s="94" t="s">
        <v>103</v>
      </c>
      <c r="O505" s="26">
        <f>uurtarief18</f>
        <v>0</v>
      </c>
      <c r="P505" s="96" t="e">
        <f>IF(ISBLANK(M505),0,L505/ROUND(M505,4))</f>
        <v>#DIV/0!</v>
      </c>
      <c r="Q505" s="26" t="e">
        <f>ROUND(O505,2)*P505</f>
        <v>#DIV/0!</v>
      </c>
      <c r="R505" s="96" t="e">
        <f>P505*dagenperjaar1</f>
        <v>#DIV/0!</v>
      </c>
      <c r="S505" s="27" t="e">
        <f>R505*ROUND(O505,2)</f>
        <v>#DIV/0!</v>
      </c>
    </row>
    <row r="506" spans="1:19" x14ac:dyDescent="0.25">
      <c r="A506" s="93" t="s">
        <v>530</v>
      </c>
      <c r="B506" s="94" t="s">
        <v>37</v>
      </c>
      <c r="C506" s="94" t="s">
        <v>665</v>
      </c>
      <c r="D506" s="94" t="s">
        <v>717</v>
      </c>
      <c r="E506" s="95" t="s">
        <v>597</v>
      </c>
      <c r="F506" s="94" t="s">
        <v>557</v>
      </c>
      <c r="G506" s="94" t="s">
        <v>248</v>
      </c>
      <c r="H506" s="94"/>
      <c r="I506" s="94"/>
      <c r="J506" s="94"/>
      <c r="K506" s="96">
        <v>1.22</v>
      </c>
      <c r="L506" s="96"/>
      <c r="M506" s="97"/>
      <c r="N506" s="94"/>
      <c r="O506" s="26"/>
      <c r="P506" s="96"/>
      <c r="Q506" s="26"/>
      <c r="R506" s="98"/>
      <c r="S506" s="27"/>
    </row>
    <row r="507" spans="1:19" x14ac:dyDescent="0.25">
      <c r="A507" s="93" t="s">
        <v>530</v>
      </c>
      <c r="B507" s="94" t="s">
        <v>37</v>
      </c>
      <c r="C507" s="94" t="s">
        <v>665</v>
      </c>
      <c r="D507" s="94" t="s">
        <v>718</v>
      </c>
      <c r="E507" s="95" t="s">
        <v>601</v>
      </c>
      <c r="F507" s="94" t="s">
        <v>255</v>
      </c>
      <c r="G507" s="94" t="s">
        <v>221</v>
      </c>
      <c r="H507" s="94" t="s">
        <v>11</v>
      </c>
      <c r="I507" s="94" t="s">
        <v>189</v>
      </c>
      <c r="J507" s="95" t="s">
        <v>222</v>
      </c>
      <c r="K507" s="96">
        <v>8.42</v>
      </c>
      <c r="L507" s="96">
        <f>K507*VLOOKUP(H507,dagsoorttabel1,2,FALSE)</f>
        <v>6.476923076923077</v>
      </c>
      <c r="M507" s="97">
        <f>prodnorm18</f>
        <v>0</v>
      </c>
      <c r="N507" s="94" t="s">
        <v>103</v>
      </c>
      <c r="O507" s="26">
        <f>uurtarief18</f>
        <v>0</v>
      </c>
      <c r="P507" s="96" t="e">
        <f>IF(ISBLANK(M507),0,L507/ROUND(M507,4))</f>
        <v>#DIV/0!</v>
      </c>
      <c r="Q507" s="26" t="e">
        <f>ROUND(O507,2)*P507</f>
        <v>#DIV/0!</v>
      </c>
      <c r="R507" s="96" t="e">
        <f>P507*dagenperjaar1</f>
        <v>#DIV/0!</v>
      </c>
      <c r="S507" s="27" t="e">
        <f>R507*ROUND(O507,2)</f>
        <v>#DIV/0!</v>
      </c>
    </row>
    <row r="508" spans="1:19" x14ac:dyDescent="0.25">
      <c r="A508" s="99" t="s">
        <v>530</v>
      </c>
      <c r="B508" s="100" t="s">
        <v>37</v>
      </c>
      <c r="C508" s="100" t="s">
        <v>665</v>
      </c>
      <c r="D508" s="100" t="s">
        <v>719</v>
      </c>
      <c r="E508" s="101" t="s">
        <v>589</v>
      </c>
      <c r="F508" s="100" t="s">
        <v>37</v>
      </c>
      <c r="G508" s="100" t="s">
        <v>248</v>
      </c>
      <c r="H508" s="100"/>
      <c r="I508" s="100"/>
      <c r="J508" s="100"/>
      <c r="K508" s="102">
        <v>0</v>
      </c>
      <c r="L508" s="102"/>
      <c r="M508" s="103"/>
      <c r="N508" s="100"/>
      <c r="O508" s="36"/>
      <c r="P508" s="102"/>
      <c r="Q508" s="36"/>
      <c r="R508" s="105"/>
      <c r="S508" s="37"/>
    </row>
    <row r="509" spans="1:19" x14ac:dyDescent="0.25">
      <c r="A509" s="76" t="s">
        <v>487</v>
      </c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9" t="e">
        <f>IF(_xlfn.SINGLE(object3_urenjaar1)&gt;0,_xlfn.SINGLE(object3_prijsjaar1)/_xlfn.SINGLE(object3_urenjaar1),0)</f>
        <v>#DIV/0!</v>
      </c>
      <c r="P509" s="78" t="e">
        <f>SUM(P299:P508)</f>
        <v>#DIV/0!</v>
      </c>
      <c r="Q509" s="79" t="e">
        <f>SUM(Q299:Q508)</f>
        <v>#DIV/0!</v>
      </c>
      <c r="R509" s="78" t="e">
        <f>SUM(R299:R508)</f>
        <v>#DIV/0!</v>
      </c>
      <c r="S509" s="79" t="e">
        <f>SUM(S299:S508)</f>
        <v>#DIV/0!</v>
      </c>
    </row>
  </sheetData>
  <sheetProtection algorithmName="SHA-512" hashValue="Hb9/qAVHCv8yrw33M5MrHMi11QD6ZlVHsf0M/qkXRu5BDX8F7l6aBsG8nszukGLEsQjSZb+9s8I1/eoOi/Ku1Q==" saltValue="2fcJlXi3d7l7f1d3tISd7g==" spinCount="100000" sheet="1" objects="1" scenarios="1" autoFilter="0"/>
  <autoFilter ref="A3:S509" xr:uid="{ED4D335A-D007-41CB-A180-5F37E7EFDAAD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F74A-0E7F-4958-B15B-A9CE6D1D342C}">
  <dimension ref="A1:K24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1" width="12.7109375" customWidth="1"/>
  </cols>
  <sheetData>
    <row r="1" spans="1:11" x14ac:dyDescent="0.25">
      <c r="A1" s="1" t="s">
        <v>720</v>
      </c>
    </row>
    <row r="3" spans="1:11" ht="30" x14ac:dyDescent="0.25">
      <c r="A3" s="106" t="s">
        <v>180</v>
      </c>
      <c r="B3" s="106" t="s">
        <v>7</v>
      </c>
      <c r="C3" s="107" t="s">
        <v>721</v>
      </c>
      <c r="D3" s="107" t="s">
        <v>722</v>
      </c>
      <c r="E3" s="107" t="s">
        <v>723</v>
      </c>
      <c r="F3" s="107" t="s">
        <v>724</v>
      </c>
      <c r="G3" s="107" t="s">
        <v>725</v>
      </c>
      <c r="H3" s="106" t="s">
        <v>726</v>
      </c>
      <c r="I3" s="106" t="s">
        <v>727</v>
      </c>
      <c r="J3" s="106" t="s">
        <v>728</v>
      </c>
      <c r="K3" s="106" t="s">
        <v>729</v>
      </c>
    </row>
    <row r="4" spans="1:11" x14ac:dyDescent="0.25">
      <c r="A4" s="108"/>
      <c r="B4" s="108"/>
      <c r="C4" s="108"/>
      <c r="D4" s="108"/>
      <c r="E4" s="108"/>
      <c r="F4" s="108"/>
      <c r="G4" s="108"/>
      <c r="H4" s="108"/>
      <c r="I4" s="109" t="s">
        <v>182</v>
      </c>
      <c r="J4" s="109" t="s">
        <v>182</v>
      </c>
      <c r="K4" s="109" t="s">
        <v>182</v>
      </c>
    </row>
    <row r="5" spans="1:11" x14ac:dyDescent="0.25">
      <c r="A5" s="51" t="s">
        <v>188</v>
      </c>
      <c r="B5" s="51" t="s">
        <v>11</v>
      </c>
      <c r="C5" s="51" t="s">
        <v>730</v>
      </c>
      <c r="D5" s="51" t="s">
        <v>189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27</v>
      </c>
      <c r="J5" s="66">
        <v>132.98000000000002</v>
      </c>
      <c r="K5" s="66">
        <v>584.03</v>
      </c>
    </row>
    <row r="6" spans="1:11" x14ac:dyDescent="0.25">
      <c r="A6" s="56" t="s">
        <v>191</v>
      </c>
      <c r="B6" s="56" t="s">
        <v>11</v>
      </c>
      <c r="C6" s="56" t="s">
        <v>730</v>
      </c>
      <c r="D6" s="56" t="s">
        <v>189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486.85</v>
      </c>
      <c r="J6" s="69">
        <v>144.16999999999999</v>
      </c>
      <c r="K6" s="69">
        <v>810.66000000000008</v>
      </c>
    </row>
    <row r="7" spans="1:11" x14ac:dyDescent="0.25">
      <c r="A7" s="56" t="s">
        <v>193</v>
      </c>
      <c r="B7" s="56" t="s">
        <v>11</v>
      </c>
      <c r="C7" s="56" t="s">
        <v>730</v>
      </c>
      <c r="D7" s="56" t="s">
        <v>189</v>
      </c>
      <c r="E7" s="69">
        <f>IF(B7="","",VLOOKUP(B7,dagsoorttabel1,2,FALSE))</f>
        <v>0.76923076923076927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38.26</v>
      </c>
      <c r="J7" s="69">
        <v>187.42000000000002</v>
      </c>
      <c r="K7" s="69">
        <v>16.64</v>
      </c>
    </row>
    <row r="8" spans="1:11" x14ac:dyDescent="0.25">
      <c r="A8" s="56" t="s">
        <v>195</v>
      </c>
      <c r="B8" s="56" t="s">
        <v>11</v>
      </c>
      <c r="C8" s="56" t="s">
        <v>730</v>
      </c>
      <c r="D8" s="56" t="s">
        <v>189</v>
      </c>
      <c r="E8" s="69">
        <f>IF(B8="","",VLOOKUP(B8,dagsoorttabel1,2,FALSE))</f>
        <v>0.76923076923076927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0</v>
      </c>
      <c r="K8" s="69">
        <v>10.75</v>
      </c>
    </row>
    <row r="9" spans="1:11" x14ac:dyDescent="0.25">
      <c r="A9" s="56" t="s">
        <v>197</v>
      </c>
      <c r="B9" s="56" t="s">
        <v>11</v>
      </c>
      <c r="C9" s="56" t="s">
        <v>730</v>
      </c>
      <c r="D9" s="56" t="s">
        <v>189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22.740000000000002</v>
      </c>
      <c r="J9" s="69">
        <v>34.720000000000006</v>
      </c>
      <c r="K9" s="69">
        <v>0</v>
      </c>
    </row>
    <row r="10" spans="1:11" x14ac:dyDescent="0.25">
      <c r="A10" s="56" t="s">
        <v>199</v>
      </c>
      <c r="B10" s="56" t="s">
        <v>11</v>
      </c>
      <c r="C10" s="56" t="s">
        <v>730</v>
      </c>
      <c r="D10" s="56" t="s">
        <v>189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6.28</v>
      </c>
      <c r="J10" s="69">
        <v>0</v>
      </c>
      <c r="K10" s="69">
        <v>319.39</v>
      </c>
    </row>
    <row r="11" spans="1:11" x14ac:dyDescent="0.25">
      <c r="A11" s="56" t="s">
        <v>201</v>
      </c>
      <c r="B11" s="56" t="s">
        <v>11</v>
      </c>
      <c r="C11" s="56" t="s">
        <v>730</v>
      </c>
      <c r="D11" s="56" t="s">
        <v>189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61.290000000000006</v>
      </c>
      <c r="J11" s="69">
        <v>15.55</v>
      </c>
      <c r="K11" s="69">
        <v>30.479999999999997</v>
      </c>
    </row>
    <row r="12" spans="1:11" x14ac:dyDescent="0.25">
      <c r="A12" s="56" t="s">
        <v>203</v>
      </c>
      <c r="B12" s="56" t="s">
        <v>11</v>
      </c>
      <c r="C12" s="56" t="s">
        <v>730</v>
      </c>
      <c r="D12" s="56" t="s">
        <v>189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1.62</v>
      </c>
      <c r="J12" s="69">
        <v>0</v>
      </c>
      <c r="K12" s="69">
        <v>3.9099999999999997</v>
      </c>
    </row>
    <row r="13" spans="1:11" x14ac:dyDescent="0.25">
      <c r="A13" s="56" t="s">
        <v>205</v>
      </c>
      <c r="B13" s="56" t="s">
        <v>11</v>
      </c>
      <c r="C13" s="56" t="s">
        <v>730</v>
      </c>
      <c r="D13" s="56" t="s">
        <v>189</v>
      </c>
      <c r="E13" s="69">
        <f>IF(B13="","",VLOOKUP(B13,dagsoorttabel1,2,FALSE))</f>
        <v>0.76923076923076927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500.08000000000004</v>
      </c>
      <c r="J13" s="69">
        <v>252.23999999999998</v>
      </c>
      <c r="K13" s="69">
        <v>0</v>
      </c>
    </row>
    <row r="14" spans="1:11" x14ac:dyDescent="0.25">
      <c r="A14" s="56" t="s">
        <v>207</v>
      </c>
      <c r="B14" s="56" t="s">
        <v>11</v>
      </c>
      <c r="C14" s="56" t="s">
        <v>730</v>
      </c>
      <c r="D14" s="56" t="s">
        <v>189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60.18</v>
      </c>
      <c r="J14" s="69">
        <v>65</v>
      </c>
      <c r="K14" s="69">
        <v>0</v>
      </c>
    </row>
    <row r="15" spans="1:11" x14ac:dyDescent="0.25">
      <c r="A15" s="56" t="s">
        <v>209</v>
      </c>
      <c r="B15" s="56" t="s">
        <v>11</v>
      </c>
      <c r="C15" s="56" t="s">
        <v>730</v>
      </c>
      <c r="D15" s="56" t="s">
        <v>189</v>
      </c>
      <c r="E15" s="69">
        <f>IF(B15="","",VLOOKUP(B15,dagsoorttabel1,2,FALSE))</f>
        <v>0.76923076923076927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1631.8700000000003</v>
      </c>
      <c r="J15" s="69">
        <v>941.12</v>
      </c>
      <c r="K15" s="69">
        <v>3834.8500000000004</v>
      </c>
    </row>
    <row r="16" spans="1:11" x14ac:dyDescent="0.25">
      <c r="A16" s="56" t="s">
        <v>211</v>
      </c>
      <c r="B16" s="56" t="s">
        <v>11</v>
      </c>
      <c r="C16" s="56" t="s">
        <v>730</v>
      </c>
      <c r="D16" s="56" t="s">
        <v>189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0</v>
      </c>
      <c r="J16" s="69">
        <v>0</v>
      </c>
      <c r="K16" s="69">
        <v>75.23</v>
      </c>
    </row>
    <row r="17" spans="1:11" x14ac:dyDescent="0.25">
      <c r="A17" s="56" t="s">
        <v>213</v>
      </c>
      <c r="B17" s="56" t="s">
        <v>15</v>
      </c>
      <c r="C17" s="56" t="s">
        <v>730</v>
      </c>
      <c r="D17" s="56" t="s">
        <v>189</v>
      </c>
      <c r="E17" s="69">
        <f>IF(B17="","",VLOOKUP(B17,dagsoorttabel1,2,FALSE))</f>
        <v>0.15384615384615385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0</v>
      </c>
      <c r="J17" s="69">
        <v>37.96</v>
      </c>
      <c r="K17" s="69">
        <v>28.01</v>
      </c>
    </row>
    <row r="18" spans="1:11" x14ac:dyDescent="0.25">
      <c r="A18" s="56" t="s">
        <v>215</v>
      </c>
      <c r="B18" s="56" t="s">
        <v>11</v>
      </c>
      <c r="C18" s="56" t="s">
        <v>730</v>
      </c>
      <c r="D18" s="56" t="s">
        <v>189</v>
      </c>
      <c r="E18" s="69">
        <f>IF(B18="","",VLOOKUP(B18,dagsoorttabel1,2,FALSE))</f>
        <v>0.76923076923076927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0</v>
      </c>
      <c r="J18" s="69">
        <v>21</v>
      </c>
      <c r="K18" s="69">
        <v>20.49</v>
      </c>
    </row>
    <row r="19" spans="1:11" x14ac:dyDescent="0.25">
      <c r="A19" s="56" t="s">
        <v>217</v>
      </c>
      <c r="B19" s="56" t="s">
        <v>11</v>
      </c>
      <c r="C19" s="56" t="s">
        <v>730</v>
      </c>
      <c r="D19" s="56" t="s">
        <v>189</v>
      </c>
      <c r="E19" s="69">
        <f>IF(B19="","",VLOOKUP(B19,dagsoorttabel1,2,FALSE))</f>
        <v>0.76923076923076927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86.45</v>
      </c>
      <c r="J19" s="69">
        <v>0</v>
      </c>
      <c r="K19" s="69">
        <v>42.37</v>
      </c>
    </row>
    <row r="20" spans="1:11" x14ac:dyDescent="0.25">
      <c r="A20" s="56" t="s">
        <v>219</v>
      </c>
      <c r="B20" s="56" t="s">
        <v>11</v>
      </c>
      <c r="C20" s="56" t="s">
        <v>730</v>
      </c>
      <c r="D20" s="56" t="s">
        <v>189</v>
      </c>
      <c r="E20" s="69">
        <f>IF(B20="","",VLOOKUP(B20,dagsoorttabel1,2,FALSE))</f>
        <v>0.76923076923076927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98.19</v>
      </c>
      <c r="J20" s="69">
        <v>62.02</v>
      </c>
      <c r="K20" s="69">
        <v>160.13</v>
      </c>
    </row>
    <row r="21" spans="1:11" x14ac:dyDescent="0.25">
      <c r="A21" s="56" t="s">
        <v>221</v>
      </c>
      <c r="B21" s="56" t="s">
        <v>11</v>
      </c>
      <c r="C21" s="56" t="s">
        <v>730</v>
      </c>
      <c r="D21" s="56" t="s">
        <v>189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68.13</v>
      </c>
      <c r="J21" s="69">
        <v>75.610000000000014</v>
      </c>
      <c r="K21" s="69">
        <v>180.99</v>
      </c>
    </row>
    <row r="22" spans="1:11" x14ac:dyDescent="0.25">
      <c r="A22" s="56" t="s">
        <v>223</v>
      </c>
      <c r="B22" s="56" t="s">
        <v>11</v>
      </c>
      <c r="C22" s="56" t="s">
        <v>730</v>
      </c>
      <c r="D22" s="56" t="s">
        <v>189</v>
      </c>
      <c r="E22" s="69">
        <f>IF(B22="","",VLOOKUP(B22,dagsoorttabel1,2,FALSE))</f>
        <v>0.76923076923076927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40.540000000000006</v>
      </c>
      <c r="J22" s="69">
        <v>20</v>
      </c>
      <c r="K22" s="69">
        <v>275.23</v>
      </c>
    </row>
    <row r="23" spans="1:11" x14ac:dyDescent="0.25">
      <c r="A23" s="61" t="s">
        <v>225</v>
      </c>
      <c r="B23" s="61" t="s">
        <v>11</v>
      </c>
      <c r="C23" s="61" t="s">
        <v>730</v>
      </c>
      <c r="D23" s="61" t="s">
        <v>189</v>
      </c>
      <c r="E23" s="72">
        <f>IF(B23="","",VLOOKUP(B23,dagsoorttabel1,2,FALSE))</f>
        <v>0.76923076923076927</v>
      </c>
      <c r="F23" s="72">
        <v>1</v>
      </c>
      <c r="G23" s="72">
        <f>IF(prodnorm20&gt;0,1/ROUND(prodnorm20,4),0)</f>
        <v>0</v>
      </c>
      <c r="H23" s="74">
        <f>ROUND(uurtarief20,2)</f>
        <v>0</v>
      </c>
      <c r="I23" s="72">
        <v>720.13</v>
      </c>
      <c r="J23" s="72">
        <v>511.59000000000003</v>
      </c>
      <c r="K23" s="72">
        <v>1974.5799999999997</v>
      </c>
    </row>
    <row r="24" spans="1:11" x14ac:dyDescent="0.25">
      <c r="A24" s="76" t="s">
        <v>227</v>
      </c>
      <c r="B24" s="77"/>
      <c r="C24" s="77"/>
      <c r="D24" s="77"/>
      <c r="E24" s="77"/>
      <c r="F24" s="77"/>
      <c r="G24" s="77"/>
      <c r="H24" s="77"/>
      <c r="I24" s="110"/>
      <c r="J24" s="110"/>
      <c r="K24" s="110"/>
    </row>
  </sheetData>
  <sheetProtection algorithmName="SHA-512" hashValue="RjC31y3h6JM7tvgBzDmUQDHMj6R0iuq/0GAk+qD//zUyFpElf75zGgel/RORQiPV5SfvbqWtIurR2FH6UOa1Rg==" saltValue="pXHHoC+0RbFJmIm7O4oE/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625-1DAD-475C-B785-2BD554F593D4}">
  <dimension ref="A1:K14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F.5.4: ",tabeltype," objecten")</f>
        <v>Bijlage F.5.4: Invultabel objecten</v>
      </c>
    </row>
    <row r="3" spans="1:11" ht="45" x14ac:dyDescent="0.25">
      <c r="A3" s="44" t="s">
        <v>230</v>
      </c>
      <c r="B3" s="44" t="s">
        <v>731</v>
      </c>
      <c r="C3" s="44" t="s">
        <v>732</v>
      </c>
      <c r="D3" s="44" t="s">
        <v>733</v>
      </c>
      <c r="E3" s="44" t="s">
        <v>7</v>
      </c>
      <c r="F3" s="44" t="s">
        <v>734</v>
      </c>
      <c r="G3" s="44" t="s">
        <v>735</v>
      </c>
      <c r="H3" s="44" t="s">
        <v>736</v>
      </c>
      <c r="I3" s="44" t="s">
        <v>186</v>
      </c>
      <c r="J3" s="44" t="s">
        <v>187</v>
      </c>
      <c r="K3" s="44" t="s">
        <v>737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239</v>
      </c>
      <c r="B6" s="51" t="s">
        <v>738</v>
      </c>
      <c r="C6" s="51" t="s">
        <v>739</v>
      </c>
      <c r="D6" s="51" t="s">
        <v>740</v>
      </c>
      <c r="E6" s="111" t="s">
        <v>11</v>
      </c>
      <c r="F6" s="112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56" t="s">
        <v>489</v>
      </c>
      <c r="B7" s="56" t="s">
        <v>741</v>
      </c>
      <c r="C7" s="56" t="s">
        <v>742</v>
      </c>
      <c r="D7" s="56" t="s">
        <v>740</v>
      </c>
      <c r="E7" s="113" t="s">
        <v>11</v>
      </c>
      <c r="F7" s="114">
        <f>gemuurtarief1</f>
        <v>0</v>
      </c>
      <c r="G7" s="69">
        <f>SUMPRODUCT(taakfreqtabel1,uurfactortabel1,kengetaltabel1,object2_opptabel1)*(1/VLOOKUP(E7,dagsoorttabel1,2,FALSE))</f>
        <v>0</v>
      </c>
      <c r="H7" s="71">
        <f>SUMPRODUCT(taakfreqtabel1,kengetaltabel1,tarieftabel1,object2_opptabel1)*(1/VLOOKUP(E7,dagsoorttabel1,2,FALSE))</f>
        <v>0</v>
      </c>
      <c r="I7" s="69">
        <f>G7*dagenperjaar1*VLOOKUP(E7,dagsoorttabel1,2,FALSE)</f>
        <v>0</v>
      </c>
      <c r="J7" s="71">
        <f>H7*dagenperjaar1*VLOOKUP(E7,dagsoorttabel1,2,FALSE)</f>
        <v>0</v>
      </c>
      <c r="K7" s="71">
        <f>J7/12</f>
        <v>0</v>
      </c>
    </row>
    <row r="8" spans="1:11" x14ac:dyDescent="0.25">
      <c r="A8" s="61" t="s">
        <v>530</v>
      </c>
      <c r="B8" s="61" t="s">
        <v>743</v>
      </c>
      <c r="C8" s="61" t="s">
        <v>744</v>
      </c>
      <c r="D8" s="61" t="s">
        <v>740</v>
      </c>
      <c r="E8" s="115" t="s">
        <v>11</v>
      </c>
      <c r="F8" s="116">
        <f>gemuurtarief1</f>
        <v>0</v>
      </c>
      <c r="G8" s="72">
        <f>SUMPRODUCT(taakfreqtabel1,uurfactortabel1,kengetaltabel1,object3_opptabel1)*(1/VLOOKUP(E8,dagsoorttabel1,2,FALSE))</f>
        <v>0</v>
      </c>
      <c r="H8" s="74">
        <f>SUMPRODUCT(taakfreqtabel1,kengetaltabel1,tarieftabel1,object3_opptabel1)*(1/VLOOKUP(E8,dagsoorttabel1,2,FALSE))</f>
        <v>0</v>
      </c>
      <c r="I8" s="72">
        <f>G8*dagenperjaar1*VLOOKUP(E8,dagsoorttabel1,2,FALSE)</f>
        <v>0</v>
      </c>
      <c r="J8" s="74">
        <f>H8*dagenperjaar1*VLOOKUP(E8,dagsoorttabel1,2,FALSE)</f>
        <v>0</v>
      </c>
      <c r="K8" s="74">
        <f>J8/12</f>
        <v>0</v>
      </c>
    </row>
    <row r="9" spans="1:11" x14ac:dyDescent="0.25">
      <c r="A9" s="76" t="s">
        <v>227</v>
      </c>
      <c r="B9" s="77"/>
      <c r="C9" s="77"/>
      <c r="D9" s="77"/>
      <c r="E9" s="77"/>
      <c r="F9" s="77"/>
      <c r="G9" s="77"/>
      <c r="H9" s="77"/>
      <c r="I9" s="78">
        <f>SUM(I6:I8)</f>
        <v>0</v>
      </c>
      <c r="J9" s="79">
        <f>SUM(J6:J8)</f>
        <v>0</v>
      </c>
      <c r="K9" s="80">
        <f>SUM(K6:K8)</f>
        <v>0</v>
      </c>
    </row>
    <row r="10" spans="1:11" x14ac:dyDescent="0.25">
      <c r="A10" s="81"/>
      <c r="B10" s="77"/>
      <c r="C10" s="77"/>
      <c r="D10" s="77"/>
      <c r="E10" s="77"/>
      <c r="F10" s="77"/>
      <c r="G10" s="77"/>
      <c r="H10" s="77"/>
      <c r="I10" s="77"/>
      <c r="J10" s="77"/>
      <c r="K10" s="82"/>
    </row>
    <row r="12" spans="1:11" x14ac:dyDescent="0.25">
      <c r="A12" s="76" t="s">
        <v>745</v>
      </c>
      <c r="B12" s="77"/>
      <c r="C12" s="77"/>
      <c r="D12" s="77"/>
      <c r="E12" s="77"/>
      <c r="F12" s="77"/>
      <c r="G12" s="77"/>
      <c r="H12" s="77"/>
      <c r="I12" s="78">
        <f>urenjaartotaal1</f>
        <v>0</v>
      </c>
      <c r="J12" s="79">
        <f>prijsjaartotaal1</f>
        <v>0</v>
      </c>
      <c r="K12" s="79">
        <f>prijsmaandtotaal1</f>
        <v>0</v>
      </c>
    </row>
    <row r="14" spans="1:11" x14ac:dyDescent="0.25">
      <c r="A14" s="76" t="s">
        <v>746</v>
      </c>
      <c r="B14" s="77"/>
      <c r="C14" s="77"/>
      <c r="D14" s="77"/>
      <c r="E14" s="77"/>
      <c r="F14" s="77"/>
      <c r="G14" s="77"/>
      <c r="H14" s="77"/>
      <c r="I14" s="77"/>
      <c r="J14" s="79">
        <f>J12*1.21</f>
        <v>0</v>
      </c>
      <c r="K14" s="79">
        <f>K12*1.21</f>
        <v>0</v>
      </c>
    </row>
  </sheetData>
  <sheetProtection algorithmName="SHA-512" hashValue="pSd/EYDQUMf8a2HZ5LaQkl7pfp5Cf0CgTdgesG80usbaJpHMsI/FZpy7HIyfkqvG1mJ7vB5W7iog29S4GaQ0DQ==" saltValue="F6CXFnnZcswXPbQjMmyNA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4BF3-13BA-4999-AC2D-1CB4850E5CBB}">
  <dimension ref="A1:H8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F.5.5: ",tabeltype," totaalblad objecten")</f>
        <v>Bijlage F.5.5: Invultabel totaalblad objecten</v>
      </c>
    </row>
    <row r="3" spans="1:8" ht="30" x14ac:dyDescent="0.25">
      <c r="A3" s="44" t="s">
        <v>230</v>
      </c>
      <c r="B3" s="44" t="s">
        <v>731</v>
      </c>
      <c r="C3" s="44" t="s">
        <v>732</v>
      </c>
      <c r="D3" s="44" t="s">
        <v>733</v>
      </c>
      <c r="E3" s="44" t="s">
        <v>186</v>
      </c>
      <c r="F3" s="44" t="s">
        <v>187</v>
      </c>
      <c r="G3" s="44" t="s">
        <v>747</v>
      </c>
      <c r="H3" s="44" t="s">
        <v>748</v>
      </c>
    </row>
    <row r="4" spans="1:8" x14ac:dyDescent="0.25">
      <c r="A4" s="51" t="s">
        <v>239</v>
      </c>
      <c r="B4" s="51" t="s">
        <v>738</v>
      </c>
      <c r="C4" s="51" t="s">
        <v>739</v>
      </c>
      <c r="D4" s="51" t="s">
        <v>740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56" t="s">
        <v>489</v>
      </c>
      <c r="B5" s="56" t="s">
        <v>741</v>
      </c>
      <c r="C5" s="56" t="s">
        <v>742</v>
      </c>
      <c r="D5" s="56" t="s">
        <v>740</v>
      </c>
      <c r="E5" s="69">
        <f>objecturen2_1</f>
        <v>0</v>
      </c>
      <c r="F5" s="71">
        <f>objectprijs2_1</f>
        <v>0</v>
      </c>
      <c r="G5" s="71">
        <f>F5/12</f>
        <v>0</v>
      </c>
      <c r="H5" s="71">
        <f>G5*1.21</f>
        <v>0</v>
      </c>
    </row>
    <row r="6" spans="1:8" x14ac:dyDescent="0.25">
      <c r="A6" s="61" t="s">
        <v>530</v>
      </c>
      <c r="B6" s="61" t="s">
        <v>743</v>
      </c>
      <c r="C6" s="61" t="s">
        <v>744</v>
      </c>
      <c r="D6" s="61" t="s">
        <v>740</v>
      </c>
      <c r="E6" s="72">
        <f>objecturen3_1</f>
        <v>0</v>
      </c>
      <c r="F6" s="74">
        <f>objectprijs3_1</f>
        <v>0</v>
      </c>
      <c r="G6" s="74">
        <f>F6/12</f>
        <v>0</v>
      </c>
      <c r="H6" s="74">
        <f>G6*1.21</f>
        <v>0</v>
      </c>
    </row>
    <row r="8" spans="1:8" x14ac:dyDescent="0.25">
      <c r="A8" s="76" t="s">
        <v>749</v>
      </c>
      <c r="B8" s="77"/>
      <c r="C8" s="77"/>
      <c r="D8" s="77"/>
      <c r="E8" s="78">
        <f>SUM(E4:E6)</f>
        <v>0</v>
      </c>
      <c r="F8" s="79">
        <f>SUM(F4:F6)</f>
        <v>0</v>
      </c>
      <c r="G8" s="79">
        <f>SUM(G4:G6)</f>
        <v>0</v>
      </c>
      <c r="H8" s="79">
        <f>SUM(H4:H6)</f>
        <v>0</v>
      </c>
    </row>
  </sheetData>
  <sheetProtection algorithmName="SHA-512" hashValue="qDyNsEvIRJbahBaQoRXyUe4u2uqdhVB5oyMAnL/PBBodW2cBtkXT5fuafFUHbaSzQXnKi0+NHMf5jQvMNwXIgA==" saltValue="ybMYK/Uj/DHEkwkRblnxQ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3E23-B120-4D58-B435-933746188D71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F.5.6: ",tabeltype," additioneel werk")</f>
        <v>Bijlage F.5.6: Invultabel additioneel werk</v>
      </c>
    </row>
    <row r="3" spans="1:12" ht="45" x14ac:dyDescent="0.25">
      <c r="A3" s="44" t="s">
        <v>750</v>
      </c>
      <c r="B3" s="44" t="s">
        <v>7</v>
      </c>
      <c r="C3" s="44" t="s">
        <v>751</v>
      </c>
      <c r="D3" s="44" t="s">
        <v>94</v>
      </c>
      <c r="E3" s="44" t="s">
        <v>97</v>
      </c>
      <c r="F3" s="44" t="s">
        <v>752</v>
      </c>
      <c r="G3" s="44" t="s">
        <v>753</v>
      </c>
      <c r="H3" s="44" t="s">
        <v>754</v>
      </c>
      <c r="I3" s="44" t="s">
        <v>755</v>
      </c>
      <c r="J3" s="44" t="s">
        <v>756</v>
      </c>
      <c r="K3" s="44" t="s">
        <v>187</v>
      </c>
      <c r="L3" s="44" t="s">
        <v>737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7" t="s">
        <v>757</v>
      </c>
      <c r="B6" s="117" t="s">
        <v>23</v>
      </c>
      <c r="C6" s="118">
        <f>IF(ISBLANK(B6),0,IF(ISERROR(VALUE(B6)),VLOOKUP(B6,dagsoorttabel1,2,FALSE)*dagenperjaar1,VALUE(B6)))</f>
        <v>1</v>
      </c>
      <c r="D6" s="117" t="s">
        <v>758</v>
      </c>
      <c r="E6" s="117" t="s">
        <v>759</v>
      </c>
      <c r="F6" s="119">
        <v>8571.5399999999991</v>
      </c>
      <c r="G6" s="120"/>
      <c r="H6" s="121"/>
      <c r="I6" s="122"/>
      <c r="J6" s="123">
        <f>IF(ISBLANK(H6),0,F6 / ROUND(H6,4) * ROUND(G6,2))</f>
        <v>0</v>
      </c>
      <c r="K6" s="123">
        <f>C6*J6</f>
        <v>0</v>
      </c>
      <c r="L6" s="123">
        <f>K6/12</f>
        <v>0</v>
      </c>
    </row>
    <row r="7" spans="1:12" x14ac:dyDescent="0.25">
      <c r="A7" s="76" t="s">
        <v>227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4">
        <f>K7/12</f>
        <v>0</v>
      </c>
    </row>
    <row r="9" spans="1:12" x14ac:dyDescent="0.25">
      <c r="A9" s="76" t="s">
        <v>760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4">
        <f>K9/12</f>
        <v>0</v>
      </c>
    </row>
  </sheetData>
  <sheetProtection algorithmName="SHA-512" hashValue="ie13Xd9teAF9v65pGpsxuuqpO+zsSshFw3URzLM0pQefXwZXYDsZBg4x9FTi09WT4jdDfpfAf2QDUtvkuotSuA==" saltValue="nPOKSwLmhQ0AO0aksqIPK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388</vt:i4>
      </vt:variant>
    </vt:vector>
  </HeadingPairs>
  <TitlesOfParts>
    <vt:vector size="402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catdw_1_FHB_1</vt:lpstr>
      <vt:lpstr>catdw_1_FHV_40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catdw_1_MHB_1</vt:lpstr>
      <vt:lpstr>catdw_1_MHV_40</vt:lpstr>
      <vt:lpstr>catdw_1_OHV_40</vt:lpstr>
      <vt:lpstr>catdw_1_PHB_1</vt:lpstr>
      <vt:lpstr>catdw_1_PHV_40</vt:lpstr>
      <vt:lpstr>catdw_1_PMHB_1</vt:lpstr>
      <vt:lpstr>catdw_1_PMHV_40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catfd_1_FHB_1</vt:lpstr>
      <vt:lpstr>catfd_1_FHV_40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catfd_1_MHB_1</vt:lpstr>
      <vt:lpstr>catfd_1_MHV_40</vt:lpstr>
      <vt:lpstr>catfd_1_OHV_40</vt:lpstr>
      <vt:lpstr>catfd_1_PHB_1</vt:lpstr>
      <vt:lpstr>catfd_1_PHV_40</vt:lpstr>
      <vt:lpstr>catfd_1_PMHB_1</vt:lpstr>
      <vt:lpstr>catfd_1_PMHV_40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catpn_1_FHB_1</vt:lpstr>
      <vt:lpstr>catpn_1_FHV_40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catpn_1_MHB_1</vt:lpstr>
      <vt:lpstr>catpn_1_MHV_40</vt:lpstr>
      <vt:lpstr>catpn_1_OHV_40</vt:lpstr>
      <vt:lpstr>catpn_1_PHB_1</vt:lpstr>
      <vt:lpstr>catpn_1_PHV_40</vt:lpstr>
      <vt:lpstr>catpn_1_PMHB_1</vt:lpstr>
      <vt:lpstr>catpn_1_PMHV_40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cattf_1_FHB_1</vt:lpstr>
      <vt:lpstr>cattf_1_FHV_40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cattf_1_MHB_1</vt:lpstr>
      <vt:lpstr>cattf_1_MHV_40</vt:lpstr>
      <vt:lpstr>cattf_1_OHV_40</vt:lpstr>
      <vt:lpstr>cattf_1_PHB_1</vt:lpstr>
      <vt:lpstr>cattf_1_PHV_40</vt:lpstr>
      <vt:lpstr>cattf_1_PMHB_1</vt:lpstr>
      <vt:lpstr>cattf_1_PMHV_40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objectprijs1_1</vt:lpstr>
      <vt:lpstr>objectprijs2_1</vt:lpstr>
      <vt:lpstr>objectprijs3_1</vt:lpstr>
      <vt:lpstr>objecturen1_1</vt:lpstr>
      <vt:lpstr>objecturen2_1</vt:lpstr>
      <vt:lpstr>objecturen3_1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2026-06-05T06:50:09Z</dcterms:created>
  <dcterms:modified xsi:type="dcterms:W3CDTF">2026-06-05T06:55:04Z</dcterms:modified>
</cp:coreProperties>
</file>